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s" sheetId="1" r:id="rId3"/>
    <sheet state="visible" name="US Agency MBS &amp; CMO Issuance" sheetId="2" r:id="rId4"/>
    <sheet state="visible" name="US Agency MBS Outstanding" sheetId="3" r:id="rId5"/>
    <sheet state="visible" name="FNMA MBS &amp; CMO Issuance" sheetId="4" r:id="rId6"/>
    <sheet state="visible" name="FHLMC MBS Issuance" sheetId="5" r:id="rId7"/>
    <sheet state="visible" name="FHLMC CMO Issuance" sheetId="6" r:id="rId8"/>
    <sheet state="visible" name="GNMA MBS Outstanding" sheetId="7" r:id="rId9"/>
    <sheet state="visible" name="GNMA REMIC Outstanding" sheetId="8" r:id="rId10"/>
    <sheet state="visible" name="All Other Agency Outstanding" sheetId="9" r:id="rId11"/>
  </sheets>
  <definedNames/>
  <calcPr/>
</workbook>
</file>

<file path=xl/sharedStrings.xml><?xml version="1.0" encoding="utf-8"?>
<sst xmlns="http://schemas.openxmlformats.org/spreadsheetml/2006/main" count="1671" uniqueCount="186">
  <si>
    <t>U.S. Agency MBS Outstanding</t>
  </si>
  <si>
    <t>U.S. Agency Mortgage Securities Issuance1,2</t>
  </si>
  <si>
    <t>US Agency Issuance and Outstanding</t>
  </si>
  <si>
    <t>USD Millions</t>
  </si>
  <si>
    <t>MBS</t>
  </si>
  <si>
    <t>Table</t>
  </si>
  <si>
    <t>Description</t>
  </si>
  <si>
    <t>Time Period</t>
  </si>
  <si>
    <t>Currency</t>
  </si>
  <si>
    <t>Value</t>
  </si>
  <si>
    <t>Last Value</t>
  </si>
  <si>
    <t>Last Updated</t>
  </si>
  <si>
    <t>ADDENDUM</t>
  </si>
  <si>
    <t>1.1.</t>
  </si>
  <si>
    <t>US Agency MBS and CMO Issuance</t>
  </si>
  <si>
    <t>FNMA</t>
  </si>
  <si>
    <t>Y</t>
  </si>
  <si>
    <t>USD</t>
  </si>
  <si>
    <t>Millions</t>
  </si>
  <si>
    <t>FHLMC</t>
  </si>
  <si>
    <t>GNMA</t>
  </si>
  <si>
    <t>1.2.</t>
  </si>
  <si>
    <t>US Agency MBS Outstanding</t>
  </si>
  <si>
    <t>Q</t>
  </si>
  <si>
    <t>4Q'13</t>
  </si>
  <si>
    <t>Total</t>
  </si>
  <si>
    <t>ALL MBS AND OTHER GUARANTEES</t>
  </si>
  <si>
    <t>Fannie Mae</t>
  </si>
  <si>
    <t>2.1.</t>
  </si>
  <si>
    <t>FNMA Issuance (MBS, CMO, Megas, Notional Classes)</t>
  </si>
  <si>
    <t>Freddie Mac</t>
  </si>
  <si>
    <t>3.1.</t>
  </si>
  <si>
    <t>FHLMC MBS Issuance</t>
  </si>
  <si>
    <t>ALL MBS AND OTHER GUARANTEES HELD BY THIRD PARTIES</t>
  </si>
  <si>
    <t>3.2.</t>
  </si>
  <si>
    <t>FHLMC CMO Issuance</t>
  </si>
  <si>
    <t>ALL OTHER NON MBS GUARANTEES</t>
  </si>
  <si>
    <t>Ginnie Mae</t>
  </si>
  <si>
    <t>4.1.</t>
  </si>
  <si>
    <t>GNMA MBS Outstanding</t>
  </si>
  <si>
    <t>M</t>
  </si>
  <si>
    <t>4.2.</t>
  </si>
  <si>
    <t>GNMA REMIC Outstanding</t>
  </si>
  <si>
    <t>1-4 Family</t>
  </si>
  <si>
    <t>All Other Agency</t>
  </si>
  <si>
    <t>All Other Agency Outstanding</t>
  </si>
  <si>
    <t>Multi</t>
  </si>
  <si>
    <t>CMO</t>
  </si>
  <si>
    <t>5.1.</t>
  </si>
  <si>
    <t>FAQ</t>
  </si>
  <si>
    <t>Contact</t>
  </si>
  <si>
    <t>Sharon Sung</t>
  </si>
  <si>
    <t>ssung@sifma.org</t>
  </si>
  <si>
    <t>Year</t>
  </si>
  <si>
    <t>The Securities Industry and Financial Markets Association (SIFMA) prepared this material for informational purposes only. SIFMA obtained this information from multiple sources believed to be reliable as of the date of publication; SIFMA, however, makes no representations as to the accuracy or completeness of such third party information. SIFMA has no obligation to update, modify or amend this information or to otherwise notify a reader thereof in the event that any such information becomes outdated, inaccurate, or incomplete.</t>
  </si>
  <si>
    <t>Fannie Mae3</t>
  </si>
  <si>
    <t>TOTAL</t>
  </si>
  <si>
    <t>The Securities Industry and Financial Markets Association (SIFMA) brings together the shared interests of hundreds of securities firms, banks and asset managers. SIFMA's mission is to support a strong financial industry, investor opportunity, capital formation, job creation and economic growth, while building trust and confidence in the financial markets. SIFMA, with offices in New York and Washington, D.C., is the U.S. regional member of the Global Financial Markets Association (GFMA). For more information, visit www.sifma.org.</t>
  </si>
  <si>
    <t>Q1</t>
  </si>
  <si>
    <t>1Agency securities includes both 1-4 family residences and multifamily.</t>
  </si>
  <si>
    <t>2Freddie Mac began issuing in 1971; Fannie Mae began issuing in 1981.</t>
  </si>
  <si>
    <t>3Fannie Mae CMOs include strip issuance.</t>
  </si>
  <si>
    <t>Sources: Fannie Mae, Federal Reserve, Freddie Mac, Ginnie Mae, HUD; FHFA; data compiled by SIFMA</t>
  </si>
  <si>
    <t>Updates</t>
  </si>
  <si>
    <t>Updates to these data are irregular and purely on an adhoc basis. Please contact the agencies directly if you need specific or more up-to-date data.</t>
  </si>
  <si>
    <t>Agency Outstanding</t>
  </si>
  <si>
    <t>Q2</t>
  </si>
  <si>
    <t>Differences between agency MBS outstanding figures from the Federal Reserve's Flow of Funds mortgage pools line items are largely due to accounting rules effected in 2010. The table displayed in this dataset ignores those changes. Additionally, data for FNMA and FHLMC outstandings include additional guarantees outside of MBS. Outstanding figures also include those MBS deals held in agency portfolios and not by third parties.</t>
  </si>
  <si>
    <t>Agency Outstanding, Addendum</t>
  </si>
  <si>
    <t>Blank fields are unknown.</t>
  </si>
  <si>
    <t>RTC</t>
  </si>
  <si>
    <t>Resolution Trust Corporation</t>
  </si>
  <si>
    <t>FHA/VA</t>
  </si>
  <si>
    <t>FHA/VA deals are specifically from the Vendee Mortgage Trust; other non-agency FHA/VA loan backed securitizations are not included and are largely bucketed under Scratch &amp; Dent.</t>
  </si>
  <si>
    <t>Q3</t>
  </si>
  <si>
    <t>Q4</t>
  </si>
  <si>
    <t>Fannie Mae Issuance</t>
  </si>
  <si>
    <t>Freddie Mac MBS Issuance</t>
  </si>
  <si>
    <t>Single-Family MBS</t>
  </si>
  <si>
    <t>Multifamily MBS</t>
  </si>
  <si>
    <t>Total MBS (Type)</t>
  </si>
  <si>
    <t>Total MBS</t>
  </si>
  <si>
    <t>CMO - REMIC</t>
  </si>
  <si>
    <t>CMO - Strips</t>
  </si>
  <si>
    <t>Total CMO</t>
  </si>
  <si>
    <t>Other - Mega3</t>
  </si>
  <si>
    <t>Other - IO/NTL/EXCH3</t>
  </si>
  <si>
    <t>ARM</t>
  </si>
  <si>
    <t>Fixed</t>
  </si>
  <si>
    <t>$ Amount</t>
  </si>
  <si>
    <t># of Securities</t>
  </si>
  <si>
    <t>MBS - $ Amount</t>
  </si>
  <si>
    <t># of Securities1</t>
  </si>
  <si>
    <t># of Securities2</t>
  </si>
  <si>
    <t>MBS - Total</t>
  </si>
  <si>
    <t>MBS ($ Amount) Reported by Freddie Mac1</t>
  </si>
  <si>
    <t>Weighted Original Coupon2</t>
  </si>
  <si>
    <t>WALA &gt; 12 Months At Issuance ($)</t>
  </si>
  <si>
    <t>Weighted Average Original Credit Score2</t>
  </si>
  <si>
    <t>Weighted Average Original LTV2</t>
  </si>
  <si>
    <t>Weighted Average Original Combined LTV2</t>
  </si>
  <si>
    <t>Other - Giant</t>
  </si>
  <si>
    <t>75-Day Delay</t>
  </si>
  <si>
    <t>Gold</t>
  </si>
  <si>
    <t>Total Single Family</t>
  </si>
  <si>
    <t>Multifamily</t>
  </si>
  <si>
    <t># Securities</t>
  </si>
  <si>
    <t>Single family</t>
  </si>
  <si>
    <t>Multi-family</t>
  </si>
  <si>
    <t>N/A</t>
  </si>
  <si>
    <t>1. Data reported by Freddie Mac include other credit enhancement programs that are not counted in the quarterly breakdowns (e.g., housing agency programs).</t>
  </si>
  <si>
    <t>2. Weighted by the original UPB.</t>
  </si>
  <si>
    <t>Freddie Mac CMO Issuance</t>
  </si>
  <si>
    <t>CMO - STRIP</t>
  </si>
  <si>
    <t>Other - NTL/IO/EXCH</t>
  </si>
  <si>
    <t>Source: Freddie Mac, FHFA</t>
  </si>
  <si>
    <t>TBD</t>
  </si>
  <si>
    <t>-</t>
  </si>
  <si>
    <t>\</t>
  </si>
  <si>
    <t>Source: Fannie Mae; data compiled by SIFMA</t>
  </si>
  <si>
    <t>1 The number of securities includes notional/exchangeable classes; does not include FNMA strips.</t>
  </si>
  <si>
    <t>2 Number of strip securities does not include IO strips.</t>
  </si>
  <si>
    <t>3 Other categories are not aggregated in agency MBS or CMO numbers.</t>
  </si>
  <si>
    <t>1Includes Freddie Mac, and Ginnie Mae mortgage pools (MBS) and structured securities (CMOs) on net</t>
  </si>
  <si>
    <t>2Agency securities includes both 1-4 family residences and multifamily.</t>
  </si>
  <si>
    <t>3Freddie Mac began issuing in 1971; Fannie Mae began issuing in 1981.</t>
  </si>
  <si>
    <t>4Fannie Mae data are MBS pools and excludes megas, strips, and CMOs.</t>
  </si>
  <si>
    <t>Sources: Fannie Mae, Federal Reserve, Freddie Mac, Ginnie Mae, HUD; data compiled by SIFMA</t>
  </si>
  <si>
    <t>GNMA - I</t>
  </si>
  <si>
    <t>GNMA - II</t>
  </si>
  <si>
    <t>GNMA MBS Total</t>
  </si>
  <si>
    <t>Single Family</t>
  </si>
  <si>
    <t>MultiFamily</t>
  </si>
  <si>
    <t>Other</t>
  </si>
  <si>
    <t>Jumbo</t>
  </si>
  <si>
    <t>HMBS</t>
  </si>
  <si>
    <t>Manufactured Housing</t>
  </si>
  <si>
    <t>Single-Family</t>
  </si>
  <si>
    <t>Multi-Family</t>
  </si>
  <si>
    <t>Note: Totals may not be exact matches to data due to consolidation of trust data and classification of certain securities; FNMA data reported prior to 2010 to the Fed differ to a greater extent than the other agencies.</t>
  </si>
  <si>
    <t>Source: Federal Reserve archives, Fannie Mae, Freddie Mac, Ginnie Mae; data compiled by SIFMA</t>
  </si>
  <si>
    <t>GNMA CMOs Outstanding</t>
  </si>
  <si>
    <t>Other Agency Outstanding</t>
  </si>
  <si>
    <t>By Type ($ Millions)</t>
  </si>
  <si>
    <t>ABS</t>
  </si>
  <si>
    <t>Farmer Mac</t>
  </si>
  <si>
    <t>NUCA</t>
  </si>
  <si>
    <t>$ Millions</t>
  </si>
  <si>
    <t>SBA</t>
  </si>
  <si>
    <t>FDIC</t>
  </si>
  <si>
    <t>NCUA</t>
  </si>
  <si>
    <t>1987</t>
  </si>
  <si>
    <t># CUSIPs1</t>
  </si>
  <si>
    <t>Callable Pass Throughs</t>
  </si>
  <si>
    <t>Remics</t>
  </si>
  <si>
    <t>HECM</t>
  </si>
  <si>
    <t>1988</t>
  </si>
  <si>
    <t>1989</t>
  </si>
  <si>
    <t>1990</t>
  </si>
  <si>
    <t>1991</t>
  </si>
  <si>
    <t>1992</t>
  </si>
  <si>
    <t>1993</t>
  </si>
  <si>
    <t>1994</t>
  </si>
  <si>
    <t>1995</t>
  </si>
  <si>
    <t>1996</t>
  </si>
  <si>
    <t>1997</t>
  </si>
  <si>
    <t>1998</t>
  </si>
  <si>
    <t>1999</t>
  </si>
  <si>
    <t>2000</t>
  </si>
  <si>
    <t>1 Does not include notional nor exchangeable classes. Includes structured GNMA callable passthrough securities.</t>
  </si>
  <si>
    <t>2 July 2002 factor data are incomplete and therefore excluded.</t>
  </si>
  <si>
    <t>3 Multifamily REMICs are included.</t>
  </si>
  <si>
    <t>Source: GNMA; compiled by SIFMA</t>
  </si>
  <si>
    <t>2001</t>
  </si>
  <si>
    <t>2002</t>
  </si>
  <si>
    <t>2003</t>
  </si>
  <si>
    <t>2004</t>
  </si>
  <si>
    <t>2005</t>
  </si>
  <si>
    <t>2006</t>
  </si>
  <si>
    <t>2007</t>
  </si>
  <si>
    <t>2008</t>
  </si>
  <si>
    <t>2009</t>
  </si>
  <si>
    <t>2010</t>
  </si>
  <si>
    <t>2011</t>
  </si>
  <si>
    <t>2012</t>
  </si>
  <si>
    <t>2013</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</si>
</sst>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_(* #,##0_);_(* \(#,##0\);_(* &quot;-&quot;??_);_(@_)"/>
    <numFmt numFmtId="166" formatCode="0.000"/>
    <numFmt numFmtId="167" formatCode="_(* #,##0.0_);_(* \(#,##0.0\);_(* &quot;-&quot;??_);_(@_)"/>
    <numFmt numFmtId="168" formatCode="_(* #,##0.00_);_(* \(#,##0.00\);_(* &quot;-&quot;??_);_(@_)"/>
  </numFmts>
  <fonts count="16">
    <font>
      <sz val="10.0"/>
      <color rgb="FF000000"/>
      <name val="Arial"/>
    </font>
    <font>
      <b/>
      <sz val="20.0"/>
      <color rgb="FF000000"/>
      <name val="Times New Roman"/>
    </font>
    <font>
      <sz val="11.0"/>
      <color rgb="FF000000"/>
      <name val="Calibri"/>
    </font>
    <font>
      <b/>
      <sz val="20.0"/>
      <name val="Times New Roman"/>
    </font>
    <font>
      <sz val="9.0"/>
      <color rgb="FF000000"/>
      <name val="Times New Roman"/>
    </font>
    <font>
      <sz val="11.0"/>
      <color rgb="FF000000"/>
      <name val="Times New Roman"/>
    </font>
    <font>
      <b/>
      <sz val="9.0"/>
      <color rgb="FF000000"/>
      <name val="Times New Roman"/>
    </font>
    <font>
      <b/>
      <sz val="11.0"/>
      <color rgb="FF000000"/>
      <name val="Garamond"/>
    </font>
    <font/>
    <font>
      <sz val="11.0"/>
      <color rgb="FF000000"/>
      <name val="Garamond"/>
    </font>
    <font>
      <u/>
      <sz val="11.0"/>
      <color rgb="FF0000FF"/>
      <name val="Garamond"/>
    </font>
    <font>
      <u/>
      <sz val="11.0"/>
      <color rgb="FF0000FF"/>
      <name val="Calibri"/>
    </font>
    <font>
      <sz val="9.0"/>
      <color rgb="FF000000"/>
      <name val="Garamond"/>
    </font>
    <font>
      <sz val="9.0"/>
      <name val="Garamond"/>
    </font>
    <font>
      <b/>
      <sz val="10.0"/>
      <color rgb="FF000000"/>
      <name val="Calibri"/>
    </font>
    <font>
      <sz val="10.0"/>
      <color rgb="FF000000"/>
      <name val="Times New Roman"/>
    </font>
  </fonts>
  <fills count="3">
    <fill>
      <patternFill patternType="none"/>
    </fill>
    <fill>
      <patternFill patternType="lightGray"/>
    </fill>
    <fill>
      <patternFill patternType="solid">
        <fgColor rgb="FFFFFFFF"/>
        <bgColor rgb="FFFFFFFF"/>
      </patternFill>
    </fill>
  </fills>
  <borders count="11">
    <border/>
    <border>
      <left/>
      <right/>
      <top/>
      <bottom/>
    </border>
    <border>
      <left/>
      <top/>
      <bottom/>
    </border>
    <border>
      <top/>
      <bottom/>
    </border>
    <border>
      <left/>
      <top/>
      <bottom style="thin">
        <color rgb="FF000000"/>
      </bottom>
    </border>
    <border>
      <right/>
      <top/>
      <bottom/>
    </border>
    <border>
      <top/>
      <bottom style="thin">
        <color rgb="FF000000"/>
      </bottom>
    </border>
    <border>
      <right/>
      <top/>
      <bottom style="thin">
        <color rgb="FF000000"/>
      </bottom>
    </border>
    <border>
      <left/>
      <right/>
      <top/>
      <bottom style="thin">
        <color rgb="FF000000"/>
      </bottom>
    </border>
    <border>
      <left/>
      <right/>
      <top/>
    </border>
    <border>
      <left/>
      <right/>
      <bottom style="thin">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1"/>
    </xf>
    <xf borderId="1" fillId="2" fontId="1" numFmtId="1" xfId="0" applyAlignment="1" applyBorder="1" applyFill="1" applyFont="1" applyNumberFormat="1">
      <alignment horizontal="left" shrinkToFit="0" wrapText="0"/>
    </xf>
    <xf borderId="0" fillId="0" fontId="2" numFmtId="0" xfId="0" applyAlignment="1" applyFont="1">
      <alignment shrinkToFit="0" wrapText="0"/>
    </xf>
    <xf borderId="1" fillId="2" fontId="3" numFmtId="1" xfId="0" applyAlignment="1" applyBorder="1" applyFont="1" applyNumberFormat="1">
      <alignment horizontal="left" shrinkToFit="0" wrapText="0"/>
    </xf>
    <xf borderId="1" fillId="2" fontId="4" numFmtId="0" xfId="0" applyAlignment="1" applyBorder="1" applyFont="1">
      <alignment horizontal="center" shrinkToFit="0" wrapText="0"/>
    </xf>
    <xf borderId="1" fillId="2" fontId="5" numFmtId="4" xfId="0" applyAlignment="1" applyBorder="1" applyFont="1" applyNumberFormat="1">
      <alignment horizontal="center" shrinkToFit="0" wrapText="1"/>
    </xf>
    <xf borderId="1" fillId="2" fontId="4" numFmtId="4" xfId="0" applyAlignment="1" applyBorder="1" applyFont="1" applyNumberFormat="1">
      <alignment horizontal="center" shrinkToFit="0" wrapText="0"/>
    </xf>
    <xf borderId="1" fillId="2" fontId="5" numFmtId="3" xfId="0" applyAlignment="1" applyBorder="1" applyFont="1" applyNumberFormat="1">
      <alignment horizontal="center" shrinkToFit="0" wrapText="1"/>
    </xf>
    <xf borderId="1" fillId="2" fontId="6" numFmtId="1" xfId="0" applyAlignment="1" applyBorder="1" applyFont="1" applyNumberFormat="1">
      <alignment horizontal="center" shrinkToFit="0" wrapText="0"/>
    </xf>
    <xf borderId="1" fillId="2" fontId="4" numFmtId="0" xfId="0" applyAlignment="1" applyBorder="1" applyFont="1">
      <alignment shrinkToFit="0" wrapText="0"/>
    </xf>
    <xf borderId="2" fillId="2" fontId="7" numFmtId="0" xfId="0" applyAlignment="1" applyBorder="1" applyFont="1">
      <alignment horizontal="center" shrinkToFit="0" wrapText="0"/>
    </xf>
    <xf borderId="3" fillId="0" fontId="8" numFmtId="0" xfId="0" applyAlignment="1" applyBorder="1" applyFont="1">
      <alignment shrinkToFit="0" wrapText="1"/>
    </xf>
    <xf borderId="4" fillId="2" fontId="6" numFmtId="0" xfId="0" applyAlignment="1" applyBorder="1" applyFont="1">
      <alignment horizontal="center" shrinkToFit="0" wrapText="0"/>
    </xf>
    <xf borderId="5" fillId="0" fontId="8" numFmtId="0" xfId="0" applyAlignment="1" applyBorder="1" applyFont="1">
      <alignment shrinkToFit="0" wrapText="1"/>
    </xf>
    <xf borderId="6" fillId="0" fontId="8" numFmtId="0" xfId="0" applyAlignment="1" applyBorder="1" applyFont="1">
      <alignment shrinkToFit="0" wrapText="1"/>
    </xf>
    <xf borderId="1" fillId="2" fontId="7" numFmtId="0" xfId="0" applyAlignment="1" applyBorder="1" applyFont="1">
      <alignment shrinkToFit="0" wrapText="0"/>
    </xf>
    <xf borderId="1" fillId="2" fontId="6" numFmtId="0" xfId="0" applyAlignment="1" applyBorder="1" applyFont="1">
      <alignment horizontal="center" shrinkToFit="0" wrapText="0"/>
    </xf>
    <xf borderId="1" fillId="2" fontId="7" numFmtId="0" xfId="0" applyAlignment="1" applyBorder="1" applyFont="1">
      <alignment horizontal="left" shrinkToFit="0" wrapText="0"/>
    </xf>
    <xf borderId="1" fillId="2" fontId="7" numFmtId="14" xfId="0" applyAlignment="1" applyBorder="1" applyFont="1" applyNumberFormat="1">
      <alignment horizontal="left" shrinkToFit="0" wrapText="0"/>
    </xf>
    <xf borderId="4" fillId="2" fontId="6" numFmtId="1" xfId="0" applyAlignment="1" applyBorder="1" applyFont="1" applyNumberFormat="1">
      <alignment horizontal="center" shrinkToFit="0" wrapText="0"/>
    </xf>
    <xf borderId="1" fillId="2" fontId="9" numFmtId="0" xfId="0" applyAlignment="1" applyBorder="1" applyFont="1">
      <alignment shrinkToFit="0" wrapText="0"/>
    </xf>
    <xf borderId="7" fillId="0" fontId="8" numFmtId="0" xfId="0" applyAlignment="1" applyBorder="1" applyFont="1">
      <alignment shrinkToFit="0" wrapText="1"/>
    </xf>
    <xf borderId="1" fillId="2" fontId="10" numFmtId="0" xfId="0" applyAlignment="1" applyBorder="1" applyFont="1">
      <alignment shrinkToFit="0" wrapText="0"/>
    </xf>
    <xf borderId="4" fillId="2" fontId="6" numFmtId="164" xfId="0" applyAlignment="1" applyBorder="1" applyFont="1" applyNumberFormat="1">
      <alignment horizontal="center" shrinkToFit="0" wrapText="0"/>
    </xf>
    <xf borderId="1" fillId="2" fontId="9" numFmtId="0" xfId="0" applyAlignment="1" applyBorder="1" applyFont="1">
      <alignment horizontal="left" readingOrder="0" shrinkToFit="0" wrapText="0"/>
    </xf>
    <xf borderId="1" fillId="2" fontId="6" numFmtId="164" xfId="0" applyAlignment="1" applyBorder="1" applyFont="1" applyNumberFormat="1">
      <alignment horizontal="center" shrinkToFit="0" wrapText="0"/>
    </xf>
    <xf borderId="1" fillId="2" fontId="9" numFmtId="14" xfId="0" applyAlignment="1" applyBorder="1" applyFont="1" applyNumberFormat="1">
      <alignment horizontal="left" readingOrder="0" shrinkToFit="0" wrapText="0"/>
    </xf>
    <xf borderId="1" fillId="2" fontId="9" numFmtId="0" xfId="0" applyAlignment="1" applyBorder="1" applyFont="1">
      <alignment horizontal="left" shrinkToFit="0" wrapText="0"/>
    </xf>
    <xf borderId="4" fillId="2" fontId="6" numFmtId="164" xfId="0" applyAlignment="1" applyBorder="1" applyFont="1" applyNumberFormat="1">
      <alignment horizontal="center" shrinkToFit="0" wrapText="1"/>
    </xf>
    <xf borderId="8" fillId="2" fontId="6" numFmtId="164" xfId="0" applyAlignment="1" applyBorder="1" applyFont="1" applyNumberFormat="1">
      <alignment horizontal="center" shrinkToFit="0" wrapText="1"/>
    </xf>
    <xf borderId="1" fillId="2" fontId="6" numFmtId="164" xfId="0" applyAlignment="1" applyBorder="1" applyFont="1" applyNumberFormat="1">
      <alignment horizontal="center" shrinkToFit="0" wrapText="1"/>
    </xf>
    <xf borderId="8" fillId="2" fontId="6" numFmtId="164" xfId="0" applyAlignment="1" applyBorder="1" applyFont="1" applyNumberFormat="1">
      <alignment horizontal="right" shrinkToFit="0" wrapText="0"/>
    </xf>
    <xf borderId="1" fillId="2" fontId="9" numFmtId="14" xfId="0" applyAlignment="1" applyBorder="1" applyFont="1" applyNumberFormat="1">
      <alignment horizontal="left" shrinkToFit="0" wrapText="0"/>
    </xf>
    <xf borderId="1" fillId="2" fontId="11" numFmtId="0" xfId="0" applyAlignment="1" applyBorder="1" applyFont="1">
      <alignment shrinkToFit="0" wrapText="0"/>
    </xf>
    <xf borderId="4" fillId="2" fontId="6" numFmtId="3" xfId="0" applyAlignment="1" applyBorder="1" applyFont="1" applyNumberFormat="1">
      <alignment horizontal="center" shrinkToFit="0" wrapText="0"/>
    </xf>
    <xf borderId="1" fillId="2" fontId="6" numFmtId="3" xfId="0" applyAlignment="1" applyBorder="1" applyFont="1" applyNumberFormat="1">
      <alignment shrinkToFit="0" wrapText="0"/>
    </xf>
    <xf borderId="1" fillId="2" fontId="6" numFmtId="3" xfId="0" applyAlignment="1" applyBorder="1" applyFont="1" applyNumberFormat="1">
      <alignment horizontal="center" shrinkToFit="0" wrapText="0"/>
    </xf>
    <xf borderId="2" fillId="2" fontId="12" numFmtId="0" xfId="0" applyAlignment="1" applyBorder="1" applyFont="1">
      <alignment horizontal="left" shrinkToFit="0" wrapText="1"/>
    </xf>
    <xf borderId="1" fillId="2" fontId="6" numFmtId="164" xfId="0" applyAlignment="1" applyBorder="1" applyFont="1" applyNumberFormat="1">
      <alignment horizontal="right" shrinkToFit="0" wrapText="0"/>
    </xf>
    <xf borderId="1" fillId="2" fontId="12" numFmtId="0" xfId="0" applyAlignment="1" applyBorder="1" applyFont="1">
      <alignment horizontal="left" shrinkToFit="0" wrapText="1"/>
    </xf>
    <xf borderId="1" fillId="2" fontId="4" numFmtId="0" xfId="0" applyAlignment="1" applyBorder="1" applyFont="1">
      <alignment horizontal="center" readingOrder="0" shrinkToFit="0" wrapText="0"/>
    </xf>
    <xf borderId="1" fillId="2" fontId="4" numFmtId="3" xfId="0" applyAlignment="1" applyBorder="1" applyFont="1" applyNumberFormat="1">
      <alignment shrinkToFit="0" wrapText="0"/>
    </xf>
    <xf borderId="1" fillId="2" fontId="4" numFmtId="3" xfId="0" applyAlignment="1" applyBorder="1" applyFont="1" applyNumberFormat="1">
      <alignment readingOrder="0" shrinkToFit="0" wrapText="0"/>
    </xf>
    <xf borderId="1" fillId="2" fontId="12" numFmtId="14" xfId="0" applyAlignment="1" applyBorder="1" applyFont="1" applyNumberFormat="1">
      <alignment horizontal="left" shrinkToFit="0" wrapText="1"/>
    </xf>
    <xf borderId="1" fillId="2" fontId="6" numFmtId="1" xfId="0" applyAlignment="1" applyBorder="1" applyFont="1" applyNumberFormat="1">
      <alignment horizontal="right" shrinkToFit="0" wrapText="0"/>
    </xf>
    <xf borderId="1" fillId="2" fontId="6" numFmtId="165" xfId="0" applyAlignment="1" applyBorder="1" applyFont="1" applyNumberFormat="1">
      <alignment horizontal="right" shrinkToFit="0" wrapText="0"/>
    </xf>
    <xf borderId="2" fillId="2" fontId="13" numFmtId="0" xfId="0" applyAlignment="1" applyBorder="1" applyFont="1">
      <alignment horizontal="left" shrinkToFit="0" vertical="top" wrapText="1"/>
    </xf>
    <xf borderId="1" fillId="2" fontId="4" numFmtId="164" xfId="0" applyAlignment="1" applyBorder="1" applyFont="1" applyNumberFormat="1">
      <alignment horizontal="right" readingOrder="0" shrinkToFit="0" wrapText="0"/>
    </xf>
    <xf borderId="1" fillId="2" fontId="13" numFmtId="0" xfId="0" applyAlignment="1" applyBorder="1" applyFont="1">
      <alignment horizontal="left" shrinkToFit="0" wrapText="0"/>
    </xf>
    <xf borderId="1" fillId="2" fontId="4" numFmtId="164" xfId="0" applyAlignment="1" applyBorder="1" applyFont="1" applyNumberFormat="1">
      <alignment horizontal="right" shrinkToFit="0" wrapText="0"/>
    </xf>
    <xf borderId="1" fillId="2" fontId="13" numFmtId="14" xfId="0" applyAlignment="1" applyBorder="1" applyFont="1" applyNumberFormat="1">
      <alignment horizontal="left" shrinkToFit="0" wrapText="0"/>
    </xf>
    <xf borderId="4" fillId="2" fontId="7" numFmtId="0" xfId="0" applyAlignment="1" applyBorder="1" applyFont="1">
      <alignment horizontal="left" shrinkToFit="0" wrapText="0"/>
    </xf>
    <xf borderId="1" fillId="2" fontId="9" numFmtId="0" xfId="0" applyAlignment="1" applyBorder="1" applyFont="1">
      <alignment shrinkToFit="0" wrapText="1"/>
    </xf>
    <xf borderId="1" fillId="2" fontId="14" numFmtId="165" xfId="0" applyAlignment="1" applyBorder="1" applyFont="1" applyNumberFormat="1">
      <alignment horizontal="left" shrinkToFit="0" wrapText="0"/>
    </xf>
    <xf borderId="1" fillId="2" fontId="7" numFmtId="0" xfId="0" applyAlignment="1" applyBorder="1" applyFont="1">
      <alignment horizontal="left" shrinkToFit="0" vertical="center" wrapText="1"/>
    </xf>
    <xf borderId="1" fillId="2" fontId="6" numFmtId="4" xfId="0" applyAlignment="1" applyBorder="1" applyFont="1" applyNumberFormat="1">
      <alignment horizontal="right" shrinkToFit="0" wrapText="0"/>
    </xf>
    <xf borderId="1" fillId="2" fontId="9" numFmtId="0" xfId="0" applyAlignment="1" applyBorder="1" applyFont="1">
      <alignment shrinkToFit="0" vertical="center" wrapText="1"/>
    </xf>
    <xf borderId="1" fillId="2" fontId="14" numFmtId="165" xfId="0" applyAlignment="1" applyBorder="1" applyFont="1" applyNumberFormat="1">
      <alignment horizontal="center" shrinkToFit="0" wrapText="0"/>
    </xf>
    <xf borderId="1" fillId="2" fontId="6" numFmtId="165" xfId="0" applyAlignment="1" applyBorder="1" applyFont="1" applyNumberFormat="1">
      <alignment horizontal="center" shrinkToFit="0" wrapText="0"/>
    </xf>
    <xf borderId="1" fillId="2" fontId="5" numFmtId="0" xfId="0" applyAlignment="1" applyBorder="1" applyFont="1">
      <alignment shrinkToFit="0" wrapText="0"/>
    </xf>
    <xf borderId="1" fillId="2" fontId="3" numFmtId="1" xfId="0" applyAlignment="1" applyBorder="1" applyFont="1" applyNumberFormat="1">
      <alignment horizontal="center" shrinkToFit="0" wrapText="0"/>
    </xf>
    <xf borderId="1" fillId="2" fontId="5" numFmtId="164" xfId="0" applyAlignment="1" applyBorder="1" applyFont="1" applyNumberFormat="1">
      <alignment horizontal="center" shrinkToFit="0" wrapText="1"/>
    </xf>
    <xf borderId="1" fillId="2" fontId="5" numFmtId="3" xfId="0" applyAlignment="1" applyBorder="1" applyFont="1" applyNumberFormat="1">
      <alignment shrinkToFit="0" wrapText="0"/>
    </xf>
    <xf borderId="1" fillId="2" fontId="5" numFmtId="164" xfId="0" applyAlignment="1" applyBorder="1" applyFont="1" applyNumberFormat="1">
      <alignment shrinkToFit="0" wrapText="0"/>
    </xf>
    <xf borderId="1" fillId="2" fontId="5" numFmtId="1" xfId="0" applyAlignment="1" applyBorder="1" applyFont="1" applyNumberFormat="1">
      <alignment shrinkToFit="0" wrapText="0"/>
    </xf>
    <xf borderId="1" fillId="2" fontId="5" numFmtId="164" xfId="0" applyAlignment="1" applyBorder="1" applyFont="1" applyNumberFormat="1">
      <alignment horizontal="center" shrinkToFit="0" wrapText="0"/>
    </xf>
    <xf borderId="1" fillId="2" fontId="5" numFmtId="3" xfId="0" applyAlignment="1" applyBorder="1" applyFont="1" applyNumberFormat="1">
      <alignment horizontal="center" shrinkToFit="0" wrapText="0"/>
    </xf>
    <xf borderId="1" fillId="2" fontId="5" numFmtId="166" xfId="0" applyAlignment="1" applyBorder="1" applyFont="1" applyNumberFormat="1">
      <alignment horizontal="center" shrinkToFit="0" wrapText="0"/>
    </xf>
    <xf borderId="8" fillId="2" fontId="6" numFmtId="164" xfId="0" applyAlignment="1" applyBorder="1" applyFont="1" applyNumberFormat="1">
      <alignment horizontal="center" shrinkToFit="0" wrapText="0"/>
    </xf>
    <xf borderId="1" fillId="2" fontId="5" numFmtId="1" xfId="0" applyAlignment="1" applyBorder="1" applyFont="1" applyNumberFormat="1">
      <alignment horizontal="center" shrinkToFit="0" wrapText="0"/>
    </xf>
    <xf borderId="8" fillId="2" fontId="6" numFmtId="0" xfId="0" applyAlignment="1" applyBorder="1" applyFont="1">
      <alignment horizontal="center" shrinkToFit="0" wrapText="0"/>
    </xf>
    <xf borderId="8" fillId="2" fontId="6" numFmtId="3" xfId="0" applyAlignment="1" applyBorder="1" applyFont="1" applyNumberFormat="1">
      <alignment shrinkToFit="0" wrapText="0"/>
    </xf>
    <xf borderId="8" fillId="2" fontId="6" numFmtId="1" xfId="0" applyAlignment="1" applyBorder="1" applyFont="1" applyNumberFormat="1">
      <alignment shrinkToFit="0" wrapText="0"/>
    </xf>
    <xf borderId="1" fillId="2" fontId="6" numFmtId="164" xfId="0" applyAlignment="1" applyBorder="1" applyFont="1" applyNumberFormat="1">
      <alignment shrinkToFit="0" wrapText="0"/>
    </xf>
    <xf borderId="1" fillId="2" fontId="4" numFmtId="164" xfId="0" applyAlignment="1" applyBorder="1" applyFont="1" applyNumberFormat="1">
      <alignment horizontal="center" readingOrder="0" shrinkToFit="0" wrapText="0"/>
    </xf>
    <xf borderId="4" fillId="2" fontId="6" numFmtId="166" xfId="0" applyAlignment="1" applyBorder="1" applyFont="1" applyNumberFormat="1">
      <alignment horizontal="center" shrinkToFit="0" wrapText="0"/>
    </xf>
    <xf borderId="1" fillId="2" fontId="4" numFmtId="164" xfId="0" applyAlignment="1" applyBorder="1" applyFont="1" applyNumberFormat="1">
      <alignment horizontal="center" shrinkToFit="0" wrapText="0"/>
    </xf>
    <xf borderId="1" fillId="2" fontId="4" numFmtId="164" xfId="0" applyAlignment="1" applyBorder="1" applyFont="1" applyNumberFormat="1">
      <alignment readingOrder="0" shrinkToFit="0" wrapText="0"/>
    </xf>
    <xf borderId="1" fillId="2" fontId="4" numFmtId="1" xfId="0" applyAlignment="1" applyBorder="1" applyFont="1" applyNumberFormat="1">
      <alignment readingOrder="0" shrinkToFit="0" wrapText="0"/>
    </xf>
    <xf borderId="1" fillId="2" fontId="4" numFmtId="164" xfId="0" applyAlignment="1" applyBorder="1" applyFont="1" applyNumberFormat="1">
      <alignment shrinkToFit="0" wrapText="0"/>
    </xf>
    <xf borderId="9" fillId="2" fontId="6" numFmtId="164" xfId="0" applyAlignment="1" applyBorder="1" applyFont="1" applyNumberFormat="1">
      <alignment horizontal="center" shrinkToFit="0" wrapText="1"/>
    </xf>
    <xf borderId="9" fillId="2" fontId="6" numFmtId="1" xfId="0" applyAlignment="1" applyBorder="1" applyFont="1" applyNumberFormat="1">
      <alignment horizontal="center" shrinkToFit="0" wrapText="1"/>
    </xf>
    <xf borderId="1" fillId="2" fontId="6" numFmtId="166" xfId="0" applyAlignment="1" applyBorder="1" applyFont="1" applyNumberFormat="1">
      <alignment horizontal="center" shrinkToFit="0" wrapText="0"/>
    </xf>
    <xf borderId="10" fillId="0" fontId="8" numFmtId="0" xfId="0" applyAlignment="1" applyBorder="1" applyFont="1">
      <alignment shrinkToFit="0" wrapText="1"/>
    </xf>
    <xf borderId="1" fillId="2" fontId="4" numFmtId="164" xfId="0" applyAlignment="1" applyBorder="1" applyFont="1" applyNumberFormat="1">
      <alignment horizontal="center" shrinkToFit="0" wrapText="1"/>
    </xf>
    <xf borderId="1" fillId="2" fontId="4" numFmtId="3" xfId="0" applyAlignment="1" applyBorder="1" applyFont="1" applyNumberFormat="1">
      <alignment horizontal="center" shrinkToFit="0" wrapText="1"/>
    </xf>
    <xf borderId="1" fillId="2" fontId="4" numFmtId="166" xfId="0" applyAlignment="1" applyBorder="1" applyFont="1" applyNumberFormat="1">
      <alignment horizontal="center" shrinkToFit="0" wrapText="1"/>
    </xf>
    <xf borderId="1" fillId="2" fontId="4" numFmtId="1" xfId="0" applyAlignment="1" applyBorder="1" applyFont="1" applyNumberFormat="1">
      <alignment horizontal="center" shrinkToFit="0" wrapText="1"/>
    </xf>
    <xf borderId="1" fillId="2" fontId="4" numFmtId="1" xfId="0" applyAlignment="1" applyBorder="1" applyFont="1" applyNumberFormat="1">
      <alignment horizontal="center" shrinkToFit="0" wrapText="0"/>
    </xf>
    <xf borderId="1" fillId="2" fontId="14" numFmtId="165" xfId="0" applyAlignment="1" applyBorder="1" applyFont="1" applyNumberFormat="1">
      <alignment horizontal="center" readingOrder="0" shrinkToFit="0" wrapText="0"/>
    </xf>
    <xf borderId="1" fillId="2" fontId="4" numFmtId="1" xfId="0" applyAlignment="1" applyBorder="1" applyFont="1" applyNumberFormat="1">
      <alignment horizontal="right" readingOrder="0" shrinkToFit="0" wrapText="0"/>
    </xf>
    <xf borderId="1" fillId="2" fontId="4" numFmtId="1" xfId="0" applyAlignment="1" applyBorder="1" applyFont="1" applyNumberFormat="1">
      <alignment horizontal="right" shrinkToFit="0" wrapText="0"/>
    </xf>
    <xf borderId="1" fillId="2" fontId="4" numFmtId="164" xfId="0" applyAlignment="1" applyBorder="1" applyFont="1" applyNumberFormat="1">
      <alignment horizontal="center" readingOrder="0" shrinkToFit="0" wrapText="1"/>
    </xf>
    <xf borderId="1" fillId="2" fontId="4" numFmtId="3" xfId="0" applyAlignment="1" applyBorder="1" applyFont="1" applyNumberFormat="1">
      <alignment horizontal="center" readingOrder="0" shrinkToFit="0" wrapText="1"/>
    </xf>
    <xf borderId="1" fillId="2" fontId="15" numFmtId="164" xfId="0" applyAlignment="1" applyBorder="1" applyFont="1" applyNumberFormat="1">
      <alignment horizontal="right" readingOrder="0" shrinkToFit="0" wrapText="0"/>
    </xf>
    <xf borderId="1" fillId="2" fontId="14" numFmtId="165" xfId="0" applyAlignment="1" applyBorder="1" applyFont="1" applyNumberFormat="1">
      <alignment horizontal="left" readingOrder="0" shrinkToFit="0" wrapText="0"/>
    </xf>
    <xf borderId="1" fillId="2" fontId="4" numFmtId="166" xfId="0" applyAlignment="1" applyBorder="1" applyFont="1" applyNumberFormat="1">
      <alignment horizontal="center" readingOrder="0" shrinkToFit="0" wrapText="1"/>
    </xf>
    <xf borderId="1" fillId="2" fontId="4" numFmtId="1" xfId="0" applyAlignment="1" applyBorder="1" applyFont="1" applyNumberFormat="1">
      <alignment horizontal="center" readingOrder="0" shrinkToFit="0" wrapText="1"/>
    </xf>
    <xf borderId="1" fillId="2" fontId="4" numFmtId="3" xfId="0" applyAlignment="1" applyBorder="1" applyFont="1" applyNumberFormat="1">
      <alignment horizontal="center" readingOrder="0" shrinkToFit="0" wrapText="0"/>
    </xf>
    <xf borderId="1" fillId="2" fontId="4" numFmtId="166" xfId="0" applyAlignment="1" applyBorder="1" applyFont="1" applyNumberFormat="1">
      <alignment horizontal="center" readingOrder="0" shrinkToFit="0" wrapText="0"/>
    </xf>
    <xf borderId="1" fillId="2" fontId="4" numFmtId="1" xfId="0" applyAlignment="1" applyBorder="1" applyFont="1" applyNumberFormat="1">
      <alignment horizontal="center" readingOrder="0" shrinkToFit="0" wrapText="0"/>
    </xf>
    <xf borderId="1" fillId="2" fontId="4" numFmtId="166" xfId="0" applyAlignment="1" applyBorder="1" applyFont="1" applyNumberFormat="1">
      <alignment horizontal="center" shrinkToFit="0" wrapText="0"/>
    </xf>
    <xf borderId="1" fillId="2" fontId="4" numFmtId="0" xfId="0" applyAlignment="1" applyBorder="1" applyFont="1">
      <alignment horizontal="left" shrinkToFit="0" wrapText="0"/>
    </xf>
    <xf borderId="1" fillId="2" fontId="4" numFmtId="164" xfId="0" applyAlignment="1" applyBorder="1" applyFont="1" applyNumberFormat="1">
      <alignment horizontal="left" shrinkToFit="0" wrapText="0"/>
    </xf>
    <xf borderId="1" fillId="2" fontId="4" numFmtId="3" xfId="0" applyAlignment="1" applyBorder="1" applyFont="1" applyNumberFormat="1">
      <alignment horizontal="center" shrinkToFit="0" wrapText="0"/>
    </xf>
    <xf borderId="1" fillId="2" fontId="4" numFmtId="3" xfId="0" applyAlignment="1" applyBorder="1" applyFont="1" applyNumberFormat="1">
      <alignment horizontal="right" readingOrder="0" shrinkToFit="0" wrapText="0"/>
    </xf>
    <xf borderId="1" fillId="2" fontId="6" numFmtId="167" xfId="0" applyAlignment="1" applyBorder="1" applyFont="1" applyNumberFormat="1">
      <alignment horizontal="right" readingOrder="0" shrinkToFit="0" wrapText="0"/>
    </xf>
    <xf borderId="1" fillId="2" fontId="6" numFmtId="165" xfId="0" applyAlignment="1" applyBorder="1" applyFont="1" applyNumberFormat="1">
      <alignment horizontal="right" readingOrder="0" shrinkToFit="0" wrapText="0"/>
    </xf>
    <xf borderId="4" fillId="2" fontId="4" numFmtId="164" xfId="0" applyAlignment="1" applyBorder="1" applyFont="1" applyNumberFormat="1">
      <alignment horizontal="center" shrinkToFit="0" wrapText="0"/>
    </xf>
    <xf borderId="8" fillId="2" fontId="4" numFmtId="164" xfId="0" applyAlignment="1" applyBorder="1" applyFont="1" applyNumberFormat="1">
      <alignment horizontal="center" shrinkToFit="0" wrapText="0"/>
    </xf>
    <xf borderId="4" fillId="2" fontId="4" numFmtId="168" xfId="0" applyAlignment="1" applyBorder="1" applyFont="1" applyNumberFormat="1">
      <alignment horizontal="center" shrinkToFit="0" wrapText="0"/>
    </xf>
    <xf borderId="8" fillId="2" fontId="4" numFmtId="1" xfId="0" applyAlignment="1" applyBorder="1" applyFont="1" applyNumberFormat="1">
      <alignment horizontal="center" shrinkToFit="0" wrapText="0"/>
    </xf>
    <xf borderId="1" fillId="2" fontId="4" numFmtId="168" xfId="0" applyAlignment="1" applyBorder="1" applyFont="1" applyNumberFormat="1">
      <alignment horizontal="center" shrinkToFit="0" wrapText="1"/>
    </xf>
    <xf borderId="1" fillId="2" fontId="4" numFmtId="168" xfId="0" applyAlignment="1" applyBorder="1" applyFont="1" applyNumberFormat="1">
      <alignment horizontal="center" shrinkToFit="0" wrapText="0"/>
    </xf>
    <xf borderId="1" fillId="2" fontId="4" numFmtId="168" xfId="0" applyAlignment="1" applyBorder="1" applyFont="1" applyNumberFormat="1">
      <alignment horizontal="center" readingOrder="0" shrinkToFit="0" wrapText="0"/>
    </xf>
    <xf borderId="1" fillId="2" fontId="6" numFmtId="164" xfId="0" applyAlignment="1" applyBorder="1" applyFont="1" applyNumberFormat="1">
      <alignment horizontal="center" readingOrder="0" shrinkToFit="0" wrapText="0"/>
    </xf>
    <xf borderId="1" fillId="2" fontId="15" numFmtId="164" xfId="0" applyAlignment="1" applyBorder="1" applyFont="1" applyNumberFormat="1">
      <alignment horizontal="center"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169545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581025</xdr:colOff>
      <xdr:row>0</xdr:row>
      <xdr:rowOff>9525</xdr:rowOff>
    </xdr:from>
    <xdr:ext cx="171450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0</xdr:rowOff>
    </xdr:from>
    <xdr:ext cx="169545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0</xdr:row>
      <xdr:rowOff>0</xdr:rowOff>
    </xdr:from>
    <xdr:ext cx="169545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0</xdr:row>
      <xdr:rowOff>0</xdr:rowOff>
    </xdr:from>
    <xdr:ext cx="169545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0</xdr:row>
      <xdr:rowOff>0</xdr:rowOff>
    </xdr:from>
    <xdr:ext cx="169545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0</xdr:row>
      <xdr:rowOff>0</xdr:rowOff>
    </xdr:from>
    <xdr:ext cx="169545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0</xdr:rowOff>
    </xdr:from>
    <xdr:ext cx="1695450" cy="723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mailto:ssung@sifma.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9.14"/>
    <col customWidth="1" min="2" max="2" width="15.0"/>
    <col customWidth="1" min="3" max="3" width="64.57"/>
    <col customWidth="1" min="4" max="4" width="13.14"/>
    <col customWidth="1" min="5" max="6" width="9.14"/>
    <col customWidth="1" min="7" max="7" width="11.29"/>
    <col customWidth="1" min="8" max="8" width="13.43"/>
    <col customWidth="1" min="9" max="18" width="9.14"/>
  </cols>
  <sheetData>
    <row r="1" ht="15.0" customHeight="1">
      <c r="A1" s="2"/>
      <c r="B1" s="10" t="s">
        <v>2</v>
      </c>
      <c r="C1" s="11"/>
      <c r="D1" s="11"/>
      <c r="E1" s="11"/>
      <c r="F1" s="11"/>
      <c r="G1" s="11"/>
      <c r="H1" s="13"/>
      <c r="I1" s="2"/>
      <c r="J1" s="2"/>
      <c r="K1" s="2"/>
      <c r="L1" s="2"/>
      <c r="M1" s="2"/>
      <c r="N1" s="2"/>
      <c r="O1" s="2"/>
      <c r="P1" s="2"/>
      <c r="Q1" s="2"/>
      <c r="R1" s="2"/>
    </row>
    <row r="2" ht="15.0" customHeight="1">
      <c r="A2" s="2"/>
      <c r="B2" s="2"/>
      <c r="C2" s="2"/>
      <c r="D2" s="2"/>
      <c r="E2" s="2"/>
      <c r="F2" s="2"/>
      <c r="G2" s="2"/>
      <c r="H2" s="2"/>
      <c r="I2" s="2"/>
      <c r="J2" s="2"/>
      <c r="K2" s="2"/>
      <c r="L2" s="2"/>
      <c r="M2" s="2"/>
      <c r="N2" s="2"/>
      <c r="O2" s="2"/>
      <c r="P2" s="2"/>
      <c r="Q2" s="2"/>
      <c r="R2" s="2"/>
    </row>
    <row r="3" ht="15.0" customHeight="1">
      <c r="A3" s="2"/>
      <c r="B3" s="15" t="s">
        <v>5</v>
      </c>
      <c r="C3" s="15" t="s">
        <v>6</v>
      </c>
      <c r="D3" s="15" t="s">
        <v>7</v>
      </c>
      <c r="E3" s="15" t="s">
        <v>8</v>
      </c>
      <c r="F3" s="15" t="s">
        <v>9</v>
      </c>
      <c r="G3" s="17" t="s">
        <v>10</v>
      </c>
      <c r="H3" s="18" t="s">
        <v>11</v>
      </c>
      <c r="I3" s="2"/>
      <c r="J3" s="2"/>
      <c r="K3" s="2"/>
      <c r="L3" s="2"/>
      <c r="M3" s="2"/>
      <c r="N3" s="2"/>
      <c r="O3" s="2"/>
      <c r="P3" s="2"/>
      <c r="Q3" s="2"/>
      <c r="R3" s="2"/>
    </row>
    <row r="4" ht="15.0" customHeight="1">
      <c r="A4" s="2"/>
      <c r="B4" s="20" t="s">
        <v>13</v>
      </c>
      <c r="C4" s="22" t="s">
        <v>14</v>
      </c>
      <c r="D4" s="20" t="s">
        <v>16</v>
      </c>
      <c r="E4" s="20" t="s">
        <v>17</v>
      </c>
      <c r="F4" s="20" t="s">
        <v>18</v>
      </c>
      <c r="G4" s="24">
        <v>2012.0</v>
      </c>
      <c r="H4" s="26">
        <v>41275.0</v>
      </c>
      <c r="I4" s="2"/>
      <c r="J4" s="2"/>
      <c r="K4" s="2"/>
      <c r="L4" s="2"/>
      <c r="M4" s="2"/>
      <c r="N4" s="2"/>
      <c r="O4" s="2"/>
      <c r="P4" s="2"/>
      <c r="Q4" s="2"/>
      <c r="R4" s="2"/>
    </row>
    <row r="5" ht="15.0" customHeight="1">
      <c r="A5" s="2"/>
      <c r="B5" s="20" t="s">
        <v>21</v>
      </c>
      <c r="C5" s="22" t="s">
        <v>22</v>
      </c>
      <c r="D5" s="20" t="s">
        <v>23</v>
      </c>
      <c r="E5" s="20" t="s">
        <v>17</v>
      </c>
      <c r="F5" s="20" t="s">
        <v>18</v>
      </c>
      <c r="G5" s="27" t="s">
        <v>24</v>
      </c>
      <c r="H5" s="26">
        <v>41746.0</v>
      </c>
      <c r="I5" s="2"/>
      <c r="J5" s="2"/>
      <c r="K5" s="2"/>
      <c r="L5" s="2"/>
      <c r="M5" s="2"/>
      <c r="N5" s="2"/>
      <c r="O5" s="2"/>
      <c r="P5" s="2"/>
      <c r="Q5" s="2"/>
      <c r="R5" s="2"/>
    </row>
    <row r="6" ht="15.0" customHeight="1">
      <c r="A6" s="2"/>
      <c r="B6" s="2"/>
      <c r="C6" s="2"/>
      <c r="D6" s="2"/>
      <c r="E6" s="2"/>
      <c r="F6" s="2"/>
      <c r="G6" s="2"/>
      <c r="H6" s="2"/>
      <c r="I6" s="2"/>
      <c r="J6" s="2"/>
      <c r="K6" s="2"/>
      <c r="L6" s="2"/>
      <c r="M6" s="2"/>
      <c r="N6" s="2"/>
      <c r="O6" s="2"/>
      <c r="P6" s="2"/>
      <c r="Q6" s="2"/>
      <c r="R6" s="2"/>
    </row>
    <row r="7" ht="15.0" customHeight="1">
      <c r="A7" s="2"/>
      <c r="B7" s="15" t="s">
        <v>27</v>
      </c>
      <c r="C7" s="2"/>
      <c r="D7" s="2"/>
      <c r="E7" s="2"/>
      <c r="F7" s="2"/>
      <c r="G7" s="2"/>
      <c r="H7" s="2"/>
      <c r="I7" s="2"/>
      <c r="J7" s="2"/>
      <c r="K7" s="2"/>
      <c r="L7" s="2"/>
      <c r="M7" s="2"/>
      <c r="N7" s="2"/>
      <c r="O7" s="2"/>
      <c r="P7" s="2"/>
      <c r="Q7" s="2"/>
      <c r="R7" s="2"/>
    </row>
    <row r="8" ht="15.0" customHeight="1">
      <c r="A8" s="2"/>
      <c r="B8" s="20" t="s">
        <v>28</v>
      </c>
      <c r="C8" s="22" t="s">
        <v>29</v>
      </c>
      <c r="D8" s="20" t="s">
        <v>23</v>
      </c>
      <c r="E8" s="20" t="s">
        <v>17</v>
      </c>
      <c r="F8" s="20" t="s">
        <v>18</v>
      </c>
      <c r="G8" s="27" t="s">
        <v>24</v>
      </c>
      <c r="H8" s="26">
        <v>41717.0</v>
      </c>
      <c r="I8" s="2"/>
      <c r="J8" s="2"/>
      <c r="K8" s="2"/>
      <c r="L8" s="2"/>
      <c r="M8" s="2"/>
      <c r="N8" s="2"/>
      <c r="O8" s="2"/>
      <c r="P8" s="2"/>
      <c r="Q8" s="2"/>
      <c r="R8" s="2"/>
    </row>
    <row r="9" ht="15.0" customHeight="1">
      <c r="A9" s="2"/>
      <c r="B9" s="2"/>
      <c r="C9" s="2"/>
      <c r="D9" s="2"/>
      <c r="E9" s="2"/>
      <c r="F9" s="2"/>
      <c r="G9" s="2"/>
      <c r="H9" s="2"/>
      <c r="I9" s="2"/>
      <c r="J9" s="2"/>
      <c r="K9" s="2"/>
      <c r="L9" s="2"/>
      <c r="M9" s="2"/>
      <c r="N9" s="2"/>
      <c r="O9" s="2"/>
      <c r="P9" s="2"/>
      <c r="Q9" s="2"/>
      <c r="R9" s="2"/>
    </row>
    <row r="10" ht="15.0" customHeight="1">
      <c r="A10" s="2"/>
      <c r="B10" s="15" t="s">
        <v>30</v>
      </c>
      <c r="C10" s="2"/>
      <c r="D10" s="2"/>
      <c r="E10" s="2"/>
      <c r="F10" s="2"/>
      <c r="G10" s="2"/>
      <c r="H10" s="2"/>
      <c r="I10" s="2"/>
      <c r="J10" s="2"/>
      <c r="K10" s="2"/>
      <c r="L10" s="2"/>
      <c r="M10" s="2"/>
      <c r="N10" s="2"/>
      <c r="O10" s="2"/>
      <c r="P10" s="2"/>
      <c r="Q10" s="2"/>
      <c r="R10" s="2"/>
    </row>
    <row r="11" ht="15.0" customHeight="1">
      <c r="A11" s="2"/>
      <c r="B11" s="20" t="s">
        <v>31</v>
      </c>
      <c r="C11" s="22" t="s">
        <v>32</v>
      </c>
      <c r="D11" s="20" t="s">
        <v>23</v>
      </c>
      <c r="E11" s="20" t="s">
        <v>17</v>
      </c>
      <c r="F11" s="20" t="s">
        <v>18</v>
      </c>
      <c r="G11" s="24">
        <v>2013.0</v>
      </c>
      <c r="H11" s="26">
        <v>41753.0</v>
      </c>
      <c r="I11" s="2"/>
      <c r="J11" s="2"/>
      <c r="K11" s="2"/>
      <c r="L11" s="2"/>
      <c r="M11" s="2"/>
      <c r="N11" s="2"/>
      <c r="O11" s="2"/>
      <c r="P11" s="2"/>
      <c r="Q11" s="2"/>
      <c r="R11" s="2"/>
    </row>
    <row r="12" ht="15.0" customHeight="1">
      <c r="A12" s="2"/>
      <c r="B12" s="20" t="s">
        <v>34</v>
      </c>
      <c r="C12" s="22" t="s">
        <v>35</v>
      </c>
      <c r="D12" s="20" t="s">
        <v>23</v>
      </c>
      <c r="E12" s="20" t="s">
        <v>17</v>
      </c>
      <c r="F12" s="20" t="s">
        <v>18</v>
      </c>
      <c r="G12" s="24">
        <v>1993.0</v>
      </c>
      <c r="H12" s="26">
        <v>40990.0</v>
      </c>
      <c r="I12" s="2"/>
      <c r="J12" s="2"/>
      <c r="K12" s="2"/>
      <c r="L12" s="2"/>
      <c r="M12" s="2"/>
      <c r="N12" s="2"/>
      <c r="O12" s="2"/>
      <c r="P12" s="2"/>
      <c r="Q12" s="2"/>
      <c r="R12" s="2"/>
    </row>
    <row r="13" ht="15.0" customHeight="1">
      <c r="A13" s="2"/>
      <c r="B13" s="2"/>
      <c r="C13" s="2"/>
      <c r="D13" s="2"/>
      <c r="E13" s="2"/>
      <c r="F13" s="2"/>
      <c r="G13" s="2"/>
      <c r="H13" s="2"/>
      <c r="I13" s="2"/>
      <c r="J13" s="2"/>
      <c r="K13" s="2"/>
      <c r="L13" s="2"/>
      <c r="M13" s="2"/>
      <c r="N13" s="2"/>
      <c r="O13" s="2"/>
      <c r="P13" s="2"/>
      <c r="Q13" s="2"/>
      <c r="R13" s="2"/>
    </row>
    <row r="14" ht="15.0" customHeight="1">
      <c r="A14" s="2"/>
      <c r="B14" s="15" t="s">
        <v>37</v>
      </c>
      <c r="C14" s="2"/>
      <c r="D14" s="2"/>
      <c r="E14" s="2"/>
      <c r="F14" s="2"/>
      <c r="G14" s="2"/>
      <c r="H14" s="2"/>
      <c r="I14" s="2"/>
      <c r="J14" s="2"/>
      <c r="K14" s="2"/>
      <c r="L14" s="2"/>
      <c r="M14" s="2"/>
      <c r="N14" s="2"/>
      <c r="O14" s="2"/>
      <c r="P14" s="2"/>
      <c r="Q14" s="2"/>
      <c r="R14" s="2"/>
    </row>
    <row r="15" ht="15.0" customHeight="1">
      <c r="A15" s="2"/>
      <c r="B15" s="20" t="s">
        <v>38</v>
      </c>
      <c r="C15" s="22" t="s">
        <v>39</v>
      </c>
      <c r="D15" s="20" t="s">
        <v>40</v>
      </c>
      <c r="E15" s="20" t="s">
        <v>17</v>
      </c>
      <c r="F15" s="20" t="s">
        <v>18</v>
      </c>
      <c r="G15" s="26">
        <v>41274.0</v>
      </c>
      <c r="H15" s="26">
        <v>41275.0</v>
      </c>
      <c r="I15" s="2"/>
      <c r="J15" s="2"/>
      <c r="K15" s="2"/>
      <c r="L15" s="2"/>
      <c r="M15" s="2"/>
      <c r="N15" s="2"/>
      <c r="O15" s="2"/>
      <c r="P15" s="2"/>
      <c r="Q15" s="2"/>
      <c r="R15" s="2"/>
    </row>
    <row r="16" ht="15.0" customHeight="1">
      <c r="A16" s="2"/>
      <c r="B16" s="20" t="s">
        <v>41</v>
      </c>
      <c r="C16" s="22" t="s">
        <v>42</v>
      </c>
      <c r="D16" s="20" t="s">
        <v>40</v>
      </c>
      <c r="E16" s="20" t="s">
        <v>17</v>
      </c>
      <c r="F16" s="20" t="s">
        <v>18</v>
      </c>
      <c r="G16" s="26">
        <v>41455.0</v>
      </c>
      <c r="H16" s="26">
        <v>41501.0</v>
      </c>
      <c r="I16" s="2"/>
      <c r="J16" s="2"/>
      <c r="K16" s="2"/>
      <c r="L16" s="2"/>
      <c r="M16" s="2"/>
      <c r="N16" s="2"/>
      <c r="O16" s="2"/>
      <c r="P16" s="2"/>
      <c r="Q16" s="2"/>
      <c r="R16" s="2"/>
    </row>
    <row r="17" ht="15.0" customHeight="1">
      <c r="A17" s="2"/>
      <c r="B17" s="2"/>
      <c r="C17" s="2"/>
      <c r="D17" s="2"/>
      <c r="E17" s="2"/>
      <c r="F17" s="2"/>
      <c r="G17" s="2"/>
      <c r="H17" s="2"/>
      <c r="I17" s="2"/>
      <c r="J17" s="2"/>
      <c r="K17" s="2"/>
      <c r="L17" s="2"/>
      <c r="M17" s="2"/>
      <c r="N17" s="2"/>
      <c r="O17" s="2"/>
      <c r="P17" s="2"/>
      <c r="Q17" s="2"/>
      <c r="R17" s="2"/>
    </row>
    <row r="18" ht="15.0" customHeight="1">
      <c r="A18" s="2"/>
      <c r="B18" s="15" t="s">
        <v>44</v>
      </c>
      <c r="C18" s="2"/>
      <c r="D18" s="2"/>
      <c r="E18" s="2"/>
      <c r="F18" s="2"/>
      <c r="G18" s="2"/>
      <c r="H18" s="2"/>
      <c r="I18" s="2"/>
      <c r="J18" s="2"/>
      <c r="K18" s="2"/>
      <c r="L18" s="2"/>
      <c r="M18" s="2"/>
      <c r="N18" s="2"/>
      <c r="O18" s="2"/>
      <c r="P18" s="2"/>
      <c r="Q18" s="2"/>
      <c r="R18" s="2"/>
    </row>
    <row r="19" ht="15.0" customHeight="1">
      <c r="A19" s="2"/>
      <c r="B19" s="20" t="s">
        <v>38</v>
      </c>
      <c r="C19" s="22" t="s">
        <v>45</v>
      </c>
      <c r="D19" s="20" t="s">
        <v>40</v>
      </c>
      <c r="E19" s="20" t="s">
        <v>17</v>
      </c>
      <c r="F19" s="20" t="s">
        <v>18</v>
      </c>
      <c r="G19" s="32" t="s">
        <v>24</v>
      </c>
      <c r="H19" s="26">
        <v>41674.0</v>
      </c>
      <c r="I19" s="2"/>
      <c r="J19" s="2"/>
      <c r="K19" s="2"/>
      <c r="L19" s="2"/>
      <c r="M19" s="2"/>
      <c r="N19" s="2"/>
      <c r="O19" s="2"/>
      <c r="P19" s="2"/>
      <c r="Q19" s="2"/>
      <c r="R19" s="2"/>
    </row>
    <row r="20" ht="15.0" customHeight="1">
      <c r="A20" s="2"/>
      <c r="B20" s="2"/>
      <c r="C20" s="33"/>
      <c r="D20" s="2"/>
      <c r="E20" s="2"/>
      <c r="F20" s="2"/>
      <c r="G20" s="32"/>
      <c r="H20" s="2"/>
      <c r="I20" s="2"/>
      <c r="J20" s="2"/>
      <c r="K20" s="2"/>
      <c r="L20" s="2"/>
      <c r="M20" s="2"/>
      <c r="N20" s="2"/>
      <c r="O20" s="2"/>
      <c r="P20" s="2"/>
      <c r="Q20" s="2"/>
      <c r="R20" s="2"/>
    </row>
    <row r="21" ht="15.0" customHeight="1">
      <c r="A21" s="2"/>
      <c r="B21" s="20" t="s">
        <v>48</v>
      </c>
      <c r="C21" s="22" t="s">
        <v>49</v>
      </c>
      <c r="D21" s="2"/>
      <c r="E21" s="2"/>
      <c r="F21" s="2"/>
      <c r="G21" s="32"/>
      <c r="H21" s="26">
        <v>41366.0</v>
      </c>
      <c r="I21" s="2"/>
      <c r="J21" s="2"/>
      <c r="K21" s="2"/>
      <c r="L21" s="2"/>
      <c r="M21" s="2"/>
      <c r="N21" s="2"/>
      <c r="O21" s="2"/>
      <c r="P21" s="2"/>
      <c r="Q21" s="2"/>
      <c r="R21" s="2"/>
    </row>
    <row r="22" ht="15.0" customHeight="1">
      <c r="A22" s="2"/>
      <c r="B22" s="2"/>
      <c r="C22" s="22"/>
      <c r="D22" s="2"/>
      <c r="E22" s="2"/>
      <c r="F22" s="2"/>
      <c r="G22" s="2"/>
      <c r="H22" s="2"/>
      <c r="I22" s="2"/>
      <c r="J22" s="2"/>
      <c r="K22" s="2"/>
      <c r="L22" s="2"/>
      <c r="M22" s="2"/>
      <c r="N22" s="2"/>
      <c r="O22" s="2"/>
      <c r="P22" s="2"/>
      <c r="Q22" s="2"/>
      <c r="R22" s="2"/>
    </row>
    <row r="23" ht="15.0" customHeight="1">
      <c r="A23" s="2"/>
      <c r="B23" s="15" t="s">
        <v>50</v>
      </c>
      <c r="C23" s="2"/>
      <c r="D23" s="2"/>
      <c r="E23" s="2"/>
      <c r="F23" s="2"/>
      <c r="G23" s="2"/>
      <c r="H23" s="2"/>
      <c r="I23" s="2"/>
      <c r="J23" s="2"/>
      <c r="K23" s="2"/>
      <c r="L23" s="2"/>
      <c r="M23" s="2"/>
      <c r="N23" s="2"/>
      <c r="O23" s="2"/>
      <c r="P23" s="2"/>
      <c r="Q23" s="2"/>
      <c r="R23" s="2"/>
    </row>
    <row r="24" ht="15.0" customHeight="1">
      <c r="A24" s="2"/>
      <c r="B24" s="20" t="s">
        <v>51</v>
      </c>
      <c r="C24" s="22" t="s">
        <v>52</v>
      </c>
      <c r="D24" s="2"/>
      <c r="E24" s="2"/>
      <c r="F24" s="2"/>
      <c r="G24" s="2"/>
      <c r="H24" s="2"/>
      <c r="I24" s="2"/>
      <c r="J24" s="2"/>
      <c r="K24" s="2"/>
      <c r="L24" s="2"/>
      <c r="M24" s="2"/>
      <c r="N24" s="2"/>
      <c r="O24" s="2"/>
      <c r="P24" s="2"/>
      <c r="Q24" s="2"/>
      <c r="R24" s="2"/>
    </row>
    <row r="25" ht="15.0" customHeight="1">
      <c r="A25" s="2"/>
      <c r="B25" s="2"/>
      <c r="C25" s="2"/>
      <c r="D25" s="2"/>
      <c r="E25" s="2"/>
      <c r="F25" s="2"/>
      <c r="G25" s="2"/>
      <c r="H25" s="2"/>
      <c r="I25" s="2"/>
      <c r="J25" s="2"/>
      <c r="K25" s="2"/>
      <c r="L25" s="2"/>
      <c r="M25" s="2"/>
      <c r="N25" s="2"/>
      <c r="O25" s="2"/>
      <c r="P25" s="2"/>
      <c r="Q25" s="2"/>
      <c r="R25" s="2"/>
    </row>
    <row r="26" ht="15.0" customHeight="1">
      <c r="A26" s="2"/>
      <c r="B26" s="2"/>
      <c r="C26" s="2"/>
      <c r="D26" s="2"/>
      <c r="E26" s="2"/>
      <c r="F26" s="2"/>
      <c r="G26" s="2"/>
      <c r="H26" s="2"/>
      <c r="I26" s="2"/>
      <c r="J26" s="2"/>
      <c r="K26" s="2"/>
      <c r="L26" s="2"/>
      <c r="M26" s="2"/>
      <c r="N26" s="2"/>
      <c r="O26" s="2"/>
      <c r="P26" s="2"/>
      <c r="Q26" s="2"/>
      <c r="R26" s="2"/>
    </row>
    <row r="27" ht="55.5" customHeight="1">
      <c r="A27" s="2"/>
      <c r="B27" s="37" t="s">
        <v>54</v>
      </c>
      <c r="C27" s="11"/>
      <c r="D27" s="11"/>
      <c r="E27" s="13"/>
      <c r="F27" s="39"/>
      <c r="G27" s="39"/>
      <c r="H27" s="43"/>
      <c r="I27" s="2"/>
      <c r="J27" s="2"/>
      <c r="K27" s="2"/>
      <c r="L27" s="2"/>
      <c r="M27" s="2"/>
      <c r="N27" s="2"/>
      <c r="O27" s="2"/>
      <c r="P27" s="2"/>
      <c r="Q27" s="2"/>
      <c r="R27" s="2"/>
    </row>
    <row r="28" ht="15.0" customHeight="1">
      <c r="A28" s="2"/>
      <c r="B28" s="2"/>
      <c r="C28" s="2"/>
      <c r="D28" s="2"/>
      <c r="E28" s="2"/>
      <c r="F28" s="2"/>
      <c r="G28" s="2"/>
      <c r="H28" s="2"/>
      <c r="I28" s="2"/>
      <c r="J28" s="2"/>
      <c r="K28" s="2"/>
      <c r="L28" s="2"/>
      <c r="M28" s="2"/>
      <c r="N28" s="2"/>
      <c r="O28" s="2"/>
      <c r="P28" s="2"/>
      <c r="Q28" s="2"/>
      <c r="R28" s="2"/>
    </row>
    <row r="29" ht="50.25" customHeight="1">
      <c r="A29" s="2"/>
      <c r="B29" s="46" t="s">
        <v>57</v>
      </c>
      <c r="C29" s="11"/>
      <c r="D29" s="11"/>
      <c r="E29" s="13"/>
      <c r="F29" s="48"/>
      <c r="G29" s="48"/>
      <c r="H29" s="50"/>
      <c r="I29" s="2"/>
      <c r="J29" s="2"/>
      <c r="K29" s="2"/>
      <c r="L29" s="2"/>
      <c r="M29" s="2"/>
      <c r="N29" s="2"/>
      <c r="O29" s="2"/>
      <c r="P29" s="2"/>
      <c r="Q29" s="2"/>
      <c r="R29" s="2"/>
    </row>
    <row r="30" ht="15.0" customHeight="1">
      <c r="A30" s="2"/>
      <c r="B30" s="2"/>
      <c r="C30" s="2"/>
      <c r="D30" s="2"/>
      <c r="E30" s="2"/>
      <c r="F30" s="2"/>
      <c r="G30" s="2"/>
      <c r="H30" s="2"/>
      <c r="I30" s="2"/>
      <c r="J30" s="2"/>
      <c r="K30" s="2"/>
      <c r="L30" s="2"/>
      <c r="M30" s="2"/>
      <c r="N30" s="2"/>
      <c r="O30" s="2"/>
      <c r="P30" s="2"/>
      <c r="Q30" s="2"/>
      <c r="R30" s="2"/>
    </row>
    <row r="31" ht="15.0" customHeight="1">
      <c r="A31" s="2"/>
      <c r="B31" s="51" t="s">
        <v>49</v>
      </c>
      <c r="C31" s="21"/>
      <c r="D31" s="2"/>
      <c r="E31" s="2"/>
      <c r="F31" s="2"/>
      <c r="G31" s="2"/>
      <c r="H31" s="2"/>
      <c r="I31" s="2"/>
      <c r="J31" s="2"/>
      <c r="K31" s="2"/>
      <c r="L31" s="2"/>
      <c r="M31" s="2"/>
      <c r="N31" s="2"/>
      <c r="O31" s="2"/>
      <c r="P31" s="2"/>
      <c r="Q31" s="2"/>
      <c r="R31" s="2"/>
    </row>
    <row r="32" ht="30.0" customHeight="1">
      <c r="A32" s="2"/>
      <c r="B32" s="15" t="s">
        <v>63</v>
      </c>
      <c r="C32" s="52" t="s">
        <v>64</v>
      </c>
      <c r="D32" s="2"/>
      <c r="E32" s="2"/>
      <c r="F32" s="2"/>
      <c r="G32" s="2"/>
      <c r="H32" s="2"/>
      <c r="I32" s="2"/>
      <c r="J32" s="2"/>
      <c r="K32" s="2"/>
      <c r="L32" s="2"/>
      <c r="M32" s="2"/>
      <c r="N32" s="2"/>
      <c r="O32" s="2"/>
      <c r="P32" s="2"/>
      <c r="Q32" s="2"/>
      <c r="R32" s="2"/>
    </row>
    <row r="33" ht="91.5" customHeight="1">
      <c r="A33" s="2"/>
      <c r="B33" s="54" t="s">
        <v>65</v>
      </c>
      <c r="C33" s="56" t="s">
        <v>67</v>
      </c>
      <c r="D33" s="2"/>
      <c r="E33" s="2"/>
      <c r="F33" s="2"/>
      <c r="G33" s="2"/>
      <c r="H33" s="2"/>
      <c r="I33" s="2"/>
      <c r="J33" s="2"/>
      <c r="K33" s="2"/>
      <c r="L33" s="2"/>
      <c r="M33" s="2"/>
      <c r="N33" s="2"/>
      <c r="O33" s="2"/>
      <c r="P33" s="2"/>
      <c r="Q33" s="2"/>
      <c r="R33" s="2"/>
    </row>
    <row r="34" ht="91.5" customHeight="1">
      <c r="A34" s="2"/>
      <c r="B34" s="54" t="s">
        <v>68</v>
      </c>
      <c r="C34" s="56" t="s">
        <v>69</v>
      </c>
      <c r="D34" s="2"/>
      <c r="E34" s="2"/>
      <c r="F34" s="2"/>
      <c r="G34" s="2"/>
      <c r="H34" s="2"/>
      <c r="I34" s="2"/>
      <c r="J34" s="2"/>
      <c r="K34" s="2"/>
      <c r="L34" s="2"/>
      <c r="M34" s="2"/>
      <c r="N34" s="2"/>
      <c r="O34" s="2"/>
      <c r="P34" s="2"/>
      <c r="Q34" s="2"/>
      <c r="R34" s="2"/>
    </row>
    <row r="35" ht="15.0" customHeight="1">
      <c r="A35" s="2"/>
      <c r="B35" s="2"/>
      <c r="C35" s="2"/>
      <c r="D35" s="2"/>
      <c r="E35" s="2"/>
      <c r="F35" s="2"/>
      <c r="G35" s="2"/>
      <c r="H35" s="2"/>
      <c r="I35" s="2"/>
      <c r="J35" s="2"/>
      <c r="K35" s="2"/>
      <c r="L35" s="2"/>
      <c r="M35" s="2"/>
      <c r="N35" s="2"/>
      <c r="O35" s="2"/>
      <c r="P35" s="2"/>
      <c r="Q35" s="2"/>
      <c r="R35" s="2"/>
    </row>
    <row r="36" ht="15.0" customHeight="1">
      <c r="A36" s="2"/>
      <c r="B36" s="51" t="s">
        <v>44</v>
      </c>
      <c r="C36" s="21"/>
      <c r="D36" s="2"/>
      <c r="E36" s="2"/>
      <c r="F36" s="2"/>
      <c r="G36" s="2"/>
      <c r="H36" s="2"/>
      <c r="I36" s="2"/>
      <c r="J36" s="2"/>
      <c r="K36" s="2"/>
      <c r="L36" s="2"/>
      <c r="M36" s="2"/>
      <c r="N36" s="2"/>
      <c r="O36" s="2"/>
      <c r="P36" s="2"/>
      <c r="Q36" s="2"/>
      <c r="R36" s="2"/>
    </row>
    <row r="37" ht="15.0" customHeight="1">
      <c r="A37" s="2"/>
      <c r="B37" s="15" t="s">
        <v>70</v>
      </c>
      <c r="C37" s="20" t="s">
        <v>71</v>
      </c>
      <c r="D37" s="2"/>
      <c r="E37" s="2"/>
      <c r="F37" s="2"/>
      <c r="G37" s="2"/>
      <c r="H37" s="2"/>
      <c r="I37" s="2"/>
      <c r="J37" s="2"/>
      <c r="K37" s="2"/>
      <c r="L37" s="2"/>
      <c r="M37" s="2"/>
      <c r="N37" s="2"/>
      <c r="O37" s="2"/>
      <c r="P37" s="2"/>
      <c r="Q37" s="2"/>
      <c r="R37" s="2"/>
    </row>
    <row r="38" ht="45.0" customHeight="1">
      <c r="A38" s="2"/>
      <c r="B38" s="15" t="s">
        <v>72</v>
      </c>
      <c r="C38" s="52" t="s">
        <v>73</v>
      </c>
      <c r="D38" s="2"/>
      <c r="E38" s="2"/>
      <c r="F38" s="2"/>
      <c r="G38" s="2"/>
      <c r="H38" s="2"/>
      <c r="I38" s="2"/>
      <c r="J38" s="2"/>
      <c r="K38" s="2"/>
      <c r="L38" s="2"/>
      <c r="M38" s="2"/>
      <c r="N38" s="2"/>
      <c r="O38" s="2"/>
      <c r="P38" s="2"/>
      <c r="Q38" s="2"/>
      <c r="R38" s="2"/>
    </row>
  </sheetData>
  <mergeCells count="5">
    <mergeCell ref="B27:E27"/>
    <mergeCell ref="B29:E29"/>
    <mergeCell ref="B1:H1"/>
    <mergeCell ref="B31:C31"/>
    <mergeCell ref="B36:C36"/>
  </mergeCells>
  <hyperlinks>
    <hyperlink r:id="rId1" ref="C2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7.29" defaultRowHeight="15.75"/>
  <cols>
    <col customWidth="1" min="1" max="1" width="9.14"/>
    <col customWidth="1" min="2" max="2" width="10.71"/>
    <col customWidth="1" min="3" max="3" width="11.29"/>
    <col customWidth="1" min="4" max="4" width="10.57"/>
    <col customWidth="1" min="5" max="5" width="7.86"/>
    <col customWidth="1" min="6" max="6" width="9.14"/>
    <col customWidth="1" min="7" max="7" width="10.71"/>
    <col customWidth="1" min="8" max="8" width="11.29"/>
    <col customWidth="1" min="9" max="9" width="10.14"/>
    <col customWidth="1" min="10" max="10" width="8.71"/>
    <col customWidth="1" min="11" max="11" width="7.71"/>
    <col customWidth="1" min="12" max="22" width="9.14"/>
  </cols>
  <sheetData>
    <row r="1" ht="30.0" customHeight="1">
      <c r="A1" s="3" t="s">
        <v>1</v>
      </c>
      <c r="B1" s="2"/>
      <c r="C1" s="5"/>
      <c r="D1" s="5"/>
      <c r="E1" s="5"/>
      <c r="F1" s="5"/>
      <c r="G1" s="7"/>
      <c r="H1" s="7"/>
      <c r="I1" s="7"/>
      <c r="J1" s="7"/>
      <c r="K1" s="2"/>
      <c r="L1" s="2"/>
      <c r="M1" s="2"/>
      <c r="N1" s="2"/>
      <c r="O1" s="2"/>
      <c r="P1" s="2"/>
      <c r="Q1" s="2"/>
      <c r="R1" s="2"/>
      <c r="S1" s="2"/>
      <c r="T1" s="2"/>
      <c r="U1" s="2"/>
      <c r="V1" s="2"/>
    </row>
    <row r="2" ht="30.0" customHeight="1">
      <c r="A2" s="3" t="s">
        <v>3</v>
      </c>
      <c r="B2" s="2"/>
      <c r="C2" s="5"/>
      <c r="D2" s="5"/>
      <c r="E2" s="5"/>
      <c r="F2" s="5"/>
      <c r="G2" s="7"/>
      <c r="H2" s="7"/>
      <c r="I2" s="7"/>
      <c r="J2" s="7"/>
      <c r="K2" s="2"/>
      <c r="L2" s="2"/>
      <c r="M2" s="2"/>
      <c r="N2" s="2"/>
      <c r="O2" s="2"/>
      <c r="P2" s="2"/>
      <c r="Q2" s="2"/>
      <c r="R2" s="2"/>
      <c r="S2" s="2"/>
      <c r="T2" s="2"/>
      <c r="U2" s="2"/>
      <c r="V2" s="2"/>
    </row>
    <row r="3" ht="12.0" customHeight="1">
      <c r="A3" s="9"/>
      <c r="B3" s="12" t="s">
        <v>4</v>
      </c>
      <c r="C3" s="14"/>
      <c r="D3" s="14"/>
      <c r="E3" s="21"/>
      <c r="F3" s="9"/>
      <c r="G3" s="34" t="s">
        <v>47</v>
      </c>
      <c r="H3" s="14"/>
      <c r="I3" s="14"/>
      <c r="J3" s="21"/>
      <c r="K3" s="9"/>
      <c r="L3" s="9"/>
      <c r="M3" s="9"/>
      <c r="N3" s="9"/>
      <c r="O3" s="9"/>
      <c r="P3" s="9"/>
      <c r="Q3" s="9"/>
      <c r="R3" s="9"/>
      <c r="S3" s="9"/>
      <c r="T3" s="9"/>
      <c r="U3" s="9"/>
      <c r="V3" s="9"/>
    </row>
    <row r="4" ht="14.25" customHeight="1">
      <c r="A4" s="16" t="s">
        <v>53</v>
      </c>
      <c r="B4" s="35" t="s">
        <v>27</v>
      </c>
      <c r="C4" s="35" t="s">
        <v>30</v>
      </c>
      <c r="D4" s="35" t="s">
        <v>37</v>
      </c>
      <c r="E4" s="36" t="s">
        <v>25</v>
      </c>
      <c r="F4" s="9"/>
      <c r="G4" s="35" t="s">
        <v>55</v>
      </c>
      <c r="H4" s="35" t="s">
        <v>30</v>
      </c>
      <c r="I4" s="35" t="s">
        <v>37</v>
      </c>
      <c r="J4" s="36" t="s">
        <v>25</v>
      </c>
      <c r="K4" s="9"/>
      <c r="L4" s="16" t="s">
        <v>56</v>
      </c>
      <c r="M4" s="9"/>
      <c r="N4" s="9"/>
      <c r="O4" s="9"/>
      <c r="P4" s="9"/>
      <c r="Q4" s="9"/>
      <c r="R4" s="9"/>
      <c r="S4" s="9"/>
      <c r="T4" s="9"/>
      <c r="U4" s="9"/>
      <c r="V4" s="9"/>
    </row>
    <row r="5" ht="12.0" customHeight="1">
      <c r="A5" s="40">
        <v>1970.0</v>
      </c>
      <c r="B5" s="41"/>
      <c r="C5" s="41"/>
      <c r="D5" s="42">
        <v>452.4</v>
      </c>
      <c r="E5" s="41">
        <f t="shared" ref="E5:E47" si="1">SUM(B5:D5)</f>
        <v>452.4</v>
      </c>
      <c r="F5" s="9"/>
      <c r="G5" s="41"/>
      <c r="H5" s="41"/>
      <c r="I5" s="41"/>
      <c r="J5" s="41"/>
      <c r="K5" s="9"/>
      <c r="L5" s="41">
        <f t="shared" ref="L5:L47" si="2">SUM(E5,J5)</f>
        <v>452.4</v>
      </c>
      <c r="M5" s="9"/>
      <c r="N5" s="9"/>
      <c r="O5" s="9"/>
      <c r="P5" s="9"/>
      <c r="Q5" s="9"/>
      <c r="R5" s="9"/>
      <c r="S5" s="9"/>
      <c r="T5" s="9"/>
      <c r="U5" s="9"/>
      <c r="V5" s="9"/>
    </row>
    <row r="6" ht="12.0" customHeight="1">
      <c r="A6" s="40">
        <v>1971.0</v>
      </c>
      <c r="B6" s="41"/>
      <c r="C6" s="42">
        <v>65.0</v>
      </c>
      <c r="D6" s="42">
        <v>2701.9</v>
      </c>
      <c r="E6" s="41">
        <f t="shared" si="1"/>
        <v>2766.9</v>
      </c>
      <c r="F6" s="9"/>
      <c r="G6" s="41"/>
      <c r="H6" s="41"/>
      <c r="I6" s="41"/>
      <c r="J6" s="41"/>
      <c r="K6" s="9"/>
      <c r="L6" s="41">
        <f t="shared" si="2"/>
        <v>2766.9</v>
      </c>
      <c r="M6" s="9"/>
      <c r="N6" s="9"/>
      <c r="O6" s="9"/>
      <c r="P6" s="9"/>
      <c r="Q6" s="9"/>
      <c r="R6" s="9"/>
      <c r="S6" s="9"/>
      <c r="T6" s="9"/>
      <c r="U6" s="9"/>
      <c r="V6" s="9"/>
    </row>
    <row r="7" ht="12.0" customHeight="1">
      <c r="A7" s="40">
        <v>1972.0</v>
      </c>
      <c r="B7" s="41"/>
      <c r="C7" s="42">
        <v>494.0</v>
      </c>
      <c r="D7" s="42">
        <v>2661.7</v>
      </c>
      <c r="E7" s="41">
        <f t="shared" si="1"/>
        <v>3155.7</v>
      </c>
      <c r="F7" s="9"/>
      <c r="G7" s="41"/>
      <c r="H7" s="41"/>
      <c r="I7" s="41"/>
      <c r="J7" s="41"/>
      <c r="K7" s="9"/>
      <c r="L7" s="41">
        <f t="shared" si="2"/>
        <v>3155.7</v>
      </c>
      <c r="M7" s="9"/>
      <c r="N7" s="9"/>
      <c r="O7" s="9"/>
      <c r="P7" s="9"/>
      <c r="Q7" s="9"/>
      <c r="R7" s="9"/>
      <c r="S7" s="9"/>
      <c r="T7" s="9"/>
      <c r="U7" s="9"/>
      <c r="V7" s="9"/>
    </row>
    <row r="8" ht="12.0" customHeight="1">
      <c r="A8" s="40">
        <v>1973.0</v>
      </c>
      <c r="B8" s="41"/>
      <c r="C8" s="42">
        <v>323.0</v>
      </c>
      <c r="D8" s="42">
        <v>3277.0</v>
      </c>
      <c r="E8" s="41">
        <f t="shared" si="1"/>
        <v>3600</v>
      </c>
      <c r="F8" s="9"/>
      <c r="G8" s="41"/>
      <c r="H8" s="41"/>
      <c r="I8" s="41"/>
      <c r="J8" s="41"/>
      <c r="K8" s="9"/>
      <c r="L8" s="41">
        <f t="shared" si="2"/>
        <v>3600</v>
      </c>
      <c r="M8" s="9"/>
      <c r="N8" s="9"/>
      <c r="O8" s="9"/>
      <c r="P8" s="9"/>
      <c r="Q8" s="9"/>
      <c r="R8" s="9"/>
      <c r="S8" s="9"/>
      <c r="T8" s="9"/>
      <c r="U8" s="9"/>
      <c r="V8" s="9"/>
    </row>
    <row r="9" ht="12.0" customHeight="1">
      <c r="A9" s="40">
        <v>1974.0</v>
      </c>
      <c r="B9" s="41"/>
      <c r="C9" s="42">
        <v>46.0</v>
      </c>
      <c r="D9" s="42">
        <v>5754.0</v>
      </c>
      <c r="E9" s="41">
        <f t="shared" si="1"/>
        <v>5800</v>
      </c>
      <c r="F9" s="9"/>
      <c r="G9" s="41"/>
      <c r="H9" s="41"/>
      <c r="I9" s="41"/>
      <c r="J9" s="41"/>
      <c r="K9" s="9"/>
      <c r="L9" s="41">
        <f t="shared" si="2"/>
        <v>5800</v>
      </c>
      <c r="M9" s="9"/>
      <c r="N9" s="9"/>
      <c r="O9" s="9"/>
      <c r="P9" s="9"/>
      <c r="Q9" s="9"/>
      <c r="R9" s="9"/>
      <c r="S9" s="9"/>
      <c r="T9" s="9"/>
      <c r="U9" s="9"/>
      <c r="V9" s="9"/>
    </row>
    <row r="10" ht="12.0" customHeight="1">
      <c r="A10" s="40">
        <v>1975.0</v>
      </c>
      <c r="B10" s="41"/>
      <c r="C10" s="42">
        <v>950.0</v>
      </c>
      <c r="D10" s="42">
        <v>9350.0</v>
      </c>
      <c r="E10" s="41">
        <f t="shared" si="1"/>
        <v>10300</v>
      </c>
      <c r="F10" s="9"/>
      <c r="G10" s="41"/>
      <c r="H10" s="41"/>
      <c r="I10" s="41"/>
      <c r="J10" s="41"/>
      <c r="K10" s="9"/>
      <c r="L10" s="41">
        <f t="shared" si="2"/>
        <v>10300</v>
      </c>
      <c r="M10" s="9"/>
      <c r="N10" s="9"/>
      <c r="O10" s="9"/>
      <c r="P10" s="9"/>
      <c r="Q10" s="9"/>
      <c r="R10" s="9"/>
      <c r="S10" s="9"/>
      <c r="T10" s="9"/>
      <c r="U10" s="9"/>
      <c r="V10" s="9"/>
    </row>
    <row r="11" ht="12.0" customHeight="1">
      <c r="A11" s="40">
        <v>1976.0</v>
      </c>
      <c r="B11" s="41"/>
      <c r="C11" s="42">
        <v>1360.0</v>
      </c>
      <c r="D11" s="42">
        <v>14340.0</v>
      </c>
      <c r="E11" s="41">
        <f t="shared" si="1"/>
        <v>15700</v>
      </c>
      <c r="F11" s="9"/>
      <c r="G11" s="41"/>
      <c r="H11" s="41"/>
      <c r="I11" s="41"/>
      <c r="J11" s="41"/>
      <c r="K11" s="9"/>
      <c r="L11" s="41">
        <f t="shared" si="2"/>
        <v>15700</v>
      </c>
      <c r="M11" s="9"/>
      <c r="N11" s="9"/>
      <c r="O11" s="9"/>
      <c r="P11" s="9"/>
      <c r="Q11" s="9"/>
      <c r="R11" s="9"/>
      <c r="S11" s="9"/>
      <c r="T11" s="9"/>
      <c r="U11" s="9"/>
      <c r="V11" s="9"/>
    </row>
    <row r="12" ht="12.0" customHeight="1">
      <c r="A12" s="40">
        <v>1977.0</v>
      </c>
      <c r="B12" s="41"/>
      <c r="C12" s="42">
        <v>4657.0</v>
      </c>
      <c r="D12" s="42">
        <v>15843.0</v>
      </c>
      <c r="E12" s="41">
        <f t="shared" si="1"/>
        <v>20500</v>
      </c>
      <c r="F12" s="9"/>
      <c r="G12" s="41"/>
      <c r="H12" s="41"/>
      <c r="I12" s="41"/>
      <c r="J12" s="41"/>
      <c r="K12" s="9"/>
      <c r="L12" s="41">
        <f t="shared" si="2"/>
        <v>20500</v>
      </c>
      <c r="M12" s="9"/>
      <c r="N12" s="9"/>
      <c r="O12" s="9"/>
      <c r="P12" s="9"/>
      <c r="Q12" s="9"/>
      <c r="R12" s="9"/>
      <c r="S12" s="9"/>
      <c r="T12" s="9"/>
      <c r="U12" s="9"/>
      <c r="V12" s="9"/>
    </row>
    <row r="13" ht="12.0" customHeight="1">
      <c r="A13" s="40">
        <v>1978.0</v>
      </c>
      <c r="B13" s="41"/>
      <c r="C13" s="42">
        <v>6412.0</v>
      </c>
      <c r="D13" s="42">
        <v>11888.0</v>
      </c>
      <c r="E13" s="41">
        <f t="shared" si="1"/>
        <v>18300</v>
      </c>
      <c r="F13" s="9"/>
      <c r="G13" s="41"/>
      <c r="H13" s="41"/>
      <c r="I13" s="41"/>
      <c r="J13" s="41"/>
      <c r="K13" s="9"/>
      <c r="L13" s="41">
        <f t="shared" si="2"/>
        <v>18300</v>
      </c>
      <c r="M13" s="9"/>
      <c r="N13" s="9"/>
      <c r="O13" s="9"/>
      <c r="P13" s="9"/>
      <c r="Q13" s="9"/>
      <c r="R13" s="9"/>
      <c r="S13" s="9"/>
      <c r="T13" s="9"/>
      <c r="U13" s="9"/>
      <c r="V13" s="9"/>
    </row>
    <row r="14" ht="12.0" customHeight="1">
      <c r="A14" s="40">
        <v>1979.0</v>
      </c>
      <c r="B14" s="41"/>
      <c r="C14" s="42">
        <v>4546.0</v>
      </c>
      <c r="D14" s="42">
        <v>23554.0</v>
      </c>
      <c r="E14" s="41">
        <f t="shared" si="1"/>
        <v>28100</v>
      </c>
      <c r="F14" s="9"/>
      <c r="G14" s="41"/>
      <c r="H14" s="41"/>
      <c r="I14" s="41"/>
      <c r="J14" s="41"/>
      <c r="K14" s="9"/>
      <c r="L14" s="41">
        <f t="shared" si="2"/>
        <v>28100</v>
      </c>
      <c r="M14" s="9"/>
      <c r="N14" s="9"/>
      <c r="O14" s="9"/>
      <c r="P14" s="9"/>
      <c r="Q14" s="9"/>
      <c r="R14" s="9"/>
      <c r="S14" s="9"/>
      <c r="T14" s="9"/>
      <c r="U14" s="9"/>
      <c r="V14" s="9"/>
    </row>
    <row r="15" ht="12.0" customHeight="1">
      <c r="A15" s="40">
        <v>1980.0</v>
      </c>
      <c r="B15" s="41"/>
      <c r="C15" s="42">
        <v>2526.0</v>
      </c>
      <c r="D15" s="42">
        <v>20600.0</v>
      </c>
      <c r="E15" s="41">
        <f t="shared" si="1"/>
        <v>23126</v>
      </c>
      <c r="F15" s="9"/>
      <c r="G15" s="41"/>
      <c r="H15" s="41"/>
      <c r="I15" s="41"/>
      <c r="J15" s="41"/>
      <c r="K15" s="9"/>
      <c r="L15" s="41">
        <f t="shared" si="2"/>
        <v>23126</v>
      </c>
      <c r="M15" s="9"/>
      <c r="N15" s="9"/>
      <c r="O15" s="9"/>
      <c r="P15" s="9"/>
      <c r="Q15" s="9"/>
      <c r="R15" s="9"/>
      <c r="S15" s="9"/>
      <c r="T15" s="9"/>
      <c r="U15" s="9"/>
      <c r="V15" s="9"/>
    </row>
    <row r="16" ht="12.0" customHeight="1">
      <c r="A16" s="40">
        <v>1981.0</v>
      </c>
      <c r="B16" s="42">
        <v>717.389</v>
      </c>
      <c r="C16" s="42">
        <v>3526.0</v>
      </c>
      <c r="D16" s="42">
        <v>14300.0</v>
      </c>
      <c r="E16" s="41">
        <f t="shared" si="1"/>
        <v>18543.389</v>
      </c>
      <c r="F16" s="9"/>
      <c r="G16" s="41"/>
      <c r="H16" s="41"/>
      <c r="I16" s="41"/>
      <c r="J16" s="41"/>
      <c r="K16" s="9"/>
      <c r="L16" s="41">
        <f t="shared" si="2"/>
        <v>18543.389</v>
      </c>
      <c r="M16" s="9"/>
      <c r="N16" s="9"/>
      <c r="O16" s="9"/>
      <c r="P16" s="9"/>
      <c r="Q16" s="9"/>
      <c r="R16" s="9"/>
      <c r="S16" s="9"/>
      <c r="T16" s="9"/>
      <c r="U16" s="9"/>
      <c r="V16" s="9"/>
    </row>
    <row r="17" ht="12.0" customHeight="1">
      <c r="A17" s="40">
        <v>1982.0</v>
      </c>
      <c r="B17" s="42">
        <v>13403.285</v>
      </c>
      <c r="C17" s="42">
        <v>24169.0</v>
      </c>
      <c r="D17" s="42">
        <v>16000.0</v>
      </c>
      <c r="E17" s="41">
        <f t="shared" si="1"/>
        <v>53572.285</v>
      </c>
      <c r="F17" s="9"/>
      <c r="G17" s="41"/>
      <c r="H17" s="41"/>
      <c r="I17" s="41"/>
      <c r="J17" s="41"/>
      <c r="K17" s="9"/>
      <c r="L17" s="41">
        <f t="shared" si="2"/>
        <v>53572.285</v>
      </c>
      <c r="M17" s="9"/>
      <c r="N17" s="9"/>
      <c r="O17" s="9"/>
      <c r="P17" s="9"/>
      <c r="Q17" s="9"/>
      <c r="R17" s="9"/>
      <c r="S17" s="9"/>
      <c r="T17" s="9"/>
      <c r="U17" s="9"/>
      <c r="V17" s="9"/>
    </row>
    <row r="18" ht="12.0" customHeight="1">
      <c r="A18" s="40">
        <v>1983.0</v>
      </c>
      <c r="B18" s="42">
        <v>13107.201</v>
      </c>
      <c r="C18" s="42">
        <v>19691.0</v>
      </c>
      <c r="D18" s="42">
        <v>50700.0</v>
      </c>
      <c r="E18" s="41">
        <f t="shared" si="1"/>
        <v>83498.201</v>
      </c>
      <c r="F18" s="9"/>
      <c r="G18" s="41"/>
      <c r="H18" s="42">
        <v>1685.0</v>
      </c>
      <c r="I18" s="41"/>
      <c r="J18" s="41">
        <f t="shared" ref="J18:J47" si="3">SUM(G18:I18)</f>
        <v>1685</v>
      </c>
      <c r="K18" s="9"/>
      <c r="L18" s="41">
        <f t="shared" si="2"/>
        <v>85183.201</v>
      </c>
      <c r="M18" s="9"/>
      <c r="N18" s="9"/>
      <c r="O18" s="9"/>
      <c r="P18" s="9"/>
      <c r="Q18" s="9"/>
      <c r="R18" s="9"/>
      <c r="S18" s="9"/>
      <c r="T18" s="9"/>
      <c r="U18" s="9"/>
      <c r="V18" s="9"/>
    </row>
    <row r="19" ht="12.0" customHeight="1">
      <c r="A19" s="40">
        <v>1984.0</v>
      </c>
      <c r="B19" s="42">
        <v>12700.184</v>
      </c>
      <c r="C19" s="42">
        <v>18684.0</v>
      </c>
      <c r="D19" s="42">
        <v>28097.0</v>
      </c>
      <c r="E19" s="41">
        <f t="shared" si="1"/>
        <v>59481.184</v>
      </c>
      <c r="F19" s="9"/>
      <c r="G19" s="41"/>
      <c r="H19" s="42">
        <v>1805.0</v>
      </c>
      <c r="I19" s="41"/>
      <c r="J19" s="41">
        <f t="shared" si="3"/>
        <v>1805</v>
      </c>
      <c r="K19" s="9"/>
      <c r="L19" s="41">
        <f t="shared" si="2"/>
        <v>61286.184</v>
      </c>
      <c r="M19" s="9"/>
      <c r="N19" s="9"/>
      <c r="O19" s="9"/>
      <c r="P19" s="9"/>
      <c r="Q19" s="9"/>
      <c r="R19" s="9"/>
      <c r="S19" s="9"/>
      <c r="T19" s="9"/>
      <c r="U19" s="9"/>
      <c r="V19" s="9"/>
    </row>
    <row r="20" ht="12.0" customHeight="1">
      <c r="A20" s="40">
        <v>1985.0</v>
      </c>
      <c r="B20" s="42">
        <v>23125.834</v>
      </c>
      <c r="C20" s="42">
        <v>38828.0</v>
      </c>
      <c r="D20" s="42">
        <v>45980.0</v>
      </c>
      <c r="E20" s="41">
        <f t="shared" si="1"/>
        <v>107933.834</v>
      </c>
      <c r="F20" s="9"/>
      <c r="G20" s="41"/>
      <c r="H20" s="42">
        <v>2625.0</v>
      </c>
      <c r="I20" s="41"/>
      <c r="J20" s="41">
        <f t="shared" si="3"/>
        <v>2625</v>
      </c>
      <c r="K20" s="9"/>
      <c r="L20" s="41">
        <f t="shared" si="2"/>
        <v>110558.834</v>
      </c>
      <c r="M20" s="9"/>
      <c r="N20" s="9"/>
      <c r="O20" s="9"/>
      <c r="P20" s="9"/>
      <c r="Q20" s="9"/>
      <c r="R20" s="9"/>
      <c r="S20" s="9"/>
      <c r="T20" s="9"/>
      <c r="U20" s="9"/>
      <c r="V20" s="9"/>
    </row>
    <row r="21" ht="12.0" customHeight="1">
      <c r="A21" s="40">
        <v>1986.0</v>
      </c>
      <c r="B21" s="42">
        <v>61721.871</v>
      </c>
      <c r="C21" s="42">
        <v>100198.0</v>
      </c>
      <c r="D21" s="42">
        <v>101433.0</v>
      </c>
      <c r="E21" s="41">
        <f t="shared" si="1"/>
        <v>263352.871</v>
      </c>
      <c r="F21" s="9"/>
      <c r="G21" s="42">
        <v>2392.0</v>
      </c>
      <c r="H21" s="42">
        <v>2233.0</v>
      </c>
      <c r="I21" s="41"/>
      <c r="J21" s="41">
        <f t="shared" si="3"/>
        <v>4625</v>
      </c>
      <c r="K21" s="9"/>
      <c r="L21" s="41">
        <f t="shared" si="2"/>
        <v>267977.871</v>
      </c>
      <c r="M21" s="9"/>
      <c r="N21" s="9"/>
      <c r="O21" s="9"/>
      <c r="P21" s="9"/>
      <c r="Q21" s="9"/>
      <c r="R21" s="9"/>
      <c r="S21" s="9"/>
      <c r="T21" s="9"/>
      <c r="U21" s="9"/>
      <c r="V21" s="9"/>
    </row>
    <row r="22" ht="12.0" customHeight="1">
      <c r="A22" s="40">
        <v>1987.0</v>
      </c>
      <c r="B22" s="42">
        <v>70299.766</v>
      </c>
      <c r="C22" s="42">
        <v>75018.0</v>
      </c>
      <c r="D22" s="42">
        <v>94890.0</v>
      </c>
      <c r="E22" s="41">
        <f t="shared" si="1"/>
        <v>240207.766</v>
      </c>
      <c r="F22" s="9"/>
      <c r="G22" s="42">
        <v>9696.223798</v>
      </c>
      <c r="H22" s="42">
        <v>0.0</v>
      </c>
      <c r="I22" s="41"/>
      <c r="J22" s="41">
        <f t="shared" si="3"/>
        <v>9696.223798</v>
      </c>
      <c r="K22" s="9"/>
      <c r="L22" s="41">
        <f t="shared" si="2"/>
        <v>249903.9898</v>
      </c>
      <c r="M22" s="9"/>
      <c r="N22" s="9"/>
      <c r="O22" s="9"/>
      <c r="P22" s="9"/>
      <c r="Q22" s="9"/>
      <c r="R22" s="9"/>
      <c r="S22" s="9"/>
      <c r="T22" s="9"/>
      <c r="U22" s="9"/>
      <c r="V22" s="9"/>
    </row>
    <row r="23" ht="12.0" customHeight="1">
      <c r="A23" s="40">
        <v>1988.0</v>
      </c>
      <c r="B23" s="42">
        <v>63279.39</v>
      </c>
      <c r="C23" s="42">
        <v>39777.0</v>
      </c>
      <c r="D23" s="42">
        <v>55181.0</v>
      </c>
      <c r="E23" s="41">
        <f t="shared" si="1"/>
        <v>158237.39</v>
      </c>
      <c r="F23" s="9"/>
      <c r="G23" s="42">
        <v>16752.313983</v>
      </c>
      <c r="H23" s="42">
        <v>12985.0</v>
      </c>
      <c r="I23" s="41"/>
      <c r="J23" s="41">
        <f t="shared" si="3"/>
        <v>29737.31398</v>
      </c>
      <c r="K23" s="9"/>
      <c r="L23" s="41">
        <f t="shared" si="2"/>
        <v>187974.704</v>
      </c>
      <c r="M23" s="9"/>
      <c r="N23" s="9"/>
      <c r="O23" s="9"/>
      <c r="P23" s="9"/>
      <c r="Q23" s="9"/>
      <c r="R23" s="9"/>
      <c r="S23" s="9"/>
      <c r="T23" s="9"/>
      <c r="U23" s="9"/>
      <c r="V23" s="9"/>
    </row>
    <row r="24" ht="12.0" customHeight="1">
      <c r="A24" s="40">
        <v>1989.0</v>
      </c>
      <c r="B24" s="42">
        <v>83397.5</v>
      </c>
      <c r="C24" s="42">
        <v>73518.0</v>
      </c>
      <c r="D24" s="42">
        <v>57074.0</v>
      </c>
      <c r="E24" s="41">
        <f t="shared" si="1"/>
        <v>213989.5</v>
      </c>
      <c r="F24" s="9"/>
      <c r="G24" s="42">
        <v>40958.285341</v>
      </c>
      <c r="H24" s="42">
        <v>39754.0</v>
      </c>
      <c r="I24" s="41"/>
      <c r="J24" s="41">
        <f t="shared" si="3"/>
        <v>80712.28534</v>
      </c>
      <c r="K24" s="9"/>
      <c r="L24" s="41">
        <f t="shared" si="2"/>
        <v>294701.7853</v>
      </c>
      <c r="M24" s="9"/>
      <c r="N24" s="9"/>
      <c r="O24" s="9"/>
      <c r="P24" s="9"/>
      <c r="Q24" s="9"/>
      <c r="R24" s="9"/>
      <c r="S24" s="9"/>
      <c r="T24" s="9"/>
      <c r="U24" s="9"/>
      <c r="V24" s="9"/>
    </row>
    <row r="25" ht="12.0" customHeight="1">
      <c r="A25" s="40">
        <v>1990.0</v>
      </c>
      <c r="B25" s="42">
        <v>112791.827</v>
      </c>
      <c r="C25" s="42">
        <v>73815.0</v>
      </c>
      <c r="D25" s="42">
        <v>64395.0</v>
      </c>
      <c r="E25" s="41">
        <f t="shared" si="1"/>
        <v>251001.827</v>
      </c>
      <c r="F25" s="9"/>
      <c r="G25" s="42">
        <v>66783.963484</v>
      </c>
      <c r="H25" s="42">
        <v>40479.0</v>
      </c>
      <c r="I25" s="41"/>
      <c r="J25" s="41">
        <f t="shared" si="3"/>
        <v>107262.9635</v>
      </c>
      <c r="K25" s="9"/>
      <c r="L25" s="41">
        <f t="shared" si="2"/>
        <v>358264.7905</v>
      </c>
      <c r="M25" s="9"/>
      <c r="N25" s="9"/>
      <c r="O25" s="9"/>
      <c r="P25" s="9"/>
      <c r="Q25" s="9"/>
      <c r="R25" s="9"/>
      <c r="S25" s="9"/>
      <c r="T25" s="9"/>
      <c r="U25" s="9"/>
      <c r="V25" s="9"/>
    </row>
    <row r="26" ht="12.0" customHeight="1">
      <c r="A26" s="40">
        <v>1991.0</v>
      </c>
      <c r="B26" s="42">
        <v>111538.552</v>
      </c>
      <c r="C26" s="42">
        <v>92479.0</v>
      </c>
      <c r="D26" s="42">
        <v>62630.0</v>
      </c>
      <c r="E26" s="41">
        <f t="shared" si="1"/>
        <v>266647.552</v>
      </c>
      <c r="F26" s="9"/>
      <c r="G26" s="42">
        <v>112687.712998999</v>
      </c>
      <c r="H26" s="42">
        <v>72032.0</v>
      </c>
      <c r="I26" s="41"/>
      <c r="J26" s="41">
        <f t="shared" si="3"/>
        <v>184719.713</v>
      </c>
      <c r="K26" s="9"/>
      <c r="L26" s="41">
        <f t="shared" si="2"/>
        <v>451367.265</v>
      </c>
      <c r="M26" s="9"/>
      <c r="N26" s="9"/>
      <c r="O26" s="9"/>
      <c r="P26" s="9"/>
      <c r="Q26" s="9"/>
      <c r="R26" s="9"/>
      <c r="S26" s="9"/>
      <c r="T26" s="9"/>
      <c r="U26" s="9"/>
      <c r="V26" s="9"/>
    </row>
    <row r="27" ht="12.0" customHeight="1">
      <c r="A27" s="40">
        <v>1992.0</v>
      </c>
      <c r="B27" s="42">
        <v>193666.855</v>
      </c>
      <c r="C27" s="42">
        <v>179207.0</v>
      </c>
      <c r="D27" s="42">
        <v>81917.0</v>
      </c>
      <c r="E27" s="41">
        <f t="shared" si="1"/>
        <v>454790.855</v>
      </c>
      <c r="F27" s="9"/>
      <c r="G27" s="42">
        <v>164749.953294549</v>
      </c>
      <c r="H27" s="42">
        <v>131284.0</v>
      </c>
      <c r="I27" s="41"/>
      <c r="J27" s="41">
        <f t="shared" si="3"/>
        <v>296033.9533</v>
      </c>
      <c r="K27" s="9"/>
      <c r="L27" s="41">
        <f t="shared" si="2"/>
        <v>750824.8083</v>
      </c>
      <c r="M27" s="9"/>
      <c r="N27" s="9"/>
      <c r="O27" s="9"/>
      <c r="P27" s="9"/>
      <c r="Q27" s="9"/>
      <c r="R27" s="9"/>
      <c r="S27" s="9"/>
      <c r="T27" s="9"/>
      <c r="U27" s="9"/>
      <c r="V27" s="9"/>
    </row>
    <row r="28" ht="12.0" customHeight="1">
      <c r="A28" s="40">
        <v>1993.0</v>
      </c>
      <c r="B28" s="42">
        <v>220594.626</v>
      </c>
      <c r="C28" s="42">
        <v>208724.0</v>
      </c>
      <c r="D28" s="42">
        <v>137989.0</v>
      </c>
      <c r="E28" s="41">
        <f t="shared" si="1"/>
        <v>567307.626</v>
      </c>
      <c r="F28" s="9"/>
      <c r="G28" s="42">
        <v>245486.761287</v>
      </c>
      <c r="H28" s="42">
        <v>143336.0</v>
      </c>
      <c r="I28" s="41"/>
      <c r="J28" s="41">
        <f t="shared" si="3"/>
        <v>388822.7613</v>
      </c>
      <c r="K28" s="9"/>
      <c r="L28" s="41">
        <f t="shared" si="2"/>
        <v>956130.3873</v>
      </c>
      <c r="M28" s="9"/>
      <c r="N28" s="9"/>
      <c r="O28" s="9"/>
      <c r="P28" s="9"/>
      <c r="Q28" s="9"/>
      <c r="R28" s="9"/>
      <c r="S28" s="9"/>
      <c r="T28" s="9"/>
      <c r="U28" s="9"/>
      <c r="V28" s="9"/>
    </row>
    <row r="29" ht="12.0" customHeight="1">
      <c r="A29" s="40">
        <v>1994.0</v>
      </c>
      <c r="B29" s="42">
        <v>128629.095</v>
      </c>
      <c r="C29" s="42">
        <v>117110.0</v>
      </c>
      <c r="D29" s="42">
        <v>111191.0</v>
      </c>
      <c r="E29" s="41">
        <f t="shared" si="1"/>
        <v>356930.095</v>
      </c>
      <c r="F29" s="9"/>
      <c r="G29" s="42">
        <v>80861.728964</v>
      </c>
      <c r="H29" s="42">
        <v>73131.0</v>
      </c>
      <c r="I29" s="42">
        <v>3110.770416</v>
      </c>
      <c r="J29" s="41">
        <f t="shared" si="3"/>
        <v>157103.4994</v>
      </c>
      <c r="K29" s="9"/>
      <c r="L29" s="41">
        <f t="shared" si="2"/>
        <v>514033.5944</v>
      </c>
      <c r="M29" s="9"/>
      <c r="N29" s="9"/>
      <c r="O29" s="9"/>
      <c r="P29" s="9"/>
      <c r="Q29" s="9"/>
      <c r="R29" s="9"/>
      <c r="S29" s="9"/>
      <c r="T29" s="9"/>
      <c r="U29" s="9"/>
      <c r="V29" s="9"/>
    </row>
    <row r="30" ht="12.0" customHeight="1">
      <c r="A30" s="40">
        <v>1995.0</v>
      </c>
      <c r="B30" s="42">
        <v>103106.828</v>
      </c>
      <c r="C30" s="42">
        <v>85877.0</v>
      </c>
      <c r="D30" s="42">
        <v>72895.0</v>
      </c>
      <c r="E30" s="41">
        <f t="shared" si="1"/>
        <v>261878.828</v>
      </c>
      <c r="F30" s="9"/>
      <c r="G30" s="42">
        <v>8919.68523199999</v>
      </c>
      <c r="H30" s="42">
        <v>15372.0</v>
      </c>
      <c r="I30" s="42">
        <v>2225.788</v>
      </c>
      <c r="J30" s="41">
        <f t="shared" si="3"/>
        <v>26517.47323</v>
      </c>
      <c r="K30" s="9"/>
      <c r="L30" s="41">
        <f t="shared" si="2"/>
        <v>288396.3012</v>
      </c>
      <c r="M30" s="9"/>
      <c r="N30" s="9"/>
      <c r="O30" s="9"/>
      <c r="P30" s="9"/>
      <c r="Q30" s="9"/>
      <c r="R30" s="9"/>
      <c r="S30" s="9"/>
      <c r="T30" s="9"/>
      <c r="U30" s="9"/>
      <c r="V30" s="9"/>
    </row>
    <row r="31" ht="12.0" customHeight="1">
      <c r="A31" s="40">
        <v>1996.0</v>
      </c>
      <c r="B31" s="42">
        <v>147332.895</v>
      </c>
      <c r="C31" s="42">
        <v>119702.0</v>
      </c>
      <c r="D31" s="42">
        <v>100900.0</v>
      </c>
      <c r="E31" s="41">
        <f t="shared" si="1"/>
        <v>367934.895</v>
      </c>
      <c r="F31" s="9"/>
      <c r="G31" s="42">
        <v>33981.1571956999</v>
      </c>
      <c r="H31" s="42">
        <v>34145.0</v>
      </c>
      <c r="I31" s="42">
        <v>8017.59411499999</v>
      </c>
      <c r="J31" s="41">
        <f t="shared" si="3"/>
        <v>76143.75131</v>
      </c>
      <c r="K31" s="9"/>
      <c r="L31" s="41">
        <f t="shared" si="2"/>
        <v>444078.6463</v>
      </c>
      <c r="M31" s="9"/>
      <c r="N31" s="9"/>
      <c r="O31" s="9"/>
      <c r="P31" s="9"/>
      <c r="Q31" s="9"/>
      <c r="R31" s="9"/>
      <c r="S31" s="9"/>
      <c r="T31" s="9"/>
      <c r="U31" s="9"/>
      <c r="V31" s="9"/>
    </row>
    <row r="32" ht="12.0" customHeight="1">
      <c r="A32" s="40">
        <v>1997.0</v>
      </c>
      <c r="B32" s="42">
        <v>145806.583</v>
      </c>
      <c r="C32" s="42">
        <v>114258.0</v>
      </c>
      <c r="D32" s="42">
        <v>104300.0</v>
      </c>
      <c r="E32" s="41">
        <f t="shared" si="1"/>
        <v>364364.583</v>
      </c>
      <c r="F32" s="9"/>
      <c r="G32" s="42">
        <v>86965.5352419999</v>
      </c>
      <c r="H32" s="42">
        <v>84366.0</v>
      </c>
      <c r="I32" s="42">
        <v>8804.640849</v>
      </c>
      <c r="J32" s="41">
        <f t="shared" si="3"/>
        <v>180136.1761</v>
      </c>
      <c r="K32" s="9"/>
      <c r="L32" s="41">
        <f t="shared" si="2"/>
        <v>544500.7591</v>
      </c>
      <c r="M32" s="9"/>
      <c r="N32" s="9"/>
      <c r="O32" s="9"/>
      <c r="P32" s="9"/>
      <c r="Q32" s="9"/>
      <c r="R32" s="9"/>
      <c r="S32" s="9"/>
      <c r="T32" s="9"/>
      <c r="U32" s="9"/>
      <c r="V32" s="9"/>
    </row>
    <row r="33" ht="12.0" customHeight="1">
      <c r="A33" s="40">
        <v>1998.0</v>
      </c>
      <c r="B33" s="42">
        <v>321235.564</v>
      </c>
      <c r="C33" s="42">
        <v>250564.0</v>
      </c>
      <c r="D33" s="42">
        <v>150200.0</v>
      </c>
      <c r="E33" s="41">
        <f t="shared" si="1"/>
        <v>721999.564</v>
      </c>
      <c r="F33" s="9"/>
      <c r="G33" s="42">
        <v>83001.111193</v>
      </c>
      <c r="H33" s="42">
        <v>135162.0</v>
      </c>
      <c r="I33" s="42">
        <v>14760.57625</v>
      </c>
      <c r="J33" s="41">
        <f t="shared" si="3"/>
        <v>232923.6874</v>
      </c>
      <c r="K33" s="9"/>
      <c r="L33" s="41">
        <f t="shared" si="2"/>
        <v>954923.2514</v>
      </c>
      <c r="M33" s="9"/>
      <c r="N33" s="9"/>
      <c r="O33" s="9"/>
      <c r="P33" s="9"/>
      <c r="Q33" s="9"/>
      <c r="R33" s="9"/>
      <c r="S33" s="9"/>
      <c r="T33" s="9"/>
      <c r="U33" s="9"/>
      <c r="V33" s="9"/>
    </row>
    <row r="34" ht="12.0" customHeight="1">
      <c r="A34" s="40">
        <v>1999.0</v>
      </c>
      <c r="B34" s="42">
        <v>294740.032</v>
      </c>
      <c r="C34" s="42">
        <v>233031.0</v>
      </c>
      <c r="D34" s="42">
        <v>151500.0</v>
      </c>
      <c r="E34" s="41">
        <f t="shared" si="1"/>
        <v>679271.032</v>
      </c>
      <c r="F34" s="9"/>
      <c r="G34" s="42">
        <v>58285.952239</v>
      </c>
      <c r="H34" s="42">
        <v>119565.0</v>
      </c>
      <c r="I34" s="42">
        <v>30020.632113</v>
      </c>
      <c r="J34" s="41">
        <f t="shared" si="3"/>
        <v>207871.5844</v>
      </c>
      <c r="K34" s="9"/>
      <c r="L34" s="41">
        <f t="shared" si="2"/>
        <v>887142.6164</v>
      </c>
      <c r="M34" s="9"/>
      <c r="N34" s="9"/>
      <c r="O34" s="9"/>
      <c r="P34" s="9"/>
      <c r="Q34" s="9"/>
      <c r="R34" s="9"/>
      <c r="S34" s="9"/>
      <c r="T34" s="9"/>
      <c r="U34" s="9"/>
      <c r="V34" s="9"/>
    </row>
    <row r="35" ht="12.0" customHeight="1">
      <c r="A35" s="40">
        <v>2000.0</v>
      </c>
      <c r="B35" s="42">
        <v>204188.716</v>
      </c>
      <c r="C35" s="42">
        <v>166901.0</v>
      </c>
      <c r="D35" s="42">
        <v>103300.0</v>
      </c>
      <c r="E35" s="41">
        <f t="shared" si="1"/>
        <v>474389.716</v>
      </c>
      <c r="F35" s="9"/>
      <c r="G35" s="42">
        <v>42154.126775</v>
      </c>
      <c r="H35" s="42">
        <v>48202.0</v>
      </c>
      <c r="I35" s="42">
        <v>18568.0379009999</v>
      </c>
      <c r="J35" s="41">
        <f t="shared" si="3"/>
        <v>108924.1647</v>
      </c>
      <c r="K35" s="9"/>
      <c r="L35" s="41">
        <f t="shared" si="2"/>
        <v>583313.8807</v>
      </c>
      <c r="M35" s="9"/>
      <c r="N35" s="9"/>
      <c r="O35" s="9"/>
      <c r="P35" s="9"/>
      <c r="Q35" s="9"/>
      <c r="R35" s="9"/>
      <c r="S35" s="9"/>
      <c r="T35" s="9"/>
      <c r="U35" s="9"/>
      <c r="V35" s="9"/>
    </row>
    <row r="36" ht="12.0" customHeight="1">
      <c r="A36" s="40">
        <v>2001.0</v>
      </c>
      <c r="B36" s="42">
        <v>521971.401</v>
      </c>
      <c r="C36" s="42">
        <v>389611.0</v>
      </c>
      <c r="D36" s="42">
        <v>174600.0</v>
      </c>
      <c r="E36" s="41">
        <f t="shared" si="1"/>
        <v>1086182.401</v>
      </c>
      <c r="F36" s="9"/>
      <c r="G36" s="42">
        <v>155404.610622</v>
      </c>
      <c r="H36" s="42">
        <v>192437.0</v>
      </c>
      <c r="I36" s="42">
        <v>46329.6381339999</v>
      </c>
      <c r="J36" s="41">
        <f t="shared" si="3"/>
        <v>394171.2488</v>
      </c>
      <c r="K36" s="9"/>
      <c r="L36" s="41">
        <f t="shared" si="2"/>
        <v>1480353.65</v>
      </c>
      <c r="M36" s="9"/>
      <c r="N36" s="9"/>
      <c r="O36" s="9"/>
      <c r="P36" s="9"/>
      <c r="Q36" s="9"/>
      <c r="R36" s="9"/>
      <c r="S36" s="9"/>
      <c r="T36" s="9"/>
      <c r="U36" s="9"/>
      <c r="V36" s="9"/>
    </row>
    <row r="37" ht="12.0" customHeight="1">
      <c r="A37" s="40">
        <v>2002.0</v>
      </c>
      <c r="B37" s="42">
        <v>725741.887</v>
      </c>
      <c r="C37" s="42">
        <v>547046.0</v>
      </c>
      <c r="D37" s="42">
        <v>174000.0</v>
      </c>
      <c r="E37" s="41">
        <f t="shared" si="1"/>
        <v>1446787.887</v>
      </c>
      <c r="F37" s="9"/>
      <c r="G37" s="42">
        <v>199658.064106999</v>
      </c>
      <c r="H37" s="42">
        <v>331672.0</v>
      </c>
      <c r="I37" s="42">
        <v>66203.752657</v>
      </c>
      <c r="J37" s="41">
        <f t="shared" si="3"/>
        <v>597533.8168</v>
      </c>
      <c r="K37" s="9"/>
      <c r="L37" s="41">
        <f t="shared" si="2"/>
        <v>2044321.704</v>
      </c>
      <c r="M37" s="9"/>
      <c r="N37" s="9"/>
      <c r="O37" s="9"/>
      <c r="P37" s="9"/>
      <c r="Q37" s="9"/>
      <c r="R37" s="9"/>
      <c r="S37" s="9"/>
      <c r="T37" s="9"/>
      <c r="U37" s="9"/>
      <c r="V37" s="9"/>
    </row>
    <row r="38" ht="12.0" customHeight="1">
      <c r="A38" s="40">
        <v>2003.0</v>
      </c>
      <c r="B38" s="42">
        <v>1199549.112</v>
      </c>
      <c r="C38" s="42">
        <v>713280.0</v>
      </c>
      <c r="D38" s="42">
        <v>217900.0</v>
      </c>
      <c r="E38" s="41">
        <f t="shared" si="1"/>
        <v>2130729.112</v>
      </c>
      <c r="F38" s="9"/>
      <c r="G38" s="42">
        <v>255428.227903</v>
      </c>
      <c r="H38" s="42">
        <v>298118.0</v>
      </c>
      <c r="I38" s="42">
        <v>72938.738989</v>
      </c>
      <c r="J38" s="41">
        <f t="shared" si="3"/>
        <v>626484.9669</v>
      </c>
      <c r="K38" s="9"/>
      <c r="L38" s="41">
        <f t="shared" si="2"/>
        <v>2757214.079</v>
      </c>
      <c r="M38" s="9"/>
      <c r="N38" s="9"/>
      <c r="O38" s="9"/>
      <c r="P38" s="9"/>
      <c r="Q38" s="9"/>
      <c r="R38" s="9"/>
      <c r="S38" s="9"/>
      <c r="T38" s="9"/>
      <c r="U38" s="9"/>
      <c r="V38" s="9"/>
    </row>
    <row r="39" ht="12.0" customHeight="1">
      <c r="A39" s="40">
        <v>2004.0</v>
      </c>
      <c r="B39" s="42">
        <v>524885.343</v>
      </c>
      <c r="C39" s="42">
        <v>365148.0</v>
      </c>
      <c r="D39" s="42">
        <v>125000.0</v>
      </c>
      <c r="E39" s="41">
        <f t="shared" si="1"/>
        <v>1015033.343</v>
      </c>
      <c r="F39" s="9"/>
      <c r="G39" s="42">
        <v>111740.015479</v>
      </c>
      <c r="H39" s="42">
        <v>215506.0</v>
      </c>
      <c r="I39" s="42">
        <v>50748.2805329999</v>
      </c>
      <c r="J39" s="41">
        <f t="shared" si="3"/>
        <v>377994.296</v>
      </c>
      <c r="K39" s="9"/>
      <c r="L39" s="41">
        <f t="shared" si="2"/>
        <v>1393027.639</v>
      </c>
      <c r="M39" s="9"/>
      <c r="N39" s="9"/>
      <c r="O39" s="9"/>
      <c r="P39" s="9"/>
      <c r="Q39" s="9"/>
      <c r="R39" s="9"/>
      <c r="S39" s="9"/>
      <c r="T39" s="9"/>
      <c r="U39" s="9"/>
      <c r="V39" s="9"/>
    </row>
    <row r="40" ht="12.0" customHeight="1">
      <c r="A40" s="40">
        <v>2005.0</v>
      </c>
      <c r="B40" s="42">
        <v>498548.912</v>
      </c>
      <c r="C40" s="42">
        <v>397867.0</v>
      </c>
      <c r="D40" s="42">
        <v>86900.0</v>
      </c>
      <c r="E40" s="41">
        <f t="shared" si="1"/>
        <v>983315.912</v>
      </c>
      <c r="F40" s="9"/>
      <c r="G40" s="42">
        <v>125783.097637</v>
      </c>
      <c r="H40" s="42">
        <v>208450.0</v>
      </c>
      <c r="I40" s="42">
        <v>30173.131823</v>
      </c>
      <c r="J40" s="41">
        <f t="shared" si="3"/>
        <v>364406.2295</v>
      </c>
      <c r="K40" s="9"/>
      <c r="L40" s="41">
        <f t="shared" si="2"/>
        <v>1347722.141</v>
      </c>
      <c r="M40" s="9"/>
      <c r="N40" s="9"/>
      <c r="O40" s="9"/>
      <c r="P40" s="9"/>
      <c r="Q40" s="9"/>
      <c r="R40" s="9"/>
      <c r="S40" s="9"/>
      <c r="T40" s="9"/>
      <c r="U40" s="9"/>
      <c r="V40" s="9"/>
    </row>
    <row r="41" ht="12.0" customHeight="1">
      <c r="A41" s="40">
        <v>2006.0</v>
      </c>
      <c r="B41" s="42">
        <v>479772.983</v>
      </c>
      <c r="C41" s="42">
        <v>360023.0</v>
      </c>
      <c r="D41" s="42">
        <v>83300.0</v>
      </c>
      <c r="E41" s="41">
        <f t="shared" si="1"/>
        <v>923095.983</v>
      </c>
      <c r="F41" s="9"/>
      <c r="G41" s="42">
        <v>123856.544394449</v>
      </c>
      <c r="H41" s="42">
        <v>169396.0</v>
      </c>
      <c r="I41" s="42">
        <v>22746.142553</v>
      </c>
      <c r="J41" s="41">
        <f t="shared" si="3"/>
        <v>315998.6869</v>
      </c>
      <c r="K41" s="9"/>
      <c r="L41" s="41">
        <f t="shared" si="2"/>
        <v>1239094.67</v>
      </c>
      <c r="M41" s="9"/>
      <c r="N41" s="9"/>
      <c r="O41" s="9"/>
      <c r="P41" s="9"/>
      <c r="Q41" s="9"/>
      <c r="R41" s="9"/>
      <c r="S41" s="9"/>
      <c r="T41" s="9"/>
      <c r="U41" s="9"/>
      <c r="V41" s="9"/>
    </row>
    <row r="42" ht="12.0" customHeight="1">
      <c r="A42" s="40">
        <v>2007.0</v>
      </c>
      <c r="B42" s="42">
        <v>620998.394</v>
      </c>
      <c r="C42" s="42">
        <v>470976.0</v>
      </c>
      <c r="D42" s="42">
        <v>97010.0</v>
      </c>
      <c r="E42" s="41">
        <f t="shared" si="1"/>
        <v>1188984.394</v>
      </c>
      <c r="F42" s="9"/>
      <c r="G42" s="42">
        <v>106533.063867</v>
      </c>
      <c r="H42" s="42">
        <v>133321.0</v>
      </c>
      <c r="I42" s="42">
        <v>36718.485426</v>
      </c>
      <c r="J42" s="41">
        <f t="shared" si="3"/>
        <v>276572.5493</v>
      </c>
      <c r="K42" s="9"/>
      <c r="L42" s="41">
        <f t="shared" si="2"/>
        <v>1465556.943</v>
      </c>
      <c r="M42" s="9"/>
      <c r="N42" s="9"/>
      <c r="O42" s="9"/>
      <c r="P42" s="9"/>
      <c r="Q42" s="9"/>
      <c r="R42" s="9"/>
      <c r="S42" s="9"/>
      <c r="T42" s="9"/>
      <c r="U42" s="9"/>
      <c r="V42" s="9"/>
    </row>
    <row r="43" ht="12.0" customHeight="1">
      <c r="A43" s="40">
        <v>2008.0</v>
      </c>
      <c r="B43" s="42">
        <v>541902.332</v>
      </c>
      <c r="C43" s="42">
        <v>357861.0</v>
      </c>
      <c r="D43" s="42">
        <v>269980.0</v>
      </c>
      <c r="E43" s="41">
        <f t="shared" si="1"/>
        <v>1169743.332</v>
      </c>
      <c r="F43" s="9"/>
      <c r="G43" s="42">
        <v>95006.284474</v>
      </c>
      <c r="H43" s="42">
        <v>64305.0</v>
      </c>
      <c r="I43" s="42">
        <v>37749.92349</v>
      </c>
      <c r="J43" s="41">
        <f t="shared" si="3"/>
        <v>197061.208</v>
      </c>
      <c r="K43" s="9"/>
      <c r="L43" s="41">
        <f t="shared" si="2"/>
        <v>1366804.54</v>
      </c>
      <c r="M43" s="9"/>
      <c r="N43" s="9"/>
      <c r="O43" s="9"/>
      <c r="P43" s="9"/>
      <c r="Q43" s="9"/>
      <c r="R43" s="9"/>
      <c r="S43" s="9"/>
      <c r="T43" s="9"/>
      <c r="U43" s="9"/>
      <c r="V43" s="9"/>
    </row>
    <row r="44" ht="12.0" customHeight="1">
      <c r="A44" s="40">
        <v>2009.0</v>
      </c>
      <c r="B44" s="42">
        <v>804784.221</v>
      </c>
      <c r="C44" s="42">
        <v>475412.0</v>
      </c>
      <c r="D44" s="42">
        <v>454030.0</v>
      </c>
      <c r="E44" s="41">
        <f t="shared" si="1"/>
        <v>1734226.221</v>
      </c>
      <c r="F44" s="9"/>
      <c r="G44" s="42">
        <v>100846.0</v>
      </c>
      <c r="H44" s="42">
        <v>86202.0</v>
      </c>
      <c r="I44" s="42">
        <v>101671.997215</v>
      </c>
      <c r="J44" s="41">
        <f t="shared" si="3"/>
        <v>288719.9972</v>
      </c>
      <c r="K44" s="9"/>
      <c r="L44" s="41">
        <f t="shared" si="2"/>
        <v>2022946.218</v>
      </c>
      <c r="M44" s="9"/>
      <c r="N44" s="9"/>
      <c r="O44" s="9"/>
      <c r="P44" s="9"/>
      <c r="Q44" s="9"/>
      <c r="R44" s="9"/>
      <c r="S44" s="9"/>
      <c r="T44" s="9"/>
      <c r="U44" s="9"/>
      <c r="V44" s="9"/>
    </row>
    <row r="45" ht="12.0" customHeight="1">
      <c r="A45" s="40">
        <v>2010.0</v>
      </c>
      <c r="B45" s="42">
        <v>627101.325</v>
      </c>
      <c r="C45" s="42">
        <v>393037.0</v>
      </c>
      <c r="D45" s="42">
        <v>399750.0</v>
      </c>
      <c r="E45" s="41">
        <f t="shared" si="1"/>
        <v>1419888.325</v>
      </c>
      <c r="F45" s="9"/>
      <c r="G45" s="42">
        <v>175322.082925</v>
      </c>
      <c r="H45" s="42">
        <v>124100.0</v>
      </c>
      <c r="I45" s="42">
        <v>200583.710942999</v>
      </c>
      <c r="J45" s="41">
        <f t="shared" si="3"/>
        <v>500005.7939</v>
      </c>
      <c r="K45" s="9"/>
      <c r="L45" s="41">
        <f t="shared" si="2"/>
        <v>1919894.119</v>
      </c>
      <c r="M45" s="9"/>
      <c r="N45" s="9"/>
      <c r="O45" s="9"/>
      <c r="P45" s="9"/>
      <c r="Q45" s="9"/>
      <c r="R45" s="9"/>
      <c r="S45" s="9"/>
      <c r="T45" s="9"/>
      <c r="U45" s="9"/>
      <c r="V45" s="9"/>
    </row>
    <row r="46" ht="12.0" customHeight="1">
      <c r="A46" s="40">
        <v>2011.0</v>
      </c>
      <c r="B46" s="42">
        <v>610495.0</v>
      </c>
      <c r="C46" s="42">
        <v>301173.746999999</v>
      </c>
      <c r="D46" s="42">
        <v>328459.0</v>
      </c>
      <c r="E46" s="41">
        <f t="shared" si="1"/>
        <v>1240127.747</v>
      </c>
      <c r="F46" s="9"/>
      <c r="G46" s="42">
        <v>136821.394795</v>
      </c>
      <c r="H46" s="42">
        <v>156200.0</v>
      </c>
      <c r="I46" s="42">
        <v>83706.379531</v>
      </c>
      <c r="J46" s="41">
        <f t="shared" si="3"/>
        <v>376727.7743</v>
      </c>
      <c r="K46" s="9"/>
      <c r="L46" s="41">
        <f t="shared" si="2"/>
        <v>1616855.521</v>
      </c>
      <c r="M46" s="9"/>
      <c r="N46" s="9"/>
      <c r="O46" s="9"/>
      <c r="P46" s="9"/>
      <c r="Q46" s="9"/>
      <c r="R46" s="9"/>
      <c r="S46" s="9"/>
      <c r="T46" s="9"/>
      <c r="U46" s="9"/>
      <c r="V46" s="9"/>
    </row>
    <row r="47" ht="12.0" customHeight="1">
      <c r="A47" s="40">
        <v>2012.0</v>
      </c>
      <c r="B47" s="42">
        <v>865507.0</v>
      </c>
      <c r="C47" s="42">
        <v>466479.0</v>
      </c>
      <c r="D47" s="42">
        <v>424899.0</v>
      </c>
      <c r="E47" s="41">
        <f t="shared" si="1"/>
        <v>1756885</v>
      </c>
      <c r="F47" s="9"/>
      <c r="G47" s="42">
        <v>127700.0</v>
      </c>
      <c r="H47" s="42">
        <v>107900.0</v>
      </c>
      <c r="I47" s="42">
        <v>49500.0</v>
      </c>
      <c r="J47" s="41">
        <f t="shared" si="3"/>
        <v>285100</v>
      </c>
      <c r="K47" s="9"/>
      <c r="L47" s="41">
        <f t="shared" si="2"/>
        <v>2041985</v>
      </c>
      <c r="M47" s="9"/>
      <c r="N47" s="9"/>
      <c r="O47" s="9"/>
      <c r="P47" s="9"/>
      <c r="Q47" s="9"/>
      <c r="R47" s="9"/>
      <c r="S47" s="9"/>
      <c r="T47" s="9"/>
      <c r="U47" s="9"/>
      <c r="V47" s="9"/>
    </row>
    <row r="48" ht="12.0" customHeight="1">
      <c r="A48" s="4"/>
      <c r="B48" s="41"/>
      <c r="C48" s="41"/>
      <c r="D48" s="41"/>
      <c r="E48" s="41"/>
      <c r="F48" s="9"/>
      <c r="G48" s="41"/>
      <c r="H48" s="41"/>
      <c r="I48" s="41"/>
      <c r="J48" s="41"/>
      <c r="K48" s="9"/>
      <c r="L48" s="41"/>
      <c r="M48" s="9"/>
      <c r="N48" s="9"/>
      <c r="O48" s="9"/>
      <c r="P48" s="9"/>
      <c r="Q48" s="9"/>
      <c r="R48" s="9"/>
      <c r="S48" s="9"/>
      <c r="T48" s="9"/>
      <c r="U48" s="9"/>
      <c r="V48" s="9"/>
    </row>
    <row r="49" ht="12.0" customHeight="1">
      <c r="A49" s="9"/>
      <c r="B49" s="9"/>
      <c r="C49" s="9"/>
      <c r="D49" s="9"/>
      <c r="E49" s="9"/>
      <c r="F49" s="9"/>
      <c r="G49" s="41"/>
      <c r="H49" s="41"/>
      <c r="I49" s="41"/>
      <c r="J49" s="41"/>
      <c r="K49" s="9"/>
      <c r="L49" s="9"/>
      <c r="M49" s="9"/>
      <c r="N49" s="9"/>
      <c r="O49" s="9"/>
      <c r="P49" s="9"/>
      <c r="Q49" s="9"/>
      <c r="R49" s="9"/>
      <c r="S49" s="9"/>
      <c r="T49" s="9"/>
      <c r="U49" s="9"/>
      <c r="V49" s="9"/>
    </row>
    <row r="50" ht="13.5" customHeight="1">
      <c r="A50" s="9" t="s">
        <v>59</v>
      </c>
      <c r="B50" s="9"/>
      <c r="C50" s="9"/>
      <c r="D50" s="9"/>
      <c r="E50" s="9"/>
      <c r="F50" s="9"/>
      <c r="G50" s="41"/>
      <c r="H50" s="41"/>
      <c r="I50" s="41"/>
      <c r="J50" s="41"/>
      <c r="K50" s="9"/>
      <c r="L50" s="9"/>
      <c r="M50" s="9"/>
      <c r="N50" s="9"/>
      <c r="O50" s="9"/>
      <c r="P50" s="9"/>
      <c r="Q50" s="9"/>
      <c r="R50" s="9"/>
      <c r="S50" s="9"/>
      <c r="T50" s="9"/>
      <c r="U50" s="9"/>
      <c r="V50" s="9"/>
    </row>
    <row r="51" ht="13.5" customHeight="1">
      <c r="A51" s="9" t="s">
        <v>60</v>
      </c>
      <c r="B51" s="9"/>
      <c r="C51" s="9"/>
      <c r="D51" s="9"/>
      <c r="E51" s="9"/>
      <c r="F51" s="9"/>
      <c r="G51" s="41"/>
      <c r="H51" s="41"/>
      <c r="I51" s="41"/>
      <c r="J51" s="41"/>
      <c r="K51" s="9"/>
      <c r="L51" s="9"/>
      <c r="M51" s="9"/>
      <c r="N51" s="9"/>
      <c r="O51" s="9"/>
      <c r="P51" s="9"/>
      <c r="Q51" s="9"/>
      <c r="R51" s="9"/>
      <c r="S51" s="9"/>
      <c r="T51" s="9"/>
      <c r="U51" s="9"/>
      <c r="V51" s="9"/>
    </row>
    <row r="52" ht="13.5" customHeight="1">
      <c r="A52" s="9" t="s">
        <v>61</v>
      </c>
      <c r="B52" s="9"/>
      <c r="C52" s="9"/>
      <c r="D52" s="9"/>
      <c r="E52" s="9"/>
      <c r="F52" s="9"/>
      <c r="G52" s="41"/>
      <c r="H52" s="41"/>
      <c r="I52" s="41"/>
      <c r="J52" s="41"/>
      <c r="K52" s="9"/>
      <c r="L52" s="9"/>
      <c r="M52" s="9"/>
      <c r="N52" s="9"/>
      <c r="O52" s="9"/>
      <c r="P52" s="9"/>
      <c r="Q52" s="9"/>
      <c r="R52" s="9"/>
      <c r="S52" s="9"/>
      <c r="T52" s="9"/>
      <c r="U52" s="9"/>
      <c r="V52" s="9"/>
    </row>
    <row r="53" ht="12.0" customHeight="1">
      <c r="A53" s="9" t="s">
        <v>62</v>
      </c>
      <c r="B53" s="9"/>
      <c r="C53" s="9"/>
      <c r="D53" s="9"/>
      <c r="E53" s="9"/>
      <c r="F53" s="9"/>
      <c r="G53" s="41"/>
      <c r="H53" s="41"/>
      <c r="I53" s="41"/>
      <c r="J53" s="41"/>
      <c r="K53" s="9"/>
      <c r="L53" s="9"/>
      <c r="M53" s="9"/>
      <c r="N53" s="9"/>
      <c r="O53" s="9"/>
      <c r="P53" s="9"/>
      <c r="Q53" s="9"/>
      <c r="R53" s="9"/>
      <c r="S53" s="9"/>
      <c r="T53" s="9"/>
      <c r="U53" s="9"/>
      <c r="V53" s="9"/>
    </row>
    <row r="54" ht="12.0" customHeight="1">
      <c r="A54" s="9"/>
      <c r="B54" s="9"/>
      <c r="C54" s="9"/>
      <c r="D54" s="9"/>
      <c r="E54" s="9"/>
      <c r="F54" s="9"/>
      <c r="G54" s="41"/>
      <c r="H54" s="41"/>
      <c r="I54" s="41"/>
      <c r="J54" s="41"/>
      <c r="K54" s="9"/>
      <c r="L54" s="9"/>
      <c r="M54" s="9"/>
      <c r="N54" s="9"/>
      <c r="O54" s="9"/>
      <c r="P54" s="9"/>
      <c r="Q54" s="9"/>
      <c r="R54" s="9"/>
      <c r="S54" s="9"/>
      <c r="T54" s="9"/>
      <c r="U54" s="9"/>
      <c r="V54" s="9"/>
    </row>
  </sheetData>
  <mergeCells count="2">
    <mergeCell ref="B3:E3"/>
    <mergeCell ref="G3:J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7.29" defaultRowHeight="15.75"/>
  <cols>
    <col customWidth="1" min="1" max="1" width="4.43"/>
    <col customWidth="1" min="2" max="2" width="3.14"/>
    <col customWidth="1" min="3" max="4" width="12.71"/>
    <col customWidth="1" min="5" max="5" width="2.71"/>
    <col customWidth="1" min="6" max="7" width="12.71"/>
    <col customWidth="1" min="8" max="8" width="2.71"/>
    <col customWidth="1" min="9" max="10" width="12.71"/>
    <col customWidth="1" min="11" max="11" width="2.71"/>
    <col customWidth="1" min="12" max="13" width="12.71"/>
    <col customWidth="1" min="14" max="14" width="2.71"/>
    <col customWidth="1" min="15" max="20" width="9.14"/>
    <col customWidth="1" min="21" max="21" width="11.14"/>
    <col customWidth="1" min="22" max="22" width="10.29"/>
    <col customWidth="1" min="23" max="23" width="9.14"/>
    <col customWidth="1" min="24" max="24" width="11.14"/>
    <col customWidth="1" min="25" max="38" width="9.14"/>
  </cols>
  <sheetData>
    <row r="1" ht="30.0" customHeight="1">
      <c r="A1" s="1" t="s">
        <v>0</v>
      </c>
      <c r="B1" s="2"/>
      <c r="C1" s="2"/>
      <c r="D1" s="2"/>
      <c r="E1" s="2"/>
      <c r="F1" s="2"/>
      <c r="G1" s="4"/>
      <c r="H1" s="2"/>
      <c r="I1" s="6"/>
      <c r="J1" s="6"/>
      <c r="K1" s="6"/>
      <c r="L1" s="6"/>
      <c r="M1" s="4"/>
      <c r="N1" s="4"/>
      <c r="O1" s="2"/>
      <c r="P1" s="8"/>
      <c r="Q1" s="8"/>
      <c r="R1" s="8"/>
      <c r="S1" s="8"/>
      <c r="T1" s="8"/>
      <c r="U1" s="8"/>
      <c r="V1" s="8"/>
      <c r="W1" s="8"/>
      <c r="X1" s="16"/>
      <c r="Y1" s="2"/>
      <c r="Z1" s="16"/>
      <c r="AA1" s="16"/>
      <c r="AB1" s="16"/>
      <c r="AC1" s="2"/>
      <c r="AD1" s="2"/>
      <c r="AE1" s="2"/>
      <c r="AF1" s="2"/>
      <c r="AG1" s="2"/>
      <c r="AH1" s="2"/>
      <c r="AI1" s="2"/>
      <c r="AJ1" s="2"/>
      <c r="AK1" s="2"/>
      <c r="AL1" s="2"/>
    </row>
    <row r="2" ht="30.0" customHeight="1">
      <c r="A2" s="1" t="s">
        <v>3</v>
      </c>
      <c r="B2" s="2"/>
      <c r="C2" s="2"/>
      <c r="D2" s="2"/>
      <c r="E2" s="2"/>
      <c r="F2" s="2"/>
      <c r="G2" s="4"/>
      <c r="H2" s="2"/>
      <c r="I2" s="6"/>
      <c r="J2" s="6"/>
      <c r="K2" s="6"/>
      <c r="L2" s="6"/>
      <c r="M2" s="4"/>
      <c r="N2" s="4"/>
      <c r="O2" s="2"/>
      <c r="P2" s="8"/>
      <c r="Q2" s="8"/>
      <c r="R2" s="8"/>
      <c r="S2" s="8"/>
      <c r="T2" s="8"/>
      <c r="U2" s="8"/>
      <c r="V2" s="8"/>
      <c r="W2" s="8"/>
      <c r="X2" s="16"/>
      <c r="Y2" s="2"/>
      <c r="Z2" s="16"/>
      <c r="AA2" s="16"/>
      <c r="AB2" s="16"/>
      <c r="AC2" s="2"/>
      <c r="AD2" s="2"/>
      <c r="AE2" s="2"/>
      <c r="AF2" s="2"/>
      <c r="AG2" s="2"/>
      <c r="AH2" s="2"/>
      <c r="AI2" s="2"/>
      <c r="AJ2" s="2"/>
      <c r="AK2" s="2"/>
      <c r="AL2" s="2"/>
    </row>
    <row r="3" ht="19.5" customHeight="1">
      <c r="A3" s="1"/>
      <c r="B3" s="2"/>
      <c r="C3" s="2"/>
      <c r="D3" s="2"/>
      <c r="E3" s="2"/>
      <c r="F3" s="2"/>
      <c r="G3" s="4"/>
      <c r="H3" s="2"/>
      <c r="I3" s="6"/>
      <c r="J3" s="6"/>
      <c r="K3" s="6"/>
      <c r="L3" s="6"/>
      <c r="M3" s="4"/>
      <c r="N3" s="4"/>
      <c r="O3" s="2"/>
      <c r="P3" s="19" t="s">
        <v>12</v>
      </c>
      <c r="Q3" s="14"/>
      <c r="R3" s="14"/>
      <c r="S3" s="14"/>
      <c r="T3" s="14"/>
      <c r="U3" s="14"/>
      <c r="V3" s="14"/>
      <c r="W3" s="14"/>
      <c r="X3" s="14"/>
      <c r="Y3" s="14"/>
      <c r="Z3" s="14"/>
      <c r="AA3" s="14"/>
      <c r="AB3" s="21"/>
      <c r="AC3" s="2"/>
      <c r="AD3" s="2"/>
      <c r="AE3" s="2"/>
      <c r="AF3" s="2"/>
      <c r="AG3" s="2"/>
      <c r="AH3" s="2"/>
      <c r="AI3" s="2"/>
      <c r="AJ3" s="2"/>
      <c r="AK3" s="2"/>
      <c r="AL3" s="2"/>
    </row>
    <row r="4" ht="24.75" customHeight="1">
      <c r="A4" s="16"/>
      <c r="B4" s="16"/>
      <c r="C4" s="23" t="s">
        <v>15</v>
      </c>
      <c r="D4" s="21"/>
      <c r="E4" s="25"/>
      <c r="F4" s="23" t="s">
        <v>19</v>
      </c>
      <c r="G4" s="21"/>
      <c r="H4" s="25"/>
      <c r="I4" s="23" t="s">
        <v>20</v>
      </c>
      <c r="J4" s="21"/>
      <c r="K4" s="25"/>
      <c r="L4" s="23" t="s">
        <v>25</v>
      </c>
      <c r="M4" s="21"/>
      <c r="N4" s="25"/>
      <c r="O4" s="16"/>
      <c r="P4" s="28" t="s">
        <v>26</v>
      </c>
      <c r="Q4" s="14"/>
      <c r="R4" s="14"/>
      <c r="S4" s="21"/>
      <c r="T4" s="29"/>
      <c r="U4" s="28" t="s">
        <v>33</v>
      </c>
      <c r="V4" s="14"/>
      <c r="W4" s="14"/>
      <c r="X4" s="21"/>
      <c r="Y4" s="16"/>
      <c r="Z4" s="28" t="s">
        <v>36</v>
      </c>
      <c r="AA4" s="14"/>
      <c r="AB4" s="21"/>
      <c r="AC4" s="30"/>
      <c r="AD4" s="16"/>
      <c r="AE4" s="16"/>
      <c r="AF4" s="16"/>
      <c r="AG4" s="16"/>
      <c r="AH4" s="16"/>
      <c r="AI4" s="16"/>
      <c r="AJ4" s="16"/>
      <c r="AK4" s="16"/>
      <c r="AL4" s="16"/>
    </row>
    <row r="5" ht="12.0" customHeight="1">
      <c r="A5" s="16" t="s">
        <v>16</v>
      </c>
      <c r="B5" s="16" t="s">
        <v>23</v>
      </c>
      <c r="C5" s="31" t="s">
        <v>43</v>
      </c>
      <c r="D5" s="31" t="s">
        <v>46</v>
      </c>
      <c r="E5" s="38"/>
      <c r="F5" s="31" t="s">
        <v>43</v>
      </c>
      <c r="G5" s="31" t="s">
        <v>46</v>
      </c>
      <c r="H5" s="38"/>
      <c r="I5" s="31" t="s">
        <v>43</v>
      </c>
      <c r="J5" s="31" t="s">
        <v>46</v>
      </c>
      <c r="K5" s="38"/>
      <c r="L5" s="31" t="s">
        <v>43</v>
      </c>
      <c r="M5" s="31" t="s">
        <v>46</v>
      </c>
      <c r="N5" s="25"/>
      <c r="O5" s="16"/>
      <c r="P5" s="44" t="s">
        <v>15</v>
      </c>
      <c r="Q5" s="44" t="s">
        <v>19</v>
      </c>
      <c r="R5" s="44" t="s">
        <v>20</v>
      </c>
      <c r="S5" s="44" t="s">
        <v>56</v>
      </c>
      <c r="T5" s="44"/>
      <c r="U5" s="44" t="s">
        <v>15</v>
      </c>
      <c r="V5" s="44" t="s">
        <v>19</v>
      </c>
      <c r="W5" s="44" t="s">
        <v>20</v>
      </c>
      <c r="X5" s="45" t="s">
        <v>56</v>
      </c>
      <c r="Y5" s="16"/>
      <c r="Z5" s="45" t="s">
        <v>15</v>
      </c>
      <c r="AA5" s="45" t="s">
        <v>19</v>
      </c>
      <c r="AB5" s="45" t="s">
        <v>56</v>
      </c>
      <c r="AC5" s="16"/>
      <c r="AD5" s="16"/>
      <c r="AE5" s="16"/>
      <c r="AF5" s="16"/>
      <c r="AG5" s="16"/>
      <c r="AH5" s="16"/>
      <c r="AI5" s="16"/>
      <c r="AJ5" s="16"/>
      <c r="AK5" s="16"/>
      <c r="AL5" s="16"/>
    </row>
    <row r="6" ht="12.75" customHeight="1">
      <c r="A6" s="40">
        <v>1970.0</v>
      </c>
      <c r="B6" s="4" t="s">
        <v>58</v>
      </c>
      <c r="C6" s="47">
        <v>0.0</v>
      </c>
      <c r="D6" s="47">
        <v>0.0</v>
      </c>
      <c r="E6" s="49"/>
      <c r="F6" s="47">
        <v>0.0</v>
      </c>
      <c r="G6" s="47">
        <v>0.0</v>
      </c>
      <c r="H6" s="49"/>
      <c r="I6" s="47">
        <v>15.0</v>
      </c>
      <c r="J6" s="47">
        <v>0.0</v>
      </c>
      <c r="K6" s="49"/>
      <c r="L6" s="49">
        <f t="shared" ref="L6:M6" si="1">SUM(C6,F6,I6)</f>
        <v>15</v>
      </c>
      <c r="M6" s="49">
        <f t="shared" si="1"/>
        <v>0</v>
      </c>
      <c r="N6" s="49"/>
      <c r="O6" s="2"/>
      <c r="P6" s="38">
        <f t="shared" ref="P6:P181" si="3">SUM(C6:D6)</f>
        <v>0</v>
      </c>
      <c r="Q6" s="38">
        <f t="shared" ref="Q6:Q181" si="4">SUM(F6:G6)</f>
        <v>0</v>
      </c>
      <c r="R6" s="38">
        <f t="shared" ref="R6:R181" si="5">SUM(I6:J6)</f>
        <v>15</v>
      </c>
      <c r="S6" s="38">
        <f t="shared" ref="S6:S181" si="6">SUM(P6:R6)</f>
        <v>15</v>
      </c>
      <c r="T6" s="38"/>
      <c r="U6" s="1"/>
      <c r="V6" s="1"/>
      <c r="W6" s="53"/>
      <c r="X6" s="16"/>
      <c r="Y6" s="2"/>
      <c r="Z6" s="45"/>
      <c r="AA6" s="45"/>
      <c r="AB6" s="45"/>
      <c r="AC6" s="2"/>
      <c r="AD6" s="2"/>
      <c r="AE6" s="2"/>
      <c r="AF6" s="2"/>
      <c r="AG6" s="2"/>
      <c r="AH6" s="2"/>
      <c r="AI6" s="2"/>
      <c r="AJ6" s="2"/>
      <c r="AK6" s="2"/>
      <c r="AL6" s="2"/>
    </row>
    <row r="7" ht="12.75" customHeight="1">
      <c r="A7" s="6"/>
      <c r="B7" s="6" t="s">
        <v>66</v>
      </c>
      <c r="C7" s="47">
        <v>0.0</v>
      </c>
      <c r="D7" s="47">
        <v>0.0</v>
      </c>
      <c r="E7" s="49"/>
      <c r="F7" s="47">
        <v>0.0</v>
      </c>
      <c r="G7" s="47">
        <v>0.0</v>
      </c>
      <c r="H7" s="49"/>
      <c r="I7" s="47">
        <v>37.0</v>
      </c>
      <c r="J7" s="47">
        <v>0.0</v>
      </c>
      <c r="K7" s="49"/>
      <c r="L7" s="49">
        <f t="shared" ref="L7:M7" si="2">SUM(C7,F7,I7)</f>
        <v>37</v>
      </c>
      <c r="M7" s="49">
        <f t="shared" si="2"/>
        <v>0</v>
      </c>
      <c r="N7" s="49"/>
      <c r="O7" s="6"/>
      <c r="P7" s="38">
        <f t="shared" si="3"/>
        <v>0</v>
      </c>
      <c r="Q7" s="38">
        <f t="shared" si="4"/>
        <v>0</v>
      </c>
      <c r="R7" s="38">
        <f t="shared" si="5"/>
        <v>37</v>
      </c>
      <c r="S7" s="38">
        <f t="shared" si="6"/>
        <v>37</v>
      </c>
      <c r="T7" s="38"/>
      <c r="U7" s="55"/>
      <c r="V7" s="55"/>
      <c r="W7" s="57"/>
      <c r="X7" s="58"/>
      <c r="Y7" s="6"/>
      <c r="Z7" s="45"/>
      <c r="AA7" s="45"/>
      <c r="AB7" s="45"/>
      <c r="AC7" s="6"/>
      <c r="AD7" s="6"/>
      <c r="AE7" s="6"/>
      <c r="AF7" s="6"/>
      <c r="AG7" s="6"/>
      <c r="AH7" s="6"/>
      <c r="AI7" s="6"/>
      <c r="AJ7" s="6"/>
      <c r="AK7" s="6"/>
      <c r="AL7" s="6"/>
    </row>
    <row r="8" ht="12.75" customHeight="1">
      <c r="A8" s="6"/>
      <c r="B8" s="6" t="s">
        <v>74</v>
      </c>
      <c r="C8" s="47">
        <v>0.0</v>
      </c>
      <c r="D8" s="47">
        <v>0.0</v>
      </c>
      <c r="E8" s="49"/>
      <c r="F8" s="47">
        <v>0.0</v>
      </c>
      <c r="G8" s="47">
        <v>0.0</v>
      </c>
      <c r="H8" s="49"/>
      <c r="I8" s="47">
        <v>95.0</v>
      </c>
      <c r="J8" s="47">
        <v>0.0</v>
      </c>
      <c r="K8" s="49"/>
      <c r="L8" s="49">
        <f t="shared" ref="L8:M8" si="7">SUM(C8,F8,I8)</f>
        <v>95</v>
      </c>
      <c r="M8" s="49">
        <f t="shared" si="7"/>
        <v>0</v>
      </c>
      <c r="N8" s="49"/>
      <c r="O8" s="6"/>
      <c r="P8" s="38">
        <f t="shared" si="3"/>
        <v>0</v>
      </c>
      <c r="Q8" s="38">
        <f t="shared" si="4"/>
        <v>0</v>
      </c>
      <c r="R8" s="38">
        <f t="shared" si="5"/>
        <v>95</v>
      </c>
      <c r="S8" s="38">
        <f t="shared" si="6"/>
        <v>95</v>
      </c>
      <c r="T8" s="38"/>
      <c r="U8" s="55"/>
      <c r="V8" s="55"/>
      <c r="W8" s="57"/>
      <c r="X8" s="58"/>
      <c r="Y8" s="6"/>
      <c r="Z8" s="45"/>
      <c r="AA8" s="45"/>
      <c r="AB8" s="45"/>
      <c r="AC8" s="6"/>
      <c r="AD8" s="6"/>
      <c r="AE8" s="6"/>
      <c r="AF8" s="6"/>
      <c r="AG8" s="6"/>
      <c r="AH8" s="6"/>
      <c r="AI8" s="6"/>
      <c r="AJ8" s="6"/>
      <c r="AK8" s="6"/>
      <c r="AL8" s="6"/>
    </row>
    <row r="9" ht="12.75" customHeight="1">
      <c r="A9" s="6"/>
      <c r="B9" s="6" t="s">
        <v>75</v>
      </c>
      <c r="C9" s="47">
        <v>0.0</v>
      </c>
      <c r="D9" s="47">
        <v>0.0</v>
      </c>
      <c r="E9" s="49"/>
      <c r="F9" s="47">
        <v>0.0</v>
      </c>
      <c r="G9" s="47">
        <v>0.0</v>
      </c>
      <c r="H9" s="49"/>
      <c r="I9" s="47">
        <v>347.0</v>
      </c>
      <c r="J9" s="47">
        <v>0.0</v>
      </c>
      <c r="K9" s="49"/>
      <c r="L9" s="49">
        <f t="shared" ref="L9:M9" si="8">SUM(C9,F9,I9)</f>
        <v>347</v>
      </c>
      <c r="M9" s="49">
        <f t="shared" si="8"/>
        <v>0</v>
      </c>
      <c r="N9" s="49"/>
      <c r="O9" s="6"/>
      <c r="P9" s="38">
        <f t="shared" si="3"/>
        <v>0</v>
      </c>
      <c r="Q9" s="38">
        <f t="shared" si="4"/>
        <v>0</v>
      </c>
      <c r="R9" s="38">
        <f t="shared" si="5"/>
        <v>347</v>
      </c>
      <c r="S9" s="38">
        <f t="shared" si="6"/>
        <v>347</v>
      </c>
      <c r="T9" s="38"/>
      <c r="U9" s="55"/>
      <c r="V9" s="55"/>
      <c r="W9" s="57"/>
      <c r="X9" s="58"/>
      <c r="Y9" s="6"/>
      <c r="Z9" s="45"/>
      <c r="AA9" s="45"/>
      <c r="AB9" s="45"/>
      <c r="AC9" s="6"/>
      <c r="AD9" s="6"/>
      <c r="AE9" s="6"/>
      <c r="AF9" s="6"/>
      <c r="AG9" s="6"/>
      <c r="AH9" s="6"/>
      <c r="AI9" s="6"/>
      <c r="AJ9" s="6"/>
      <c r="AK9" s="6"/>
      <c r="AL9" s="6"/>
    </row>
    <row r="10" ht="12.75" customHeight="1">
      <c r="A10" s="40">
        <v>1971.0</v>
      </c>
      <c r="B10" s="4" t="s">
        <v>58</v>
      </c>
      <c r="C10" s="47">
        <v>0.0</v>
      </c>
      <c r="D10" s="47">
        <v>0.0</v>
      </c>
      <c r="E10" s="49"/>
      <c r="F10" s="47">
        <v>0.0</v>
      </c>
      <c r="G10" s="47">
        <v>0.0</v>
      </c>
      <c r="H10" s="49"/>
      <c r="I10" s="47">
        <v>1109.0</v>
      </c>
      <c r="J10" s="47">
        <v>0.0</v>
      </c>
      <c r="K10" s="49"/>
      <c r="L10" s="49">
        <f t="shared" ref="L10:M10" si="9">SUM(C10,F10,I10)</f>
        <v>1109</v>
      </c>
      <c r="M10" s="49">
        <f t="shared" si="9"/>
        <v>0</v>
      </c>
      <c r="N10" s="49"/>
      <c r="O10" s="2"/>
      <c r="P10" s="38">
        <f t="shared" si="3"/>
        <v>0</v>
      </c>
      <c r="Q10" s="38">
        <f t="shared" si="4"/>
        <v>0</v>
      </c>
      <c r="R10" s="38">
        <f t="shared" si="5"/>
        <v>1109</v>
      </c>
      <c r="S10" s="38">
        <f t="shared" si="6"/>
        <v>1109</v>
      </c>
      <c r="T10" s="38"/>
      <c r="U10" s="1"/>
      <c r="V10" s="1"/>
      <c r="W10" s="53"/>
      <c r="X10" s="16"/>
      <c r="Y10" s="2"/>
      <c r="Z10" s="45"/>
      <c r="AA10" s="45"/>
      <c r="AB10" s="45"/>
      <c r="AC10" s="2"/>
      <c r="AD10" s="2"/>
      <c r="AE10" s="2"/>
      <c r="AF10" s="2"/>
      <c r="AG10" s="2"/>
      <c r="AH10" s="2"/>
      <c r="AI10" s="2"/>
      <c r="AJ10" s="2"/>
      <c r="AK10" s="2"/>
      <c r="AL10" s="2"/>
    </row>
    <row r="11" ht="12.75" customHeight="1">
      <c r="A11" s="6"/>
      <c r="B11" s="6" t="s">
        <v>66</v>
      </c>
      <c r="C11" s="47">
        <v>0.0</v>
      </c>
      <c r="D11" s="47">
        <v>0.0</v>
      </c>
      <c r="E11" s="49"/>
      <c r="F11" s="47">
        <v>0.0</v>
      </c>
      <c r="G11" s="47">
        <v>0.0</v>
      </c>
      <c r="H11" s="49"/>
      <c r="I11" s="47">
        <v>2263.0</v>
      </c>
      <c r="J11" s="47">
        <v>0.0</v>
      </c>
      <c r="K11" s="49"/>
      <c r="L11" s="49">
        <f t="shared" ref="L11:M11" si="10">SUM(C11,F11,I11)</f>
        <v>2263</v>
      </c>
      <c r="M11" s="49">
        <f t="shared" si="10"/>
        <v>0</v>
      </c>
      <c r="N11" s="49"/>
      <c r="O11" s="6"/>
      <c r="P11" s="38">
        <f t="shared" si="3"/>
        <v>0</v>
      </c>
      <c r="Q11" s="38">
        <f t="shared" si="4"/>
        <v>0</v>
      </c>
      <c r="R11" s="38">
        <f t="shared" si="5"/>
        <v>2263</v>
      </c>
      <c r="S11" s="38">
        <f t="shared" si="6"/>
        <v>2263</v>
      </c>
      <c r="T11" s="38"/>
      <c r="U11" s="55"/>
      <c r="V11" s="55"/>
      <c r="W11" s="57"/>
      <c r="X11" s="58"/>
      <c r="Y11" s="6"/>
      <c r="Z11" s="45"/>
      <c r="AA11" s="45"/>
      <c r="AB11" s="45"/>
      <c r="AC11" s="6"/>
      <c r="AD11" s="6"/>
      <c r="AE11" s="6"/>
      <c r="AF11" s="6"/>
      <c r="AG11" s="6"/>
      <c r="AH11" s="6"/>
      <c r="AI11" s="6"/>
      <c r="AJ11" s="6"/>
      <c r="AK11" s="6"/>
      <c r="AL11" s="6"/>
    </row>
    <row r="12" ht="12.75" customHeight="1">
      <c r="A12" s="6"/>
      <c r="B12" s="6" t="s">
        <v>74</v>
      </c>
      <c r="C12" s="47">
        <v>0.0</v>
      </c>
      <c r="D12" s="47">
        <v>0.0</v>
      </c>
      <c r="E12" s="49"/>
      <c r="F12" s="47">
        <v>0.0</v>
      </c>
      <c r="G12" s="47">
        <v>0.0</v>
      </c>
      <c r="H12" s="49"/>
      <c r="I12" s="47">
        <v>2540.0</v>
      </c>
      <c r="J12" s="47">
        <v>0.0</v>
      </c>
      <c r="K12" s="49"/>
      <c r="L12" s="49">
        <f t="shared" ref="L12:M12" si="11">SUM(C12,F12,I12)</f>
        <v>2540</v>
      </c>
      <c r="M12" s="49">
        <f t="shared" si="11"/>
        <v>0</v>
      </c>
      <c r="N12" s="49"/>
      <c r="O12" s="6"/>
      <c r="P12" s="38">
        <f t="shared" si="3"/>
        <v>0</v>
      </c>
      <c r="Q12" s="38">
        <f t="shared" si="4"/>
        <v>0</v>
      </c>
      <c r="R12" s="38">
        <f t="shared" si="5"/>
        <v>2540</v>
      </c>
      <c r="S12" s="38">
        <f t="shared" si="6"/>
        <v>2540</v>
      </c>
      <c r="T12" s="38"/>
      <c r="U12" s="55"/>
      <c r="V12" s="55"/>
      <c r="W12" s="57"/>
      <c r="X12" s="58"/>
      <c r="Y12" s="6"/>
      <c r="Z12" s="45"/>
      <c r="AA12" s="45"/>
      <c r="AB12" s="45"/>
      <c r="AC12" s="6"/>
      <c r="AD12" s="6"/>
      <c r="AE12" s="6"/>
      <c r="AF12" s="6"/>
      <c r="AG12" s="6"/>
      <c r="AH12" s="6"/>
      <c r="AI12" s="6"/>
      <c r="AJ12" s="6"/>
      <c r="AK12" s="6"/>
      <c r="AL12" s="6"/>
    </row>
    <row r="13" ht="12.75" customHeight="1">
      <c r="A13" s="6"/>
      <c r="B13" s="6" t="s">
        <v>75</v>
      </c>
      <c r="C13" s="47">
        <v>0.0</v>
      </c>
      <c r="D13" s="47">
        <v>0.0</v>
      </c>
      <c r="E13" s="49"/>
      <c r="F13" s="47">
        <v>48.0</v>
      </c>
      <c r="G13" s="47">
        <v>16.0</v>
      </c>
      <c r="H13" s="49"/>
      <c r="I13" s="47">
        <v>3074.0</v>
      </c>
      <c r="J13" s="47">
        <v>0.0</v>
      </c>
      <c r="K13" s="49"/>
      <c r="L13" s="49">
        <f t="shared" ref="L13:M13" si="12">SUM(C13,F13,I13)</f>
        <v>3122</v>
      </c>
      <c r="M13" s="49">
        <f t="shared" si="12"/>
        <v>16</v>
      </c>
      <c r="N13" s="49"/>
      <c r="O13" s="6"/>
      <c r="P13" s="38">
        <f t="shared" si="3"/>
        <v>0</v>
      </c>
      <c r="Q13" s="38">
        <f t="shared" si="4"/>
        <v>64</v>
      </c>
      <c r="R13" s="38">
        <f t="shared" si="5"/>
        <v>3074</v>
      </c>
      <c r="S13" s="38">
        <f t="shared" si="6"/>
        <v>3138</v>
      </c>
      <c r="T13" s="38"/>
      <c r="U13" s="55"/>
      <c r="V13" s="55"/>
      <c r="W13" s="57"/>
      <c r="X13" s="58"/>
      <c r="Y13" s="6"/>
      <c r="Z13" s="45"/>
      <c r="AA13" s="45"/>
      <c r="AB13" s="45"/>
      <c r="AC13" s="6"/>
      <c r="AD13" s="6"/>
      <c r="AE13" s="6"/>
      <c r="AF13" s="6"/>
      <c r="AG13" s="6"/>
      <c r="AH13" s="6"/>
      <c r="AI13" s="6"/>
      <c r="AJ13" s="6"/>
      <c r="AK13" s="6"/>
      <c r="AL13" s="6"/>
    </row>
    <row r="14" ht="12.75" customHeight="1">
      <c r="A14" s="40">
        <v>1972.0</v>
      </c>
      <c r="B14" s="4" t="s">
        <v>58</v>
      </c>
      <c r="C14" s="47">
        <v>0.0</v>
      </c>
      <c r="D14" s="47">
        <v>0.0</v>
      </c>
      <c r="E14" s="49"/>
      <c r="F14" s="47">
        <v>125.0</v>
      </c>
      <c r="G14" s="47">
        <v>41.0</v>
      </c>
      <c r="H14" s="49"/>
      <c r="I14" s="47">
        <v>3984.0</v>
      </c>
      <c r="J14" s="47">
        <v>8.0</v>
      </c>
      <c r="K14" s="49"/>
      <c r="L14" s="49">
        <f t="shared" ref="L14:M14" si="13">SUM(C14,F14,I14)</f>
        <v>4109</v>
      </c>
      <c r="M14" s="49">
        <f t="shared" si="13"/>
        <v>49</v>
      </c>
      <c r="N14" s="49"/>
      <c r="O14" s="2"/>
      <c r="P14" s="38">
        <f t="shared" si="3"/>
        <v>0</v>
      </c>
      <c r="Q14" s="38">
        <f t="shared" si="4"/>
        <v>166</v>
      </c>
      <c r="R14" s="38">
        <f t="shared" si="5"/>
        <v>3992</v>
      </c>
      <c r="S14" s="38">
        <f t="shared" si="6"/>
        <v>4158</v>
      </c>
      <c r="T14" s="38"/>
      <c r="U14" s="1"/>
      <c r="V14" s="1"/>
      <c r="W14" s="53"/>
      <c r="X14" s="16"/>
      <c r="Y14" s="2"/>
      <c r="Z14" s="45"/>
      <c r="AA14" s="45"/>
      <c r="AB14" s="45"/>
      <c r="AC14" s="2"/>
      <c r="AD14" s="2"/>
      <c r="AE14" s="2"/>
      <c r="AF14" s="2"/>
      <c r="AG14" s="2"/>
      <c r="AH14" s="2"/>
      <c r="AI14" s="2"/>
      <c r="AJ14" s="2"/>
      <c r="AK14" s="2"/>
      <c r="AL14" s="2"/>
    </row>
    <row r="15" ht="12.75" customHeight="1">
      <c r="A15" s="6"/>
      <c r="B15" s="6" t="s">
        <v>66</v>
      </c>
      <c r="C15" s="47">
        <v>0.0</v>
      </c>
      <c r="D15" s="47">
        <v>0.0</v>
      </c>
      <c r="E15" s="49"/>
      <c r="F15" s="47">
        <v>157.0</v>
      </c>
      <c r="G15" s="47">
        <v>52.0</v>
      </c>
      <c r="H15" s="49"/>
      <c r="I15" s="47">
        <v>4567.0</v>
      </c>
      <c r="J15" s="47">
        <v>52.0</v>
      </c>
      <c r="K15" s="49"/>
      <c r="L15" s="49">
        <f t="shared" ref="L15:M15" si="14">SUM(C15,F15,I15)</f>
        <v>4724</v>
      </c>
      <c r="M15" s="49">
        <f t="shared" si="14"/>
        <v>104</v>
      </c>
      <c r="N15" s="49"/>
      <c r="O15" s="6"/>
      <c r="P15" s="38">
        <f t="shared" si="3"/>
        <v>0</v>
      </c>
      <c r="Q15" s="38">
        <f t="shared" si="4"/>
        <v>209</v>
      </c>
      <c r="R15" s="38">
        <f t="shared" si="5"/>
        <v>4619</v>
      </c>
      <c r="S15" s="38">
        <f t="shared" si="6"/>
        <v>4828</v>
      </c>
      <c r="T15" s="38"/>
      <c r="U15" s="55"/>
      <c r="V15" s="55"/>
      <c r="W15" s="57"/>
      <c r="X15" s="58"/>
      <c r="Y15" s="6"/>
      <c r="Z15" s="45"/>
      <c r="AA15" s="45"/>
      <c r="AB15" s="45"/>
      <c r="AC15" s="6"/>
      <c r="AD15" s="6"/>
      <c r="AE15" s="6"/>
      <c r="AF15" s="6"/>
      <c r="AG15" s="6"/>
      <c r="AH15" s="6"/>
      <c r="AI15" s="6"/>
      <c r="AJ15" s="6"/>
      <c r="AK15" s="6"/>
      <c r="AL15" s="6"/>
    </row>
    <row r="16" ht="12.75" customHeight="1">
      <c r="A16" s="6"/>
      <c r="B16" s="6" t="s">
        <v>74</v>
      </c>
      <c r="C16" s="47">
        <v>0.0</v>
      </c>
      <c r="D16" s="47">
        <v>0.0</v>
      </c>
      <c r="E16" s="49"/>
      <c r="F16" s="47">
        <v>221.0</v>
      </c>
      <c r="G16" s="47">
        <v>74.0</v>
      </c>
      <c r="H16" s="49"/>
      <c r="I16" s="47">
        <v>4890.0</v>
      </c>
      <c r="J16" s="47">
        <v>83.0</v>
      </c>
      <c r="K16" s="49"/>
      <c r="L16" s="49">
        <f t="shared" ref="L16:M16" si="15">SUM(C16,F16,I16)</f>
        <v>5111</v>
      </c>
      <c r="M16" s="49">
        <f t="shared" si="15"/>
        <v>157</v>
      </c>
      <c r="N16" s="49"/>
      <c r="O16" s="6"/>
      <c r="P16" s="38">
        <f t="shared" si="3"/>
        <v>0</v>
      </c>
      <c r="Q16" s="38">
        <f t="shared" si="4"/>
        <v>295</v>
      </c>
      <c r="R16" s="38">
        <f t="shared" si="5"/>
        <v>4973</v>
      </c>
      <c r="S16" s="38">
        <f t="shared" si="6"/>
        <v>5268</v>
      </c>
      <c r="T16" s="38"/>
      <c r="U16" s="55"/>
      <c r="V16" s="55"/>
      <c r="W16" s="57"/>
      <c r="X16" s="58"/>
      <c r="Y16" s="6"/>
      <c r="Z16" s="45"/>
      <c r="AA16" s="45"/>
      <c r="AB16" s="45"/>
      <c r="AC16" s="6"/>
      <c r="AD16" s="6"/>
      <c r="AE16" s="6"/>
      <c r="AF16" s="6"/>
      <c r="AG16" s="6"/>
      <c r="AH16" s="6"/>
      <c r="AI16" s="6"/>
      <c r="AJ16" s="6"/>
      <c r="AK16" s="6"/>
      <c r="AL16" s="6"/>
    </row>
    <row r="17" ht="12.75" customHeight="1">
      <c r="A17" s="6"/>
      <c r="B17" s="6" t="s">
        <v>75</v>
      </c>
      <c r="C17" s="47">
        <v>0.0</v>
      </c>
      <c r="D17" s="47">
        <v>0.0</v>
      </c>
      <c r="E17" s="49"/>
      <c r="F17" s="47">
        <v>331.0</v>
      </c>
      <c r="G17" s="47">
        <v>110.0</v>
      </c>
      <c r="H17" s="49"/>
      <c r="I17" s="47">
        <v>5353.0</v>
      </c>
      <c r="J17" s="47">
        <v>151.0</v>
      </c>
      <c r="K17" s="49"/>
      <c r="L17" s="49">
        <f t="shared" ref="L17:M17" si="16">SUM(C17,F17,I17)</f>
        <v>5684</v>
      </c>
      <c r="M17" s="49">
        <f t="shared" si="16"/>
        <v>261</v>
      </c>
      <c r="N17" s="49"/>
      <c r="O17" s="6"/>
      <c r="P17" s="38">
        <f t="shared" si="3"/>
        <v>0</v>
      </c>
      <c r="Q17" s="38">
        <f t="shared" si="4"/>
        <v>441</v>
      </c>
      <c r="R17" s="38">
        <f t="shared" si="5"/>
        <v>5504</v>
      </c>
      <c r="S17" s="38">
        <f t="shared" si="6"/>
        <v>5945</v>
      </c>
      <c r="T17" s="38"/>
      <c r="U17" s="55"/>
      <c r="V17" s="55"/>
      <c r="W17" s="57"/>
      <c r="X17" s="58"/>
      <c r="Y17" s="6"/>
      <c r="Z17" s="45"/>
      <c r="AA17" s="45"/>
      <c r="AB17" s="45"/>
      <c r="AC17" s="6"/>
      <c r="AD17" s="6"/>
      <c r="AE17" s="6"/>
      <c r="AF17" s="6"/>
      <c r="AG17" s="6"/>
      <c r="AH17" s="6"/>
      <c r="AI17" s="6"/>
      <c r="AJ17" s="6"/>
      <c r="AK17" s="6"/>
      <c r="AL17" s="6"/>
    </row>
    <row r="18" ht="12.75" customHeight="1">
      <c r="A18" s="40">
        <v>1973.0</v>
      </c>
      <c r="B18" s="4" t="s">
        <v>58</v>
      </c>
      <c r="C18" s="47">
        <v>0.0</v>
      </c>
      <c r="D18" s="47">
        <v>0.0</v>
      </c>
      <c r="E18" s="49"/>
      <c r="F18" s="47">
        <v>533.0</v>
      </c>
      <c r="G18" s="47">
        <v>128.0</v>
      </c>
      <c r="H18" s="49"/>
      <c r="I18" s="47">
        <v>5835.0</v>
      </c>
      <c r="J18" s="47">
        <v>254.0</v>
      </c>
      <c r="K18" s="49"/>
      <c r="L18" s="49">
        <f t="shared" ref="L18:M18" si="17">SUM(C18,F18,I18)</f>
        <v>6368</v>
      </c>
      <c r="M18" s="49">
        <f t="shared" si="17"/>
        <v>382</v>
      </c>
      <c r="N18" s="49"/>
      <c r="O18" s="2"/>
      <c r="P18" s="38">
        <f t="shared" si="3"/>
        <v>0</v>
      </c>
      <c r="Q18" s="38">
        <f t="shared" si="4"/>
        <v>661</v>
      </c>
      <c r="R18" s="38">
        <f t="shared" si="5"/>
        <v>6089</v>
      </c>
      <c r="S18" s="38">
        <f t="shared" si="6"/>
        <v>6750</v>
      </c>
      <c r="T18" s="38"/>
      <c r="U18" s="1"/>
      <c r="V18" s="1"/>
      <c r="W18" s="53"/>
      <c r="X18" s="16"/>
      <c r="Y18" s="2"/>
      <c r="Z18" s="45"/>
      <c r="AA18" s="45"/>
      <c r="AB18" s="45"/>
      <c r="AC18" s="2"/>
      <c r="AD18" s="2"/>
      <c r="AE18" s="2"/>
      <c r="AF18" s="2"/>
      <c r="AG18" s="2"/>
      <c r="AH18" s="2"/>
      <c r="AI18" s="2"/>
      <c r="AJ18" s="2"/>
      <c r="AK18" s="2"/>
      <c r="AL18" s="2"/>
    </row>
    <row r="19" ht="12.75" customHeight="1">
      <c r="A19" s="6"/>
      <c r="B19" s="6" t="s">
        <v>66</v>
      </c>
      <c r="C19" s="47">
        <v>0.0</v>
      </c>
      <c r="D19" s="47">
        <v>0.0</v>
      </c>
      <c r="E19" s="49"/>
      <c r="F19" s="47">
        <v>594.0</v>
      </c>
      <c r="G19" s="47">
        <v>140.0</v>
      </c>
      <c r="H19" s="49"/>
      <c r="I19" s="47">
        <v>6524.0</v>
      </c>
      <c r="J19" s="47">
        <v>266.0</v>
      </c>
      <c r="K19" s="49"/>
      <c r="L19" s="49">
        <f t="shared" ref="L19:M19" si="18">SUM(C19,F19,I19)</f>
        <v>7118</v>
      </c>
      <c r="M19" s="49">
        <f t="shared" si="18"/>
        <v>406</v>
      </c>
      <c r="N19" s="49"/>
      <c r="O19" s="6"/>
      <c r="P19" s="38">
        <f t="shared" si="3"/>
        <v>0</v>
      </c>
      <c r="Q19" s="38">
        <f t="shared" si="4"/>
        <v>734</v>
      </c>
      <c r="R19" s="38">
        <f t="shared" si="5"/>
        <v>6790</v>
      </c>
      <c r="S19" s="38">
        <f t="shared" si="6"/>
        <v>7524</v>
      </c>
      <c r="T19" s="38"/>
      <c r="U19" s="55"/>
      <c r="V19" s="55"/>
      <c r="W19" s="57"/>
      <c r="X19" s="58"/>
      <c r="Y19" s="6"/>
      <c r="Z19" s="45"/>
      <c r="AA19" s="45"/>
      <c r="AB19" s="45"/>
      <c r="AC19" s="6"/>
      <c r="AD19" s="6"/>
      <c r="AE19" s="6"/>
      <c r="AF19" s="6"/>
      <c r="AG19" s="6"/>
      <c r="AH19" s="6"/>
      <c r="AI19" s="6"/>
      <c r="AJ19" s="6"/>
      <c r="AK19" s="6"/>
      <c r="AL19" s="6"/>
    </row>
    <row r="20" ht="12.75" customHeight="1">
      <c r="A20" s="6"/>
      <c r="B20" s="6" t="s">
        <v>74</v>
      </c>
      <c r="C20" s="47">
        <v>0.0</v>
      </c>
      <c r="D20" s="47">
        <v>0.0</v>
      </c>
      <c r="E20" s="49"/>
      <c r="F20" s="47">
        <v>625.0</v>
      </c>
      <c r="G20" s="47">
        <v>151.0</v>
      </c>
      <c r="H20" s="49"/>
      <c r="I20" s="47">
        <v>6912.0</v>
      </c>
      <c r="J20" s="47">
        <v>310.0</v>
      </c>
      <c r="K20" s="49"/>
      <c r="L20" s="49">
        <f t="shared" ref="L20:M20" si="19">SUM(C20,F20,I20)</f>
        <v>7537</v>
      </c>
      <c r="M20" s="49">
        <f t="shared" si="19"/>
        <v>461</v>
      </c>
      <c r="N20" s="49"/>
      <c r="O20" s="6"/>
      <c r="P20" s="38">
        <f t="shared" si="3"/>
        <v>0</v>
      </c>
      <c r="Q20" s="38">
        <f t="shared" si="4"/>
        <v>776</v>
      </c>
      <c r="R20" s="38">
        <f t="shared" si="5"/>
        <v>7222</v>
      </c>
      <c r="S20" s="38">
        <f t="shared" si="6"/>
        <v>7998</v>
      </c>
      <c r="T20" s="38"/>
      <c r="U20" s="55"/>
      <c r="V20" s="55"/>
      <c r="W20" s="57"/>
      <c r="X20" s="58"/>
      <c r="Y20" s="6"/>
      <c r="Z20" s="45"/>
      <c r="AA20" s="45"/>
      <c r="AB20" s="45"/>
      <c r="AC20" s="6"/>
      <c r="AD20" s="6"/>
      <c r="AE20" s="6"/>
      <c r="AF20" s="6"/>
      <c r="AG20" s="6"/>
      <c r="AH20" s="6"/>
      <c r="AI20" s="6"/>
      <c r="AJ20" s="6"/>
      <c r="AK20" s="6"/>
      <c r="AL20" s="6"/>
    </row>
    <row r="21" ht="12.75" customHeight="1">
      <c r="A21" s="6"/>
      <c r="B21" s="6" t="s">
        <v>75</v>
      </c>
      <c r="C21" s="47">
        <v>0.0</v>
      </c>
      <c r="D21" s="47">
        <v>0.0</v>
      </c>
      <c r="E21" s="49"/>
      <c r="F21" s="47">
        <v>617.0</v>
      </c>
      <c r="G21" s="47">
        <v>149.0</v>
      </c>
      <c r="H21" s="49"/>
      <c r="I21" s="47">
        <v>7561.0</v>
      </c>
      <c r="J21" s="47">
        <v>329.0</v>
      </c>
      <c r="K21" s="49"/>
      <c r="L21" s="49">
        <f t="shared" ref="L21:M21" si="20">SUM(C21,F21,I21)</f>
        <v>8178</v>
      </c>
      <c r="M21" s="49">
        <f t="shared" si="20"/>
        <v>478</v>
      </c>
      <c r="N21" s="49"/>
      <c r="O21" s="6"/>
      <c r="P21" s="38">
        <f t="shared" si="3"/>
        <v>0</v>
      </c>
      <c r="Q21" s="38">
        <f t="shared" si="4"/>
        <v>766</v>
      </c>
      <c r="R21" s="38">
        <f t="shared" si="5"/>
        <v>7890</v>
      </c>
      <c r="S21" s="38">
        <f t="shared" si="6"/>
        <v>8656</v>
      </c>
      <c r="T21" s="38"/>
      <c r="U21" s="55"/>
      <c r="V21" s="55"/>
      <c r="W21" s="57"/>
      <c r="X21" s="58"/>
      <c r="Y21" s="6"/>
      <c r="Z21" s="45"/>
      <c r="AA21" s="45"/>
      <c r="AB21" s="45"/>
      <c r="AC21" s="6"/>
      <c r="AD21" s="6"/>
      <c r="AE21" s="6"/>
      <c r="AF21" s="6"/>
      <c r="AG21" s="6"/>
      <c r="AH21" s="6"/>
      <c r="AI21" s="6"/>
      <c r="AJ21" s="6"/>
      <c r="AK21" s="6"/>
      <c r="AL21" s="6"/>
    </row>
    <row r="22" ht="12.75" customHeight="1">
      <c r="A22" s="40">
        <v>1974.0</v>
      </c>
      <c r="B22" s="4" t="s">
        <v>58</v>
      </c>
      <c r="C22" s="47">
        <v>0.0</v>
      </c>
      <c r="D22" s="47">
        <v>0.0</v>
      </c>
      <c r="E22" s="49"/>
      <c r="F22" s="47">
        <v>623.0</v>
      </c>
      <c r="G22" s="47">
        <v>151.0</v>
      </c>
      <c r="H22" s="49"/>
      <c r="I22" s="47">
        <v>9217.0</v>
      </c>
      <c r="J22" s="47">
        <v>338.0</v>
      </c>
      <c r="K22" s="49"/>
      <c r="L22" s="49">
        <f t="shared" ref="L22:M22" si="21">SUM(C22,F22,I22)</f>
        <v>9840</v>
      </c>
      <c r="M22" s="49">
        <f t="shared" si="21"/>
        <v>489</v>
      </c>
      <c r="N22" s="49"/>
      <c r="O22" s="2"/>
      <c r="P22" s="38">
        <f t="shared" si="3"/>
        <v>0</v>
      </c>
      <c r="Q22" s="38">
        <f t="shared" si="4"/>
        <v>774</v>
      </c>
      <c r="R22" s="38">
        <f t="shared" si="5"/>
        <v>9555</v>
      </c>
      <c r="S22" s="38">
        <f t="shared" si="6"/>
        <v>10329</v>
      </c>
      <c r="T22" s="38"/>
      <c r="U22" s="1"/>
      <c r="V22" s="1"/>
      <c r="W22" s="53"/>
      <c r="X22" s="16"/>
      <c r="Y22" s="2"/>
      <c r="Z22" s="45"/>
      <c r="AA22" s="45"/>
      <c r="AB22" s="45"/>
      <c r="AC22" s="2"/>
      <c r="AD22" s="2"/>
      <c r="AE22" s="2"/>
      <c r="AF22" s="2"/>
      <c r="AG22" s="2"/>
      <c r="AH22" s="2"/>
      <c r="AI22" s="2"/>
      <c r="AJ22" s="2"/>
      <c r="AK22" s="2"/>
      <c r="AL22" s="2"/>
    </row>
    <row r="23" ht="12.75" customHeight="1">
      <c r="A23" s="6"/>
      <c r="B23" s="6" t="s">
        <v>66</v>
      </c>
      <c r="C23" s="47">
        <v>0.0</v>
      </c>
      <c r="D23" s="47">
        <v>0.0</v>
      </c>
      <c r="E23" s="49"/>
      <c r="F23" s="47">
        <v>612.0</v>
      </c>
      <c r="G23" s="47">
        <v>148.0</v>
      </c>
      <c r="H23" s="49"/>
      <c r="I23" s="47">
        <v>9857.0</v>
      </c>
      <c r="J23" s="47">
        <v>368.0</v>
      </c>
      <c r="K23" s="49"/>
      <c r="L23" s="49">
        <f t="shared" ref="L23:M23" si="22">SUM(C23,F23,I23)</f>
        <v>10469</v>
      </c>
      <c r="M23" s="49">
        <f t="shared" si="22"/>
        <v>516</v>
      </c>
      <c r="N23" s="49"/>
      <c r="O23" s="6"/>
      <c r="P23" s="38">
        <f t="shared" si="3"/>
        <v>0</v>
      </c>
      <c r="Q23" s="38">
        <f t="shared" si="4"/>
        <v>760</v>
      </c>
      <c r="R23" s="38">
        <f t="shared" si="5"/>
        <v>10225</v>
      </c>
      <c r="S23" s="38">
        <f t="shared" si="6"/>
        <v>10985</v>
      </c>
      <c r="T23" s="38"/>
      <c r="U23" s="55"/>
      <c r="V23" s="55"/>
      <c r="W23" s="57"/>
      <c r="X23" s="58"/>
      <c r="Y23" s="6"/>
      <c r="Z23" s="45"/>
      <c r="AA23" s="45"/>
      <c r="AB23" s="45"/>
      <c r="AC23" s="6"/>
      <c r="AD23" s="6"/>
      <c r="AE23" s="6"/>
      <c r="AF23" s="6"/>
      <c r="AG23" s="6"/>
      <c r="AH23" s="6"/>
      <c r="AI23" s="6"/>
      <c r="AJ23" s="6"/>
      <c r="AK23" s="6"/>
      <c r="AL23" s="6"/>
    </row>
    <row r="24" ht="12.75" customHeight="1">
      <c r="A24" s="6"/>
      <c r="B24" s="6" t="s">
        <v>74</v>
      </c>
      <c r="C24" s="47">
        <v>0.0</v>
      </c>
      <c r="D24" s="47">
        <v>0.0</v>
      </c>
      <c r="E24" s="49"/>
      <c r="F24" s="47">
        <v>595.0</v>
      </c>
      <c r="G24" s="47">
        <v>143.0</v>
      </c>
      <c r="H24" s="49"/>
      <c r="I24" s="47">
        <v>10506.0</v>
      </c>
      <c r="J24" s="47">
        <v>476.0</v>
      </c>
      <c r="K24" s="49"/>
      <c r="L24" s="49">
        <f t="shared" ref="L24:M24" si="23">SUM(C24,F24,I24)</f>
        <v>11101</v>
      </c>
      <c r="M24" s="49">
        <f t="shared" si="23"/>
        <v>619</v>
      </c>
      <c r="N24" s="49"/>
      <c r="O24" s="6"/>
      <c r="P24" s="38">
        <f t="shared" si="3"/>
        <v>0</v>
      </c>
      <c r="Q24" s="38">
        <f t="shared" si="4"/>
        <v>738</v>
      </c>
      <c r="R24" s="38">
        <f t="shared" si="5"/>
        <v>10982</v>
      </c>
      <c r="S24" s="38">
        <f t="shared" si="6"/>
        <v>11720</v>
      </c>
      <c r="T24" s="38"/>
      <c r="U24" s="55"/>
      <c r="V24" s="55"/>
      <c r="W24" s="57"/>
      <c r="X24" s="58"/>
      <c r="Y24" s="6"/>
      <c r="Z24" s="45"/>
      <c r="AA24" s="45"/>
      <c r="AB24" s="45"/>
      <c r="AC24" s="6"/>
      <c r="AD24" s="6"/>
      <c r="AE24" s="6"/>
      <c r="AF24" s="6"/>
      <c r="AG24" s="6"/>
      <c r="AH24" s="6"/>
      <c r="AI24" s="6"/>
      <c r="AJ24" s="6"/>
      <c r="AK24" s="6"/>
      <c r="AL24" s="6"/>
    </row>
    <row r="25" ht="12.75" customHeight="1">
      <c r="A25" s="6"/>
      <c r="B25" s="6" t="s">
        <v>75</v>
      </c>
      <c r="C25" s="47">
        <v>0.0</v>
      </c>
      <c r="D25" s="47">
        <v>0.0</v>
      </c>
      <c r="E25" s="49"/>
      <c r="F25" s="47">
        <v>608.0</v>
      </c>
      <c r="G25" s="47">
        <v>149.0</v>
      </c>
      <c r="H25" s="49"/>
      <c r="I25" s="47">
        <v>11249.0</v>
      </c>
      <c r="J25" s="47">
        <v>520.0</v>
      </c>
      <c r="K25" s="49"/>
      <c r="L25" s="49">
        <f t="shared" ref="L25:M25" si="24">SUM(C25,F25,I25)</f>
        <v>11857</v>
      </c>
      <c r="M25" s="49">
        <f t="shared" si="24"/>
        <v>669</v>
      </c>
      <c r="N25" s="49"/>
      <c r="O25" s="6"/>
      <c r="P25" s="38">
        <f t="shared" si="3"/>
        <v>0</v>
      </c>
      <c r="Q25" s="38">
        <f t="shared" si="4"/>
        <v>757</v>
      </c>
      <c r="R25" s="38">
        <f t="shared" si="5"/>
        <v>11769</v>
      </c>
      <c r="S25" s="38">
        <f t="shared" si="6"/>
        <v>12526</v>
      </c>
      <c r="T25" s="38"/>
      <c r="U25" s="55"/>
      <c r="V25" s="55"/>
      <c r="W25" s="57"/>
      <c r="X25" s="58"/>
      <c r="Y25" s="6"/>
      <c r="Z25" s="45"/>
      <c r="AA25" s="45"/>
      <c r="AB25" s="45"/>
      <c r="AC25" s="6"/>
      <c r="AD25" s="6"/>
      <c r="AE25" s="6"/>
      <c r="AF25" s="6"/>
      <c r="AG25" s="6"/>
      <c r="AH25" s="6"/>
      <c r="AI25" s="6"/>
      <c r="AJ25" s="6"/>
      <c r="AK25" s="6"/>
      <c r="AL25" s="6"/>
    </row>
    <row r="26" ht="12.75" customHeight="1">
      <c r="A26" s="40">
        <v>1975.0</v>
      </c>
      <c r="B26" s="4" t="s">
        <v>58</v>
      </c>
      <c r="C26" s="47">
        <v>0.0</v>
      </c>
      <c r="D26" s="47">
        <v>0.0</v>
      </c>
      <c r="E26" s="49"/>
      <c r="F26" s="47">
        <v>941.0</v>
      </c>
      <c r="G26" s="47">
        <v>160.0</v>
      </c>
      <c r="H26" s="49"/>
      <c r="I26" s="47">
        <v>12804.0</v>
      </c>
      <c r="J26" s="47">
        <v>536.0</v>
      </c>
      <c r="K26" s="49"/>
      <c r="L26" s="49">
        <f t="shared" ref="L26:M26" si="25">SUM(C26,F26,I26)</f>
        <v>13745</v>
      </c>
      <c r="M26" s="49">
        <f t="shared" si="25"/>
        <v>696</v>
      </c>
      <c r="N26" s="49"/>
      <c r="O26" s="2"/>
      <c r="P26" s="38">
        <f t="shared" si="3"/>
        <v>0</v>
      </c>
      <c r="Q26" s="38">
        <f t="shared" si="4"/>
        <v>1101</v>
      </c>
      <c r="R26" s="38">
        <f t="shared" si="5"/>
        <v>13340</v>
      </c>
      <c r="S26" s="38">
        <f t="shared" si="6"/>
        <v>14441</v>
      </c>
      <c r="T26" s="38"/>
      <c r="U26" s="1"/>
      <c r="V26" s="1"/>
      <c r="W26" s="53"/>
      <c r="X26" s="16"/>
      <c r="Y26" s="2"/>
      <c r="Z26" s="45"/>
      <c r="AA26" s="45"/>
      <c r="AB26" s="45"/>
      <c r="AC26" s="2"/>
      <c r="AD26" s="2"/>
      <c r="AE26" s="2"/>
      <c r="AF26" s="2"/>
      <c r="AG26" s="2"/>
      <c r="AH26" s="2"/>
      <c r="AI26" s="2"/>
      <c r="AJ26" s="2"/>
      <c r="AK26" s="2"/>
      <c r="AL26" s="2"/>
    </row>
    <row r="27" ht="12.75" customHeight="1">
      <c r="A27" s="6"/>
      <c r="B27" s="6" t="s">
        <v>66</v>
      </c>
      <c r="C27" s="47">
        <v>0.0</v>
      </c>
      <c r="D27" s="47">
        <v>0.0</v>
      </c>
      <c r="E27" s="49"/>
      <c r="F27" s="47">
        <v>1008.0</v>
      </c>
      <c r="G27" s="47">
        <v>185.0</v>
      </c>
      <c r="H27" s="49"/>
      <c r="I27" s="47">
        <v>14863.0</v>
      </c>
      <c r="J27" s="47">
        <v>574.0</v>
      </c>
      <c r="K27" s="49"/>
      <c r="L27" s="49">
        <f t="shared" ref="L27:M27" si="26">SUM(C27,F27,I27)</f>
        <v>15871</v>
      </c>
      <c r="M27" s="49">
        <f t="shared" si="26"/>
        <v>759</v>
      </c>
      <c r="N27" s="49"/>
      <c r="O27" s="6"/>
      <c r="P27" s="38">
        <f t="shared" si="3"/>
        <v>0</v>
      </c>
      <c r="Q27" s="38">
        <f t="shared" si="4"/>
        <v>1193</v>
      </c>
      <c r="R27" s="38">
        <f t="shared" si="5"/>
        <v>15437</v>
      </c>
      <c r="S27" s="38">
        <f t="shared" si="6"/>
        <v>16630</v>
      </c>
      <c r="T27" s="38"/>
      <c r="U27" s="55"/>
      <c r="V27" s="55"/>
      <c r="W27" s="57"/>
      <c r="X27" s="58"/>
      <c r="Y27" s="6"/>
      <c r="Z27" s="45"/>
      <c r="AA27" s="45"/>
      <c r="AB27" s="45"/>
      <c r="AC27" s="6"/>
      <c r="AD27" s="6"/>
      <c r="AE27" s="6"/>
      <c r="AF27" s="6"/>
      <c r="AG27" s="6"/>
      <c r="AH27" s="6"/>
      <c r="AI27" s="6"/>
      <c r="AJ27" s="6"/>
      <c r="AK27" s="6"/>
      <c r="AL27" s="6"/>
    </row>
    <row r="28" ht="12.75" customHeight="1">
      <c r="A28" s="6"/>
      <c r="B28" s="6" t="s">
        <v>74</v>
      </c>
      <c r="C28" s="47">
        <v>0.0</v>
      </c>
      <c r="D28" s="47">
        <v>0.0</v>
      </c>
      <c r="E28" s="49"/>
      <c r="F28" s="47">
        <v>1105.0</v>
      </c>
      <c r="G28" s="47">
        <v>218.0</v>
      </c>
      <c r="H28" s="49"/>
      <c r="I28" s="47">
        <v>15946.0</v>
      </c>
      <c r="J28" s="47">
        <v>649.0</v>
      </c>
      <c r="K28" s="49"/>
      <c r="L28" s="49">
        <f t="shared" ref="L28:M28" si="27">SUM(C28,F28,I28)</f>
        <v>17051</v>
      </c>
      <c r="M28" s="49">
        <f t="shared" si="27"/>
        <v>867</v>
      </c>
      <c r="N28" s="49"/>
      <c r="O28" s="6"/>
      <c r="P28" s="38">
        <f t="shared" si="3"/>
        <v>0</v>
      </c>
      <c r="Q28" s="38">
        <f t="shared" si="4"/>
        <v>1323</v>
      </c>
      <c r="R28" s="38">
        <f t="shared" si="5"/>
        <v>16595</v>
      </c>
      <c r="S28" s="38">
        <f t="shared" si="6"/>
        <v>17918</v>
      </c>
      <c r="T28" s="38"/>
      <c r="U28" s="55"/>
      <c r="V28" s="55"/>
      <c r="W28" s="57"/>
      <c r="X28" s="58"/>
      <c r="Y28" s="6"/>
      <c r="Z28" s="45"/>
      <c r="AA28" s="45"/>
      <c r="AB28" s="45"/>
      <c r="AC28" s="6"/>
      <c r="AD28" s="6"/>
      <c r="AE28" s="6"/>
      <c r="AF28" s="6"/>
      <c r="AG28" s="6"/>
      <c r="AH28" s="6"/>
      <c r="AI28" s="6"/>
      <c r="AJ28" s="6"/>
      <c r="AK28" s="6"/>
      <c r="AL28" s="6"/>
    </row>
    <row r="29" ht="12.75" customHeight="1">
      <c r="A29" s="6"/>
      <c r="B29" s="6" t="s">
        <v>75</v>
      </c>
      <c r="C29" s="47">
        <v>0.0</v>
      </c>
      <c r="D29" s="47">
        <v>0.0</v>
      </c>
      <c r="E29" s="49"/>
      <c r="F29" s="47">
        <v>1349.0</v>
      </c>
      <c r="G29" s="47">
        <v>249.0</v>
      </c>
      <c r="H29" s="49"/>
      <c r="I29" s="47">
        <v>17538.0</v>
      </c>
      <c r="J29" s="47">
        <v>719.0</v>
      </c>
      <c r="K29" s="49"/>
      <c r="L29" s="49">
        <f t="shared" ref="L29:M29" si="28">SUM(C29,F29,I29)</f>
        <v>18887</v>
      </c>
      <c r="M29" s="49">
        <f t="shared" si="28"/>
        <v>968</v>
      </c>
      <c r="N29" s="49"/>
      <c r="O29" s="6"/>
      <c r="P29" s="38">
        <f t="shared" si="3"/>
        <v>0</v>
      </c>
      <c r="Q29" s="38">
        <f t="shared" si="4"/>
        <v>1598</v>
      </c>
      <c r="R29" s="38">
        <f t="shared" si="5"/>
        <v>18257</v>
      </c>
      <c r="S29" s="38">
        <f t="shared" si="6"/>
        <v>19855</v>
      </c>
      <c r="T29" s="38"/>
      <c r="U29" s="55"/>
      <c r="V29" s="55"/>
      <c r="W29" s="57"/>
      <c r="X29" s="58"/>
      <c r="Y29" s="6"/>
      <c r="Z29" s="45"/>
      <c r="AA29" s="45"/>
      <c r="AB29" s="45"/>
      <c r="AC29" s="6"/>
      <c r="AD29" s="6"/>
      <c r="AE29" s="6"/>
      <c r="AF29" s="6"/>
      <c r="AG29" s="6"/>
      <c r="AH29" s="6"/>
      <c r="AI29" s="6"/>
      <c r="AJ29" s="6"/>
      <c r="AK29" s="6"/>
      <c r="AL29" s="6"/>
    </row>
    <row r="30" ht="12.75" customHeight="1">
      <c r="A30" s="40">
        <v>1976.0</v>
      </c>
      <c r="B30" s="4" t="s">
        <v>58</v>
      </c>
      <c r="C30" s="47">
        <v>0.0</v>
      </c>
      <c r="D30" s="47">
        <v>0.0</v>
      </c>
      <c r="E30" s="49"/>
      <c r="F30" s="47">
        <v>1698.0</v>
      </c>
      <c r="G30" s="47">
        <v>301.0</v>
      </c>
      <c r="H30" s="49"/>
      <c r="I30" s="47">
        <v>19693.0</v>
      </c>
      <c r="J30" s="47">
        <v>786.0</v>
      </c>
      <c r="K30" s="49"/>
      <c r="L30" s="49">
        <f t="shared" ref="L30:M30" si="29">SUM(C30,F30,I30)</f>
        <v>21391</v>
      </c>
      <c r="M30" s="49">
        <f t="shared" si="29"/>
        <v>1087</v>
      </c>
      <c r="N30" s="49"/>
      <c r="O30" s="2"/>
      <c r="P30" s="38">
        <f t="shared" si="3"/>
        <v>0</v>
      </c>
      <c r="Q30" s="38">
        <f t="shared" si="4"/>
        <v>1999</v>
      </c>
      <c r="R30" s="38">
        <f t="shared" si="5"/>
        <v>20479</v>
      </c>
      <c r="S30" s="38">
        <f t="shared" si="6"/>
        <v>22478</v>
      </c>
      <c r="T30" s="38"/>
      <c r="U30" s="1"/>
      <c r="V30" s="1"/>
      <c r="W30" s="53"/>
      <c r="X30" s="16"/>
      <c r="Y30" s="2"/>
      <c r="Z30" s="45"/>
      <c r="AA30" s="45"/>
      <c r="AB30" s="45"/>
      <c r="AC30" s="2"/>
      <c r="AD30" s="2"/>
      <c r="AE30" s="2"/>
      <c r="AF30" s="2"/>
      <c r="AG30" s="2"/>
      <c r="AH30" s="2"/>
      <c r="AI30" s="2"/>
      <c r="AJ30" s="2"/>
      <c r="AK30" s="2"/>
      <c r="AL30" s="2"/>
    </row>
    <row r="31" ht="12.75" customHeight="1">
      <c r="A31" s="6"/>
      <c r="B31" s="6" t="s">
        <v>66</v>
      </c>
      <c r="C31" s="47">
        <v>0.0</v>
      </c>
      <c r="D31" s="47">
        <v>0.0</v>
      </c>
      <c r="E31" s="49"/>
      <c r="F31" s="47">
        <v>1831.0</v>
      </c>
      <c r="G31" s="47">
        <v>322.0</v>
      </c>
      <c r="H31" s="49"/>
      <c r="I31" s="47">
        <v>22821.0</v>
      </c>
      <c r="J31" s="47">
        <v>813.0</v>
      </c>
      <c r="K31" s="49"/>
      <c r="L31" s="49">
        <f t="shared" ref="L31:M31" si="30">SUM(C31,F31,I31)</f>
        <v>24652</v>
      </c>
      <c r="M31" s="49">
        <f t="shared" si="30"/>
        <v>1135</v>
      </c>
      <c r="N31" s="49"/>
      <c r="O31" s="6"/>
      <c r="P31" s="38">
        <f t="shared" si="3"/>
        <v>0</v>
      </c>
      <c r="Q31" s="38">
        <f t="shared" si="4"/>
        <v>2153</v>
      </c>
      <c r="R31" s="38">
        <f t="shared" si="5"/>
        <v>23634</v>
      </c>
      <c r="S31" s="38">
        <f t="shared" si="6"/>
        <v>25787</v>
      </c>
      <c r="T31" s="38"/>
      <c r="U31" s="55"/>
      <c r="V31" s="55"/>
      <c r="W31" s="57"/>
      <c r="X31" s="58"/>
      <c r="Y31" s="6"/>
      <c r="Z31" s="45"/>
      <c r="AA31" s="45"/>
      <c r="AB31" s="45"/>
      <c r="AC31" s="6"/>
      <c r="AD31" s="6"/>
      <c r="AE31" s="6"/>
      <c r="AF31" s="6"/>
      <c r="AG31" s="6"/>
      <c r="AH31" s="6"/>
      <c r="AI31" s="6"/>
      <c r="AJ31" s="6"/>
      <c r="AK31" s="6"/>
      <c r="AL31" s="6"/>
    </row>
    <row r="32" ht="12.75" customHeight="1">
      <c r="A32" s="6"/>
      <c r="B32" s="6" t="s">
        <v>74</v>
      </c>
      <c r="C32" s="47">
        <v>0.0</v>
      </c>
      <c r="D32" s="47">
        <v>0.0</v>
      </c>
      <c r="E32" s="49"/>
      <c r="F32" s="47">
        <v>2141.0</v>
      </c>
      <c r="G32" s="47">
        <v>365.0</v>
      </c>
      <c r="H32" s="49"/>
      <c r="I32" s="47">
        <v>25841.0</v>
      </c>
      <c r="J32" s="47">
        <v>884.0</v>
      </c>
      <c r="K32" s="49"/>
      <c r="L32" s="49">
        <f t="shared" ref="L32:M32" si="31">SUM(C32,F32,I32)</f>
        <v>27982</v>
      </c>
      <c r="M32" s="49">
        <f t="shared" si="31"/>
        <v>1249</v>
      </c>
      <c r="N32" s="49"/>
      <c r="O32" s="6"/>
      <c r="P32" s="38">
        <f t="shared" si="3"/>
        <v>0</v>
      </c>
      <c r="Q32" s="38">
        <f t="shared" si="4"/>
        <v>2506</v>
      </c>
      <c r="R32" s="38">
        <f t="shared" si="5"/>
        <v>26725</v>
      </c>
      <c r="S32" s="38">
        <f t="shared" si="6"/>
        <v>29231</v>
      </c>
      <c r="T32" s="38"/>
      <c r="U32" s="55"/>
      <c r="V32" s="55"/>
      <c r="W32" s="57"/>
      <c r="X32" s="58"/>
      <c r="Y32" s="6"/>
      <c r="Z32" s="45"/>
      <c r="AA32" s="45"/>
      <c r="AB32" s="45"/>
      <c r="AC32" s="6"/>
      <c r="AD32" s="6"/>
      <c r="AE32" s="6"/>
      <c r="AF32" s="6"/>
      <c r="AG32" s="6"/>
      <c r="AH32" s="6"/>
      <c r="AI32" s="6"/>
      <c r="AJ32" s="6"/>
      <c r="AK32" s="6"/>
      <c r="AL32" s="6"/>
    </row>
    <row r="33" ht="12.75" customHeight="1">
      <c r="A33" s="6"/>
      <c r="B33" s="6" t="s">
        <v>75</v>
      </c>
      <c r="C33" s="47">
        <v>0.0</v>
      </c>
      <c r="D33" s="47">
        <v>0.0</v>
      </c>
      <c r="E33" s="49"/>
      <c r="F33" s="47">
        <v>2282.0</v>
      </c>
      <c r="G33" s="47">
        <v>389.0</v>
      </c>
      <c r="H33" s="49"/>
      <c r="I33" s="47">
        <v>29583.0</v>
      </c>
      <c r="J33" s="47">
        <v>989.0</v>
      </c>
      <c r="K33" s="49"/>
      <c r="L33" s="49">
        <f t="shared" ref="L33:M33" si="32">SUM(C33,F33,I33)</f>
        <v>31865</v>
      </c>
      <c r="M33" s="49">
        <f t="shared" si="32"/>
        <v>1378</v>
      </c>
      <c r="N33" s="49"/>
      <c r="O33" s="6"/>
      <c r="P33" s="38">
        <f t="shared" si="3"/>
        <v>0</v>
      </c>
      <c r="Q33" s="38">
        <f t="shared" si="4"/>
        <v>2671</v>
      </c>
      <c r="R33" s="38">
        <f t="shared" si="5"/>
        <v>30572</v>
      </c>
      <c r="S33" s="38">
        <f t="shared" si="6"/>
        <v>33243</v>
      </c>
      <c r="T33" s="38"/>
      <c r="U33" s="55"/>
      <c r="V33" s="55"/>
      <c r="W33" s="57"/>
      <c r="X33" s="58"/>
      <c r="Y33" s="6"/>
      <c r="Z33" s="45"/>
      <c r="AA33" s="45"/>
      <c r="AB33" s="45"/>
      <c r="AC33" s="6"/>
      <c r="AD33" s="6"/>
      <c r="AE33" s="6"/>
      <c r="AF33" s="6"/>
      <c r="AG33" s="6"/>
      <c r="AH33" s="6"/>
      <c r="AI33" s="6"/>
      <c r="AJ33" s="6"/>
      <c r="AK33" s="6"/>
      <c r="AL33" s="6"/>
    </row>
    <row r="34" ht="12.75" customHeight="1">
      <c r="A34" s="40">
        <v>1977.0</v>
      </c>
      <c r="B34" s="6" t="s">
        <v>58</v>
      </c>
      <c r="C34" s="47">
        <v>0.0</v>
      </c>
      <c r="D34" s="47">
        <v>0.0</v>
      </c>
      <c r="E34" s="49"/>
      <c r="F34" s="47">
        <v>3112.0</v>
      </c>
      <c r="G34" s="47">
        <v>458.0</v>
      </c>
      <c r="H34" s="49"/>
      <c r="I34" s="47">
        <v>33190.0</v>
      </c>
      <c r="J34" s="47">
        <v>1070.0</v>
      </c>
      <c r="K34" s="49"/>
      <c r="L34" s="49">
        <f t="shared" ref="L34:M34" si="33">SUM(C34,F34,I34)</f>
        <v>36302</v>
      </c>
      <c r="M34" s="49">
        <f t="shared" si="33"/>
        <v>1528</v>
      </c>
      <c r="N34" s="49"/>
      <c r="O34" s="6"/>
      <c r="P34" s="38">
        <f t="shared" si="3"/>
        <v>0</v>
      </c>
      <c r="Q34" s="38">
        <f t="shared" si="4"/>
        <v>3570</v>
      </c>
      <c r="R34" s="38">
        <f t="shared" si="5"/>
        <v>34260</v>
      </c>
      <c r="S34" s="38">
        <f t="shared" si="6"/>
        <v>37830</v>
      </c>
      <c r="T34" s="38"/>
      <c r="U34" s="55"/>
      <c r="V34" s="55"/>
      <c r="W34" s="57"/>
      <c r="X34" s="58"/>
      <c r="Y34" s="6"/>
      <c r="Z34" s="45"/>
      <c r="AA34" s="45"/>
      <c r="AB34" s="45"/>
      <c r="AC34" s="6"/>
      <c r="AD34" s="6"/>
      <c r="AE34" s="6"/>
      <c r="AF34" s="6"/>
      <c r="AG34" s="6"/>
      <c r="AH34" s="6"/>
      <c r="AI34" s="6"/>
      <c r="AJ34" s="6"/>
      <c r="AK34" s="6"/>
      <c r="AL34" s="6"/>
    </row>
    <row r="35" ht="12.75" customHeight="1">
      <c r="A35" s="6"/>
      <c r="B35" s="6" t="s">
        <v>66</v>
      </c>
      <c r="C35" s="47">
        <v>0.0</v>
      </c>
      <c r="D35" s="47">
        <v>0.0</v>
      </c>
      <c r="E35" s="49"/>
      <c r="F35" s="47">
        <v>3938.0</v>
      </c>
      <c r="G35" s="47">
        <v>522.0</v>
      </c>
      <c r="H35" s="49"/>
      <c r="I35" s="47">
        <v>35467.0</v>
      </c>
      <c r="J35" s="47">
        <v>1106.0</v>
      </c>
      <c r="K35" s="49"/>
      <c r="L35" s="49">
        <f t="shared" ref="L35:M35" si="34">SUM(C35,F35,I35)</f>
        <v>39405</v>
      </c>
      <c r="M35" s="49">
        <f t="shared" si="34"/>
        <v>1628</v>
      </c>
      <c r="N35" s="49"/>
      <c r="O35" s="6"/>
      <c r="P35" s="38">
        <f t="shared" si="3"/>
        <v>0</v>
      </c>
      <c r="Q35" s="38">
        <f t="shared" si="4"/>
        <v>4460</v>
      </c>
      <c r="R35" s="38">
        <f t="shared" si="5"/>
        <v>36573</v>
      </c>
      <c r="S35" s="38">
        <f t="shared" si="6"/>
        <v>41033</v>
      </c>
      <c r="T35" s="38"/>
      <c r="U35" s="55"/>
      <c r="V35" s="55"/>
      <c r="W35" s="57"/>
      <c r="X35" s="58"/>
      <c r="Y35" s="6"/>
      <c r="Z35" s="45"/>
      <c r="AA35" s="45"/>
      <c r="AB35" s="45"/>
      <c r="AC35" s="6"/>
      <c r="AD35" s="6"/>
      <c r="AE35" s="6"/>
      <c r="AF35" s="6"/>
      <c r="AG35" s="6"/>
      <c r="AH35" s="6"/>
      <c r="AI35" s="6"/>
      <c r="AJ35" s="6"/>
      <c r="AK35" s="6"/>
      <c r="AL35" s="6"/>
    </row>
    <row r="36" ht="12.75" customHeight="1">
      <c r="A36" s="2"/>
      <c r="B36" s="4" t="s">
        <v>74</v>
      </c>
      <c r="C36" s="47">
        <v>0.0</v>
      </c>
      <c r="D36" s="47">
        <v>0.0</v>
      </c>
      <c r="E36" s="49"/>
      <c r="F36" s="47">
        <v>4642.0</v>
      </c>
      <c r="G36" s="47">
        <v>690.0</v>
      </c>
      <c r="H36" s="49"/>
      <c r="I36" s="47">
        <v>39865.0</v>
      </c>
      <c r="J36" s="47">
        <v>1224.0</v>
      </c>
      <c r="K36" s="49"/>
      <c r="L36" s="49">
        <f t="shared" ref="L36:M36" si="35">SUM(C36,F36,I36)</f>
        <v>44507</v>
      </c>
      <c r="M36" s="49">
        <f t="shared" si="35"/>
        <v>1914</v>
      </c>
      <c r="N36" s="49"/>
      <c r="O36" s="2"/>
      <c r="P36" s="38">
        <f t="shared" si="3"/>
        <v>0</v>
      </c>
      <c r="Q36" s="38">
        <f t="shared" si="4"/>
        <v>5332</v>
      </c>
      <c r="R36" s="38">
        <f t="shared" si="5"/>
        <v>41089</v>
      </c>
      <c r="S36" s="38">
        <f t="shared" si="6"/>
        <v>46421</v>
      </c>
      <c r="T36" s="38"/>
      <c r="U36" s="1"/>
      <c r="V36" s="1"/>
      <c r="W36" s="53"/>
      <c r="X36" s="16"/>
      <c r="Y36" s="2"/>
      <c r="Z36" s="45"/>
      <c r="AA36" s="45"/>
      <c r="AB36" s="45"/>
      <c r="AC36" s="2"/>
      <c r="AD36" s="2"/>
      <c r="AE36" s="2"/>
      <c r="AF36" s="2"/>
      <c r="AG36" s="2"/>
      <c r="AH36" s="2"/>
      <c r="AI36" s="2"/>
      <c r="AJ36" s="2"/>
      <c r="AK36" s="2"/>
      <c r="AL36" s="2"/>
    </row>
    <row r="37" ht="12.75" customHeight="1">
      <c r="A37" s="6"/>
      <c r="B37" s="6" t="s">
        <v>75</v>
      </c>
      <c r="C37" s="47">
        <v>0.0</v>
      </c>
      <c r="D37" s="47">
        <v>0.0</v>
      </c>
      <c r="E37" s="49"/>
      <c r="F37" s="47">
        <v>5621.0</v>
      </c>
      <c r="G37" s="47">
        <v>989.0</v>
      </c>
      <c r="H37" s="49"/>
      <c r="I37" s="47">
        <v>43555.0</v>
      </c>
      <c r="J37" s="47">
        <v>1341.0</v>
      </c>
      <c r="K37" s="49"/>
      <c r="L37" s="49">
        <f t="shared" ref="L37:M37" si="36">SUM(C37,F37,I37)</f>
        <v>49176</v>
      </c>
      <c r="M37" s="49">
        <f t="shared" si="36"/>
        <v>2330</v>
      </c>
      <c r="N37" s="49"/>
      <c r="O37" s="6"/>
      <c r="P37" s="38">
        <f t="shared" si="3"/>
        <v>0</v>
      </c>
      <c r="Q37" s="38">
        <f t="shared" si="4"/>
        <v>6610</v>
      </c>
      <c r="R37" s="38">
        <f t="shared" si="5"/>
        <v>44896</v>
      </c>
      <c r="S37" s="38">
        <f t="shared" si="6"/>
        <v>51506</v>
      </c>
      <c r="T37" s="38"/>
      <c r="U37" s="55"/>
      <c r="V37" s="55"/>
      <c r="W37" s="57"/>
      <c r="X37" s="58"/>
      <c r="Y37" s="6"/>
      <c r="Z37" s="45"/>
      <c r="AA37" s="45"/>
      <c r="AB37" s="45"/>
      <c r="AC37" s="6"/>
      <c r="AD37" s="6"/>
      <c r="AE37" s="6"/>
      <c r="AF37" s="6"/>
      <c r="AG37" s="6"/>
      <c r="AH37" s="6"/>
      <c r="AI37" s="6"/>
      <c r="AJ37" s="6"/>
      <c r="AK37" s="6"/>
      <c r="AL37" s="6"/>
    </row>
    <row r="38" ht="12.75" customHeight="1">
      <c r="A38" s="40">
        <v>1978.0</v>
      </c>
      <c r="B38" s="6" t="s">
        <v>58</v>
      </c>
      <c r="C38" s="47">
        <v>0.0</v>
      </c>
      <c r="D38" s="47">
        <v>0.0</v>
      </c>
      <c r="E38" s="49"/>
      <c r="F38" s="47">
        <v>6286.0</v>
      </c>
      <c r="G38" s="47">
        <v>1185.0</v>
      </c>
      <c r="H38" s="49"/>
      <c r="I38" s="47">
        <v>44906.0</v>
      </c>
      <c r="J38" s="47">
        <v>1451.0</v>
      </c>
      <c r="K38" s="49"/>
      <c r="L38" s="49">
        <f t="shared" ref="L38:M38" si="37">SUM(C38,F38,I38)</f>
        <v>51192</v>
      </c>
      <c r="M38" s="49">
        <f t="shared" si="37"/>
        <v>2636</v>
      </c>
      <c r="N38" s="49"/>
      <c r="O38" s="6"/>
      <c r="P38" s="38">
        <f t="shared" si="3"/>
        <v>0</v>
      </c>
      <c r="Q38" s="38">
        <f t="shared" si="4"/>
        <v>7471</v>
      </c>
      <c r="R38" s="38">
        <f t="shared" si="5"/>
        <v>46357</v>
      </c>
      <c r="S38" s="38">
        <f t="shared" si="6"/>
        <v>53828</v>
      </c>
      <c r="T38" s="38"/>
      <c r="U38" s="55"/>
      <c r="V38" s="55"/>
      <c r="W38" s="57"/>
      <c r="X38" s="58"/>
      <c r="Y38" s="6"/>
      <c r="Z38" s="45"/>
      <c r="AA38" s="45"/>
      <c r="AB38" s="45"/>
      <c r="AC38" s="6"/>
      <c r="AD38" s="6"/>
      <c r="AE38" s="6"/>
      <c r="AF38" s="6"/>
      <c r="AG38" s="6"/>
      <c r="AH38" s="6"/>
      <c r="AI38" s="6"/>
      <c r="AJ38" s="6"/>
      <c r="AK38" s="6"/>
      <c r="AL38" s="6"/>
    </row>
    <row r="39" ht="12.75" customHeight="1">
      <c r="A39" s="6"/>
      <c r="B39" s="6" t="s">
        <v>66</v>
      </c>
      <c r="C39" s="47">
        <v>0.0</v>
      </c>
      <c r="D39" s="47">
        <v>0.0</v>
      </c>
      <c r="E39" s="49"/>
      <c r="F39" s="47">
        <v>7797.0</v>
      </c>
      <c r="G39" s="47">
        <v>1626.0</v>
      </c>
      <c r="H39" s="49"/>
      <c r="I39" s="47">
        <v>46515.0</v>
      </c>
      <c r="J39" s="47">
        <v>1517.0</v>
      </c>
      <c r="K39" s="49"/>
      <c r="L39" s="49">
        <f t="shared" ref="L39:M39" si="38">SUM(C39,F39,I39)</f>
        <v>54312</v>
      </c>
      <c r="M39" s="49">
        <f t="shared" si="38"/>
        <v>3143</v>
      </c>
      <c r="N39" s="49"/>
      <c r="O39" s="6"/>
      <c r="P39" s="38">
        <f t="shared" si="3"/>
        <v>0</v>
      </c>
      <c r="Q39" s="38">
        <f t="shared" si="4"/>
        <v>9423</v>
      </c>
      <c r="R39" s="38">
        <f t="shared" si="5"/>
        <v>48032</v>
      </c>
      <c r="S39" s="38">
        <f t="shared" si="6"/>
        <v>57455</v>
      </c>
      <c r="T39" s="38"/>
      <c r="U39" s="55"/>
      <c r="V39" s="55"/>
      <c r="W39" s="57"/>
      <c r="X39" s="58"/>
      <c r="Y39" s="6"/>
      <c r="Z39" s="45"/>
      <c r="AA39" s="45"/>
      <c r="AB39" s="45"/>
      <c r="AC39" s="6"/>
      <c r="AD39" s="6"/>
      <c r="AE39" s="6"/>
      <c r="AF39" s="6"/>
      <c r="AG39" s="6"/>
      <c r="AH39" s="6"/>
      <c r="AI39" s="6"/>
      <c r="AJ39" s="6"/>
      <c r="AK39" s="6"/>
      <c r="AL39" s="6"/>
    </row>
    <row r="40" ht="12.75" customHeight="1">
      <c r="A40" s="6"/>
      <c r="B40" s="6" t="s">
        <v>74</v>
      </c>
      <c r="C40" s="47">
        <v>0.0</v>
      </c>
      <c r="D40" s="47">
        <v>0.0</v>
      </c>
      <c r="E40" s="49"/>
      <c r="F40" s="47">
        <v>8616.0</v>
      </c>
      <c r="G40" s="47">
        <v>1895.0</v>
      </c>
      <c r="H40" s="49"/>
      <c r="I40" s="47">
        <v>49276.0</v>
      </c>
      <c r="J40" s="47">
        <v>1568.0</v>
      </c>
      <c r="K40" s="49"/>
      <c r="L40" s="49">
        <f t="shared" ref="L40:M40" si="39">SUM(C40,F40,I40)</f>
        <v>57892</v>
      </c>
      <c r="M40" s="49">
        <f t="shared" si="39"/>
        <v>3463</v>
      </c>
      <c r="N40" s="49"/>
      <c r="O40" s="6"/>
      <c r="P40" s="38">
        <f t="shared" si="3"/>
        <v>0</v>
      </c>
      <c r="Q40" s="38">
        <f t="shared" si="4"/>
        <v>10511</v>
      </c>
      <c r="R40" s="38">
        <f t="shared" si="5"/>
        <v>50844</v>
      </c>
      <c r="S40" s="38">
        <f t="shared" si="6"/>
        <v>61355</v>
      </c>
      <c r="T40" s="38"/>
      <c r="U40" s="55"/>
      <c r="V40" s="55"/>
      <c r="W40" s="57"/>
      <c r="X40" s="58"/>
      <c r="Y40" s="6"/>
      <c r="Z40" s="45"/>
      <c r="AA40" s="45"/>
      <c r="AB40" s="45"/>
      <c r="AC40" s="6"/>
      <c r="AD40" s="6"/>
      <c r="AE40" s="6"/>
      <c r="AF40" s="6"/>
      <c r="AG40" s="6"/>
      <c r="AH40" s="6"/>
      <c r="AI40" s="6"/>
      <c r="AJ40" s="6"/>
      <c r="AK40" s="6"/>
      <c r="AL40" s="6"/>
    </row>
    <row r="41" ht="12.75" customHeight="1">
      <c r="A41" s="6"/>
      <c r="B41" s="6" t="s">
        <v>75</v>
      </c>
      <c r="C41" s="47">
        <v>0.0</v>
      </c>
      <c r="D41" s="47">
        <v>0.0</v>
      </c>
      <c r="E41" s="49"/>
      <c r="F41" s="47">
        <v>9657.0</v>
      </c>
      <c r="G41" s="47">
        <v>2235.0</v>
      </c>
      <c r="H41" s="49"/>
      <c r="I41" s="47">
        <v>52732.0</v>
      </c>
      <c r="J41" s="47">
        <v>1615.0</v>
      </c>
      <c r="K41" s="49"/>
      <c r="L41" s="49">
        <f t="shared" ref="L41:M41" si="40">SUM(C41,F41,I41)</f>
        <v>62389</v>
      </c>
      <c r="M41" s="49">
        <f t="shared" si="40"/>
        <v>3850</v>
      </c>
      <c r="N41" s="49"/>
      <c r="O41" s="6"/>
      <c r="P41" s="38">
        <f t="shared" si="3"/>
        <v>0</v>
      </c>
      <c r="Q41" s="38">
        <f t="shared" si="4"/>
        <v>11892</v>
      </c>
      <c r="R41" s="38">
        <f t="shared" si="5"/>
        <v>54347</v>
      </c>
      <c r="S41" s="38">
        <f t="shared" si="6"/>
        <v>66239</v>
      </c>
      <c r="T41" s="38"/>
      <c r="U41" s="55"/>
      <c r="V41" s="55"/>
      <c r="W41" s="57"/>
      <c r="X41" s="58"/>
      <c r="Y41" s="6"/>
      <c r="Z41" s="45"/>
      <c r="AA41" s="45"/>
      <c r="AB41" s="45"/>
      <c r="AC41" s="6"/>
      <c r="AD41" s="6"/>
      <c r="AE41" s="6"/>
      <c r="AF41" s="6"/>
      <c r="AG41" s="6"/>
      <c r="AH41" s="6"/>
      <c r="AI41" s="6"/>
      <c r="AJ41" s="6"/>
      <c r="AK41" s="6"/>
      <c r="AL41" s="6"/>
    </row>
    <row r="42" ht="12.75" customHeight="1">
      <c r="A42" s="40">
        <v>1979.0</v>
      </c>
      <c r="B42" s="4" t="s">
        <v>58</v>
      </c>
      <c r="C42" s="47">
        <v>0.0</v>
      </c>
      <c r="D42" s="47">
        <v>0.0</v>
      </c>
      <c r="E42" s="49"/>
      <c r="F42" s="47">
        <v>10088.0</v>
      </c>
      <c r="G42" s="47">
        <v>2379.0</v>
      </c>
      <c r="H42" s="49"/>
      <c r="I42" s="47">
        <v>57453.0</v>
      </c>
      <c r="J42" s="47">
        <v>1686.0</v>
      </c>
      <c r="K42" s="49"/>
      <c r="L42" s="49">
        <f t="shared" ref="L42:M42" si="41">SUM(C42,F42,I42)</f>
        <v>67541</v>
      </c>
      <c r="M42" s="49">
        <f t="shared" si="41"/>
        <v>4065</v>
      </c>
      <c r="N42" s="49"/>
      <c r="O42" s="2"/>
      <c r="P42" s="38">
        <f t="shared" si="3"/>
        <v>0</v>
      </c>
      <c r="Q42" s="38">
        <f t="shared" si="4"/>
        <v>12467</v>
      </c>
      <c r="R42" s="38">
        <f t="shared" si="5"/>
        <v>59139</v>
      </c>
      <c r="S42" s="38">
        <f t="shared" si="6"/>
        <v>71606</v>
      </c>
      <c r="T42" s="38"/>
      <c r="U42" s="1"/>
      <c r="V42" s="1"/>
      <c r="W42" s="53"/>
      <c r="X42" s="16"/>
      <c r="Y42" s="2"/>
      <c r="Z42" s="45"/>
      <c r="AA42" s="45"/>
      <c r="AB42" s="45"/>
      <c r="AC42" s="2"/>
      <c r="AD42" s="2"/>
      <c r="AE42" s="2"/>
      <c r="AF42" s="2"/>
      <c r="AG42" s="2"/>
      <c r="AH42" s="2"/>
      <c r="AI42" s="2"/>
      <c r="AJ42" s="2"/>
      <c r="AK42" s="2"/>
      <c r="AL42" s="2"/>
    </row>
    <row r="43" ht="12.75" customHeight="1">
      <c r="A43" s="6"/>
      <c r="B43" s="6" t="s">
        <v>66</v>
      </c>
      <c r="C43" s="47">
        <v>0.0</v>
      </c>
      <c r="D43" s="47">
        <v>0.0</v>
      </c>
      <c r="E43" s="49"/>
      <c r="F43" s="47">
        <v>11096.0</v>
      </c>
      <c r="G43" s="47">
        <v>2612.0</v>
      </c>
      <c r="H43" s="49"/>
      <c r="I43" s="47">
        <v>61088.0</v>
      </c>
      <c r="J43" s="47">
        <v>1753.0</v>
      </c>
      <c r="K43" s="49"/>
      <c r="L43" s="49">
        <f t="shared" ref="L43:M43" si="42">SUM(C43,F43,I43)</f>
        <v>72184</v>
      </c>
      <c r="M43" s="49">
        <f t="shared" si="42"/>
        <v>4365</v>
      </c>
      <c r="N43" s="49"/>
      <c r="O43" s="6"/>
      <c r="P43" s="38">
        <f t="shared" si="3"/>
        <v>0</v>
      </c>
      <c r="Q43" s="38">
        <f t="shared" si="4"/>
        <v>13708</v>
      </c>
      <c r="R43" s="38">
        <f t="shared" si="5"/>
        <v>62841</v>
      </c>
      <c r="S43" s="38">
        <f t="shared" si="6"/>
        <v>76549</v>
      </c>
      <c r="T43" s="38"/>
      <c r="U43" s="55"/>
      <c r="V43" s="55"/>
      <c r="W43" s="57"/>
      <c r="X43" s="58"/>
      <c r="Y43" s="6"/>
      <c r="Z43" s="45"/>
      <c r="AA43" s="45"/>
      <c r="AB43" s="45"/>
      <c r="AC43" s="6"/>
      <c r="AD43" s="6"/>
      <c r="AE43" s="6"/>
      <c r="AF43" s="6"/>
      <c r="AG43" s="6"/>
      <c r="AH43" s="6"/>
      <c r="AI43" s="6"/>
      <c r="AJ43" s="6"/>
      <c r="AK43" s="6"/>
      <c r="AL43" s="6"/>
    </row>
    <row r="44" ht="12.75" customHeight="1">
      <c r="A44" s="6"/>
      <c r="B44" s="6" t="s">
        <v>74</v>
      </c>
      <c r="C44" s="47">
        <v>0.0</v>
      </c>
      <c r="D44" s="47">
        <v>0.0</v>
      </c>
      <c r="E44" s="49"/>
      <c r="F44" s="47">
        <v>11568.0</v>
      </c>
      <c r="G44" s="47">
        <v>2853.0</v>
      </c>
      <c r="H44" s="49"/>
      <c r="I44" s="47">
        <v>67187.0</v>
      </c>
      <c r="J44" s="47">
        <v>1821.0</v>
      </c>
      <c r="K44" s="49"/>
      <c r="L44" s="49">
        <f t="shared" ref="L44:M44" si="43">SUM(C44,F44,I44)</f>
        <v>78755</v>
      </c>
      <c r="M44" s="49">
        <f t="shared" si="43"/>
        <v>4674</v>
      </c>
      <c r="N44" s="49"/>
      <c r="O44" s="6"/>
      <c r="P44" s="38">
        <f t="shared" si="3"/>
        <v>0</v>
      </c>
      <c r="Q44" s="38">
        <f t="shared" si="4"/>
        <v>14421</v>
      </c>
      <c r="R44" s="38">
        <f t="shared" si="5"/>
        <v>69008</v>
      </c>
      <c r="S44" s="38">
        <f t="shared" si="6"/>
        <v>83429</v>
      </c>
      <c r="T44" s="38"/>
      <c r="U44" s="55"/>
      <c r="V44" s="55"/>
      <c r="W44" s="57"/>
      <c r="X44" s="58"/>
      <c r="Y44" s="6"/>
      <c r="Z44" s="45"/>
      <c r="AA44" s="45"/>
      <c r="AB44" s="45"/>
      <c r="AC44" s="6"/>
      <c r="AD44" s="6"/>
      <c r="AE44" s="6"/>
      <c r="AF44" s="6"/>
      <c r="AG44" s="6"/>
      <c r="AH44" s="6"/>
      <c r="AI44" s="6"/>
      <c r="AJ44" s="6"/>
      <c r="AK44" s="6"/>
      <c r="AL44" s="6"/>
    </row>
    <row r="45" ht="12.75" customHeight="1">
      <c r="A45" s="6"/>
      <c r="B45" s="6" t="s">
        <v>75</v>
      </c>
      <c r="C45" s="47">
        <v>0.0</v>
      </c>
      <c r="D45" s="47">
        <v>0.0</v>
      </c>
      <c r="E45" s="49"/>
      <c r="F45" s="47">
        <v>12149.0</v>
      </c>
      <c r="G45" s="47">
        <v>3031.0</v>
      </c>
      <c r="H45" s="49"/>
      <c r="I45" s="47">
        <v>73853.0</v>
      </c>
      <c r="J45" s="47">
        <v>1934.0</v>
      </c>
      <c r="K45" s="49"/>
      <c r="L45" s="49">
        <f t="shared" ref="L45:M45" si="44">SUM(C45,F45,I45)</f>
        <v>86002</v>
      </c>
      <c r="M45" s="49">
        <f t="shared" si="44"/>
        <v>4965</v>
      </c>
      <c r="N45" s="49"/>
      <c r="O45" s="6"/>
      <c r="P45" s="38">
        <f t="shared" si="3"/>
        <v>0</v>
      </c>
      <c r="Q45" s="38">
        <f t="shared" si="4"/>
        <v>15180</v>
      </c>
      <c r="R45" s="38">
        <f t="shared" si="5"/>
        <v>75787</v>
      </c>
      <c r="S45" s="38">
        <f t="shared" si="6"/>
        <v>90967</v>
      </c>
      <c r="T45" s="38"/>
      <c r="U45" s="55"/>
      <c r="V45" s="55"/>
      <c r="W45" s="57"/>
      <c r="X45" s="58"/>
      <c r="Y45" s="6"/>
      <c r="Z45" s="45"/>
      <c r="AA45" s="45"/>
      <c r="AB45" s="45"/>
      <c r="AC45" s="6"/>
      <c r="AD45" s="6"/>
      <c r="AE45" s="6"/>
      <c r="AF45" s="6"/>
      <c r="AG45" s="6"/>
      <c r="AH45" s="6"/>
      <c r="AI45" s="6"/>
      <c r="AJ45" s="6"/>
      <c r="AK45" s="6"/>
      <c r="AL45" s="6"/>
    </row>
    <row r="46" ht="12.75" customHeight="1">
      <c r="A46" s="40">
        <v>1980.0</v>
      </c>
      <c r="B46" s="6" t="s">
        <v>58</v>
      </c>
      <c r="C46" s="47">
        <v>0.0</v>
      </c>
      <c r="D46" s="47">
        <v>0.0</v>
      </c>
      <c r="E46" s="49"/>
      <c r="F46" s="47">
        <v>12359.0</v>
      </c>
      <c r="G46" s="47">
        <v>3095.0</v>
      </c>
      <c r="H46" s="49"/>
      <c r="I46" s="47">
        <v>78872.0</v>
      </c>
      <c r="J46" s="47">
        <v>1971.0</v>
      </c>
      <c r="K46" s="49"/>
      <c r="L46" s="49">
        <f t="shared" ref="L46:M46" si="45">SUM(C46,F46,I46)</f>
        <v>91231</v>
      </c>
      <c r="M46" s="49">
        <f t="shared" si="45"/>
        <v>5066</v>
      </c>
      <c r="N46" s="49"/>
      <c r="O46" s="6"/>
      <c r="P46" s="38">
        <f t="shared" si="3"/>
        <v>0</v>
      </c>
      <c r="Q46" s="38">
        <f t="shared" si="4"/>
        <v>15454</v>
      </c>
      <c r="R46" s="38">
        <f t="shared" si="5"/>
        <v>80843</v>
      </c>
      <c r="S46" s="38">
        <f t="shared" si="6"/>
        <v>96297</v>
      </c>
      <c r="T46" s="38"/>
      <c r="U46" s="55"/>
      <c r="V46" s="55"/>
      <c r="W46" s="57"/>
      <c r="X46" s="58"/>
      <c r="Y46" s="6"/>
      <c r="Z46" s="45"/>
      <c r="AA46" s="45"/>
      <c r="AB46" s="45"/>
      <c r="AC46" s="6"/>
      <c r="AD46" s="6"/>
      <c r="AE46" s="6"/>
      <c r="AF46" s="6"/>
      <c r="AG46" s="6"/>
      <c r="AH46" s="6"/>
      <c r="AI46" s="6"/>
      <c r="AJ46" s="6"/>
      <c r="AK46" s="6"/>
      <c r="AL46" s="6"/>
    </row>
    <row r="47" ht="12.75" customHeight="1">
      <c r="A47" s="6"/>
      <c r="B47" s="6" t="s">
        <v>66</v>
      </c>
      <c r="C47" s="47">
        <v>0.0</v>
      </c>
      <c r="D47" s="47">
        <v>0.0</v>
      </c>
      <c r="E47" s="49"/>
      <c r="F47" s="47">
        <v>12886.0</v>
      </c>
      <c r="G47" s="47">
        <v>3234.0</v>
      </c>
      <c r="H47" s="49"/>
      <c r="I47" s="47">
        <v>82207.0</v>
      </c>
      <c r="J47" s="47">
        <v>2064.0</v>
      </c>
      <c r="K47" s="49"/>
      <c r="L47" s="49">
        <f t="shared" ref="L47:M47" si="46">SUM(C47,F47,I47)</f>
        <v>95093</v>
      </c>
      <c r="M47" s="49">
        <f t="shared" si="46"/>
        <v>5298</v>
      </c>
      <c r="N47" s="49"/>
      <c r="O47" s="6"/>
      <c r="P47" s="38">
        <f t="shared" si="3"/>
        <v>0</v>
      </c>
      <c r="Q47" s="38">
        <f t="shared" si="4"/>
        <v>16120</v>
      </c>
      <c r="R47" s="38">
        <f t="shared" si="5"/>
        <v>84271</v>
      </c>
      <c r="S47" s="38">
        <f t="shared" si="6"/>
        <v>100391</v>
      </c>
      <c r="T47" s="38"/>
      <c r="U47" s="55"/>
      <c r="V47" s="55"/>
      <c r="W47" s="57"/>
      <c r="X47" s="58"/>
      <c r="Y47" s="6"/>
      <c r="Z47" s="45"/>
      <c r="AA47" s="45"/>
      <c r="AB47" s="45"/>
      <c r="AC47" s="6"/>
      <c r="AD47" s="6"/>
      <c r="AE47" s="6"/>
      <c r="AF47" s="6"/>
      <c r="AG47" s="6"/>
      <c r="AH47" s="6"/>
      <c r="AI47" s="6"/>
      <c r="AJ47" s="6"/>
      <c r="AK47" s="6"/>
      <c r="AL47" s="6"/>
    </row>
    <row r="48" ht="12.75" customHeight="1">
      <c r="A48" s="2"/>
      <c r="B48" s="4" t="s">
        <v>74</v>
      </c>
      <c r="C48" s="47">
        <v>0.0</v>
      </c>
      <c r="D48" s="47">
        <v>0.0</v>
      </c>
      <c r="E48" s="49"/>
      <c r="F48" s="47">
        <v>13318.0</v>
      </c>
      <c r="G48" s="47">
        <v>3341.0</v>
      </c>
      <c r="H48" s="49"/>
      <c r="I48" s="47">
        <v>87276.0</v>
      </c>
      <c r="J48" s="47">
        <v>2176.0</v>
      </c>
      <c r="K48" s="49"/>
      <c r="L48" s="49">
        <f t="shared" ref="L48:M48" si="47">SUM(C48,F48,I48)</f>
        <v>100594</v>
      </c>
      <c r="M48" s="49">
        <f t="shared" si="47"/>
        <v>5517</v>
      </c>
      <c r="N48" s="49"/>
      <c r="O48" s="2"/>
      <c r="P48" s="38">
        <f t="shared" si="3"/>
        <v>0</v>
      </c>
      <c r="Q48" s="38">
        <f t="shared" si="4"/>
        <v>16659</v>
      </c>
      <c r="R48" s="38">
        <f t="shared" si="5"/>
        <v>89452</v>
      </c>
      <c r="S48" s="38">
        <f t="shared" si="6"/>
        <v>106111</v>
      </c>
      <c r="T48" s="38"/>
      <c r="U48" s="53"/>
      <c r="V48" s="53"/>
      <c r="W48" s="53"/>
      <c r="X48" s="16"/>
      <c r="Y48" s="2"/>
      <c r="Z48" s="45"/>
      <c r="AA48" s="45"/>
      <c r="AB48" s="45"/>
      <c r="AC48" s="2"/>
      <c r="AD48" s="2"/>
      <c r="AE48" s="2"/>
      <c r="AF48" s="2"/>
      <c r="AG48" s="2"/>
      <c r="AH48" s="2"/>
      <c r="AI48" s="2"/>
      <c r="AJ48" s="2"/>
      <c r="AK48" s="2"/>
      <c r="AL48" s="2"/>
    </row>
    <row r="49" ht="12.75" customHeight="1">
      <c r="A49" s="6"/>
      <c r="B49" s="6" t="s">
        <v>75</v>
      </c>
      <c r="C49" s="47">
        <v>0.0</v>
      </c>
      <c r="D49" s="47">
        <v>0.0</v>
      </c>
      <c r="E49" s="49"/>
      <c r="F49" s="47">
        <v>13471.0</v>
      </c>
      <c r="G49" s="47">
        <v>3383.0</v>
      </c>
      <c r="H49" s="49"/>
      <c r="I49" s="47">
        <v>91602.0</v>
      </c>
      <c r="J49" s="47">
        <v>2272.0</v>
      </c>
      <c r="K49" s="49"/>
      <c r="L49" s="49">
        <f t="shared" ref="L49:M49" si="48">SUM(C49,F49,I49)</f>
        <v>105073</v>
      </c>
      <c r="M49" s="49">
        <f t="shared" si="48"/>
        <v>5655</v>
      </c>
      <c r="N49" s="49"/>
      <c r="O49" s="6"/>
      <c r="P49" s="38">
        <f t="shared" si="3"/>
        <v>0</v>
      </c>
      <c r="Q49" s="38">
        <f t="shared" si="4"/>
        <v>16854</v>
      </c>
      <c r="R49" s="38">
        <f t="shared" si="5"/>
        <v>93874</v>
      </c>
      <c r="S49" s="38">
        <f t="shared" si="6"/>
        <v>110728</v>
      </c>
      <c r="T49" s="38"/>
      <c r="U49" s="89">
        <v>0.0</v>
      </c>
      <c r="V49" s="89">
        <v>16962.0</v>
      </c>
      <c r="W49" s="57">
        <f>R49</f>
        <v>93874</v>
      </c>
      <c r="X49" s="58">
        <f>SUM(U49:W49)</f>
        <v>110836</v>
      </c>
      <c r="Y49" s="6"/>
      <c r="Z49" s="45"/>
      <c r="AA49" s="45"/>
      <c r="AB49" s="45"/>
      <c r="AC49" s="6"/>
      <c r="AD49" s="6"/>
      <c r="AE49" s="6"/>
      <c r="AF49" s="6"/>
      <c r="AG49" s="6"/>
      <c r="AH49" s="6"/>
      <c r="AI49" s="6"/>
      <c r="AJ49" s="6"/>
      <c r="AK49" s="6"/>
      <c r="AL49" s="6"/>
    </row>
    <row r="50" ht="12.0" customHeight="1">
      <c r="A50" s="40">
        <v>1981.0</v>
      </c>
      <c r="B50" s="6" t="s">
        <v>58</v>
      </c>
      <c r="C50" s="47">
        <v>0.0</v>
      </c>
      <c r="D50" s="47">
        <v>0.0</v>
      </c>
      <c r="E50" s="49"/>
      <c r="F50" s="47">
        <v>13641.0</v>
      </c>
      <c r="G50" s="47">
        <v>3426.0</v>
      </c>
      <c r="H50" s="49"/>
      <c r="I50" s="47">
        <v>94810.0</v>
      </c>
      <c r="J50" s="47">
        <v>2374.0</v>
      </c>
      <c r="K50" s="49"/>
      <c r="L50" s="49">
        <f t="shared" ref="L50:M50" si="49">SUM(C50,F50,I50)</f>
        <v>108451</v>
      </c>
      <c r="M50" s="49">
        <f t="shared" si="49"/>
        <v>5800</v>
      </c>
      <c r="N50" s="49"/>
      <c r="O50" s="6"/>
      <c r="P50" s="38">
        <f t="shared" si="3"/>
        <v>0</v>
      </c>
      <c r="Q50" s="38">
        <f t="shared" si="4"/>
        <v>17067</v>
      </c>
      <c r="R50" s="38">
        <f t="shared" si="5"/>
        <v>97184</v>
      </c>
      <c r="S50" s="38">
        <f t="shared" si="6"/>
        <v>114251</v>
      </c>
      <c r="T50" s="38"/>
      <c r="U50" s="55"/>
      <c r="V50" s="55"/>
      <c r="W50" s="55"/>
      <c r="X50" s="58"/>
      <c r="Y50" s="6"/>
      <c r="Z50" s="45"/>
      <c r="AA50" s="45"/>
      <c r="AB50" s="45"/>
      <c r="AC50" s="6"/>
      <c r="AD50" s="6"/>
      <c r="AE50" s="6"/>
      <c r="AF50" s="6"/>
      <c r="AG50" s="6"/>
      <c r="AH50" s="6"/>
      <c r="AI50" s="6"/>
      <c r="AJ50" s="6"/>
      <c r="AK50" s="6"/>
      <c r="AL50" s="6"/>
    </row>
    <row r="51" ht="12.0" customHeight="1">
      <c r="A51" s="6"/>
      <c r="B51" s="6" t="s">
        <v>66</v>
      </c>
      <c r="C51" s="47">
        <v>0.0</v>
      </c>
      <c r="D51" s="47">
        <v>0.0</v>
      </c>
      <c r="E51" s="49"/>
      <c r="F51" s="47">
        <v>14115.0</v>
      </c>
      <c r="G51" s="47">
        <v>3450.0</v>
      </c>
      <c r="H51" s="49"/>
      <c r="I51" s="47">
        <v>98104.0</v>
      </c>
      <c r="J51" s="47">
        <v>2454.0</v>
      </c>
      <c r="K51" s="49"/>
      <c r="L51" s="49">
        <f t="shared" ref="L51:M51" si="50">SUM(C51,F51,I51)</f>
        <v>112219</v>
      </c>
      <c r="M51" s="49">
        <f t="shared" si="50"/>
        <v>5904</v>
      </c>
      <c r="N51" s="49"/>
      <c r="O51" s="6"/>
      <c r="P51" s="38">
        <f t="shared" si="3"/>
        <v>0</v>
      </c>
      <c r="Q51" s="38">
        <f t="shared" si="4"/>
        <v>17565</v>
      </c>
      <c r="R51" s="38">
        <f t="shared" si="5"/>
        <v>100558</v>
      </c>
      <c r="S51" s="38">
        <f t="shared" si="6"/>
        <v>118123</v>
      </c>
      <c r="T51" s="38"/>
      <c r="U51" s="55"/>
      <c r="V51" s="55"/>
      <c r="W51" s="55"/>
      <c r="X51" s="58"/>
      <c r="Y51" s="6"/>
      <c r="Z51" s="45"/>
      <c r="AA51" s="45"/>
      <c r="AB51" s="45"/>
      <c r="AC51" s="6"/>
      <c r="AD51" s="6"/>
      <c r="AE51" s="6"/>
      <c r="AF51" s="6"/>
      <c r="AG51" s="6"/>
      <c r="AH51" s="6"/>
      <c r="AI51" s="6"/>
      <c r="AJ51" s="6"/>
      <c r="AK51" s="6"/>
      <c r="AL51" s="6"/>
    </row>
    <row r="52" ht="12.0" customHeight="1">
      <c r="A52" s="6"/>
      <c r="B52" s="6" t="s">
        <v>74</v>
      </c>
      <c r="C52" s="47">
        <v>0.0</v>
      </c>
      <c r="D52" s="47">
        <v>0.0</v>
      </c>
      <c r="E52" s="49"/>
      <c r="F52" s="47">
        <v>14401.0</v>
      </c>
      <c r="G52" s="47">
        <v>3535.0</v>
      </c>
      <c r="H52" s="49"/>
      <c r="I52" s="47">
        <v>101219.0</v>
      </c>
      <c r="J52" s="47">
        <v>2531.0</v>
      </c>
      <c r="K52" s="49"/>
      <c r="L52" s="49">
        <f t="shared" ref="L52:M52" si="51">SUM(C52,F52,I52)</f>
        <v>115620</v>
      </c>
      <c r="M52" s="49">
        <f t="shared" si="51"/>
        <v>6066</v>
      </c>
      <c r="N52" s="49"/>
      <c r="O52" s="6"/>
      <c r="P52" s="38">
        <f t="shared" si="3"/>
        <v>0</v>
      </c>
      <c r="Q52" s="38">
        <f t="shared" si="4"/>
        <v>17936</v>
      </c>
      <c r="R52" s="38">
        <f t="shared" si="5"/>
        <v>103750</v>
      </c>
      <c r="S52" s="38">
        <f t="shared" si="6"/>
        <v>121686</v>
      </c>
      <c r="T52" s="38"/>
      <c r="U52" s="55"/>
      <c r="V52" s="55"/>
      <c r="W52" s="55"/>
      <c r="X52" s="58"/>
      <c r="Y52" s="6"/>
      <c r="Z52" s="45"/>
      <c r="AA52" s="45"/>
      <c r="AB52" s="45"/>
      <c r="AC52" s="6"/>
      <c r="AD52" s="6"/>
      <c r="AE52" s="6"/>
      <c r="AF52" s="6"/>
      <c r="AG52" s="6"/>
      <c r="AH52" s="6"/>
      <c r="AI52" s="6"/>
      <c r="AJ52" s="6"/>
      <c r="AK52" s="6"/>
      <c r="AL52" s="6"/>
    </row>
    <row r="53" ht="12.75" customHeight="1">
      <c r="A53" s="6"/>
      <c r="B53" s="6" t="s">
        <v>75</v>
      </c>
      <c r="C53" s="47">
        <v>717.0</v>
      </c>
      <c r="D53" s="47">
        <v>0.0</v>
      </c>
      <c r="E53" s="49"/>
      <c r="F53" s="47">
        <v>19501.0</v>
      </c>
      <c r="G53" s="47">
        <v>352.0</v>
      </c>
      <c r="H53" s="49"/>
      <c r="I53" s="47">
        <v>103208.0</v>
      </c>
      <c r="J53" s="47">
        <v>2581.0</v>
      </c>
      <c r="K53" s="49"/>
      <c r="L53" s="49">
        <f t="shared" ref="L53:M53" si="52">SUM(C53,F53,I53)</f>
        <v>123426</v>
      </c>
      <c r="M53" s="49">
        <f t="shared" si="52"/>
        <v>2933</v>
      </c>
      <c r="N53" s="49"/>
      <c r="O53" s="6"/>
      <c r="P53" s="38">
        <f t="shared" si="3"/>
        <v>717</v>
      </c>
      <c r="Q53" s="38">
        <f t="shared" si="4"/>
        <v>19853</v>
      </c>
      <c r="R53" s="38">
        <f t="shared" si="5"/>
        <v>105789</v>
      </c>
      <c r="S53" s="38">
        <f t="shared" si="6"/>
        <v>126359</v>
      </c>
      <c r="T53" s="38"/>
      <c r="U53" s="89">
        <v>717.0</v>
      </c>
      <c r="V53" s="89">
        <v>19897.0</v>
      </c>
      <c r="W53" s="57">
        <f>R53</f>
        <v>105789</v>
      </c>
      <c r="X53" s="58">
        <f>SUM(U53:W53)</f>
        <v>126403</v>
      </c>
      <c r="Y53" s="6"/>
      <c r="Z53" s="45"/>
      <c r="AA53" s="45"/>
      <c r="AB53" s="45"/>
      <c r="AC53" s="6"/>
      <c r="AD53" s="6"/>
      <c r="AE53" s="6"/>
      <c r="AF53" s="6"/>
      <c r="AG53" s="6"/>
      <c r="AH53" s="6"/>
      <c r="AI53" s="6"/>
      <c r="AJ53" s="6"/>
      <c r="AK53" s="6"/>
      <c r="AL53" s="6"/>
    </row>
    <row r="54" ht="12.0" customHeight="1">
      <c r="A54" s="40">
        <v>1982.0</v>
      </c>
      <c r="B54" s="4" t="s">
        <v>58</v>
      </c>
      <c r="C54" s="47">
        <v>2786.0</v>
      </c>
      <c r="D54" s="47">
        <v>0.0</v>
      </c>
      <c r="E54" s="49"/>
      <c r="F54" s="47">
        <v>23610.0</v>
      </c>
      <c r="G54" s="47">
        <v>360.0</v>
      </c>
      <c r="H54" s="49"/>
      <c r="I54" s="47">
        <v>105942.0</v>
      </c>
      <c r="J54" s="47">
        <v>2650.0</v>
      </c>
      <c r="K54" s="49"/>
      <c r="L54" s="49">
        <f t="shared" ref="L54:M54" si="53">SUM(C54,F54,I54)</f>
        <v>132338</v>
      </c>
      <c r="M54" s="49">
        <f t="shared" si="53"/>
        <v>3010</v>
      </c>
      <c r="N54" s="49"/>
      <c r="O54" s="2"/>
      <c r="P54" s="38">
        <f t="shared" si="3"/>
        <v>2786</v>
      </c>
      <c r="Q54" s="38">
        <f t="shared" si="4"/>
        <v>23970</v>
      </c>
      <c r="R54" s="38">
        <f t="shared" si="5"/>
        <v>108592</v>
      </c>
      <c r="S54" s="38">
        <f t="shared" si="6"/>
        <v>135348</v>
      </c>
      <c r="T54" s="38"/>
      <c r="U54" s="1"/>
      <c r="V54" s="1"/>
      <c r="W54" s="1"/>
      <c r="X54" s="16"/>
      <c r="Y54" s="2"/>
      <c r="Z54" s="45"/>
      <c r="AA54" s="45"/>
      <c r="AB54" s="45"/>
      <c r="AC54" s="2"/>
      <c r="AD54" s="2"/>
      <c r="AE54" s="2"/>
      <c r="AF54" s="2"/>
      <c r="AG54" s="2"/>
      <c r="AH54" s="2"/>
      <c r="AI54" s="2"/>
      <c r="AJ54" s="2"/>
      <c r="AK54" s="2"/>
      <c r="AL54" s="2"/>
    </row>
    <row r="55" ht="12.0" customHeight="1">
      <c r="A55" s="6"/>
      <c r="B55" s="6" t="s">
        <v>66</v>
      </c>
      <c r="C55" s="47">
        <v>4556.0</v>
      </c>
      <c r="D55" s="47">
        <v>0.0</v>
      </c>
      <c r="E55" s="49"/>
      <c r="F55" s="47">
        <v>28329.0</v>
      </c>
      <c r="G55" s="47">
        <v>374.0</v>
      </c>
      <c r="H55" s="49"/>
      <c r="I55" s="47">
        <v>108739.0</v>
      </c>
      <c r="J55" s="47">
        <v>2720.0</v>
      </c>
      <c r="K55" s="49"/>
      <c r="L55" s="49">
        <f t="shared" ref="L55:M55" si="54">SUM(C55,F55,I55)</f>
        <v>141624</v>
      </c>
      <c r="M55" s="49">
        <f t="shared" si="54"/>
        <v>3094</v>
      </c>
      <c r="N55" s="49"/>
      <c r="O55" s="6"/>
      <c r="P55" s="38">
        <f t="shared" si="3"/>
        <v>4556</v>
      </c>
      <c r="Q55" s="38">
        <f t="shared" si="4"/>
        <v>28703</v>
      </c>
      <c r="R55" s="38">
        <f t="shared" si="5"/>
        <v>111459</v>
      </c>
      <c r="S55" s="38">
        <f t="shared" si="6"/>
        <v>144718</v>
      </c>
      <c r="T55" s="38"/>
      <c r="U55" s="55"/>
      <c r="V55" s="55"/>
      <c r="W55" s="55"/>
      <c r="X55" s="58"/>
      <c r="Y55" s="6"/>
      <c r="Z55" s="45"/>
      <c r="AA55" s="45"/>
      <c r="AB55" s="45"/>
      <c r="AC55" s="6"/>
      <c r="AD55" s="6"/>
      <c r="AE55" s="6"/>
      <c r="AF55" s="6"/>
      <c r="AG55" s="6"/>
      <c r="AH55" s="6"/>
      <c r="AI55" s="6"/>
      <c r="AJ55" s="6"/>
      <c r="AK55" s="6"/>
      <c r="AL55" s="6"/>
    </row>
    <row r="56" ht="12.0" customHeight="1">
      <c r="A56" s="6"/>
      <c r="B56" s="6" t="s">
        <v>74</v>
      </c>
      <c r="C56" s="47">
        <v>8133.0</v>
      </c>
      <c r="D56" s="47">
        <v>0.0</v>
      </c>
      <c r="E56" s="49"/>
      <c r="F56" s="47">
        <v>34739.0</v>
      </c>
      <c r="G56" s="47">
        <v>393.0</v>
      </c>
      <c r="H56" s="49"/>
      <c r="I56" s="47">
        <v>111975.0</v>
      </c>
      <c r="J56" s="47">
        <v>2801.0</v>
      </c>
      <c r="K56" s="49"/>
      <c r="L56" s="49">
        <f t="shared" ref="L56:M56" si="55">SUM(C56,F56,I56)</f>
        <v>154847</v>
      </c>
      <c r="M56" s="49">
        <f t="shared" si="55"/>
        <v>3194</v>
      </c>
      <c r="N56" s="49"/>
      <c r="O56" s="6"/>
      <c r="P56" s="38">
        <f t="shared" si="3"/>
        <v>8133</v>
      </c>
      <c r="Q56" s="38">
        <f t="shared" si="4"/>
        <v>35132</v>
      </c>
      <c r="R56" s="38">
        <f t="shared" si="5"/>
        <v>114776</v>
      </c>
      <c r="S56" s="38">
        <f t="shared" si="6"/>
        <v>158041</v>
      </c>
      <c r="T56" s="38"/>
      <c r="U56" s="55"/>
      <c r="V56" s="55"/>
      <c r="W56" s="55"/>
      <c r="X56" s="58"/>
      <c r="Y56" s="6"/>
      <c r="Z56" s="45"/>
      <c r="AA56" s="45"/>
      <c r="AB56" s="45"/>
      <c r="AC56" s="6"/>
      <c r="AD56" s="6"/>
      <c r="AE56" s="6"/>
      <c r="AF56" s="6"/>
      <c r="AG56" s="6"/>
      <c r="AH56" s="6"/>
      <c r="AI56" s="6"/>
      <c r="AJ56" s="6"/>
      <c r="AK56" s="6"/>
      <c r="AL56" s="6"/>
    </row>
    <row r="57" ht="12.75" customHeight="1">
      <c r="A57" s="6"/>
      <c r="B57" s="6" t="s">
        <v>75</v>
      </c>
      <c r="C57" s="47">
        <v>14450.0</v>
      </c>
      <c r="D57" s="47">
        <v>0.0</v>
      </c>
      <c r="E57" s="49"/>
      <c r="F57" s="47">
        <v>42560.0</v>
      </c>
      <c r="G57" s="47">
        <v>404.0</v>
      </c>
      <c r="H57" s="49"/>
      <c r="I57" s="47">
        <v>116038.0</v>
      </c>
      <c r="J57" s="47">
        <v>2902.0</v>
      </c>
      <c r="K57" s="49"/>
      <c r="L57" s="49">
        <f t="shared" ref="L57:M57" si="56">SUM(C57,F57,I57)</f>
        <v>173048</v>
      </c>
      <c r="M57" s="49">
        <f t="shared" si="56"/>
        <v>3306</v>
      </c>
      <c r="N57" s="49"/>
      <c r="O57" s="6"/>
      <c r="P57" s="38">
        <f t="shared" si="3"/>
        <v>14450</v>
      </c>
      <c r="Q57" s="38">
        <f t="shared" si="4"/>
        <v>42964</v>
      </c>
      <c r="R57" s="38">
        <f t="shared" si="5"/>
        <v>118940</v>
      </c>
      <c r="S57" s="38">
        <f t="shared" si="6"/>
        <v>176354</v>
      </c>
      <c r="T57" s="38"/>
      <c r="U57" s="89">
        <v>14450.0</v>
      </c>
      <c r="V57" s="89">
        <v>42952.0</v>
      </c>
      <c r="W57" s="57">
        <f>R57</f>
        <v>118940</v>
      </c>
      <c r="X57" s="58">
        <f>SUM(U57:W57)</f>
        <v>176342</v>
      </c>
      <c r="Y57" s="6"/>
      <c r="Z57" s="45"/>
      <c r="AA57" s="45"/>
      <c r="AB57" s="45"/>
      <c r="AC57" s="6"/>
      <c r="AD57" s="6"/>
      <c r="AE57" s="6"/>
      <c r="AF57" s="6"/>
      <c r="AG57" s="6"/>
      <c r="AH57" s="6"/>
      <c r="AI57" s="6"/>
      <c r="AJ57" s="6"/>
      <c r="AK57" s="6"/>
      <c r="AL57" s="6"/>
    </row>
    <row r="58" ht="12.0" customHeight="1">
      <c r="A58" s="40">
        <v>1983.0</v>
      </c>
      <c r="B58" s="6" t="s">
        <v>58</v>
      </c>
      <c r="C58" s="47">
        <v>18157.0</v>
      </c>
      <c r="D58" s="47">
        <v>0.0</v>
      </c>
      <c r="E58" s="49"/>
      <c r="F58" s="47">
        <v>47575.0</v>
      </c>
      <c r="G58" s="47">
        <v>433.0</v>
      </c>
      <c r="H58" s="49"/>
      <c r="I58" s="47">
        <v>124817.0</v>
      </c>
      <c r="J58" s="47">
        <v>3122.0</v>
      </c>
      <c r="K58" s="49"/>
      <c r="L58" s="49">
        <f t="shared" ref="L58:M58" si="57">SUM(C58,F58,I58)</f>
        <v>190549</v>
      </c>
      <c r="M58" s="49">
        <f t="shared" si="57"/>
        <v>3555</v>
      </c>
      <c r="N58" s="49"/>
      <c r="O58" s="6"/>
      <c r="P58" s="38">
        <f t="shared" si="3"/>
        <v>18157</v>
      </c>
      <c r="Q58" s="38">
        <f t="shared" si="4"/>
        <v>48008</v>
      </c>
      <c r="R58" s="38">
        <f t="shared" si="5"/>
        <v>127939</v>
      </c>
      <c r="S58" s="38">
        <f t="shared" si="6"/>
        <v>194104</v>
      </c>
      <c r="T58" s="38"/>
      <c r="U58" s="55"/>
      <c r="V58" s="55"/>
      <c r="W58" s="55"/>
      <c r="X58" s="58"/>
      <c r="Y58" s="6"/>
      <c r="Z58" s="45"/>
      <c r="AA58" s="45"/>
      <c r="AB58" s="45"/>
      <c r="AC58" s="6"/>
      <c r="AD58" s="6"/>
      <c r="AE58" s="6"/>
      <c r="AF58" s="6"/>
      <c r="AG58" s="6"/>
      <c r="AH58" s="6"/>
      <c r="AI58" s="6"/>
      <c r="AJ58" s="6"/>
      <c r="AK58" s="6"/>
      <c r="AL58" s="6"/>
    </row>
    <row r="59" ht="12.0" customHeight="1">
      <c r="A59" s="6"/>
      <c r="B59" s="6" t="s">
        <v>66</v>
      </c>
      <c r="C59" s="47">
        <v>20833.0</v>
      </c>
      <c r="D59" s="47">
        <v>0.0</v>
      </c>
      <c r="E59" s="49"/>
      <c r="F59" s="47">
        <v>50446.0</v>
      </c>
      <c r="G59" s="47">
        <v>488.0</v>
      </c>
      <c r="H59" s="49"/>
      <c r="I59" s="47">
        <v>135878.0</v>
      </c>
      <c r="J59" s="47">
        <v>3398.0</v>
      </c>
      <c r="K59" s="49"/>
      <c r="L59" s="49">
        <f t="shared" ref="L59:M59" si="58">SUM(C59,F59,I59)</f>
        <v>207157</v>
      </c>
      <c r="M59" s="49">
        <f t="shared" si="58"/>
        <v>3886</v>
      </c>
      <c r="N59" s="49"/>
      <c r="O59" s="6"/>
      <c r="P59" s="38">
        <f t="shared" si="3"/>
        <v>20833</v>
      </c>
      <c r="Q59" s="38">
        <f t="shared" si="4"/>
        <v>50934</v>
      </c>
      <c r="R59" s="38">
        <f t="shared" si="5"/>
        <v>139276</v>
      </c>
      <c r="S59" s="38">
        <f t="shared" si="6"/>
        <v>211043</v>
      </c>
      <c r="T59" s="38"/>
      <c r="U59" s="55"/>
      <c r="V59" s="55"/>
      <c r="W59" s="55"/>
      <c r="X59" s="58"/>
      <c r="Y59" s="6"/>
      <c r="Z59" s="45"/>
      <c r="AA59" s="45"/>
      <c r="AB59" s="45"/>
      <c r="AC59" s="6"/>
      <c r="AD59" s="6"/>
      <c r="AE59" s="6"/>
      <c r="AF59" s="6"/>
      <c r="AG59" s="6"/>
      <c r="AH59" s="6"/>
      <c r="AI59" s="6"/>
      <c r="AJ59" s="6"/>
      <c r="AK59" s="6"/>
      <c r="AL59" s="6"/>
    </row>
    <row r="60" ht="12.0" customHeight="1">
      <c r="A60" s="6"/>
      <c r="B60" s="6" t="s">
        <v>74</v>
      </c>
      <c r="C60" s="47">
        <v>23819.0</v>
      </c>
      <c r="D60" s="47">
        <v>0.0</v>
      </c>
      <c r="E60" s="49"/>
      <c r="F60" s="47">
        <v>53539.0</v>
      </c>
      <c r="G60" s="47">
        <v>613.0</v>
      </c>
      <c r="H60" s="49"/>
      <c r="I60" s="47">
        <v>147898.0</v>
      </c>
      <c r="J60" s="47">
        <v>3699.0</v>
      </c>
      <c r="K60" s="49"/>
      <c r="L60" s="49">
        <f t="shared" ref="L60:M60" si="59">SUM(C60,F60,I60)</f>
        <v>225256</v>
      </c>
      <c r="M60" s="49">
        <f t="shared" si="59"/>
        <v>4312</v>
      </c>
      <c r="N60" s="49"/>
      <c r="O60" s="6"/>
      <c r="P60" s="38">
        <f t="shared" si="3"/>
        <v>23819</v>
      </c>
      <c r="Q60" s="38">
        <f t="shared" si="4"/>
        <v>54152</v>
      </c>
      <c r="R60" s="38">
        <f t="shared" si="5"/>
        <v>151597</v>
      </c>
      <c r="S60" s="38">
        <f t="shared" si="6"/>
        <v>229568</v>
      </c>
      <c r="T60" s="38"/>
      <c r="U60" s="55"/>
      <c r="V60" s="55"/>
      <c r="W60" s="55"/>
      <c r="X60" s="58"/>
      <c r="Y60" s="6"/>
      <c r="Z60" s="45"/>
      <c r="AA60" s="45"/>
      <c r="AB60" s="45"/>
      <c r="AC60" s="6"/>
      <c r="AD60" s="6"/>
      <c r="AE60" s="6"/>
      <c r="AF60" s="6"/>
      <c r="AG60" s="6"/>
      <c r="AH60" s="6"/>
      <c r="AI60" s="6"/>
      <c r="AJ60" s="6"/>
      <c r="AK60" s="6"/>
      <c r="AL60" s="6"/>
    </row>
    <row r="61" ht="12.75" customHeight="1">
      <c r="A61" s="6"/>
      <c r="B61" s="6" t="s">
        <v>75</v>
      </c>
      <c r="C61" s="47">
        <v>25121.0</v>
      </c>
      <c r="D61" s="47">
        <v>0.0</v>
      </c>
      <c r="E61" s="49"/>
      <c r="F61" s="47">
        <v>57273.0</v>
      </c>
      <c r="G61" s="47">
        <v>622.0</v>
      </c>
      <c r="H61" s="49"/>
      <c r="I61" s="47">
        <v>155950.0</v>
      </c>
      <c r="J61" s="47">
        <v>3900.0</v>
      </c>
      <c r="K61" s="49"/>
      <c r="L61" s="49">
        <f t="shared" ref="L61:M61" si="60">SUM(C61,F61,I61)</f>
        <v>238344</v>
      </c>
      <c r="M61" s="49">
        <f t="shared" si="60"/>
        <v>4522</v>
      </c>
      <c r="N61" s="49"/>
      <c r="O61" s="6"/>
      <c r="P61" s="38">
        <f t="shared" si="3"/>
        <v>25121</v>
      </c>
      <c r="Q61" s="38">
        <f t="shared" si="4"/>
        <v>57895</v>
      </c>
      <c r="R61" s="38">
        <f t="shared" si="5"/>
        <v>159850</v>
      </c>
      <c r="S61" s="38">
        <f t="shared" si="6"/>
        <v>242866</v>
      </c>
      <c r="T61" s="38"/>
      <c r="U61" s="89">
        <v>25121.0</v>
      </c>
      <c r="V61" s="89">
        <v>57720.0</v>
      </c>
      <c r="W61" s="57">
        <f>R61</f>
        <v>159850</v>
      </c>
      <c r="X61" s="58">
        <f>SUM(U61:W61)</f>
        <v>242691</v>
      </c>
      <c r="Y61" s="6"/>
      <c r="Z61" s="45"/>
      <c r="AA61" s="45"/>
      <c r="AB61" s="45"/>
      <c r="AC61" s="6"/>
      <c r="AD61" s="6"/>
      <c r="AE61" s="6"/>
      <c r="AF61" s="6"/>
      <c r="AG61" s="6"/>
      <c r="AH61" s="6"/>
      <c r="AI61" s="6"/>
      <c r="AJ61" s="6"/>
      <c r="AK61" s="6"/>
      <c r="AL61" s="6"/>
    </row>
    <row r="62" ht="12.0" customHeight="1">
      <c r="A62" s="40">
        <v>1984.0</v>
      </c>
      <c r="B62" s="4" t="s">
        <v>58</v>
      </c>
      <c r="C62" s="47">
        <v>28354.0</v>
      </c>
      <c r="D62" s="47">
        <v>0.0</v>
      </c>
      <c r="E62" s="49"/>
      <c r="F62" s="47">
        <v>58776.0</v>
      </c>
      <c r="G62" s="47">
        <v>600.0</v>
      </c>
      <c r="H62" s="49"/>
      <c r="I62" s="47">
        <v>162203.0</v>
      </c>
      <c r="J62" s="47">
        <v>4057.0</v>
      </c>
      <c r="K62" s="49"/>
      <c r="L62" s="49">
        <f t="shared" ref="L62:M62" si="61">SUM(C62,F62,I62)</f>
        <v>249333</v>
      </c>
      <c r="M62" s="49">
        <f t="shared" si="61"/>
        <v>4657</v>
      </c>
      <c r="N62" s="49"/>
      <c r="O62" s="2"/>
      <c r="P62" s="38">
        <f t="shared" si="3"/>
        <v>28354</v>
      </c>
      <c r="Q62" s="38">
        <f t="shared" si="4"/>
        <v>59376</v>
      </c>
      <c r="R62" s="38">
        <f t="shared" si="5"/>
        <v>166260</v>
      </c>
      <c r="S62" s="38">
        <f t="shared" si="6"/>
        <v>253990</v>
      </c>
      <c r="T62" s="38"/>
      <c r="U62" s="1"/>
      <c r="V62" s="1"/>
      <c r="W62" s="1"/>
      <c r="X62" s="16"/>
      <c r="Y62" s="2"/>
      <c r="Z62" s="45"/>
      <c r="AA62" s="45"/>
      <c r="AB62" s="45"/>
      <c r="AC62" s="2"/>
      <c r="AD62" s="2"/>
      <c r="AE62" s="2"/>
      <c r="AF62" s="2"/>
      <c r="AG62" s="2"/>
      <c r="AH62" s="2"/>
      <c r="AI62" s="2"/>
      <c r="AJ62" s="2"/>
      <c r="AK62" s="2"/>
      <c r="AL62" s="2"/>
    </row>
    <row r="63" ht="12.75" customHeight="1">
      <c r="A63" s="6"/>
      <c r="B63" s="6" t="s">
        <v>66</v>
      </c>
      <c r="C63" s="47">
        <v>29256.0</v>
      </c>
      <c r="D63" s="47">
        <v>0.0</v>
      </c>
      <c r="E63" s="49"/>
      <c r="F63" s="47">
        <v>60636.0</v>
      </c>
      <c r="G63" s="47">
        <v>631.0</v>
      </c>
      <c r="H63" s="49"/>
      <c r="I63" s="94">
        <v>166723.0</v>
      </c>
      <c r="J63" s="47">
        <v>4170.0</v>
      </c>
      <c r="K63" s="49"/>
      <c r="L63" s="49">
        <f t="shared" ref="L63:M63" si="62">SUM(C63,F63,I63)</f>
        <v>256615</v>
      </c>
      <c r="M63" s="49">
        <f t="shared" si="62"/>
        <v>4801</v>
      </c>
      <c r="N63" s="49"/>
      <c r="O63" s="6"/>
      <c r="P63" s="38">
        <f t="shared" si="3"/>
        <v>29256</v>
      </c>
      <c r="Q63" s="38">
        <f t="shared" si="4"/>
        <v>61267</v>
      </c>
      <c r="R63" s="38">
        <f t="shared" si="5"/>
        <v>170893</v>
      </c>
      <c r="S63" s="38">
        <f t="shared" si="6"/>
        <v>261416</v>
      </c>
      <c r="T63" s="38"/>
      <c r="U63" s="55"/>
      <c r="V63" s="55"/>
      <c r="W63" s="55"/>
      <c r="X63" s="58"/>
      <c r="Y63" s="6"/>
      <c r="Z63" s="45"/>
      <c r="AA63" s="45"/>
      <c r="AB63" s="45"/>
      <c r="AC63" s="6"/>
      <c r="AD63" s="6"/>
      <c r="AE63" s="6"/>
      <c r="AF63" s="6"/>
      <c r="AG63" s="6"/>
      <c r="AH63" s="6"/>
      <c r="AI63" s="6"/>
      <c r="AJ63" s="6"/>
      <c r="AK63" s="6"/>
      <c r="AL63" s="6"/>
    </row>
    <row r="64" ht="12.0" customHeight="1">
      <c r="A64" s="6"/>
      <c r="B64" s="6" t="s">
        <v>74</v>
      </c>
      <c r="C64" s="47">
        <v>32730.0</v>
      </c>
      <c r="D64" s="47">
        <v>158.0</v>
      </c>
      <c r="E64" s="49"/>
      <c r="F64" s="47">
        <v>63352.0</v>
      </c>
      <c r="G64" s="47">
        <v>612.0</v>
      </c>
      <c r="H64" s="49"/>
      <c r="I64" s="47">
        <v>171481.0</v>
      </c>
      <c r="J64" s="47">
        <v>4289.0</v>
      </c>
      <c r="K64" s="49"/>
      <c r="L64" s="49">
        <f t="shared" ref="L64:M64" si="63">SUM(C64,F64,I64)</f>
        <v>267563</v>
      </c>
      <c r="M64" s="49">
        <f t="shared" si="63"/>
        <v>5059</v>
      </c>
      <c r="N64" s="49"/>
      <c r="O64" s="6"/>
      <c r="P64" s="38">
        <f t="shared" si="3"/>
        <v>32888</v>
      </c>
      <c r="Q64" s="38">
        <f t="shared" si="4"/>
        <v>63964</v>
      </c>
      <c r="R64" s="38">
        <f t="shared" si="5"/>
        <v>175770</v>
      </c>
      <c r="S64" s="38">
        <f t="shared" si="6"/>
        <v>272622</v>
      </c>
      <c r="T64" s="38"/>
      <c r="U64" s="55"/>
      <c r="V64" s="55"/>
      <c r="W64" s="55"/>
      <c r="X64" s="58"/>
      <c r="Y64" s="6"/>
      <c r="Z64" s="45"/>
      <c r="AA64" s="45"/>
      <c r="AB64" s="45"/>
      <c r="AC64" s="6"/>
      <c r="AD64" s="6"/>
      <c r="AE64" s="6"/>
      <c r="AF64" s="6"/>
      <c r="AG64" s="6"/>
      <c r="AH64" s="6"/>
      <c r="AI64" s="6"/>
      <c r="AJ64" s="6"/>
      <c r="AK64" s="6"/>
      <c r="AL64" s="6"/>
    </row>
    <row r="65" ht="12.75" customHeight="1">
      <c r="A65" s="6"/>
      <c r="B65" s="6" t="s">
        <v>75</v>
      </c>
      <c r="C65" s="47">
        <v>35965.0</v>
      </c>
      <c r="D65" s="47">
        <v>250.0</v>
      </c>
      <c r="E65" s="49"/>
      <c r="F65" s="47">
        <v>70253.0</v>
      </c>
      <c r="G65" s="47">
        <v>569.0</v>
      </c>
      <c r="H65" s="49"/>
      <c r="I65" s="47">
        <v>175589.0</v>
      </c>
      <c r="J65" s="47">
        <v>4392.0</v>
      </c>
      <c r="K65" s="49"/>
      <c r="L65" s="49">
        <f t="shared" ref="L65:M65" si="64">SUM(C65,F65,I65)</f>
        <v>281807</v>
      </c>
      <c r="M65" s="49">
        <f t="shared" si="64"/>
        <v>5211</v>
      </c>
      <c r="N65" s="49"/>
      <c r="O65" s="6"/>
      <c r="P65" s="38">
        <f t="shared" si="3"/>
        <v>36215</v>
      </c>
      <c r="Q65" s="38">
        <f t="shared" si="4"/>
        <v>70822</v>
      </c>
      <c r="R65" s="38">
        <f t="shared" si="5"/>
        <v>179981</v>
      </c>
      <c r="S65" s="38">
        <f t="shared" si="6"/>
        <v>287018</v>
      </c>
      <c r="T65" s="38"/>
      <c r="U65" s="89">
        <v>35738.0</v>
      </c>
      <c r="V65" s="89">
        <v>70026.0</v>
      </c>
      <c r="W65" s="57">
        <f>R65</f>
        <v>179981</v>
      </c>
      <c r="X65" s="58">
        <f>SUM(U65:W65)</f>
        <v>285745</v>
      </c>
      <c r="Y65" s="6"/>
      <c r="Z65" s="45"/>
      <c r="AA65" s="45"/>
      <c r="AB65" s="45"/>
      <c r="AC65" s="6"/>
      <c r="AD65" s="6"/>
      <c r="AE65" s="6"/>
      <c r="AF65" s="6"/>
      <c r="AG65" s="6"/>
      <c r="AH65" s="6"/>
      <c r="AI65" s="6"/>
      <c r="AJ65" s="6"/>
      <c r="AK65" s="6"/>
      <c r="AL65" s="6"/>
    </row>
    <row r="66" ht="12.0" customHeight="1">
      <c r="A66" s="40">
        <v>1985.0</v>
      </c>
      <c r="B66" s="6" t="s">
        <v>58</v>
      </c>
      <c r="C66" s="47">
        <v>38772.0</v>
      </c>
      <c r="D66" s="47">
        <v>598.0</v>
      </c>
      <c r="E66" s="49"/>
      <c r="F66" s="47">
        <v>75781.0</v>
      </c>
      <c r="G66" s="47">
        <v>978.0</v>
      </c>
      <c r="H66" s="49"/>
      <c r="I66" s="47">
        <v>181419.0</v>
      </c>
      <c r="J66" s="47">
        <v>4535.0</v>
      </c>
      <c r="K66" s="49"/>
      <c r="L66" s="49">
        <f t="shared" ref="L66:M66" si="65">SUM(C66,F66,I66)</f>
        <v>295972</v>
      </c>
      <c r="M66" s="49">
        <f t="shared" si="65"/>
        <v>6111</v>
      </c>
      <c r="N66" s="49"/>
      <c r="O66" s="6"/>
      <c r="P66" s="38">
        <f t="shared" si="3"/>
        <v>39370</v>
      </c>
      <c r="Q66" s="38">
        <f t="shared" si="4"/>
        <v>76759</v>
      </c>
      <c r="R66" s="38">
        <f t="shared" si="5"/>
        <v>185954</v>
      </c>
      <c r="S66" s="38">
        <f t="shared" si="6"/>
        <v>302083</v>
      </c>
      <c r="T66" s="38"/>
      <c r="U66" s="55"/>
      <c r="V66" s="55"/>
      <c r="W66" s="55"/>
      <c r="X66" s="58"/>
      <c r="Y66" s="6"/>
      <c r="Z66" s="45"/>
      <c r="AA66" s="45"/>
      <c r="AB66" s="45"/>
      <c r="AC66" s="6"/>
      <c r="AD66" s="6"/>
      <c r="AE66" s="6"/>
      <c r="AF66" s="6"/>
      <c r="AG66" s="6"/>
      <c r="AH66" s="6"/>
      <c r="AI66" s="6"/>
      <c r="AJ66" s="6"/>
      <c r="AK66" s="6"/>
      <c r="AL66" s="6"/>
    </row>
    <row r="67" ht="12.0" customHeight="1">
      <c r="A67" s="2"/>
      <c r="B67" s="4" t="s">
        <v>66</v>
      </c>
      <c r="C67" s="47">
        <v>41985.0</v>
      </c>
      <c r="D67" s="47">
        <v>770.0</v>
      </c>
      <c r="E67" s="49"/>
      <c r="F67" s="47">
        <v>82369.0</v>
      </c>
      <c r="G67" s="47">
        <v>958.0</v>
      </c>
      <c r="H67" s="49"/>
      <c r="I67" s="47">
        <v>188228.0</v>
      </c>
      <c r="J67" s="47">
        <v>4697.0</v>
      </c>
      <c r="K67" s="49"/>
      <c r="L67" s="49">
        <f t="shared" ref="L67:M67" si="66">SUM(C67,F67,I67)</f>
        <v>312582</v>
      </c>
      <c r="M67" s="49">
        <f t="shared" si="66"/>
        <v>6425</v>
      </c>
      <c r="N67" s="49"/>
      <c r="O67" s="2"/>
      <c r="P67" s="38">
        <f t="shared" si="3"/>
        <v>42755</v>
      </c>
      <c r="Q67" s="38">
        <f t="shared" si="4"/>
        <v>83327</v>
      </c>
      <c r="R67" s="38">
        <f t="shared" si="5"/>
        <v>192925</v>
      </c>
      <c r="S67" s="38">
        <f t="shared" si="6"/>
        <v>319007</v>
      </c>
      <c r="T67" s="38"/>
      <c r="U67" s="1"/>
      <c r="V67" s="1"/>
      <c r="W67" s="1"/>
      <c r="X67" s="16"/>
      <c r="Y67" s="2"/>
      <c r="Z67" s="45"/>
      <c r="AA67" s="45"/>
      <c r="AB67" s="45"/>
      <c r="AC67" s="2"/>
      <c r="AD67" s="2"/>
      <c r="AE67" s="2"/>
      <c r="AF67" s="2"/>
      <c r="AG67" s="2"/>
      <c r="AH67" s="2"/>
      <c r="AI67" s="2"/>
      <c r="AJ67" s="2"/>
      <c r="AK67" s="2"/>
      <c r="AL67" s="2"/>
    </row>
    <row r="68" ht="12.0" customHeight="1">
      <c r="A68" s="2"/>
      <c r="B68" s="4" t="s">
        <v>74</v>
      </c>
      <c r="C68" s="47">
        <v>47857.0</v>
      </c>
      <c r="D68" s="47">
        <v>912.0</v>
      </c>
      <c r="E68" s="49"/>
      <c r="F68" s="47">
        <v>90997.0</v>
      </c>
      <c r="G68" s="47">
        <v>918.0</v>
      </c>
      <c r="H68" s="49"/>
      <c r="I68" s="47">
        <v>196198.0</v>
      </c>
      <c r="J68" s="47">
        <v>4828.0</v>
      </c>
      <c r="K68" s="49"/>
      <c r="L68" s="49">
        <f t="shared" ref="L68:M68" si="67">SUM(C68,F68,I68)</f>
        <v>335052</v>
      </c>
      <c r="M68" s="49">
        <f t="shared" si="67"/>
        <v>6658</v>
      </c>
      <c r="N68" s="49"/>
      <c r="O68" s="2"/>
      <c r="P68" s="38">
        <f t="shared" si="3"/>
        <v>48769</v>
      </c>
      <c r="Q68" s="38">
        <f t="shared" si="4"/>
        <v>91915</v>
      </c>
      <c r="R68" s="38">
        <f t="shared" si="5"/>
        <v>201026</v>
      </c>
      <c r="S68" s="38">
        <f t="shared" si="6"/>
        <v>341710</v>
      </c>
      <c r="T68" s="38"/>
      <c r="U68" s="1"/>
      <c r="V68" s="1"/>
      <c r="W68" s="1"/>
      <c r="X68" s="16"/>
      <c r="Y68" s="2"/>
      <c r="Z68" s="45"/>
      <c r="AA68" s="45"/>
      <c r="AB68" s="45"/>
      <c r="AC68" s="2"/>
      <c r="AD68" s="2"/>
      <c r="AE68" s="2"/>
      <c r="AF68" s="2"/>
      <c r="AG68" s="2"/>
      <c r="AH68" s="2"/>
      <c r="AI68" s="2"/>
      <c r="AJ68" s="2"/>
      <c r="AK68" s="2"/>
      <c r="AL68" s="2"/>
    </row>
    <row r="69" ht="12.75" customHeight="1">
      <c r="A69" s="2"/>
      <c r="B69" s="4" t="s">
        <v>75</v>
      </c>
      <c r="C69" s="47">
        <v>54036.0</v>
      </c>
      <c r="D69" s="47">
        <v>951.0</v>
      </c>
      <c r="E69" s="49"/>
      <c r="F69" s="47">
        <v>99515.0</v>
      </c>
      <c r="G69" s="47">
        <v>872.0</v>
      </c>
      <c r="H69" s="49"/>
      <c r="I69" s="47">
        <v>206198.0</v>
      </c>
      <c r="J69" s="47">
        <v>4947.0</v>
      </c>
      <c r="K69" s="49"/>
      <c r="L69" s="49">
        <f t="shared" ref="L69:M69" si="68">SUM(C69,F69,I69)</f>
        <v>359749</v>
      </c>
      <c r="M69" s="49">
        <f t="shared" si="68"/>
        <v>6770</v>
      </c>
      <c r="N69" s="49"/>
      <c r="O69" s="2"/>
      <c r="P69" s="38">
        <f t="shared" si="3"/>
        <v>54987</v>
      </c>
      <c r="Q69" s="38">
        <f t="shared" si="4"/>
        <v>100387</v>
      </c>
      <c r="R69" s="38">
        <f t="shared" si="5"/>
        <v>211145</v>
      </c>
      <c r="S69" s="38">
        <f t="shared" si="6"/>
        <v>366519</v>
      </c>
      <c r="T69" s="38"/>
      <c r="U69" s="95">
        <v>54552.0</v>
      </c>
      <c r="V69" s="95">
        <v>99909.0</v>
      </c>
      <c r="W69" s="53">
        <f>R69</f>
        <v>211145</v>
      </c>
      <c r="X69" s="58">
        <f>SUM(U69:W69)</f>
        <v>365606</v>
      </c>
      <c r="Y69" s="2"/>
      <c r="Z69" s="45"/>
      <c r="AA69" s="45"/>
      <c r="AB69" s="45"/>
      <c r="AC69" s="2"/>
      <c r="AD69" s="2"/>
      <c r="AE69" s="2"/>
      <c r="AF69" s="2"/>
      <c r="AG69" s="2"/>
      <c r="AH69" s="2"/>
      <c r="AI69" s="2"/>
      <c r="AJ69" s="2"/>
      <c r="AK69" s="2"/>
      <c r="AL69" s="2"/>
    </row>
    <row r="70" ht="12.0" customHeight="1">
      <c r="A70" s="40">
        <v>1986.0</v>
      </c>
      <c r="B70" s="4" t="s">
        <v>58</v>
      </c>
      <c r="C70" s="47">
        <v>61117.0</v>
      </c>
      <c r="D70" s="47">
        <v>1193.0</v>
      </c>
      <c r="E70" s="49"/>
      <c r="F70" s="47">
        <v>108020.0</v>
      </c>
      <c r="G70" s="47">
        <v>2317.0</v>
      </c>
      <c r="H70" s="49"/>
      <c r="I70" s="47">
        <v>215148.0</v>
      </c>
      <c r="J70" s="47">
        <v>5200.0</v>
      </c>
      <c r="K70" s="49"/>
      <c r="L70" s="49">
        <f t="shared" ref="L70:M70" si="69">SUM(C70,F70,I70)</f>
        <v>384285</v>
      </c>
      <c r="M70" s="49">
        <f t="shared" si="69"/>
        <v>8710</v>
      </c>
      <c r="N70" s="49"/>
      <c r="O70" s="2"/>
      <c r="P70" s="38">
        <f t="shared" si="3"/>
        <v>62310</v>
      </c>
      <c r="Q70" s="38">
        <f t="shared" si="4"/>
        <v>110337</v>
      </c>
      <c r="R70" s="38">
        <f t="shared" si="5"/>
        <v>220348</v>
      </c>
      <c r="S70" s="38">
        <f t="shared" si="6"/>
        <v>392995</v>
      </c>
      <c r="T70" s="38"/>
      <c r="U70" s="1"/>
      <c r="V70" s="1"/>
      <c r="W70" s="1"/>
      <c r="X70" s="16"/>
      <c r="Y70" s="2"/>
      <c r="Z70" s="45"/>
      <c r="AA70" s="45"/>
      <c r="AB70" s="45"/>
      <c r="AC70" s="2"/>
      <c r="AD70" s="2"/>
      <c r="AE70" s="2"/>
      <c r="AF70" s="2"/>
      <c r="AG70" s="2"/>
      <c r="AH70" s="2"/>
      <c r="AI70" s="2"/>
      <c r="AJ70" s="2"/>
      <c r="AK70" s="2"/>
      <c r="AL70" s="2"/>
    </row>
    <row r="71" ht="12.0" customHeight="1">
      <c r="A71" s="2"/>
      <c r="B71" s="4" t="s">
        <v>66</v>
      </c>
      <c r="C71" s="47">
        <v>71153.0</v>
      </c>
      <c r="D71" s="47">
        <v>1224.0</v>
      </c>
      <c r="E71" s="49"/>
      <c r="F71" s="47">
        <v>123676.0</v>
      </c>
      <c r="G71" s="47">
        <v>2227.0</v>
      </c>
      <c r="H71" s="49"/>
      <c r="I71" s="47">
        <v>223838.0</v>
      </c>
      <c r="J71" s="47">
        <v>5366.0</v>
      </c>
      <c r="K71" s="49"/>
      <c r="L71" s="49">
        <f t="shared" ref="L71:M71" si="70">SUM(C71,F71,I71)</f>
        <v>418667</v>
      </c>
      <c r="M71" s="49">
        <f t="shared" si="70"/>
        <v>8817</v>
      </c>
      <c r="N71" s="49"/>
      <c r="O71" s="2"/>
      <c r="P71" s="38">
        <f t="shared" si="3"/>
        <v>72377</v>
      </c>
      <c r="Q71" s="38">
        <f t="shared" si="4"/>
        <v>125903</v>
      </c>
      <c r="R71" s="38">
        <f t="shared" si="5"/>
        <v>229204</v>
      </c>
      <c r="S71" s="38">
        <f t="shared" si="6"/>
        <v>427484</v>
      </c>
      <c r="T71" s="38"/>
      <c r="U71" s="1"/>
      <c r="V71" s="1"/>
      <c r="W71" s="1"/>
      <c r="X71" s="16"/>
      <c r="Y71" s="2"/>
      <c r="Z71" s="45"/>
      <c r="AA71" s="45"/>
      <c r="AB71" s="45"/>
      <c r="AC71" s="2"/>
      <c r="AD71" s="2"/>
      <c r="AE71" s="2"/>
      <c r="AF71" s="2"/>
      <c r="AG71" s="2"/>
      <c r="AH71" s="2"/>
      <c r="AI71" s="2"/>
      <c r="AJ71" s="2"/>
      <c r="AK71" s="2"/>
      <c r="AL71" s="2"/>
    </row>
    <row r="72" ht="12.0" customHeight="1">
      <c r="A72" s="2"/>
      <c r="B72" s="4" t="s">
        <v>74</v>
      </c>
      <c r="C72" s="47">
        <v>85171.0</v>
      </c>
      <c r="D72" s="47">
        <v>1188.0</v>
      </c>
      <c r="E72" s="49"/>
      <c r="F72" s="47">
        <v>143734.0</v>
      </c>
      <c r="G72" s="47">
        <v>3137.0</v>
      </c>
      <c r="H72" s="49"/>
      <c r="I72" s="47">
        <v>235664.0</v>
      </c>
      <c r="J72" s="47">
        <v>5566.0</v>
      </c>
      <c r="K72" s="49"/>
      <c r="L72" s="49">
        <f t="shared" ref="L72:M72" si="71">SUM(C72,F72,I72)</f>
        <v>464569</v>
      </c>
      <c r="M72" s="49">
        <f t="shared" si="71"/>
        <v>9891</v>
      </c>
      <c r="N72" s="49"/>
      <c r="O72" s="2"/>
      <c r="P72" s="38">
        <f t="shared" si="3"/>
        <v>86359</v>
      </c>
      <c r="Q72" s="38">
        <f t="shared" si="4"/>
        <v>146871</v>
      </c>
      <c r="R72" s="38">
        <f t="shared" si="5"/>
        <v>241230</v>
      </c>
      <c r="S72" s="38">
        <f t="shared" si="6"/>
        <v>474460</v>
      </c>
      <c r="T72" s="38"/>
      <c r="U72" s="1"/>
      <c r="V72" s="1"/>
      <c r="W72" s="1"/>
      <c r="X72" s="16"/>
      <c r="Y72" s="2"/>
      <c r="Z72" s="45"/>
      <c r="AA72" s="45"/>
      <c r="AB72" s="45"/>
      <c r="AC72" s="2"/>
      <c r="AD72" s="2"/>
      <c r="AE72" s="2"/>
      <c r="AF72" s="2"/>
      <c r="AG72" s="2"/>
      <c r="AH72" s="2"/>
      <c r="AI72" s="2"/>
      <c r="AJ72" s="2"/>
      <c r="AK72" s="2"/>
      <c r="AL72" s="2"/>
    </row>
    <row r="73" ht="12.75" customHeight="1">
      <c r="A73" s="2"/>
      <c r="B73" s="4" t="s">
        <v>75</v>
      </c>
      <c r="C73" s="47">
        <v>95791.0</v>
      </c>
      <c r="D73" s="47">
        <v>1383.0</v>
      </c>
      <c r="E73" s="49"/>
      <c r="F73" s="47">
        <v>166667.0</v>
      </c>
      <c r="G73" s="47">
        <v>4705.0</v>
      </c>
      <c r="H73" s="49"/>
      <c r="I73" s="47">
        <v>256920.0</v>
      </c>
      <c r="J73" s="47">
        <v>5777.0</v>
      </c>
      <c r="K73" s="49"/>
      <c r="L73" s="49">
        <f t="shared" ref="L73:M73" si="72">SUM(C73,F73,I73)</f>
        <v>519378</v>
      </c>
      <c r="M73" s="49">
        <f t="shared" si="72"/>
        <v>11865</v>
      </c>
      <c r="N73" s="49"/>
      <c r="O73" s="2"/>
      <c r="P73" s="38">
        <f t="shared" si="3"/>
        <v>97174</v>
      </c>
      <c r="Q73" s="38">
        <f t="shared" si="4"/>
        <v>171372</v>
      </c>
      <c r="R73" s="38">
        <f t="shared" si="5"/>
        <v>262697</v>
      </c>
      <c r="S73" s="38">
        <f t="shared" si="6"/>
        <v>531243</v>
      </c>
      <c r="T73" s="38"/>
      <c r="U73" s="95">
        <v>95568.0</v>
      </c>
      <c r="V73" s="95">
        <v>169186.0</v>
      </c>
      <c r="W73" s="53">
        <f>R73</f>
        <v>262697</v>
      </c>
      <c r="X73" s="58">
        <f>SUM(U73:W73)</f>
        <v>527451</v>
      </c>
      <c r="Y73" s="2"/>
      <c r="Z73" s="45"/>
      <c r="AA73" s="45"/>
      <c r="AB73" s="45"/>
      <c r="AC73" s="2"/>
      <c r="AD73" s="2"/>
      <c r="AE73" s="2"/>
      <c r="AF73" s="2"/>
      <c r="AG73" s="2"/>
      <c r="AH73" s="2"/>
      <c r="AI73" s="2"/>
      <c r="AJ73" s="2"/>
      <c r="AK73" s="2"/>
      <c r="AL73" s="2"/>
    </row>
    <row r="74" ht="12.0" customHeight="1">
      <c r="A74" s="40">
        <v>1987.0</v>
      </c>
      <c r="B74" s="4" t="s">
        <v>58</v>
      </c>
      <c r="C74" s="47">
        <v>106068.0</v>
      </c>
      <c r="D74" s="47">
        <v>1605.0</v>
      </c>
      <c r="E74" s="49"/>
      <c r="F74" s="47">
        <v>180602.0</v>
      </c>
      <c r="G74" s="47">
        <v>5693.0</v>
      </c>
      <c r="H74" s="49"/>
      <c r="I74" s="47">
        <v>274710.0</v>
      </c>
      <c r="J74" s="47">
        <v>6406.0</v>
      </c>
      <c r="K74" s="49"/>
      <c r="L74" s="49">
        <f t="shared" ref="L74:M74" si="73">SUM(C74,F74,I74)</f>
        <v>561380</v>
      </c>
      <c r="M74" s="49">
        <f t="shared" si="73"/>
        <v>13704</v>
      </c>
      <c r="N74" s="49"/>
      <c r="O74" s="2"/>
      <c r="P74" s="38">
        <f t="shared" si="3"/>
        <v>107673</v>
      </c>
      <c r="Q74" s="38">
        <f t="shared" si="4"/>
        <v>186295</v>
      </c>
      <c r="R74" s="38">
        <f t="shared" si="5"/>
        <v>281116</v>
      </c>
      <c r="S74" s="38">
        <f t="shared" si="6"/>
        <v>575084</v>
      </c>
      <c r="T74" s="38"/>
      <c r="U74" s="1"/>
      <c r="V74" s="1"/>
      <c r="W74" s="1"/>
      <c r="X74" s="16"/>
      <c r="Y74" s="2"/>
      <c r="Z74" s="45"/>
      <c r="AA74" s="45"/>
      <c r="AB74" s="45"/>
      <c r="AC74" s="2"/>
      <c r="AD74" s="2"/>
      <c r="AE74" s="2"/>
      <c r="AF74" s="2"/>
      <c r="AG74" s="2"/>
      <c r="AH74" s="2"/>
      <c r="AI74" s="2"/>
      <c r="AJ74" s="2"/>
      <c r="AK74" s="2"/>
      <c r="AL74" s="2"/>
    </row>
    <row r="75" ht="12.0" customHeight="1">
      <c r="A75" s="2"/>
      <c r="B75" s="4" t="s">
        <v>66</v>
      </c>
      <c r="C75" s="47">
        <v>119617.0</v>
      </c>
      <c r="D75" s="47">
        <v>1653.0</v>
      </c>
      <c r="E75" s="49"/>
      <c r="F75" s="47">
        <v>194238.0</v>
      </c>
      <c r="G75" s="47">
        <v>6046.0</v>
      </c>
      <c r="H75" s="49"/>
      <c r="I75" s="47">
        <v>286091.0</v>
      </c>
      <c r="J75" s="47">
        <v>7155.0</v>
      </c>
      <c r="K75" s="49"/>
      <c r="L75" s="49">
        <f t="shared" ref="L75:M75" si="74">SUM(C75,F75,I75)</f>
        <v>599946</v>
      </c>
      <c r="M75" s="49">
        <f t="shared" si="74"/>
        <v>14854</v>
      </c>
      <c r="N75" s="49"/>
      <c r="O75" s="2"/>
      <c r="P75" s="38">
        <f t="shared" si="3"/>
        <v>121270</v>
      </c>
      <c r="Q75" s="38">
        <f t="shared" si="4"/>
        <v>200284</v>
      </c>
      <c r="R75" s="38">
        <f t="shared" si="5"/>
        <v>293246</v>
      </c>
      <c r="S75" s="38">
        <f t="shared" si="6"/>
        <v>614800</v>
      </c>
      <c r="T75" s="38"/>
      <c r="U75" s="1"/>
      <c r="V75" s="1"/>
      <c r="W75" s="1"/>
      <c r="X75" s="16"/>
      <c r="Y75" s="2"/>
      <c r="Z75" s="45"/>
      <c r="AA75" s="45"/>
      <c r="AB75" s="45"/>
      <c r="AC75" s="2"/>
      <c r="AD75" s="2"/>
      <c r="AE75" s="2"/>
      <c r="AF75" s="2"/>
      <c r="AG75" s="2"/>
      <c r="AH75" s="2"/>
      <c r="AI75" s="2"/>
      <c r="AJ75" s="2"/>
      <c r="AK75" s="2"/>
      <c r="AL75" s="2"/>
    </row>
    <row r="76" ht="12.0" customHeight="1">
      <c r="A76" s="2"/>
      <c r="B76" s="4" t="s">
        <v>74</v>
      </c>
      <c r="C76" s="47">
        <v>128770.0</v>
      </c>
      <c r="D76" s="47">
        <v>1770.0</v>
      </c>
      <c r="E76" s="49"/>
      <c r="F76" s="47">
        <v>201308.0</v>
      </c>
      <c r="G76" s="47">
        <v>6564.0</v>
      </c>
      <c r="H76" s="49"/>
      <c r="I76" s="47">
        <v>300815.0</v>
      </c>
      <c r="J76" s="47">
        <v>7524.0</v>
      </c>
      <c r="K76" s="49"/>
      <c r="L76" s="49">
        <f t="shared" ref="L76:M76" si="75">SUM(C76,F76,I76)</f>
        <v>630893</v>
      </c>
      <c r="M76" s="49">
        <f t="shared" si="75"/>
        <v>15858</v>
      </c>
      <c r="N76" s="49"/>
      <c r="O76" s="2"/>
      <c r="P76" s="38">
        <f t="shared" si="3"/>
        <v>130540</v>
      </c>
      <c r="Q76" s="38">
        <f t="shared" si="4"/>
        <v>207872</v>
      </c>
      <c r="R76" s="38">
        <f t="shared" si="5"/>
        <v>308339</v>
      </c>
      <c r="S76" s="38">
        <f t="shared" si="6"/>
        <v>646751</v>
      </c>
      <c r="T76" s="38"/>
      <c r="U76" s="1"/>
      <c r="V76" s="1"/>
      <c r="W76" s="1"/>
      <c r="X76" s="16"/>
      <c r="Y76" s="2"/>
      <c r="Z76" s="45"/>
      <c r="AA76" s="45"/>
      <c r="AB76" s="45"/>
      <c r="AC76" s="2"/>
      <c r="AD76" s="2"/>
      <c r="AE76" s="2"/>
      <c r="AF76" s="2"/>
      <c r="AG76" s="2"/>
      <c r="AH76" s="2"/>
      <c r="AI76" s="2"/>
      <c r="AJ76" s="2"/>
      <c r="AK76" s="2"/>
      <c r="AL76" s="2"/>
    </row>
    <row r="77" ht="12.75" customHeight="1">
      <c r="A77" s="2"/>
      <c r="B77" s="4" t="s">
        <v>75</v>
      </c>
      <c r="C77" s="47">
        <v>137988.0</v>
      </c>
      <c r="D77" s="47">
        <v>1972.0</v>
      </c>
      <c r="E77" s="49"/>
      <c r="F77" s="47">
        <v>204977.0</v>
      </c>
      <c r="G77" s="47">
        <v>6657.0</v>
      </c>
      <c r="H77" s="49"/>
      <c r="I77" s="47">
        <v>309806.0</v>
      </c>
      <c r="J77" s="47">
        <v>7749.0</v>
      </c>
      <c r="K77" s="49"/>
      <c r="L77" s="49">
        <f t="shared" ref="L77:M77" si="76">SUM(C77,F77,I77)</f>
        <v>652771</v>
      </c>
      <c r="M77" s="49">
        <f t="shared" si="76"/>
        <v>16378</v>
      </c>
      <c r="N77" s="49"/>
      <c r="O77" s="2"/>
      <c r="P77" s="38">
        <f t="shared" si="3"/>
        <v>139960</v>
      </c>
      <c r="Q77" s="38">
        <f t="shared" si="4"/>
        <v>211634</v>
      </c>
      <c r="R77" s="38">
        <f t="shared" si="5"/>
        <v>317555</v>
      </c>
      <c r="S77" s="38">
        <f t="shared" si="6"/>
        <v>669149</v>
      </c>
      <c r="T77" s="38"/>
      <c r="U77" s="95">
        <v>135734.0</v>
      </c>
      <c r="V77" s="95">
        <v>212635.0</v>
      </c>
      <c r="W77" s="53">
        <f>R77</f>
        <v>317555</v>
      </c>
      <c r="X77" s="58">
        <f>SUM(U77:W77)</f>
        <v>665924</v>
      </c>
      <c r="Y77" s="2"/>
      <c r="Z77" s="45"/>
      <c r="AA77" s="45"/>
      <c r="AB77" s="45"/>
      <c r="AC77" s="2"/>
      <c r="AD77" s="2"/>
      <c r="AE77" s="2"/>
      <c r="AF77" s="2"/>
      <c r="AG77" s="2"/>
      <c r="AH77" s="2"/>
      <c r="AI77" s="2"/>
      <c r="AJ77" s="2"/>
      <c r="AK77" s="2"/>
      <c r="AL77" s="2"/>
    </row>
    <row r="78" ht="12.0" customHeight="1">
      <c r="A78" s="40">
        <v>1988.0</v>
      </c>
      <c r="B78" s="4" t="s">
        <v>58</v>
      </c>
      <c r="C78" s="47">
        <v>142330.0</v>
      </c>
      <c r="D78" s="47">
        <v>2912.0</v>
      </c>
      <c r="E78" s="49"/>
      <c r="F78" s="47">
        <v>207138.0</v>
      </c>
      <c r="G78" s="47">
        <v>6586.0</v>
      </c>
      <c r="H78" s="49"/>
      <c r="I78" s="47">
        <v>310473.0</v>
      </c>
      <c r="J78" s="47">
        <v>8230.0</v>
      </c>
      <c r="K78" s="49"/>
      <c r="L78" s="49">
        <f t="shared" ref="L78:M78" si="77">SUM(C78,F78,I78)</f>
        <v>659941</v>
      </c>
      <c r="M78" s="49">
        <f t="shared" si="77"/>
        <v>17728</v>
      </c>
      <c r="N78" s="49"/>
      <c r="O78" s="2"/>
      <c r="P78" s="38">
        <f t="shared" si="3"/>
        <v>145242</v>
      </c>
      <c r="Q78" s="38">
        <f t="shared" si="4"/>
        <v>213724</v>
      </c>
      <c r="R78" s="38">
        <f t="shared" si="5"/>
        <v>318703</v>
      </c>
      <c r="S78" s="38">
        <f t="shared" si="6"/>
        <v>677669</v>
      </c>
      <c r="T78" s="38"/>
      <c r="U78" s="1"/>
      <c r="V78" s="1"/>
      <c r="W78" s="1"/>
      <c r="X78" s="16"/>
      <c r="Y78" s="2"/>
      <c r="Z78" s="45"/>
      <c r="AA78" s="45"/>
      <c r="AB78" s="45"/>
      <c r="AC78" s="2"/>
      <c r="AD78" s="2"/>
      <c r="AE78" s="2"/>
      <c r="AF78" s="2"/>
      <c r="AG78" s="2"/>
      <c r="AH78" s="2"/>
      <c r="AI78" s="2"/>
      <c r="AJ78" s="2"/>
      <c r="AK78" s="2"/>
      <c r="AL78" s="2"/>
    </row>
    <row r="79" ht="12.0" customHeight="1">
      <c r="A79" s="2"/>
      <c r="B79" s="4" t="s">
        <v>66</v>
      </c>
      <c r="C79" s="47">
        <v>153253.0</v>
      </c>
      <c r="D79" s="47">
        <v>4185.0</v>
      </c>
      <c r="E79" s="49"/>
      <c r="F79" s="47">
        <v>208702.0</v>
      </c>
      <c r="G79" s="47">
        <v>6453.0</v>
      </c>
      <c r="H79" s="49"/>
      <c r="I79" s="47">
        <v>314728.0</v>
      </c>
      <c r="J79" s="47">
        <v>7888.0</v>
      </c>
      <c r="K79" s="49"/>
      <c r="L79" s="49">
        <f t="shared" ref="L79:M79" si="78">SUM(C79,F79,I79)</f>
        <v>676683</v>
      </c>
      <c r="M79" s="49">
        <f t="shared" si="78"/>
        <v>18526</v>
      </c>
      <c r="N79" s="49"/>
      <c r="O79" s="2"/>
      <c r="P79" s="38">
        <f t="shared" si="3"/>
        <v>157438</v>
      </c>
      <c r="Q79" s="38">
        <f t="shared" si="4"/>
        <v>215155</v>
      </c>
      <c r="R79" s="38">
        <f t="shared" si="5"/>
        <v>322616</v>
      </c>
      <c r="S79" s="38">
        <f t="shared" si="6"/>
        <v>695209</v>
      </c>
      <c r="T79" s="38"/>
      <c r="U79" s="1"/>
      <c r="V79" s="1"/>
      <c r="W79" s="1"/>
      <c r="X79" s="16"/>
      <c r="Y79" s="2"/>
      <c r="Z79" s="45"/>
      <c r="AA79" s="45"/>
      <c r="AB79" s="45"/>
      <c r="AC79" s="2"/>
      <c r="AD79" s="2"/>
      <c r="AE79" s="2"/>
      <c r="AF79" s="2"/>
      <c r="AG79" s="2"/>
      <c r="AH79" s="2"/>
      <c r="AI79" s="2"/>
      <c r="AJ79" s="2"/>
      <c r="AK79" s="2"/>
      <c r="AL79" s="2"/>
    </row>
    <row r="80" ht="12.0" customHeight="1">
      <c r="A80" s="2"/>
      <c r="B80" s="4" t="s">
        <v>74</v>
      </c>
      <c r="C80" s="47">
        <v>162228.0</v>
      </c>
      <c r="D80" s="47">
        <v>4942.0</v>
      </c>
      <c r="E80" s="49"/>
      <c r="F80" s="47">
        <v>214195.0</v>
      </c>
      <c r="G80" s="47">
        <v>6489.0</v>
      </c>
      <c r="H80" s="49"/>
      <c r="I80" s="47">
        <v>324573.0</v>
      </c>
      <c r="J80" s="47">
        <v>8604.0</v>
      </c>
      <c r="K80" s="49"/>
      <c r="L80" s="49">
        <f t="shared" ref="L80:M80" si="79">SUM(C80,F80,I80)</f>
        <v>700996</v>
      </c>
      <c r="M80" s="49">
        <f t="shared" si="79"/>
        <v>20035</v>
      </c>
      <c r="N80" s="49"/>
      <c r="O80" s="2"/>
      <c r="P80" s="38">
        <f t="shared" si="3"/>
        <v>167170</v>
      </c>
      <c r="Q80" s="38">
        <f t="shared" si="4"/>
        <v>220684</v>
      </c>
      <c r="R80" s="38">
        <f t="shared" si="5"/>
        <v>333177</v>
      </c>
      <c r="S80" s="38">
        <f t="shared" si="6"/>
        <v>721031</v>
      </c>
      <c r="T80" s="38"/>
      <c r="U80" s="1"/>
      <c r="V80" s="1"/>
      <c r="W80" s="1"/>
      <c r="X80" s="16"/>
      <c r="Y80" s="2"/>
      <c r="Z80" s="45"/>
      <c r="AA80" s="45"/>
      <c r="AB80" s="45"/>
      <c r="AC80" s="2"/>
      <c r="AD80" s="2"/>
      <c r="AE80" s="2"/>
      <c r="AF80" s="2"/>
      <c r="AG80" s="2"/>
      <c r="AH80" s="2"/>
      <c r="AI80" s="2"/>
      <c r="AJ80" s="2"/>
      <c r="AK80" s="2"/>
      <c r="AL80" s="2"/>
    </row>
    <row r="81" ht="12.75" customHeight="1">
      <c r="A81" s="2"/>
      <c r="B81" s="4" t="s">
        <v>75</v>
      </c>
      <c r="C81" s="47">
        <v>172331.0</v>
      </c>
      <c r="D81" s="47">
        <v>5919.0</v>
      </c>
      <c r="E81" s="49"/>
      <c r="F81" s="47">
        <v>219988.0</v>
      </c>
      <c r="G81" s="47">
        <v>6418.0</v>
      </c>
      <c r="H81" s="49"/>
      <c r="I81" s="47">
        <v>331257.0</v>
      </c>
      <c r="J81" s="47">
        <v>9270.0</v>
      </c>
      <c r="K81" s="49"/>
      <c r="L81" s="49">
        <f t="shared" ref="L81:M81" si="80">SUM(C81,F81,I81)</f>
        <v>723576</v>
      </c>
      <c r="M81" s="49">
        <f t="shared" si="80"/>
        <v>21607</v>
      </c>
      <c r="N81" s="49"/>
      <c r="O81" s="2"/>
      <c r="P81" s="38">
        <f t="shared" si="3"/>
        <v>178250</v>
      </c>
      <c r="Q81" s="38">
        <f t="shared" si="4"/>
        <v>226406</v>
      </c>
      <c r="R81" s="38">
        <f t="shared" si="5"/>
        <v>340527</v>
      </c>
      <c r="S81" s="38">
        <f t="shared" si="6"/>
        <v>745183</v>
      </c>
      <c r="T81" s="38"/>
      <c r="U81" s="95">
        <v>170097.0</v>
      </c>
      <c r="V81" s="95">
        <v>226406.0</v>
      </c>
      <c r="W81" s="53">
        <f>R81</f>
        <v>340527</v>
      </c>
      <c r="X81" s="58">
        <f>SUM(U81:W81)</f>
        <v>737030</v>
      </c>
      <c r="Y81" s="2"/>
      <c r="Z81" s="45"/>
      <c r="AA81" s="45"/>
      <c r="AB81" s="45"/>
      <c r="AC81" s="2"/>
      <c r="AD81" s="2"/>
      <c r="AE81" s="2"/>
      <c r="AF81" s="2"/>
      <c r="AG81" s="2"/>
      <c r="AH81" s="2"/>
      <c r="AI81" s="2"/>
      <c r="AJ81" s="2"/>
      <c r="AK81" s="2"/>
      <c r="AL81" s="2"/>
    </row>
    <row r="82" ht="12.0" customHeight="1">
      <c r="A82" s="40">
        <v>1989.0</v>
      </c>
      <c r="B82" s="4" t="s">
        <v>58</v>
      </c>
      <c r="C82" s="47">
        <v>181352.0</v>
      </c>
      <c r="D82" s="47">
        <v>6719.0</v>
      </c>
      <c r="E82" s="49"/>
      <c r="F82" s="47">
        <v>228389.0</v>
      </c>
      <c r="G82" s="47">
        <v>6306.0</v>
      </c>
      <c r="H82" s="49"/>
      <c r="I82" s="47">
        <v>337563.0</v>
      </c>
      <c r="J82" s="47">
        <v>10034.0</v>
      </c>
      <c r="K82" s="49"/>
      <c r="L82" s="49">
        <f t="shared" ref="L82:M82" si="81">SUM(C82,F82,I82)</f>
        <v>747304</v>
      </c>
      <c r="M82" s="49">
        <f t="shared" si="81"/>
        <v>23059</v>
      </c>
      <c r="N82" s="49"/>
      <c r="O82" s="2"/>
      <c r="P82" s="38">
        <f t="shared" si="3"/>
        <v>188071</v>
      </c>
      <c r="Q82" s="38">
        <f t="shared" si="4"/>
        <v>234695</v>
      </c>
      <c r="R82" s="38">
        <f t="shared" si="5"/>
        <v>347597</v>
      </c>
      <c r="S82" s="38">
        <f t="shared" si="6"/>
        <v>770363</v>
      </c>
      <c r="T82" s="38"/>
      <c r="U82" s="1"/>
      <c r="V82" s="1"/>
      <c r="W82" s="1"/>
      <c r="X82" s="16"/>
      <c r="Y82" s="2"/>
      <c r="Z82" s="45"/>
      <c r="AA82" s="45"/>
      <c r="AB82" s="45"/>
      <c r="AC82" s="2"/>
      <c r="AD82" s="2"/>
      <c r="AE82" s="2"/>
      <c r="AF82" s="2"/>
      <c r="AG82" s="2"/>
      <c r="AH82" s="2"/>
      <c r="AI82" s="2"/>
      <c r="AJ82" s="2"/>
      <c r="AK82" s="2"/>
      <c r="AL82" s="2"/>
    </row>
    <row r="83" ht="12.0" customHeight="1">
      <c r="A83" s="2"/>
      <c r="B83" s="4" t="s">
        <v>66</v>
      </c>
      <c r="C83" s="47">
        <v>188774.0</v>
      </c>
      <c r="D83" s="47">
        <v>7727.0</v>
      </c>
      <c r="E83" s="49"/>
      <c r="F83" s="47">
        <v>238446.0</v>
      </c>
      <c r="G83" s="47">
        <v>6796.0</v>
      </c>
      <c r="H83" s="49"/>
      <c r="I83" s="47">
        <v>342545.0</v>
      </c>
      <c r="J83" s="47">
        <v>10109.0</v>
      </c>
      <c r="K83" s="49"/>
      <c r="L83" s="49">
        <f t="shared" ref="L83:M83" si="82">SUM(C83,F83,I83)</f>
        <v>769765</v>
      </c>
      <c r="M83" s="49">
        <f t="shared" si="82"/>
        <v>24632</v>
      </c>
      <c r="N83" s="49"/>
      <c r="O83" s="2"/>
      <c r="P83" s="38">
        <f t="shared" si="3"/>
        <v>196501</v>
      </c>
      <c r="Q83" s="38">
        <f t="shared" si="4"/>
        <v>245242</v>
      </c>
      <c r="R83" s="38">
        <f t="shared" si="5"/>
        <v>352654</v>
      </c>
      <c r="S83" s="38">
        <f t="shared" si="6"/>
        <v>794397</v>
      </c>
      <c r="T83" s="38"/>
      <c r="U83" s="1"/>
      <c r="V83" s="1"/>
      <c r="W83" s="1"/>
      <c r="X83" s="16"/>
      <c r="Y83" s="2"/>
      <c r="Z83" s="45"/>
      <c r="AA83" s="45"/>
      <c r="AB83" s="45"/>
      <c r="AC83" s="2"/>
      <c r="AD83" s="2"/>
      <c r="AE83" s="2"/>
      <c r="AF83" s="2"/>
      <c r="AG83" s="2"/>
      <c r="AH83" s="2"/>
      <c r="AI83" s="2"/>
      <c r="AJ83" s="2"/>
      <c r="AK83" s="2"/>
      <c r="AL83" s="2"/>
    </row>
    <row r="84" ht="12.0" customHeight="1">
      <c r="A84" s="2"/>
      <c r="B84" s="4" t="s">
        <v>74</v>
      </c>
      <c r="C84" s="47">
        <v>200302.0</v>
      </c>
      <c r="D84" s="47">
        <v>8592.0</v>
      </c>
      <c r="E84" s="49"/>
      <c r="F84" s="47">
        <v>251232.0</v>
      </c>
      <c r="G84" s="47">
        <v>6706.0</v>
      </c>
      <c r="H84" s="49"/>
      <c r="I84" s="47">
        <v>349838.0</v>
      </c>
      <c r="J84" s="47">
        <v>10259.0</v>
      </c>
      <c r="K84" s="49"/>
      <c r="L84" s="49">
        <f t="shared" ref="L84:M84" si="83">SUM(C84,F84,I84)</f>
        <v>801372</v>
      </c>
      <c r="M84" s="49">
        <f t="shared" si="83"/>
        <v>25557</v>
      </c>
      <c r="N84" s="49"/>
      <c r="O84" s="2"/>
      <c r="P84" s="38">
        <f t="shared" si="3"/>
        <v>208894</v>
      </c>
      <c r="Q84" s="38">
        <f t="shared" si="4"/>
        <v>257938</v>
      </c>
      <c r="R84" s="38">
        <f t="shared" si="5"/>
        <v>360097</v>
      </c>
      <c r="S84" s="38">
        <f t="shared" si="6"/>
        <v>826929</v>
      </c>
      <c r="T84" s="38"/>
      <c r="U84" s="1"/>
      <c r="V84" s="1"/>
      <c r="W84" s="1"/>
      <c r="X84" s="16"/>
      <c r="Y84" s="2"/>
      <c r="Z84" s="45"/>
      <c r="AA84" s="45"/>
      <c r="AB84" s="45"/>
      <c r="AC84" s="2"/>
      <c r="AD84" s="2"/>
      <c r="AE84" s="2"/>
      <c r="AF84" s="2"/>
      <c r="AG84" s="2"/>
      <c r="AH84" s="2"/>
      <c r="AI84" s="2"/>
      <c r="AJ84" s="2"/>
      <c r="AK84" s="2"/>
      <c r="AL84" s="2"/>
    </row>
    <row r="85" ht="12.75" customHeight="1">
      <c r="A85" s="2"/>
      <c r="B85" s="4" t="s">
        <v>75</v>
      </c>
      <c r="C85" s="47">
        <v>219577.0</v>
      </c>
      <c r="D85" s="47">
        <v>8655.0</v>
      </c>
      <c r="E85" s="49"/>
      <c r="F85" s="47">
        <v>266060.0</v>
      </c>
      <c r="G85" s="47">
        <v>6810.0</v>
      </c>
      <c r="H85" s="49"/>
      <c r="I85" s="47">
        <v>358142.0</v>
      </c>
      <c r="J85" s="47">
        <v>10225.0</v>
      </c>
      <c r="K85" s="49"/>
      <c r="L85" s="49">
        <f t="shared" ref="L85:M85" si="84">SUM(C85,F85,I85)</f>
        <v>843779</v>
      </c>
      <c r="M85" s="49">
        <f t="shared" si="84"/>
        <v>25690</v>
      </c>
      <c r="N85" s="49"/>
      <c r="O85" s="2"/>
      <c r="P85" s="38">
        <f t="shared" si="3"/>
        <v>228232</v>
      </c>
      <c r="Q85" s="38">
        <f t="shared" si="4"/>
        <v>272870</v>
      </c>
      <c r="R85" s="38">
        <f t="shared" si="5"/>
        <v>368367</v>
      </c>
      <c r="S85" s="38">
        <f t="shared" si="6"/>
        <v>869469</v>
      </c>
      <c r="T85" s="38"/>
      <c r="U85" s="95">
        <v>216512.0</v>
      </c>
      <c r="V85" s="95">
        <v>272870.0</v>
      </c>
      <c r="W85" s="53">
        <f>R85</f>
        <v>368367</v>
      </c>
      <c r="X85" s="58">
        <f>SUM(U85:W85)</f>
        <v>857749</v>
      </c>
      <c r="Y85" s="2"/>
      <c r="Z85" s="45"/>
      <c r="AA85" s="45"/>
      <c r="AB85" s="45"/>
      <c r="AC85" s="2"/>
      <c r="AD85" s="2"/>
      <c r="AE85" s="2"/>
      <c r="AF85" s="2"/>
      <c r="AG85" s="2"/>
      <c r="AH85" s="2"/>
      <c r="AI85" s="2"/>
      <c r="AJ85" s="2"/>
      <c r="AK85" s="2"/>
      <c r="AL85" s="2"/>
    </row>
    <row r="86" ht="12.0" customHeight="1">
      <c r="A86" s="40">
        <v>1990.0</v>
      </c>
      <c r="B86" s="4" t="s">
        <v>58</v>
      </c>
      <c r="C86" s="47">
        <v>237916.0</v>
      </c>
      <c r="D86" s="47">
        <v>8475.0</v>
      </c>
      <c r="E86" s="49"/>
      <c r="F86" s="47">
        <v>274084.0</v>
      </c>
      <c r="G86" s="47">
        <v>7652.0</v>
      </c>
      <c r="H86" s="49"/>
      <c r="I86" s="47">
        <v>366300.0</v>
      </c>
      <c r="J86" s="47">
        <v>10662.0</v>
      </c>
      <c r="K86" s="49"/>
      <c r="L86" s="49">
        <f t="shared" ref="L86:M86" si="85">SUM(C86,F86,I86)</f>
        <v>878300</v>
      </c>
      <c r="M86" s="49">
        <f t="shared" si="85"/>
        <v>26789</v>
      </c>
      <c r="N86" s="49"/>
      <c r="O86" s="2"/>
      <c r="P86" s="38">
        <f t="shared" si="3"/>
        <v>246391</v>
      </c>
      <c r="Q86" s="38">
        <f t="shared" si="4"/>
        <v>281736</v>
      </c>
      <c r="R86" s="38">
        <f t="shared" si="5"/>
        <v>376962</v>
      </c>
      <c r="S86" s="38">
        <f t="shared" si="6"/>
        <v>905089</v>
      </c>
      <c r="T86" s="38"/>
      <c r="U86" s="1"/>
      <c r="V86" s="1"/>
      <c r="W86" s="1"/>
      <c r="X86" s="16"/>
      <c r="Y86" s="2"/>
      <c r="Z86" s="45"/>
      <c r="AA86" s="45"/>
      <c r="AB86" s="45"/>
      <c r="AC86" s="2"/>
      <c r="AD86" s="2"/>
      <c r="AE86" s="2"/>
      <c r="AF86" s="2"/>
      <c r="AG86" s="2"/>
      <c r="AH86" s="2"/>
      <c r="AI86" s="2"/>
      <c r="AJ86" s="2"/>
      <c r="AK86" s="2"/>
      <c r="AL86" s="2"/>
    </row>
    <row r="87" ht="12.0" customHeight="1">
      <c r="A87" s="2"/>
      <c r="B87" s="4" t="s">
        <v>66</v>
      </c>
      <c r="C87" s="47">
        <v>254811.0</v>
      </c>
      <c r="D87" s="47">
        <v>8519.0</v>
      </c>
      <c r="E87" s="49"/>
      <c r="F87" s="47">
        <v>287232.0</v>
      </c>
      <c r="G87" s="47">
        <v>8108.0</v>
      </c>
      <c r="H87" s="49"/>
      <c r="I87" s="47">
        <v>374960.0</v>
      </c>
      <c r="J87" s="47">
        <v>10496.0</v>
      </c>
      <c r="K87" s="49"/>
      <c r="L87" s="49">
        <f t="shared" ref="L87:M87" si="86">SUM(C87,F87,I87)</f>
        <v>917003</v>
      </c>
      <c r="M87" s="49">
        <f t="shared" si="86"/>
        <v>27123</v>
      </c>
      <c r="N87" s="49"/>
      <c r="O87" s="2"/>
      <c r="P87" s="38">
        <f t="shared" si="3"/>
        <v>263330</v>
      </c>
      <c r="Q87" s="38">
        <f t="shared" si="4"/>
        <v>295340</v>
      </c>
      <c r="R87" s="38">
        <f t="shared" si="5"/>
        <v>385456</v>
      </c>
      <c r="S87" s="38">
        <f t="shared" si="6"/>
        <v>944126</v>
      </c>
      <c r="T87" s="38"/>
      <c r="U87" s="1"/>
      <c r="V87" s="1"/>
      <c r="W87" s="1"/>
      <c r="X87" s="16"/>
      <c r="Y87" s="2"/>
      <c r="Z87" s="45"/>
      <c r="AA87" s="45"/>
      <c r="AB87" s="45"/>
      <c r="AC87" s="2"/>
      <c r="AD87" s="2"/>
      <c r="AE87" s="2"/>
      <c r="AF87" s="2"/>
      <c r="AG87" s="2"/>
      <c r="AH87" s="2"/>
      <c r="AI87" s="2"/>
      <c r="AJ87" s="2"/>
      <c r="AK87" s="2"/>
      <c r="AL87" s="2"/>
    </row>
    <row r="88" ht="12.0" customHeight="1">
      <c r="A88" s="2"/>
      <c r="B88" s="4" t="s">
        <v>74</v>
      </c>
      <c r="C88" s="47">
        <v>273335.0</v>
      </c>
      <c r="D88" s="47">
        <v>8471.0</v>
      </c>
      <c r="E88" s="49"/>
      <c r="F88" s="47">
        <v>293721.0</v>
      </c>
      <c r="G88" s="47">
        <v>8077.0</v>
      </c>
      <c r="H88" s="49"/>
      <c r="I88" s="47">
        <v>384474.0</v>
      </c>
      <c r="J88" s="47">
        <v>10385.0</v>
      </c>
      <c r="K88" s="49"/>
      <c r="L88" s="49">
        <f t="shared" ref="L88:M88" si="87">SUM(C88,F88,I88)</f>
        <v>951530</v>
      </c>
      <c r="M88" s="49">
        <f t="shared" si="87"/>
        <v>26933</v>
      </c>
      <c r="N88" s="49"/>
      <c r="O88" s="2"/>
      <c r="P88" s="38">
        <f t="shared" si="3"/>
        <v>281806</v>
      </c>
      <c r="Q88" s="38">
        <f t="shared" si="4"/>
        <v>301798</v>
      </c>
      <c r="R88" s="38">
        <f t="shared" si="5"/>
        <v>394859</v>
      </c>
      <c r="S88" s="38">
        <f t="shared" si="6"/>
        <v>978463</v>
      </c>
      <c r="T88" s="38"/>
      <c r="U88" s="1"/>
      <c r="V88" s="1"/>
      <c r="W88" s="1"/>
      <c r="X88" s="16"/>
      <c r="Y88" s="2"/>
      <c r="Z88" s="45"/>
      <c r="AA88" s="45"/>
      <c r="AB88" s="45"/>
      <c r="AC88" s="2"/>
      <c r="AD88" s="2"/>
      <c r="AE88" s="2"/>
      <c r="AF88" s="2"/>
      <c r="AG88" s="2"/>
      <c r="AH88" s="2"/>
      <c r="AI88" s="2"/>
      <c r="AJ88" s="2"/>
      <c r="AK88" s="2"/>
      <c r="AL88" s="2"/>
    </row>
    <row r="89" ht="12.75" customHeight="1">
      <c r="A89" s="2"/>
      <c r="B89" s="4" t="s">
        <v>75</v>
      </c>
      <c r="C89" s="47">
        <v>291194.0</v>
      </c>
      <c r="D89" s="47">
        <v>8639.0</v>
      </c>
      <c r="E89" s="49"/>
      <c r="F89" s="47">
        <v>308369.0</v>
      </c>
      <c r="G89" s="47">
        <v>7990.0</v>
      </c>
      <c r="H89" s="49"/>
      <c r="I89" s="47">
        <v>391505.0</v>
      </c>
      <c r="J89" s="47">
        <v>12098.0</v>
      </c>
      <c r="K89" s="49"/>
      <c r="L89" s="49">
        <f t="shared" ref="L89:M89" si="88">SUM(C89,F89,I89)</f>
        <v>991068</v>
      </c>
      <c r="M89" s="49">
        <f t="shared" si="88"/>
        <v>28727</v>
      </c>
      <c r="N89" s="49"/>
      <c r="O89" s="2"/>
      <c r="P89" s="38">
        <f t="shared" si="3"/>
        <v>299833</v>
      </c>
      <c r="Q89" s="38">
        <f t="shared" si="4"/>
        <v>316359</v>
      </c>
      <c r="R89" s="38">
        <f t="shared" si="5"/>
        <v>403603</v>
      </c>
      <c r="S89" s="38">
        <f t="shared" si="6"/>
        <v>1019795</v>
      </c>
      <c r="T89" s="38"/>
      <c r="U89" s="95">
        <v>288075.0</v>
      </c>
      <c r="V89" s="95">
        <v>316359.0</v>
      </c>
      <c r="W89" s="53">
        <f>R89</f>
        <v>403603</v>
      </c>
      <c r="X89" s="58">
        <f>SUM(U89:W89)</f>
        <v>1008037</v>
      </c>
      <c r="Y89" s="2"/>
      <c r="Z89" s="45"/>
      <c r="AA89" s="45"/>
      <c r="AB89" s="45"/>
      <c r="AC89" s="2"/>
      <c r="AD89" s="2"/>
      <c r="AE89" s="2"/>
      <c r="AF89" s="2"/>
      <c r="AG89" s="2"/>
      <c r="AH89" s="2"/>
      <c r="AI89" s="2"/>
      <c r="AJ89" s="2"/>
      <c r="AK89" s="2"/>
      <c r="AL89" s="2"/>
    </row>
    <row r="90" ht="12.0" customHeight="1">
      <c r="A90" s="40">
        <v>1991.0</v>
      </c>
      <c r="B90" s="4" t="s">
        <v>58</v>
      </c>
      <c r="C90" s="47">
        <v>303554.0</v>
      </c>
      <c r="D90" s="47">
        <v>8547.0</v>
      </c>
      <c r="E90" s="49"/>
      <c r="F90" s="47">
        <v>319978.0</v>
      </c>
      <c r="G90" s="47">
        <v>8237.0</v>
      </c>
      <c r="H90" s="49"/>
      <c r="I90" s="47">
        <v>399764.0</v>
      </c>
      <c r="J90" s="47">
        <v>10165.0</v>
      </c>
      <c r="K90" s="49"/>
      <c r="L90" s="49">
        <f t="shared" ref="L90:M90" si="89">SUM(C90,F90,I90)</f>
        <v>1023296</v>
      </c>
      <c r="M90" s="49">
        <f t="shared" si="89"/>
        <v>26949</v>
      </c>
      <c r="N90" s="49"/>
      <c r="O90" s="2"/>
      <c r="P90" s="38">
        <f t="shared" si="3"/>
        <v>312101</v>
      </c>
      <c r="Q90" s="38">
        <f t="shared" si="4"/>
        <v>328215</v>
      </c>
      <c r="R90" s="38">
        <f t="shared" si="5"/>
        <v>409929</v>
      </c>
      <c r="S90" s="38">
        <f t="shared" si="6"/>
        <v>1050245</v>
      </c>
      <c r="T90" s="38"/>
      <c r="U90" s="1"/>
      <c r="V90" s="1"/>
      <c r="W90" s="1"/>
      <c r="X90" s="16"/>
      <c r="Y90" s="2"/>
      <c r="Z90" s="45"/>
      <c r="AA90" s="45"/>
      <c r="AB90" s="45"/>
      <c r="AC90" s="2"/>
      <c r="AD90" s="2"/>
      <c r="AE90" s="2"/>
      <c r="AF90" s="2"/>
      <c r="AG90" s="2"/>
      <c r="AH90" s="2"/>
      <c r="AI90" s="2"/>
      <c r="AJ90" s="2"/>
      <c r="AK90" s="2"/>
      <c r="AL90" s="2"/>
    </row>
    <row r="91" ht="12.0" customHeight="1">
      <c r="A91" s="2"/>
      <c r="B91" s="4" t="s">
        <v>66</v>
      </c>
      <c r="C91" s="47">
        <v>322444.0</v>
      </c>
      <c r="D91" s="47">
        <v>8645.0</v>
      </c>
      <c r="E91" s="49"/>
      <c r="F91" s="47">
        <v>332624.0</v>
      </c>
      <c r="G91" s="47">
        <v>8509.0</v>
      </c>
      <c r="H91" s="49"/>
      <c r="I91" s="47">
        <v>403679.0</v>
      </c>
      <c r="J91" s="47">
        <v>10028.0</v>
      </c>
      <c r="K91" s="49"/>
      <c r="L91" s="49">
        <f t="shared" ref="L91:M91" si="90">SUM(C91,F91,I91)</f>
        <v>1058747</v>
      </c>
      <c r="M91" s="49">
        <f t="shared" si="90"/>
        <v>27182</v>
      </c>
      <c r="N91" s="49"/>
      <c r="O91" s="2"/>
      <c r="P91" s="38">
        <f t="shared" si="3"/>
        <v>331089</v>
      </c>
      <c r="Q91" s="38">
        <f t="shared" si="4"/>
        <v>341133</v>
      </c>
      <c r="R91" s="38">
        <f t="shared" si="5"/>
        <v>413707</v>
      </c>
      <c r="S91" s="38">
        <f t="shared" si="6"/>
        <v>1085929</v>
      </c>
      <c r="T91" s="38"/>
      <c r="U91" s="1"/>
      <c r="V91" s="1"/>
      <c r="W91" s="1"/>
      <c r="X91" s="16"/>
      <c r="Y91" s="2"/>
      <c r="Z91" s="45"/>
      <c r="AA91" s="45"/>
      <c r="AB91" s="45"/>
      <c r="AC91" s="2"/>
      <c r="AD91" s="2"/>
      <c r="AE91" s="2"/>
      <c r="AF91" s="2"/>
      <c r="AG91" s="2"/>
      <c r="AH91" s="2"/>
      <c r="AI91" s="2"/>
      <c r="AJ91" s="2"/>
      <c r="AK91" s="2"/>
      <c r="AL91" s="2"/>
    </row>
    <row r="92" ht="12.0" customHeight="1">
      <c r="A92" s="2"/>
      <c r="B92" s="4" t="s">
        <v>74</v>
      </c>
      <c r="C92" s="47">
        <v>343430.0</v>
      </c>
      <c r="D92" s="47">
        <v>8487.0</v>
      </c>
      <c r="E92" s="49"/>
      <c r="F92" s="47">
        <v>341183.0</v>
      </c>
      <c r="G92" s="47">
        <v>7660.0</v>
      </c>
      <c r="H92" s="49"/>
      <c r="I92" s="47">
        <v>412716.0</v>
      </c>
      <c r="J92" s="47">
        <v>9785.0</v>
      </c>
      <c r="K92" s="49"/>
      <c r="L92" s="49">
        <f t="shared" ref="L92:M92" si="91">SUM(C92,F92,I92)</f>
        <v>1097329</v>
      </c>
      <c r="M92" s="49">
        <f t="shared" si="91"/>
        <v>25932</v>
      </c>
      <c r="N92" s="49"/>
      <c r="O92" s="2"/>
      <c r="P92" s="38">
        <f t="shared" si="3"/>
        <v>351917</v>
      </c>
      <c r="Q92" s="38">
        <f t="shared" si="4"/>
        <v>348843</v>
      </c>
      <c r="R92" s="38">
        <f t="shared" si="5"/>
        <v>422501</v>
      </c>
      <c r="S92" s="38">
        <f t="shared" si="6"/>
        <v>1123261</v>
      </c>
      <c r="T92" s="38"/>
      <c r="U92" s="1"/>
      <c r="V92" s="1"/>
      <c r="W92" s="1"/>
      <c r="X92" s="16"/>
      <c r="Y92" s="2"/>
      <c r="Z92" s="45"/>
      <c r="AA92" s="45"/>
      <c r="AB92" s="45"/>
      <c r="AC92" s="2"/>
      <c r="AD92" s="2"/>
      <c r="AE92" s="2"/>
      <c r="AF92" s="2"/>
      <c r="AG92" s="2"/>
      <c r="AH92" s="2"/>
      <c r="AI92" s="2"/>
      <c r="AJ92" s="2"/>
      <c r="AK92" s="2"/>
      <c r="AL92" s="2"/>
    </row>
    <row r="93" ht="12.75" customHeight="1">
      <c r="A93" s="2"/>
      <c r="B93" s="4" t="s">
        <v>75</v>
      </c>
      <c r="C93" s="47">
        <v>362667.0</v>
      </c>
      <c r="D93" s="47">
        <v>9317.0</v>
      </c>
      <c r="E93" s="49"/>
      <c r="F93" s="47">
        <v>351906.0</v>
      </c>
      <c r="G93" s="47">
        <v>7257.0</v>
      </c>
      <c r="H93" s="49"/>
      <c r="I93" s="47">
        <v>415767.0</v>
      </c>
      <c r="J93" s="47">
        <v>9528.0</v>
      </c>
      <c r="K93" s="49"/>
      <c r="L93" s="49">
        <f t="shared" ref="L93:M93" si="92">SUM(C93,F93,I93)</f>
        <v>1130340</v>
      </c>
      <c r="M93" s="49">
        <f t="shared" si="92"/>
        <v>26102</v>
      </c>
      <c r="N93" s="49"/>
      <c r="O93" s="2"/>
      <c r="P93" s="38">
        <f t="shared" si="3"/>
        <v>371984</v>
      </c>
      <c r="Q93" s="38">
        <f t="shared" si="4"/>
        <v>359163</v>
      </c>
      <c r="R93" s="38">
        <f t="shared" si="5"/>
        <v>425295</v>
      </c>
      <c r="S93" s="38">
        <f t="shared" si="6"/>
        <v>1156442</v>
      </c>
      <c r="T93" s="38"/>
      <c r="U93" s="95">
        <v>355284.0</v>
      </c>
      <c r="V93" s="95">
        <v>359163.0</v>
      </c>
      <c r="W93" s="53">
        <f>R93</f>
        <v>425295</v>
      </c>
      <c r="X93" s="58">
        <f>SUM(U93:W93)</f>
        <v>1139742</v>
      </c>
      <c r="Y93" s="2"/>
      <c r="Z93" s="45"/>
      <c r="AA93" s="45"/>
      <c r="AB93" s="45"/>
      <c r="AC93" s="2"/>
      <c r="AD93" s="2"/>
      <c r="AE93" s="2"/>
      <c r="AF93" s="2"/>
      <c r="AG93" s="2"/>
      <c r="AH93" s="2"/>
      <c r="AI93" s="2"/>
      <c r="AJ93" s="2"/>
      <c r="AK93" s="2"/>
      <c r="AL93" s="2"/>
    </row>
    <row r="94" ht="12.0" customHeight="1">
      <c r="A94" s="40">
        <v>1992.0</v>
      </c>
      <c r="B94" s="4" t="s">
        <v>58</v>
      </c>
      <c r="C94" s="47">
        <v>380617.0</v>
      </c>
      <c r="D94" s="47">
        <v>9236.0</v>
      </c>
      <c r="E94" s="49"/>
      <c r="F94" s="47">
        <v>360887.0</v>
      </c>
      <c r="G94" s="47">
        <v>6991.0</v>
      </c>
      <c r="H94" s="49"/>
      <c r="I94" s="47">
        <v>412550.0</v>
      </c>
      <c r="J94" s="47">
        <v>9404.0</v>
      </c>
      <c r="K94" s="49"/>
      <c r="L94" s="49">
        <f t="shared" ref="L94:M94" si="93">SUM(C94,F94,I94)</f>
        <v>1154054</v>
      </c>
      <c r="M94" s="49">
        <f t="shared" si="93"/>
        <v>25631</v>
      </c>
      <c r="N94" s="49"/>
      <c r="O94" s="2"/>
      <c r="P94" s="38">
        <f t="shared" si="3"/>
        <v>389853</v>
      </c>
      <c r="Q94" s="38">
        <f t="shared" si="4"/>
        <v>367878</v>
      </c>
      <c r="R94" s="38">
        <f t="shared" si="5"/>
        <v>421954</v>
      </c>
      <c r="S94" s="38">
        <f t="shared" si="6"/>
        <v>1179685</v>
      </c>
      <c r="T94" s="38"/>
      <c r="U94" s="1"/>
      <c r="V94" s="1"/>
      <c r="W94" s="1"/>
      <c r="X94" s="16"/>
      <c r="Y94" s="2"/>
      <c r="Z94" s="45"/>
      <c r="AA94" s="45"/>
      <c r="AB94" s="45"/>
      <c r="AC94" s="2"/>
      <c r="AD94" s="2"/>
      <c r="AE94" s="2"/>
      <c r="AF94" s="2"/>
      <c r="AG94" s="2"/>
      <c r="AH94" s="2"/>
      <c r="AI94" s="2"/>
      <c r="AJ94" s="2"/>
      <c r="AK94" s="2"/>
      <c r="AL94" s="2"/>
    </row>
    <row r="95" ht="12.0" customHeight="1">
      <c r="A95" s="2"/>
      <c r="B95" s="4" t="s">
        <v>66</v>
      </c>
      <c r="C95" s="47">
        <v>403940.0</v>
      </c>
      <c r="D95" s="47">
        <v>9286.0</v>
      </c>
      <c r="E95" s="49"/>
      <c r="F95" s="47">
        <v>376177.0</v>
      </c>
      <c r="G95" s="47">
        <v>6620.0</v>
      </c>
      <c r="H95" s="49"/>
      <c r="I95" s="47">
        <v>413828.0</v>
      </c>
      <c r="J95" s="47">
        <v>9094.0</v>
      </c>
      <c r="K95" s="49"/>
      <c r="L95" s="49">
        <f t="shared" ref="L95:M95" si="94">SUM(C95,F95,I95)</f>
        <v>1193945</v>
      </c>
      <c r="M95" s="49">
        <f t="shared" si="94"/>
        <v>25000</v>
      </c>
      <c r="N95" s="49"/>
      <c r="O95" s="2"/>
      <c r="P95" s="38">
        <f t="shared" si="3"/>
        <v>413226</v>
      </c>
      <c r="Q95" s="38">
        <f t="shared" si="4"/>
        <v>382797</v>
      </c>
      <c r="R95" s="38">
        <f t="shared" si="5"/>
        <v>422922</v>
      </c>
      <c r="S95" s="38">
        <f t="shared" si="6"/>
        <v>1218945</v>
      </c>
      <c r="T95" s="38"/>
      <c r="U95" s="1"/>
      <c r="V95" s="1"/>
      <c r="W95" s="1"/>
      <c r="X95" s="16"/>
      <c r="Y95" s="2"/>
      <c r="Z95" s="45"/>
      <c r="AA95" s="45"/>
      <c r="AB95" s="45"/>
      <c r="AC95" s="2"/>
      <c r="AD95" s="2"/>
      <c r="AE95" s="2"/>
      <c r="AF95" s="2"/>
      <c r="AG95" s="2"/>
      <c r="AH95" s="2"/>
      <c r="AI95" s="2"/>
      <c r="AJ95" s="2"/>
      <c r="AK95" s="2"/>
      <c r="AL95" s="2"/>
    </row>
    <row r="96" ht="12.0" customHeight="1">
      <c r="A96" s="2"/>
      <c r="B96" s="4" t="s">
        <v>74</v>
      </c>
      <c r="C96" s="47">
        <v>420735.0</v>
      </c>
      <c r="D96" s="47">
        <v>9100.0</v>
      </c>
      <c r="E96" s="49"/>
      <c r="F96" s="47">
        <v>385400.0</v>
      </c>
      <c r="G96" s="47">
        <v>6362.0</v>
      </c>
      <c r="H96" s="49"/>
      <c r="I96" s="47">
        <v>413063.0</v>
      </c>
      <c r="J96" s="47">
        <v>8947.0</v>
      </c>
      <c r="K96" s="49"/>
      <c r="L96" s="49">
        <f t="shared" ref="L96:M96" si="95">SUM(C96,F96,I96)</f>
        <v>1219198</v>
      </c>
      <c r="M96" s="49">
        <f t="shared" si="95"/>
        <v>24409</v>
      </c>
      <c r="N96" s="49"/>
      <c r="O96" s="2"/>
      <c r="P96" s="38">
        <f t="shared" si="3"/>
        <v>429835</v>
      </c>
      <c r="Q96" s="38">
        <f t="shared" si="4"/>
        <v>391762</v>
      </c>
      <c r="R96" s="38">
        <f t="shared" si="5"/>
        <v>422010</v>
      </c>
      <c r="S96" s="38">
        <f t="shared" si="6"/>
        <v>1243607</v>
      </c>
      <c r="T96" s="38"/>
      <c r="U96" s="1"/>
      <c r="V96" s="1"/>
      <c r="W96" s="1"/>
      <c r="X96" s="16"/>
      <c r="Y96" s="2"/>
      <c r="Z96" s="45"/>
      <c r="AA96" s="45"/>
      <c r="AB96" s="45"/>
      <c r="AC96" s="2"/>
      <c r="AD96" s="2"/>
      <c r="AE96" s="2"/>
      <c r="AF96" s="2"/>
      <c r="AG96" s="2"/>
      <c r="AH96" s="2"/>
      <c r="AI96" s="2"/>
      <c r="AJ96" s="2"/>
      <c r="AK96" s="2"/>
      <c r="AL96" s="2"/>
    </row>
    <row r="97" ht="12.75" customHeight="1">
      <c r="A97" s="2"/>
      <c r="B97" s="4" t="s">
        <v>75</v>
      </c>
      <c r="C97" s="47">
        <v>435979.0</v>
      </c>
      <c r="D97" s="47">
        <v>9000.0</v>
      </c>
      <c r="E97" s="49"/>
      <c r="F97" s="47">
        <v>401525.0</v>
      </c>
      <c r="G97" s="47">
        <v>5989.0</v>
      </c>
      <c r="H97" s="49"/>
      <c r="I97" s="47">
        <v>410675.0</v>
      </c>
      <c r="J97" s="47">
        <v>8841.0</v>
      </c>
      <c r="K97" s="49"/>
      <c r="L97" s="49">
        <f t="shared" ref="L97:M97" si="96">SUM(C97,F97,I97)</f>
        <v>1248179</v>
      </c>
      <c r="M97" s="49">
        <f t="shared" si="96"/>
        <v>23830</v>
      </c>
      <c r="N97" s="49"/>
      <c r="O97" s="2"/>
      <c r="P97" s="38">
        <f t="shared" si="3"/>
        <v>444979</v>
      </c>
      <c r="Q97" s="38">
        <f t="shared" si="4"/>
        <v>407514</v>
      </c>
      <c r="R97" s="38">
        <f t="shared" si="5"/>
        <v>419516</v>
      </c>
      <c r="S97" s="38">
        <f t="shared" si="6"/>
        <v>1272009</v>
      </c>
      <c r="T97" s="38"/>
      <c r="U97" s="95">
        <v>424444.0</v>
      </c>
      <c r="V97" s="95">
        <v>407514.0</v>
      </c>
      <c r="W97" s="53">
        <f>R97</f>
        <v>419516</v>
      </c>
      <c r="X97" s="58">
        <f>SUM(U97:W97)</f>
        <v>1251474</v>
      </c>
      <c r="Y97" s="2"/>
      <c r="Z97" s="45"/>
      <c r="AA97" s="45"/>
      <c r="AB97" s="45"/>
      <c r="AC97" s="2"/>
      <c r="AD97" s="2"/>
      <c r="AE97" s="2"/>
      <c r="AF97" s="2"/>
      <c r="AG97" s="2"/>
      <c r="AH97" s="2"/>
      <c r="AI97" s="2"/>
      <c r="AJ97" s="2"/>
      <c r="AK97" s="2"/>
      <c r="AL97" s="2"/>
    </row>
    <row r="98" ht="12.0" customHeight="1">
      <c r="A98" s="40">
        <v>1993.0</v>
      </c>
      <c r="B98" s="4" t="s">
        <v>58</v>
      </c>
      <c r="C98" s="47">
        <v>448483.0</v>
      </c>
      <c r="D98" s="47">
        <v>8833.0</v>
      </c>
      <c r="E98" s="49"/>
      <c r="F98" s="47">
        <v>415279.0</v>
      </c>
      <c r="G98" s="47">
        <v>5654.0</v>
      </c>
      <c r="H98" s="49"/>
      <c r="I98" s="47">
        <v>412798.0</v>
      </c>
      <c r="J98" s="47">
        <v>8716.0</v>
      </c>
      <c r="K98" s="49"/>
      <c r="L98" s="49">
        <f t="shared" ref="L98:M98" si="97">SUM(C98,F98,I98)</f>
        <v>1276560</v>
      </c>
      <c r="M98" s="49">
        <f t="shared" si="97"/>
        <v>23203</v>
      </c>
      <c r="N98" s="49"/>
      <c r="O98" s="2"/>
      <c r="P98" s="38">
        <f t="shared" si="3"/>
        <v>457316</v>
      </c>
      <c r="Q98" s="38">
        <f t="shared" si="4"/>
        <v>420933</v>
      </c>
      <c r="R98" s="38">
        <f t="shared" si="5"/>
        <v>421514</v>
      </c>
      <c r="S98" s="38">
        <f t="shared" si="6"/>
        <v>1299763</v>
      </c>
      <c r="T98" s="38"/>
      <c r="U98" s="1"/>
      <c r="V98" s="1"/>
      <c r="W98" s="1"/>
      <c r="X98" s="16"/>
      <c r="Y98" s="2"/>
      <c r="Z98" s="45"/>
      <c r="AA98" s="45"/>
      <c r="AB98" s="45"/>
      <c r="AC98" s="2"/>
      <c r="AD98" s="2"/>
      <c r="AE98" s="2"/>
      <c r="AF98" s="2"/>
      <c r="AG98" s="2"/>
      <c r="AH98" s="2"/>
      <c r="AI98" s="2"/>
      <c r="AJ98" s="2"/>
      <c r="AK98" s="2"/>
      <c r="AL98" s="2"/>
    </row>
    <row r="99" ht="12.0" customHeight="1">
      <c r="A99" s="2"/>
      <c r="B99" s="4" t="s">
        <v>66</v>
      </c>
      <c r="C99" s="47">
        <v>456645.0</v>
      </c>
      <c r="D99" s="47">
        <v>8575.0</v>
      </c>
      <c r="E99" s="49"/>
      <c r="F99" s="47">
        <v>417646.0</v>
      </c>
      <c r="G99" s="47">
        <v>5236.0</v>
      </c>
      <c r="H99" s="49"/>
      <c r="I99" s="47">
        <v>404425.0</v>
      </c>
      <c r="J99" s="47">
        <v>8741.0</v>
      </c>
      <c r="K99" s="49"/>
      <c r="L99" s="49">
        <f t="shared" ref="L99:M99" si="98">SUM(C99,F99,I99)</f>
        <v>1278716</v>
      </c>
      <c r="M99" s="49">
        <f t="shared" si="98"/>
        <v>22552</v>
      </c>
      <c r="N99" s="49"/>
      <c r="O99" s="2"/>
      <c r="P99" s="38">
        <f t="shared" si="3"/>
        <v>465220</v>
      </c>
      <c r="Q99" s="38">
        <f t="shared" si="4"/>
        <v>422882</v>
      </c>
      <c r="R99" s="38">
        <f t="shared" si="5"/>
        <v>413166</v>
      </c>
      <c r="S99" s="38">
        <f t="shared" si="6"/>
        <v>1301268</v>
      </c>
      <c r="T99" s="38"/>
      <c r="U99" s="1"/>
      <c r="V99" s="1"/>
      <c r="W99" s="1"/>
      <c r="X99" s="16"/>
      <c r="Y99" s="2"/>
      <c r="Z99" s="45"/>
      <c r="AA99" s="45"/>
      <c r="AB99" s="45"/>
      <c r="AC99" s="2"/>
      <c r="AD99" s="2"/>
      <c r="AE99" s="2"/>
      <c r="AF99" s="2"/>
      <c r="AG99" s="2"/>
      <c r="AH99" s="2"/>
      <c r="AI99" s="2"/>
      <c r="AJ99" s="2"/>
      <c r="AK99" s="2"/>
      <c r="AL99" s="2"/>
    </row>
    <row r="100" ht="12.0" customHeight="1">
      <c r="A100" s="2"/>
      <c r="B100" s="4" t="s">
        <v>74</v>
      </c>
      <c r="C100" s="47">
        <v>473599.0</v>
      </c>
      <c r="D100" s="47">
        <v>8281.0</v>
      </c>
      <c r="E100" s="49"/>
      <c r="F100" s="47">
        <v>428634.0</v>
      </c>
      <c r="G100" s="47">
        <v>4935.0</v>
      </c>
      <c r="H100" s="49"/>
      <c r="I100" s="47">
        <v>405963.0</v>
      </c>
      <c r="J100" s="47">
        <v>9113.0</v>
      </c>
      <c r="K100" s="49"/>
      <c r="L100" s="49">
        <f t="shared" ref="L100:M100" si="99">SUM(C100,F100,I100)</f>
        <v>1308196</v>
      </c>
      <c r="M100" s="49">
        <f t="shared" si="99"/>
        <v>22329</v>
      </c>
      <c r="N100" s="49"/>
      <c r="O100" s="2"/>
      <c r="P100" s="38">
        <f t="shared" si="3"/>
        <v>481880</v>
      </c>
      <c r="Q100" s="38">
        <f t="shared" si="4"/>
        <v>433569</v>
      </c>
      <c r="R100" s="38">
        <f t="shared" si="5"/>
        <v>415076</v>
      </c>
      <c r="S100" s="38">
        <f t="shared" si="6"/>
        <v>1330525</v>
      </c>
      <c r="T100" s="38"/>
      <c r="U100" s="1"/>
      <c r="V100" s="1"/>
      <c r="W100" s="1"/>
      <c r="X100" s="16"/>
      <c r="Y100" s="2"/>
      <c r="Z100" s="45"/>
      <c r="AA100" s="45"/>
      <c r="AB100" s="45"/>
      <c r="AC100" s="2"/>
      <c r="AD100" s="2"/>
      <c r="AE100" s="2"/>
      <c r="AF100" s="2"/>
      <c r="AG100" s="2"/>
      <c r="AH100" s="2"/>
      <c r="AI100" s="2"/>
      <c r="AJ100" s="2"/>
      <c r="AK100" s="2"/>
      <c r="AL100" s="2"/>
    </row>
    <row r="101" ht="12.75" customHeight="1">
      <c r="A101" s="2"/>
      <c r="B101" s="4" t="s">
        <v>75</v>
      </c>
      <c r="C101" s="47">
        <v>486804.0</v>
      </c>
      <c r="D101" s="47">
        <v>8721.0</v>
      </c>
      <c r="E101" s="49"/>
      <c r="F101" s="47">
        <v>442612.0</v>
      </c>
      <c r="G101" s="47">
        <v>4535.0</v>
      </c>
      <c r="H101" s="49"/>
      <c r="I101" s="47">
        <v>404864.0</v>
      </c>
      <c r="J101" s="47">
        <v>9202.0</v>
      </c>
      <c r="K101" s="49"/>
      <c r="L101" s="49">
        <f t="shared" ref="L101:M101" si="100">SUM(C101,F101,I101)</f>
        <v>1334280</v>
      </c>
      <c r="M101" s="49">
        <f t="shared" si="100"/>
        <v>22458</v>
      </c>
      <c r="N101" s="49"/>
      <c r="O101" s="2"/>
      <c r="P101" s="38">
        <f t="shared" si="3"/>
        <v>495525</v>
      </c>
      <c r="Q101" s="38">
        <f t="shared" si="4"/>
        <v>447147</v>
      </c>
      <c r="R101" s="38">
        <f t="shared" si="5"/>
        <v>414066</v>
      </c>
      <c r="S101" s="38">
        <f t="shared" si="6"/>
        <v>1356738</v>
      </c>
      <c r="T101" s="38"/>
      <c r="U101" s="95">
        <v>471306.0</v>
      </c>
      <c r="V101" s="95">
        <v>439029.0</v>
      </c>
      <c r="W101" s="53">
        <f>R101</f>
        <v>414066</v>
      </c>
      <c r="X101" s="58">
        <f>SUM(U101:W101)</f>
        <v>1324401</v>
      </c>
      <c r="Y101" s="2"/>
      <c r="Z101" s="45"/>
      <c r="AA101" s="45"/>
      <c r="AB101" s="45"/>
      <c r="AC101" s="2"/>
      <c r="AD101" s="2"/>
      <c r="AE101" s="2"/>
      <c r="AF101" s="2"/>
      <c r="AG101" s="2"/>
      <c r="AH101" s="2"/>
      <c r="AI101" s="2"/>
      <c r="AJ101" s="2"/>
      <c r="AK101" s="2"/>
      <c r="AL101" s="2"/>
    </row>
    <row r="102" ht="12.0" customHeight="1">
      <c r="A102" s="40">
        <v>1994.0</v>
      </c>
      <c r="B102" s="4" t="s">
        <v>58</v>
      </c>
      <c r="C102" s="47">
        <v>498489.0</v>
      </c>
      <c r="D102" s="47">
        <v>8887.0</v>
      </c>
      <c r="E102" s="49"/>
      <c r="F102" s="47">
        <v>464279.0</v>
      </c>
      <c r="G102" s="47">
        <v>4170.0</v>
      </c>
      <c r="H102" s="49"/>
      <c r="I102" s="47">
        <v>414194.0</v>
      </c>
      <c r="J102" s="47">
        <v>9251.0</v>
      </c>
      <c r="K102" s="49"/>
      <c r="L102" s="49">
        <f t="shared" ref="L102:M102" si="101">SUM(C102,F102,I102)</f>
        <v>1376962</v>
      </c>
      <c r="M102" s="49">
        <f t="shared" si="101"/>
        <v>22308</v>
      </c>
      <c r="N102" s="49"/>
      <c r="O102" s="2"/>
      <c r="P102" s="38">
        <f t="shared" si="3"/>
        <v>507376</v>
      </c>
      <c r="Q102" s="38">
        <f t="shared" si="4"/>
        <v>468449</v>
      </c>
      <c r="R102" s="38">
        <f t="shared" si="5"/>
        <v>423445</v>
      </c>
      <c r="S102" s="38">
        <f t="shared" si="6"/>
        <v>1399270</v>
      </c>
      <c r="T102" s="38"/>
      <c r="U102" s="1"/>
      <c r="V102" s="1"/>
      <c r="W102" s="1"/>
      <c r="X102" s="16"/>
      <c r="Y102" s="2"/>
      <c r="Z102" s="45"/>
      <c r="AA102" s="45"/>
      <c r="AB102" s="45"/>
      <c r="AC102" s="2"/>
      <c r="AD102" s="2"/>
      <c r="AE102" s="2"/>
      <c r="AF102" s="2"/>
      <c r="AG102" s="2"/>
      <c r="AH102" s="2"/>
      <c r="AI102" s="2"/>
      <c r="AJ102" s="2"/>
      <c r="AK102" s="2"/>
      <c r="AL102" s="2"/>
    </row>
    <row r="103" ht="12.0" customHeight="1">
      <c r="A103" s="2"/>
      <c r="B103" s="4" t="s">
        <v>66</v>
      </c>
      <c r="C103" s="47">
        <v>505730.0</v>
      </c>
      <c r="D103" s="47">
        <v>9125.0</v>
      </c>
      <c r="E103" s="49"/>
      <c r="F103" s="47">
        <v>478009.0</v>
      </c>
      <c r="G103" s="47">
        <v>3822.0</v>
      </c>
      <c r="H103" s="49"/>
      <c r="I103" s="47">
        <v>426363.0</v>
      </c>
      <c r="J103" s="47">
        <v>9346.0</v>
      </c>
      <c r="K103" s="49"/>
      <c r="L103" s="49">
        <f t="shared" ref="L103:M103" si="102">SUM(C103,F103,I103)</f>
        <v>1410102</v>
      </c>
      <c r="M103" s="49">
        <f t="shared" si="102"/>
        <v>22293</v>
      </c>
      <c r="N103" s="49"/>
      <c r="O103" s="2"/>
      <c r="P103" s="38">
        <f t="shared" si="3"/>
        <v>514855</v>
      </c>
      <c r="Q103" s="38">
        <f t="shared" si="4"/>
        <v>481831</v>
      </c>
      <c r="R103" s="38">
        <f t="shared" si="5"/>
        <v>435709</v>
      </c>
      <c r="S103" s="38">
        <f t="shared" si="6"/>
        <v>1432395</v>
      </c>
      <c r="T103" s="38"/>
      <c r="U103" s="1"/>
      <c r="V103" s="1"/>
      <c r="W103" s="1"/>
      <c r="X103" s="16"/>
      <c r="Y103" s="2"/>
      <c r="Z103" s="45"/>
      <c r="AA103" s="45"/>
      <c r="AB103" s="45"/>
      <c r="AC103" s="2"/>
      <c r="AD103" s="2"/>
      <c r="AE103" s="2"/>
      <c r="AF103" s="2"/>
      <c r="AG103" s="2"/>
      <c r="AH103" s="2"/>
      <c r="AI103" s="2"/>
      <c r="AJ103" s="2"/>
      <c r="AK103" s="2"/>
      <c r="AL103" s="2"/>
    </row>
    <row r="104" ht="12.0" customHeight="1">
      <c r="A104" s="2"/>
      <c r="B104" s="4" t="s">
        <v>74</v>
      </c>
      <c r="C104" s="47">
        <v>514375.0</v>
      </c>
      <c r="D104" s="47">
        <v>9137.0</v>
      </c>
      <c r="E104" s="49"/>
      <c r="F104" s="47">
        <v>482977.0</v>
      </c>
      <c r="G104" s="47">
        <v>3448.0</v>
      </c>
      <c r="H104" s="49"/>
      <c r="I104" s="47">
        <v>435511.0</v>
      </c>
      <c r="J104" s="47">
        <v>9465.0</v>
      </c>
      <c r="K104" s="49"/>
      <c r="L104" s="49">
        <f t="shared" ref="L104:M104" si="103">SUM(C104,F104,I104)</f>
        <v>1432863</v>
      </c>
      <c r="M104" s="49">
        <f t="shared" si="103"/>
        <v>22050</v>
      </c>
      <c r="N104" s="49"/>
      <c r="O104" s="2"/>
      <c r="P104" s="38">
        <f t="shared" si="3"/>
        <v>523512</v>
      </c>
      <c r="Q104" s="38">
        <f t="shared" si="4"/>
        <v>486425</v>
      </c>
      <c r="R104" s="38">
        <f t="shared" si="5"/>
        <v>444976</v>
      </c>
      <c r="S104" s="38">
        <f t="shared" si="6"/>
        <v>1454913</v>
      </c>
      <c r="T104" s="38"/>
      <c r="U104" s="1"/>
      <c r="V104" s="1"/>
      <c r="W104" s="1"/>
      <c r="X104" s="16"/>
      <c r="Y104" s="2"/>
      <c r="Z104" s="45"/>
      <c r="AA104" s="45"/>
      <c r="AB104" s="45"/>
      <c r="AC104" s="2"/>
      <c r="AD104" s="2"/>
      <c r="AE104" s="2"/>
      <c r="AF104" s="2"/>
      <c r="AG104" s="2"/>
      <c r="AH104" s="2"/>
      <c r="AI104" s="2"/>
      <c r="AJ104" s="2"/>
      <c r="AK104" s="2"/>
      <c r="AL104" s="2"/>
    </row>
    <row r="105" ht="12.75" customHeight="1">
      <c r="A105" s="2"/>
      <c r="B105" s="4" t="s">
        <v>75</v>
      </c>
      <c r="C105" s="47">
        <v>520663.0</v>
      </c>
      <c r="D105" s="47">
        <v>9580.0</v>
      </c>
      <c r="E105" s="49"/>
      <c r="F105" s="47">
        <v>487725.0</v>
      </c>
      <c r="G105" s="47">
        <v>3126.0</v>
      </c>
      <c r="H105" s="49"/>
      <c r="I105" s="47">
        <v>441198.0</v>
      </c>
      <c r="J105" s="47">
        <v>9736.0</v>
      </c>
      <c r="K105" s="49"/>
      <c r="L105" s="49">
        <f t="shared" ref="L105:M105" si="104">SUM(C105,F105,I105)</f>
        <v>1449586</v>
      </c>
      <c r="M105" s="49">
        <f t="shared" si="104"/>
        <v>22442</v>
      </c>
      <c r="N105" s="49"/>
      <c r="O105" s="2"/>
      <c r="P105" s="38">
        <f t="shared" si="3"/>
        <v>530243</v>
      </c>
      <c r="Q105" s="38">
        <f t="shared" si="4"/>
        <v>490851</v>
      </c>
      <c r="R105" s="38">
        <f t="shared" si="5"/>
        <v>450934</v>
      </c>
      <c r="S105" s="38">
        <f t="shared" si="6"/>
        <v>1472028</v>
      </c>
      <c r="T105" s="38"/>
      <c r="U105" s="95">
        <v>486345.0</v>
      </c>
      <c r="V105" s="95">
        <v>460656.0</v>
      </c>
      <c r="W105" s="53">
        <f>R105</f>
        <v>450934</v>
      </c>
      <c r="X105" s="58">
        <f>SUM(U105:W105)</f>
        <v>1397935</v>
      </c>
      <c r="Y105" s="2"/>
      <c r="Z105" s="45"/>
      <c r="AA105" s="45"/>
      <c r="AB105" s="45"/>
      <c r="AC105" s="2"/>
      <c r="AD105" s="2"/>
      <c r="AE105" s="2"/>
      <c r="AF105" s="2"/>
      <c r="AG105" s="2"/>
      <c r="AH105" s="2"/>
      <c r="AI105" s="2"/>
      <c r="AJ105" s="2"/>
      <c r="AK105" s="2"/>
      <c r="AL105" s="2"/>
    </row>
    <row r="106" ht="12.0" customHeight="1">
      <c r="A106" s="40">
        <v>1995.0</v>
      </c>
      <c r="B106" s="4" t="s">
        <v>58</v>
      </c>
      <c r="C106" s="47">
        <v>523903.0</v>
      </c>
      <c r="D106" s="47">
        <v>9359.0</v>
      </c>
      <c r="E106" s="49"/>
      <c r="F106" s="47">
        <v>489114.0</v>
      </c>
      <c r="G106" s="47">
        <v>3080.0</v>
      </c>
      <c r="H106" s="49"/>
      <c r="I106" s="47">
        <v>444632.0</v>
      </c>
      <c r="J106" s="47">
        <v>9769.0</v>
      </c>
      <c r="K106" s="49"/>
      <c r="L106" s="49">
        <f t="shared" ref="L106:M106" si="105">SUM(C106,F106,I106)</f>
        <v>1457649</v>
      </c>
      <c r="M106" s="49">
        <f t="shared" si="105"/>
        <v>22208</v>
      </c>
      <c r="N106" s="49"/>
      <c r="O106" s="2"/>
      <c r="P106" s="38">
        <f t="shared" si="3"/>
        <v>533262</v>
      </c>
      <c r="Q106" s="38">
        <f t="shared" si="4"/>
        <v>492194</v>
      </c>
      <c r="R106" s="38">
        <f t="shared" si="5"/>
        <v>454401</v>
      </c>
      <c r="S106" s="38">
        <f t="shared" si="6"/>
        <v>1479857</v>
      </c>
      <c r="T106" s="38"/>
      <c r="U106" s="1"/>
      <c r="V106" s="1"/>
      <c r="W106" s="1"/>
      <c r="X106" s="16"/>
      <c r="Y106" s="2"/>
      <c r="Z106" s="45"/>
      <c r="AA106" s="45"/>
      <c r="AB106" s="45"/>
      <c r="AC106" s="2"/>
      <c r="AD106" s="2"/>
      <c r="AE106" s="2"/>
      <c r="AF106" s="2"/>
      <c r="AG106" s="2"/>
      <c r="AH106" s="2"/>
      <c r="AI106" s="2"/>
      <c r="AJ106" s="2"/>
      <c r="AK106" s="2"/>
      <c r="AL106" s="2"/>
    </row>
    <row r="107" ht="12.0" customHeight="1">
      <c r="A107" s="2"/>
      <c r="B107" s="4" t="s">
        <v>66</v>
      </c>
      <c r="C107" s="47">
        <v>533091.0</v>
      </c>
      <c r="D107" s="47">
        <v>10578.0</v>
      </c>
      <c r="E107" s="49"/>
      <c r="F107" s="47">
        <v>495182.0</v>
      </c>
      <c r="G107" s="47">
        <v>3034.0</v>
      </c>
      <c r="H107" s="49"/>
      <c r="I107" s="47">
        <v>446862.0</v>
      </c>
      <c r="J107" s="47">
        <v>10246.0</v>
      </c>
      <c r="K107" s="49"/>
      <c r="L107" s="49">
        <f t="shared" ref="L107:M107" si="106">SUM(C107,F107,I107)</f>
        <v>1475135</v>
      </c>
      <c r="M107" s="49">
        <f t="shared" si="106"/>
        <v>23858</v>
      </c>
      <c r="N107" s="49"/>
      <c r="O107" s="2"/>
      <c r="P107" s="38">
        <f t="shared" si="3"/>
        <v>543669</v>
      </c>
      <c r="Q107" s="38">
        <f t="shared" si="4"/>
        <v>498216</v>
      </c>
      <c r="R107" s="38">
        <f t="shared" si="5"/>
        <v>457108</v>
      </c>
      <c r="S107" s="38">
        <f t="shared" si="6"/>
        <v>1498993</v>
      </c>
      <c r="T107" s="38"/>
      <c r="U107" s="1"/>
      <c r="V107" s="1"/>
      <c r="W107" s="1"/>
      <c r="X107" s="16"/>
      <c r="Y107" s="2"/>
      <c r="Z107" s="45"/>
      <c r="AA107" s="45"/>
      <c r="AB107" s="45"/>
      <c r="AC107" s="2"/>
      <c r="AD107" s="2"/>
      <c r="AE107" s="2"/>
      <c r="AF107" s="2"/>
      <c r="AG107" s="2"/>
      <c r="AH107" s="2"/>
      <c r="AI107" s="2"/>
      <c r="AJ107" s="2"/>
      <c r="AK107" s="2"/>
      <c r="AL107" s="2"/>
    </row>
    <row r="108" ht="12.0" customHeight="1">
      <c r="A108" s="2"/>
      <c r="B108" s="4" t="s">
        <v>74</v>
      </c>
      <c r="C108" s="47">
        <v>548400.0</v>
      </c>
      <c r="D108" s="47">
        <v>11185.0</v>
      </c>
      <c r="E108" s="49"/>
      <c r="F108" s="47">
        <v>500417.0</v>
      </c>
      <c r="G108" s="47">
        <v>2953.0</v>
      </c>
      <c r="H108" s="49"/>
      <c r="I108" s="47">
        <v>453114.0</v>
      </c>
      <c r="J108" s="47">
        <v>10540.0</v>
      </c>
      <c r="K108" s="49"/>
      <c r="L108" s="49">
        <f t="shared" ref="L108:M108" si="107">SUM(C108,F108,I108)</f>
        <v>1501931</v>
      </c>
      <c r="M108" s="49">
        <f t="shared" si="107"/>
        <v>24678</v>
      </c>
      <c r="N108" s="49"/>
      <c r="O108" s="2"/>
      <c r="P108" s="38">
        <f t="shared" si="3"/>
        <v>559585</v>
      </c>
      <c r="Q108" s="38">
        <f t="shared" si="4"/>
        <v>503370</v>
      </c>
      <c r="R108" s="38">
        <f t="shared" si="5"/>
        <v>463654</v>
      </c>
      <c r="S108" s="38">
        <f t="shared" si="6"/>
        <v>1526609</v>
      </c>
      <c r="T108" s="38"/>
      <c r="U108" s="1"/>
      <c r="V108" s="1"/>
      <c r="W108" s="1"/>
      <c r="X108" s="16"/>
      <c r="Y108" s="2"/>
      <c r="Z108" s="45"/>
      <c r="AA108" s="45"/>
      <c r="AB108" s="45"/>
      <c r="AC108" s="2"/>
      <c r="AD108" s="2"/>
      <c r="AE108" s="2"/>
      <c r="AF108" s="2"/>
      <c r="AG108" s="2"/>
      <c r="AH108" s="2"/>
      <c r="AI108" s="2"/>
      <c r="AJ108" s="2"/>
      <c r="AK108" s="2"/>
      <c r="AL108" s="2"/>
    </row>
    <row r="109" ht="12.75" customHeight="1">
      <c r="A109" s="2"/>
      <c r="B109" s="4" t="s">
        <v>75</v>
      </c>
      <c r="C109" s="47">
        <v>569724.0</v>
      </c>
      <c r="D109" s="47">
        <v>13235.0</v>
      </c>
      <c r="E109" s="49"/>
      <c r="F109" s="47">
        <v>512238.0</v>
      </c>
      <c r="G109" s="47">
        <v>2813.0</v>
      </c>
      <c r="H109" s="49"/>
      <c r="I109" s="47">
        <v>461438.0</v>
      </c>
      <c r="J109" s="47">
        <v>10845.0</v>
      </c>
      <c r="K109" s="49"/>
      <c r="L109" s="49">
        <f t="shared" ref="L109:M109" si="108">SUM(C109,F109,I109)</f>
        <v>1543400</v>
      </c>
      <c r="M109" s="49">
        <f t="shared" si="108"/>
        <v>26893</v>
      </c>
      <c r="N109" s="49"/>
      <c r="O109" s="2"/>
      <c r="P109" s="38">
        <f t="shared" si="3"/>
        <v>582959</v>
      </c>
      <c r="Q109" s="38">
        <f t="shared" si="4"/>
        <v>515051</v>
      </c>
      <c r="R109" s="38">
        <f t="shared" si="5"/>
        <v>472283</v>
      </c>
      <c r="S109" s="38">
        <f t="shared" si="6"/>
        <v>1570293</v>
      </c>
      <c r="T109" s="38"/>
      <c r="U109" s="95">
        <v>513230.0</v>
      </c>
      <c r="V109" s="95">
        <v>459045.0</v>
      </c>
      <c r="W109" s="53">
        <f>R109</f>
        <v>472283</v>
      </c>
      <c r="X109" s="58">
        <f>SUM(U109:W109)</f>
        <v>1444558</v>
      </c>
      <c r="Y109" s="2"/>
      <c r="Z109" s="45"/>
      <c r="AA109" s="45"/>
      <c r="AB109" s="45"/>
      <c r="AC109" s="2"/>
      <c r="AD109" s="2"/>
      <c r="AE109" s="2"/>
      <c r="AF109" s="2"/>
      <c r="AG109" s="2"/>
      <c r="AH109" s="2"/>
      <c r="AI109" s="2"/>
      <c r="AJ109" s="2"/>
      <c r="AK109" s="2"/>
      <c r="AL109" s="2"/>
    </row>
    <row r="110" ht="12.0" customHeight="1">
      <c r="A110" s="40">
        <v>1996.0</v>
      </c>
      <c r="B110" s="4" t="s">
        <v>58</v>
      </c>
      <c r="C110" s="47">
        <v>585527.0</v>
      </c>
      <c r="D110" s="47">
        <v>14019.0</v>
      </c>
      <c r="E110" s="49"/>
      <c r="F110" s="47">
        <v>521722.0</v>
      </c>
      <c r="G110" s="47">
        <v>2605.0</v>
      </c>
      <c r="H110" s="49"/>
      <c r="I110" s="47">
        <v>464608.0</v>
      </c>
      <c r="J110" s="47">
        <v>11179.0</v>
      </c>
      <c r="K110" s="49"/>
      <c r="L110" s="49">
        <f t="shared" ref="L110:M110" si="109">SUM(C110,F110,I110)</f>
        <v>1571857</v>
      </c>
      <c r="M110" s="49">
        <f t="shared" si="109"/>
        <v>27803</v>
      </c>
      <c r="N110" s="49"/>
      <c r="O110" s="2"/>
      <c r="P110" s="38">
        <f t="shared" si="3"/>
        <v>599546</v>
      </c>
      <c r="Q110" s="38">
        <f t="shared" si="4"/>
        <v>524327</v>
      </c>
      <c r="R110" s="38">
        <f t="shared" si="5"/>
        <v>475787</v>
      </c>
      <c r="S110" s="38">
        <f t="shared" si="6"/>
        <v>1599660</v>
      </c>
      <c r="T110" s="38"/>
      <c r="U110" s="1"/>
      <c r="V110" s="1"/>
      <c r="W110" s="1"/>
      <c r="X110" s="16"/>
      <c r="Y110" s="2"/>
      <c r="Z110" s="45"/>
      <c r="AA110" s="45"/>
      <c r="AB110" s="45"/>
      <c r="AC110" s="2"/>
      <c r="AD110" s="2"/>
      <c r="AE110" s="2"/>
      <c r="AF110" s="2"/>
      <c r="AG110" s="2"/>
      <c r="AH110" s="2"/>
      <c r="AI110" s="2"/>
      <c r="AJ110" s="2"/>
      <c r="AK110" s="2"/>
      <c r="AL110" s="2"/>
    </row>
    <row r="111" ht="12.0" customHeight="1">
      <c r="A111" s="2"/>
      <c r="B111" s="4" t="s">
        <v>66</v>
      </c>
      <c r="C111" s="47">
        <v>606271.0</v>
      </c>
      <c r="D111" s="47">
        <v>15014.0</v>
      </c>
      <c r="E111" s="49"/>
      <c r="F111" s="47">
        <v>534238.0</v>
      </c>
      <c r="G111" s="47">
        <v>2433.0</v>
      </c>
      <c r="H111" s="49"/>
      <c r="I111" s="47">
        <v>473825.0</v>
      </c>
      <c r="J111" s="47">
        <v>11491.0</v>
      </c>
      <c r="K111" s="49"/>
      <c r="L111" s="49">
        <f t="shared" ref="L111:M111" si="110">SUM(C111,F111,I111)</f>
        <v>1614334</v>
      </c>
      <c r="M111" s="49">
        <f t="shared" si="110"/>
        <v>28938</v>
      </c>
      <c r="N111" s="49"/>
      <c r="O111" s="2"/>
      <c r="P111" s="38">
        <f t="shared" si="3"/>
        <v>621285</v>
      </c>
      <c r="Q111" s="38">
        <f t="shared" si="4"/>
        <v>536671</v>
      </c>
      <c r="R111" s="38">
        <f t="shared" si="5"/>
        <v>485316</v>
      </c>
      <c r="S111" s="38">
        <f t="shared" si="6"/>
        <v>1643272</v>
      </c>
      <c r="T111" s="38"/>
      <c r="U111" s="1"/>
      <c r="V111" s="1"/>
      <c r="W111" s="1"/>
      <c r="X111" s="16"/>
      <c r="Y111" s="2"/>
      <c r="Z111" s="45"/>
      <c r="AA111" s="45"/>
      <c r="AB111" s="45"/>
      <c r="AC111" s="2"/>
      <c r="AD111" s="2"/>
      <c r="AE111" s="2"/>
      <c r="AF111" s="2"/>
      <c r="AG111" s="2"/>
      <c r="AH111" s="2"/>
      <c r="AI111" s="2"/>
      <c r="AJ111" s="2"/>
      <c r="AK111" s="2"/>
      <c r="AL111" s="2"/>
    </row>
    <row r="112" ht="12.0" customHeight="1">
      <c r="A112" s="2"/>
      <c r="B112" s="4" t="s">
        <v>74</v>
      </c>
      <c r="C112" s="47">
        <v>619869.0</v>
      </c>
      <c r="D112" s="47">
        <v>16493.0</v>
      </c>
      <c r="E112" s="49"/>
      <c r="F112" s="47">
        <v>543341.0</v>
      </c>
      <c r="G112" s="47">
        <v>2267.0</v>
      </c>
      <c r="H112" s="49"/>
      <c r="I112" s="47">
        <v>485021.0</v>
      </c>
      <c r="J112" s="47">
        <v>11945.0</v>
      </c>
      <c r="K112" s="49"/>
      <c r="L112" s="49">
        <f t="shared" ref="L112:M112" si="111">SUM(C112,F112,I112)</f>
        <v>1648231</v>
      </c>
      <c r="M112" s="49">
        <f t="shared" si="111"/>
        <v>30705</v>
      </c>
      <c r="N112" s="49"/>
      <c r="O112" s="2"/>
      <c r="P112" s="38">
        <f t="shared" si="3"/>
        <v>636362</v>
      </c>
      <c r="Q112" s="38">
        <f t="shared" si="4"/>
        <v>545608</v>
      </c>
      <c r="R112" s="38">
        <f t="shared" si="5"/>
        <v>496966</v>
      </c>
      <c r="S112" s="38">
        <f t="shared" si="6"/>
        <v>1678936</v>
      </c>
      <c r="T112" s="38"/>
      <c r="U112" s="1"/>
      <c r="V112" s="1"/>
      <c r="W112" s="1"/>
      <c r="X112" s="16"/>
      <c r="Y112" s="2"/>
      <c r="Z112" s="45"/>
      <c r="AA112" s="45"/>
      <c r="AB112" s="45"/>
      <c r="AC112" s="2"/>
      <c r="AD112" s="2"/>
      <c r="AE112" s="2"/>
      <c r="AF112" s="2"/>
      <c r="AG112" s="2"/>
      <c r="AH112" s="2"/>
      <c r="AI112" s="2"/>
      <c r="AJ112" s="2"/>
      <c r="AK112" s="2"/>
      <c r="AL112" s="2"/>
    </row>
    <row r="113" ht="12.75" customHeight="1">
      <c r="A113" s="2"/>
      <c r="B113" s="4" t="s">
        <v>75</v>
      </c>
      <c r="C113" s="47">
        <v>633209.0</v>
      </c>
      <c r="D113" s="47">
        <v>17570.0</v>
      </c>
      <c r="E113" s="49"/>
      <c r="F113" s="47">
        <v>551513.0</v>
      </c>
      <c r="G113" s="47">
        <v>2747.0</v>
      </c>
      <c r="H113" s="49"/>
      <c r="I113" s="47">
        <v>494064.0</v>
      </c>
      <c r="J113" s="47">
        <v>12182.0</v>
      </c>
      <c r="K113" s="49"/>
      <c r="L113" s="49">
        <f t="shared" ref="L113:M113" si="112">SUM(C113,F113,I113)</f>
        <v>1678786</v>
      </c>
      <c r="M113" s="49">
        <f t="shared" si="112"/>
        <v>32499</v>
      </c>
      <c r="N113" s="49"/>
      <c r="O113" s="2"/>
      <c r="P113" s="38">
        <f t="shared" si="3"/>
        <v>650779</v>
      </c>
      <c r="Q113" s="38">
        <f t="shared" si="4"/>
        <v>554260</v>
      </c>
      <c r="R113" s="38">
        <f t="shared" si="5"/>
        <v>506246</v>
      </c>
      <c r="S113" s="38">
        <f t="shared" si="6"/>
        <v>1711285</v>
      </c>
      <c r="T113" s="38"/>
      <c r="U113" s="95">
        <v>548173.0</v>
      </c>
      <c r="V113" s="95">
        <v>473065.0</v>
      </c>
      <c r="W113" s="53">
        <f>R113</f>
        <v>506246</v>
      </c>
      <c r="X113" s="58">
        <f>SUM(U113:W113)</f>
        <v>1527484</v>
      </c>
      <c r="Y113" s="2"/>
      <c r="Z113" s="45"/>
      <c r="AA113" s="45"/>
      <c r="AB113" s="45"/>
      <c r="AC113" s="2"/>
      <c r="AD113" s="2"/>
      <c r="AE113" s="2"/>
      <c r="AF113" s="2"/>
      <c r="AG113" s="2"/>
      <c r="AH113" s="2"/>
      <c r="AI113" s="2"/>
      <c r="AJ113" s="2"/>
      <c r="AK113" s="2"/>
      <c r="AL113" s="2"/>
    </row>
    <row r="114" ht="12.0" customHeight="1">
      <c r="A114" s="40">
        <v>1997.0</v>
      </c>
      <c r="B114" s="4" t="s">
        <v>58</v>
      </c>
      <c r="C114" s="47">
        <v>645324.0</v>
      </c>
      <c r="D114" s="47">
        <v>18344.0</v>
      </c>
      <c r="E114" s="49"/>
      <c r="F114" s="47">
        <v>560369.0</v>
      </c>
      <c r="G114" s="47">
        <v>2525.0</v>
      </c>
      <c r="H114" s="49"/>
      <c r="I114" s="47">
        <v>500488.0</v>
      </c>
      <c r="J114" s="47">
        <v>12880.0</v>
      </c>
      <c r="K114" s="49"/>
      <c r="L114" s="49">
        <f t="shared" ref="L114:M114" si="113">SUM(C114,F114,I114)</f>
        <v>1706181</v>
      </c>
      <c r="M114" s="49">
        <f t="shared" si="113"/>
        <v>33749</v>
      </c>
      <c r="N114" s="49"/>
      <c r="O114" s="2"/>
      <c r="P114" s="38">
        <f t="shared" si="3"/>
        <v>663668</v>
      </c>
      <c r="Q114" s="38">
        <f t="shared" si="4"/>
        <v>562894</v>
      </c>
      <c r="R114" s="38">
        <f t="shared" si="5"/>
        <v>513368</v>
      </c>
      <c r="S114" s="38">
        <f t="shared" si="6"/>
        <v>1739930</v>
      </c>
      <c r="T114" s="38"/>
      <c r="U114" s="1"/>
      <c r="V114" s="1"/>
      <c r="W114" s="1"/>
      <c r="X114" s="16"/>
      <c r="Y114" s="2"/>
      <c r="Z114" s="45"/>
      <c r="AA114" s="45"/>
      <c r="AB114" s="45"/>
      <c r="AC114" s="2"/>
      <c r="AD114" s="2"/>
      <c r="AE114" s="2"/>
      <c r="AF114" s="2"/>
      <c r="AG114" s="2"/>
      <c r="AH114" s="2"/>
      <c r="AI114" s="2"/>
      <c r="AJ114" s="2"/>
      <c r="AK114" s="2"/>
      <c r="AL114" s="2"/>
    </row>
    <row r="115" ht="12.0" customHeight="1">
      <c r="A115" s="2"/>
      <c r="B115" s="4" t="s">
        <v>66</v>
      </c>
      <c r="C115" s="47">
        <v>654826.0</v>
      </c>
      <c r="D115" s="47">
        <v>19105.0</v>
      </c>
      <c r="E115" s="49"/>
      <c r="F115" s="47">
        <v>564445.0</v>
      </c>
      <c r="G115" s="47">
        <v>2742.0</v>
      </c>
      <c r="H115" s="49"/>
      <c r="I115" s="47">
        <v>507648.0</v>
      </c>
      <c r="J115" s="47">
        <v>13320.0</v>
      </c>
      <c r="K115" s="49"/>
      <c r="L115" s="49">
        <f t="shared" ref="L115:M115" si="114">SUM(C115,F115,I115)</f>
        <v>1726919</v>
      </c>
      <c r="M115" s="49">
        <f t="shared" si="114"/>
        <v>35167</v>
      </c>
      <c r="N115" s="49"/>
      <c r="O115" s="2"/>
      <c r="P115" s="38">
        <f t="shared" si="3"/>
        <v>673931</v>
      </c>
      <c r="Q115" s="38">
        <f t="shared" si="4"/>
        <v>567187</v>
      </c>
      <c r="R115" s="38">
        <f t="shared" si="5"/>
        <v>520968</v>
      </c>
      <c r="S115" s="38">
        <f t="shared" si="6"/>
        <v>1762086</v>
      </c>
      <c r="T115" s="38"/>
      <c r="U115" s="1"/>
      <c r="V115" s="1"/>
      <c r="W115" s="1"/>
      <c r="X115" s="16"/>
      <c r="Y115" s="2"/>
      <c r="Z115" s="45"/>
      <c r="AA115" s="45"/>
      <c r="AB115" s="45"/>
      <c r="AC115" s="2"/>
      <c r="AD115" s="2"/>
      <c r="AE115" s="2"/>
      <c r="AF115" s="2"/>
      <c r="AG115" s="2"/>
      <c r="AH115" s="2"/>
      <c r="AI115" s="2"/>
      <c r="AJ115" s="2"/>
      <c r="AK115" s="2"/>
      <c r="AL115" s="2"/>
    </row>
    <row r="116" ht="12.0" customHeight="1">
      <c r="A116" s="2"/>
      <c r="B116" s="4" t="s">
        <v>74</v>
      </c>
      <c r="C116" s="47">
        <v>670677.0</v>
      </c>
      <c r="D116" s="47">
        <v>20142.0</v>
      </c>
      <c r="E116" s="49"/>
      <c r="F116" s="47">
        <v>567340.0</v>
      </c>
      <c r="G116" s="47">
        <v>2580.0</v>
      </c>
      <c r="H116" s="49"/>
      <c r="I116" s="47">
        <v>516258.0</v>
      </c>
      <c r="J116" s="47">
        <v>13650.0</v>
      </c>
      <c r="K116" s="49"/>
      <c r="L116" s="49">
        <f t="shared" ref="L116:M116" si="115">SUM(C116,F116,I116)</f>
        <v>1754275</v>
      </c>
      <c r="M116" s="49">
        <f t="shared" si="115"/>
        <v>36372</v>
      </c>
      <c r="N116" s="49"/>
      <c r="O116" s="2"/>
      <c r="P116" s="38">
        <f t="shared" si="3"/>
        <v>690819</v>
      </c>
      <c r="Q116" s="38">
        <f t="shared" si="4"/>
        <v>569920</v>
      </c>
      <c r="R116" s="38">
        <f t="shared" si="5"/>
        <v>529908</v>
      </c>
      <c r="S116" s="38">
        <f t="shared" si="6"/>
        <v>1790647</v>
      </c>
      <c r="T116" s="38"/>
      <c r="U116" s="1"/>
      <c r="V116" s="1"/>
      <c r="W116" s="1"/>
      <c r="X116" s="16"/>
      <c r="Y116" s="2"/>
      <c r="Z116" s="45"/>
      <c r="AA116" s="45"/>
      <c r="AB116" s="45"/>
      <c r="AC116" s="2"/>
      <c r="AD116" s="2"/>
      <c r="AE116" s="2"/>
      <c r="AF116" s="2"/>
      <c r="AG116" s="2"/>
      <c r="AH116" s="2"/>
      <c r="AI116" s="2"/>
      <c r="AJ116" s="2"/>
      <c r="AK116" s="2"/>
      <c r="AL116" s="2"/>
    </row>
    <row r="117" ht="12.75" customHeight="1">
      <c r="A117" s="2"/>
      <c r="B117" s="4" t="s">
        <v>75</v>
      </c>
      <c r="C117" s="47">
        <v>687981.0</v>
      </c>
      <c r="D117" s="47">
        <v>21601.0</v>
      </c>
      <c r="E117" s="49"/>
      <c r="F117" s="47">
        <v>576846.0</v>
      </c>
      <c r="G117" s="47">
        <v>2539.0</v>
      </c>
      <c r="H117" s="49"/>
      <c r="I117" s="47">
        <v>523225.0</v>
      </c>
      <c r="J117" s="47">
        <v>13654.0</v>
      </c>
      <c r="K117" s="49"/>
      <c r="L117" s="49">
        <f t="shared" ref="L117:M117" si="116">SUM(C117,F117,I117)</f>
        <v>1788052</v>
      </c>
      <c r="M117" s="49">
        <f t="shared" si="116"/>
        <v>37794</v>
      </c>
      <c r="N117" s="49"/>
      <c r="O117" s="2"/>
      <c r="P117" s="38">
        <f t="shared" si="3"/>
        <v>709582</v>
      </c>
      <c r="Q117" s="38">
        <f t="shared" si="4"/>
        <v>579385</v>
      </c>
      <c r="R117" s="38">
        <f t="shared" si="5"/>
        <v>536879</v>
      </c>
      <c r="S117" s="38">
        <f t="shared" si="6"/>
        <v>1825846</v>
      </c>
      <c r="T117" s="38"/>
      <c r="U117" s="95">
        <v>579138.0</v>
      </c>
      <c r="V117" s="95">
        <v>475985.0</v>
      </c>
      <c r="W117" s="53">
        <f>R117</f>
        <v>536879</v>
      </c>
      <c r="X117" s="58">
        <f>SUM(U117:W117)</f>
        <v>1592002</v>
      </c>
      <c r="Y117" s="2"/>
      <c r="Z117" s="45"/>
      <c r="AA117" s="45"/>
      <c r="AB117" s="45"/>
      <c r="AC117" s="2"/>
      <c r="AD117" s="2"/>
      <c r="AE117" s="2"/>
      <c r="AF117" s="2"/>
      <c r="AG117" s="2"/>
      <c r="AH117" s="2"/>
      <c r="AI117" s="2"/>
      <c r="AJ117" s="2"/>
      <c r="AK117" s="2"/>
      <c r="AL117" s="2"/>
    </row>
    <row r="118" ht="12.0" customHeight="1">
      <c r="A118" s="40">
        <v>1998.0</v>
      </c>
      <c r="B118" s="4" t="s">
        <v>58</v>
      </c>
      <c r="C118" s="47">
        <v>708125.0</v>
      </c>
      <c r="D118" s="47">
        <v>22707.0</v>
      </c>
      <c r="E118" s="49"/>
      <c r="F118" s="47">
        <v>580715.0</v>
      </c>
      <c r="G118" s="47">
        <v>2429.0</v>
      </c>
      <c r="H118" s="49"/>
      <c r="I118" s="47">
        <v>519249.0</v>
      </c>
      <c r="J118" s="47">
        <v>13859.0</v>
      </c>
      <c r="K118" s="49"/>
      <c r="L118" s="49">
        <f t="shared" ref="L118:M118" si="117">SUM(C118,F118,I118)</f>
        <v>1808089</v>
      </c>
      <c r="M118" s="49">
        <f t="shared" si="117"/>
        <v>38995</v>
      </c>
      <c r="N118" s="49"/>
      <c r="O118" s="2"/>
      <c r="P118" s="38">
        <f t="shared" si="3"/>
        <v>730832</v>
      </c>
      <c r="Q118" s="38">
        <f t="shared" si="4"/>
        <v>583144</v>
      </c>
      <c r="R118" s="38">
        <f t="shared" si="5"/>
        <v>533108</v>
      </c>
      <c r="S118" s="38">
        <f t="shared" si="6"/>
        <v>1847084</v>
      </c>
      <c r="T118" s="38"/>
      <c r="U118" s="1"/>
      <c r="V118" s="1"/>
      <c r="W118" s="1"/>
      <c r="X118" s="16"/>
      <c r="Y118" s="2"/>
      <c r="Z118" s="45"/>
      <c r="AA118" s="45"/>
      <c r="AB118" s="45"/>
      <c r="AC118" s="2"/>
      <c r="AD118" s="2"/>
      <c r="AE118" s="2"/>
      <c r="AF118" s="2"/>
      <c r="AG118" s="2"/>
      <c r="AH118" s="2"/>
      <c r="AI118" s="2"/>
      <c r="AJ118" s="2"/>
      <c r="AK118" s="2"/>
      <c r="AL118" s="2"/>
    </row>
    <row r="119" ht="12.0" customHeight="1">
      <c r="A119" s="2"/>
      <c r="B119" s="4" t="s">
        <v>66</v>
      </c>
      <c r="C119" s="47">
        <v>737631.0</v>
      </c>
      <c r="D119" s="47">
        <v>23728.0</v>
      </c>
      <c r="E119" s="49"/>
      <c r="F119" s="47">
        <v>607469.0</v>
      </c>
      <c r="G119" s="47">
        <v>2322.0</v>
      </c>
      <c r="H119" s="49"/>
      <c r="I119" s="47">
        <v>523400.0</v>
      </c>
      <c r="J119" s="47">
        <v>14343.0</v>
      </c>
      <c r="K119" s="49"/>
      <c r="L119" s="49">
        <f t="shared" ref="L119:M119" si="118">SUM(C119,F119,I119)</f>
        <v>1868500</v>
      </c>
      <c r="M119" s="49">
        <f t="shared" si="118"/>
        <v>40393</v>
      </c>
      <c r="N119" s="49"/>
      <c r="O119" s="2"/>
      <c r="P119" s="38">
        <f t="shared" si="3"/>
        <v>761359</v>
      </c>
      <c r="Q119" s="38">
        <f t="shared" si="4"/>
        <v>609791</v>
      </c>
      <c r="R119" s="38">
        <f t="shared" si="5"/>
        <v>537743</v>
      </c>
      <c r="S119" s="38">
        <f t="shared" si="6"/>
        <v>1908893</v>
      </c>
      <c r="T119" s="38"/>
      <c r="U119" s="1"/>
      <c r="V119" s="1"/>
      <c r="W119" s="1"/>
      <c r="X119" s="16"/>
      <c r="Y119" s="2"/>
      <c r="Z119" s="45"/>
      <c r="AA119" s="45"/>
      <c r="AB119" s="45"/>
      <c r="AC119" s="2"/>
      <c r="AD119" s="2"/>
      <c r="AE119" s="2"/>
      <c r="AF119" s="2"/>
      <c r="AG119" s="2"/>
      <c r="AH119" s="2"/>
      <c r="AI119" s="2"/>
      <c r="AJ119" s="2"/>
      <c r="AK119" s="2"/>
      <c r="AL119" s="2"/>
    </row>
    <row r="120" ht="12.0" customHeight="1">
      <c r="A120" s="2"/>
      <c r="B120" s="4" t="s">
        <v>74</v>
      </c>
      <c r="C120" s="47">
        <v>770979.0</v>
      </c>
      <c r="D120" s="47">
        <v>27481.0</v>
      </c>
      <c r="E120" s="49"/>
      <c r="F120" s="47">
        <v>633124.0</v>
      </c>
      <c r="G120" s="47">
        <v>2602.0</v>
      </c>
      <c r="H120" s="49"/>
      <c r="I120" s="47">
        <v>527043.0</v>
      </c>
      <c r="J120" s="47">
        <v>14497.0</v>
      </c>
      <c r="K120" s="49"/>
      <c r="L120" s="49">
        <f t="shared" ref="L120:M120" si="119">SUM(C120,F120,I120)</f>
        <v>1931146</v>
      </c>
      <c r="M120" s="49">
        <f t="shared" si="119"/>
        <v>44580</v>
      </c>
      <c r="N120" s="49"/>
      <c r="O120" s="2"/>
      <c r="P120" s="38">
        <f t="shared" si="3"/>
        <v>798460</v>
      </c>
      <c r="Q120" s="38">
        <f t="shared" si="4"/>
        <v>635726</v>
      </c>
      <c r="R120" s="38">
        <f t="shared" si="5"/>
        <v>541540</v>
      </c>
      <c r="S120" s="38">
        <f t="shared" si="6"/>
        <v>1975726</v>
      </c>
      <c r="T120" s="38"/>
      <c r="U120" s="1"/>
      <c r="V120" s="1"/>
      <c r="W120" s="1"/>
      <c r="X120" s="16"/>
      <c r="Y120" s="2"/>
      <c r="Z120" s="45"/>
      <c r="AA120" s="45"/>
      <c r="AB120" s="45"/>
      <c r="AC120" s="2"/>
      <c r="AD120" s="2"/>
      <c r="AE120" s="2"/>
      <c r="AF120" s="2"/>
      <c r="AG120" s="2"/>
      <c r="AH120" s="2"/>
      <c r="AI120" s="2"/>
      <c r="AJ120" s="2"/>
      <c r="AK120" s="2"/>
      <c r="AL120" s="2"/>
    </row>
    <row r="121" ht="12.75" customHeight="1">
      <c r="A121" s="2"/>
      <c r="B121" s="4" t="s">
        <v>75</v>
      </c>
      <c r="C121" s="47">
        <v>804204.0</v>
      </c>
      <c r="D121" s="47">
        <v>30313.0</v>
      </c>
      <c r="E121" s="49"/>
      <c r="F121" s="47">
        <v>643465.0</v>
      </c>
      <c r="G121" s="47">
        <v>2994.0</v>
      </c>
      <c r="H121" s="49"/>
      <c r="I121" s="47">
        <v>522498.0</v>
      </c>
      <c r="J121" s="47">
        <v>14948.0</v>
      </c>
      <c r="K121" s="49"/>
      <c r="L121" s="49">
        <f t="shared" ref="L121:M121" si="120">SUM(C121,F121,I121)</f>
        <v>1970167</v>
      </c>
      <c r="M121" s="49">
        <f t="shared" si="120"/>
        <v>48255</v>
      </c>
      <c r="N121" s="49"/>
      <c r="O121" s="2"/>
      <c r="P121" s="38">
        <f t="shared" si="3"/>
        <v>834517</v>
      </c>
      <c r="Q121" s="38">
        <f t="shared" si="4"/>
        <v>646459</v>
      </c>
      <c r="R121" s="38">
        <f t="shared" si="5"/>
        <v>537446</v>
      </c>
      <c r="S121" s="38">
        <f t="shared" si="6"/>
        <v>2018422</v>
      </c>
      <c r="T121" s="38"/>
      <c r="U121" s="95">
        <v>637143.0</v>
      </c>
      <c r="V121" s="95">
        <v>478351.0</v>
      </c>
      <c r="W121" s="53">
        <f>R121</f>
        <v>537446</v>
      </c>
      <c r="X121" s="58">
        <f>SUM(U121:W121)</f>
        <v>1652940</v>
      </c>
      <c r="Y121" s="2"/>
      <c r="Z121" s="45"/>
      <c r="AA121" s="45"/>
      <c r="AB121" s="45"/>
      <c r="AC121" s="2"/>
      <c r="AD121" s="2"/>
      <c r="AE121" s="2"/>
      <c r="AF121" s="2"/>
      <c r="AG121" s="2"/>
      <c r="AH121" s="2"/>
      <c r="AI121" s="2"/>
      <c r="AJ121" s="2"/>
      <c r="AK121" s="2"/>
      <c r="AL121" s="2"/>
    </row>
    <row r="122" ht="12.0" customHeight="1">
      <c r="A122" s="40">
        <v>1999.0</v>
      </c>
      <c r="B122" s="4" t="s">
        <v>58</v>
      </c>
      <c r="C122" s="47">
        <v>849513.0</v>
      </c>
      <c r="D122" s="47">
        <v>32302.0</v>
      </c>
      <c r="E122" s="49"/>
      <c r="F122" s="47">
        <v>684240.0</v>
      </c>
      <c r="G122" s="47">
        <v>2939.0</v>
      </c>
      <c r="H122" s="49"/>
      <c r="I122" s="47">
        <v>527886.0</v>
      </c>
      <c r="J122" s="47">
        <v>15395.0</v>
      </c>
      <c r="K122" s="49"/>
      <c r="L122" s="49">
        <f t="shared" ref="L122:M122" si="121">SUM(C122,F122,I122)</f>
        <v>2061639</v>
      </c>
      <c r="M122" s="49">
        <f t="shared" si="121"/>
        <v>50636</v>
      </c>
      <c r="N122" s="49"/>
      <c r="O122" s="2"/>
      <c r="P122" s="38">
        <f t="shared" si="3"/>
        <v>881815</v>
      </c>
      <c r="Q122" s="38">
        <f t="shared" si="4"/>
        <v>687179</v>
      </c>
      <c r="R122" s="38">
        <f t="shared" si="5"/>
        <v>543281</v>
      </c>
      <c r="S122" s="38">
        <f t="shared" si="6"/>
        <v>2112275</v>
      </c>
      <c r="T122" s="38"/>
      <c r="U122" s="1"/>
      <c r="V122" s="1"/>
      <c r="W122" s="1"/>
      <c r="X122" s="16"/>
      <c r="Y122" s="2"/>
      <c r="Z122" s="45"/>
      <c r="AA122" s="45"/>
      <c r="AB122" s="45"/>
      <c r="AC122" s="2"/>
      <c r="AD122" s="2"/>
      <c r="AE122" s="2"/>
      <c r="AF122" s="2"/>
      <c r="AG122" s="2"/>
      <c r="AH122" s="2"/>
      <c r="AI122" s="2"/>
      <c r="AJ122" s="2"/>
      <c r="AK122" s="2"/>
      <c r="AL122" s="2"/>
    </row>
    <row r="123" ht="12.0" customHeight="1">
      <c r="A123" s="2"/>
      <c r="B123" s="4" t="s">
        <v>66</v>
      </c>
      <c r="C123" s="47">
        <v>877863.0</v>
      </c>
      <c r="D123" s="47">
        <v>33572.0</v>
      </c>
      <c r="E123" s="49"/>
      <c r="F123" s="47">
        <v>714844.0</v>
      </c>
      <c r="G123" s="47">
        <v>3241.0</v>
      </c>
      <c r="H123" s="49"/>
      <c r="I123" s="47">
        <v>537287.0</v>
      </c>
      <c r="J123" s="47">
        <v>15909.0</v>
      </c>
      <c r="K123" s="49"/>
      <c r="L123" s="49">
        <f t="shared" ref="L123:M123" si="122">SUM(C123,F123,I123)</f>
        <v>2129994</v>
      </c>
      <c r="M123" s="49">
        <f t="shared" si="122"/>
        <v>52722</v>
      </c>
      <c r="N123" s="49"/>
      <c r="O123" s="2"/>
      <c r="P123" s="38">
        <f t="shared" si="3"/>
        <v>911435</v>
      </c>
      <c r="Q123" s="38">
        <f t="shared" si="4"/>
        <v>718085</v>
      </c>
      <c r="R123" s="38">
        <f t="shared" si="5"/>
        <v>553196</v>
      </c>
      <c r="S123" s="38">
        <f t="shared" si="6"/>
        <v>2182716</v>
      </c>
      <c r="T123" s="38"/>
      <c r="U123" s="1"/>
      <c r="V123" s="1"/>
      <c r="W123" s="1"/>
      <c r="X123" s="16"/>
      <c r="Y123" s="2"/>
      <c r="Z123" s="45"/>
      <c r="AA123" s="45"/>
      <c r="AB123" s="45"/>
      <c r="AC123" s="2"/>
      <c r="AD123" s="2"/>
      <c r="AE123" s="2"/>
      <c r="AF123" s="2"/>
      <c r="AG123" s="2"/>
      <c r="AH123" s="2"/>
      <c r="AI123" s="2"/>
      <c r="AJ123" s="2"/>
      <c r="AK123" s="2"/>
      <c r="AL123" s="2"/>
    </row>
    <row r="124" ht="12.0" customHeight="1">
      <c r="A124" s="2"/>
      <c r="B124" s="4" t="s">
        <v>74</v>
      </c>
      <c r="C124" s="47">
        <v>903531.0</v>
      </c>
      <c r="D124" s="47">
        <v>34953.0</v>
      </c>
      <c r="E124" s="49"/>
      <c r="F124" s="47">
        <v>735088.0</v>
      </c>
      <c r="G124" s="47">
        <v>3493.0</v>
      </c>
      <c r="H124" s="49"/>
      <c r="I124" s="47">
        <v>552670.0</v>
      </c>
      <c r="J124" s="47">
        <v>16368.0</v>
      </c>
      <c r="K124" s="49"/>
      <c r="L124" s="49">
        <f t="shared" ref="L124:M124" si="123">SUM(C124,F124,I124)</f>
        <v>2191289</v>
      </c>
      <c r="M124" s="49">
        <f t="shared" si="123"/>
        <v>54814</v>
      </c>
      <c r="N124" s="49"/>
      <c r="O124" s="2"/>
      <c r="P124" s="38">
        <f t="shared" si="3"/>
        <v>938484</v>
      </c>
      <c r="Q124" s="38">
        <f t="shared" si="4"/>
        <v>738581</v>
      </c>
      <c r="R124" s="38">
        <f t="shared" si="5"/>
        <v>569038</v>
      </c>
      <c r="S124" s="38">
        <f t="shared" si="6"/>
        <v>2246103</v>
      </c>
      <c r="T124" s="38"/>
      <c r="U124" s="1"/>
      <c r="V124" s="1"/>
      <c r="W124" s="1"/>
      <c r="X124" s="16"/>
      <c r="Y124" s="2"/>
      <c r="Z124" s="45"/>
      <c r="AA124" s="45"/>
      <c r="AB124" s="45"/>
      <c r="AC124" s="2"/>
      <c r="AD124" s="2"/>
      <c r="AE124" s="2"/>
      <c r="AF124" s="2"/>
      <c r="AG124" s="2"/>
      <c r="AH124" s="2"/>
      <c r="AI124" s="2"/>
      <c r="AJ124" s="2"/>
      <c r="AK124" s="2"/>
      <c r="AL124" s="2"/>
    </row>
    <row r="125" ht="12.75" customHeight="1">
      <c r="A125" s="2"/>
      <c r="B125" s="4" t="s">
        <v>75</v>
      </c>
      <c r="C125" s="47">
        <v>924941.0</v>
      </c>
      <c r="D125" s="47">
        <v>35942.0</v>
      </c>
      <c r="E125" s="49"/>
      <c r="F125" s="47">
        <v>744619.0</v>
      </c>
      <c r="G125" s="47">
        <v>4462.0</v>
      </c>
      <c r="H125" s="49"/>
      <c r="I125" s="47">
        <v>565189.0</v>
      </c>
      <c r="J125" s="47">
        <v>17074.0</v>
      </c>
      <c r="K125" s="49"/>
      <c r="L125" s="49">
        <f t="shared" ref="L125:M125" si="124">SUM(C125,F125,I125)</f>
        <v>2234749</v>
      </c>
      <c r="M125" s="49">
        <f t="shared" si="124"/>
        <v>57478</v>
      </c>
      <c r="N125" s="49"/>
      <c r="O125" s="2"/>
      <c r="P125" s="38">
        <f t="shared" si="3"/>
        <v>960883</v>
      </c>
      <c r="Q125" s="38">
        <f t="shared" si="4"/>
        <v>749081</v>
      </c>
      <c r="R125" s="38">
        <f t="shared" si="5"/>
        <v>582263</v>
      </c>
      <c r="S125" s="38">
        <f t="shared" si="6"/>
        <v>2292227</v>
      </c>
      <c r="T125" s="38"/>
      <c r="U125" s="95">
        <v>679145.0</v>
      </c>
      <c r="V125" s="95">
        <v>537883.0</v>
      </c>
      <c r="W125" s="53">
        <f>R125</f>
        <v>582263</v>
      </c>
      <c r="X125" s="58">
        <f>SUM(U125:W125)</f>
        <v>1799291</v>
      </c>
      <c r="Y125" s="2"/>
      <c r="Z125" s="45"/>
      <c r="AA125" s="45"/>
      <c r="AB125" s="45"/>
      <c r="AC125" s="2"/>
      <c r="AD125" s="2"/>
      <c r="AE125" s="2"/>
      <c r="AF125" s="2"/>
      <c r="AG125" s="2"/>
      <c r="AH125" s="2"/>
      <c r="AI125" s="2"/>
      <c r="AJ125" s="2"/>
      <c r="AK125" s="2"/>
      <c r="AL125" s="2"/>
    </row>
    <row r="126" ht="12.0" customHeight="1">
      <c r="A126" s="40">
        <v>2000.0</v>
      </c>
      <c r="B126" s="4" t="s">
        <v>58</v>
      </c>
      <c r="C126" s="47">
        <v>938898.0</v>
      </c>
      <c r="D126" s="47">
        <v>36917.0</v>
      </c>
      <c r="E126" s="49"/>
      <c r="F126" s="47">
        <v>752607.0</v>
      </c>
      <c r="G126" s="47">
        <v>4499.0</v>
      </c>
      <c r="H126" s="49"/>
      <c r="I126" s="47">
        <v>571506.0</v>
      </c>
      <c r="J126" s="47">
        <v>17686.0</v>
      </c>
      <c r="K126" s="49"/>
      <c r="L126" s="49">
        <f t="shared" ref="L126:M126" si="125">SUM(C126,F126,I126)</f>
        <v>2263011</v>
      </c>
      <c r="M126" s="49">
        <f t="shared" si="125"/>
        <v>59102</v>
      </c>
      <c r="N126" s="49"/>
      <c r="O126" s="2"/>
      <c r="P126" s="38">
        <f t="shared" si="3"/>
        <v>975815</v>
      </c>
      <c r="Q126" s="38">
        <f t="shared" si="4"/>
        <v>757106</v>
      </c>
      <c r="R126" s="38">
        <f t="shared" si="5"/>
        <v>589192</v>
      </c>
      <c r="S126" s="38">
        <f t="shared" si="6"/>
        <v>2322113</v>
      </c>
      <c r="T126" s="38"/>
      <c r="U126" s="1"/>
      <c r="V126" s="1"/>
      <c r="W126" s="1"/>
      <c r="X126" s="16"/>
      <c r="Y126" s="2"/>
      <c r="Z126" s="45"/>
      <c r="AA126" s="45"/>
      <c r="AB126" s="45"/>
      <c r="AC126" s="2"/>
      <c r="AD126" s="2"/>
      <c r="AE126" s="2"/>
      <c r="AF126" s="2"/>
      <c r="AG126" s="2"/>
      <c r="AH126" s="2"/>
      <c r="AI126" s="2"/>
      <c r="AJ126" s="2"/>
      <c r="AK126" s="2"/>
      <c r="AL126" s="2"/>
    </row>
    <row r="127" ht="12.0" customHeight="1">
      <c r="A127" s="2"/>
      <c r="B127" s="4" t="s">
        <v>66</v>
      </c>
      <c r="C127" s="47">
        <v>957584.0</v>
      </c>
      <c r="D127" s="47">
        <v>38231.0</v>
      </c>
      <c r="E127" s="49"/>
      <c r="F127" s="47">
        <v>763890.0</v>
      </c>
      <c r="G127" s="47">
        <v>4751.0</v>
      </c>
      <c r="H127" s="49"/>
      <c r="I127" s="47">
        <v>572661.0</v>
      </c>
      <c r="J127" s="47">
        <v>18047.0</v>
      </c>
      <c r="K127" s="49"/>
      <c r="L127" s="49">
        <f t="shared" ref="L127:M127" si="126">SUM(C127,F127,I127)</f>
        <v>2294135</v>
      </c>
      <c r="M127" s="49">
        <f t="shared" si="126"/>
        <v>61029</v>
      </c>
      <c r="N127" s="49"/>
      <c r="O127" s="2"/>
      <c r="P127" s="38">
        <f t="shared" si="3"/>
        <v>995815</v>
      </c>
      <c r="Q127" s="38">
        <f t="shared" si="4"/>
        <v>768641</v>
      </c>
      <c r="R127" s="38">
        <f t="shared" si="5"/>
        <v>590708</v>
      </c>
      <c r="S127" s="38">
        <f t="shared" si="6"/>
        <v>2355164</v>
      </c>
      <c r="T127" s="38"/>
      <c r="U127" s="1"/>
      <c r="V127" s="1"/>
      <c r="W127" s="1"/>
      <c r="X127" s="16"/>
      <c r="Y127" s="2"/>
      <c r="Z127" s="45"/>
      <c r="AA127" s="45"/>
      <c r="AB127" s="45"/>
      <c r="AC127" s="2"/>
      <c r="AD127" s="2"/>
      <c r="AE127" s="2"/>
      <c r="AF127" s="2"/>
      <c r="AG127" s="2"/>
      <c r="AH127" s="2"/>
      <c r="AI127" s="2"/>
      <c r="AJ127" s="2"/>
      <c r="AK127" s="2"/>
      <c r="AL127" s="2"/>
    </row>
    <row r="128" ht="12.0" customHeight="1">
      <c r="A128" s="2"/>
      <c r="B128" s="4" t="s">
        <v>74</v>
      </c>
      <c r="C128" s="47">
        <v>981206.0</v>
      </c>
      <c r="D128" s="47">
        <v>39622.0</v>
      </c>
      <c r="E128" s="49"/>
      <c r="F128" s="47">
        <v>786007.0</v>
      </c>
      <c r="G128" s="47">
        <v>4884.0</v>
      </c>
      <c r="H128" s="49"/>
      <c r="I128" s="47">
        <v>584151.0</v>
      </c>
      <c r="J128" s="47">
        <v>18476.0</v>
      </c>
      <c r="K128" s="49"/>
      <c r="L128" s="49">
        <f t="shared" ref="L128:M128" si="127">SUM(C128,F128,I128)</f>
        <v>2351364</v>
      </c>
      <c r="M128" s="49">
        <f t="shared" si="127"/>
        <v>62982</v>
      </c>
      <c r="N128" s="49"/>
      <c r="O128" s="2"/>
      <c r="P128" s="38">
        <f t="shared" si="3"/>
        <v>1020828</v>
      </c>
      <c r="Q128" s="38">
        <f t="shared" si="4"/>
        <v>790891</v>
      </c>
      <c r="R128" s="38">
        <f t="shared" si="5"/>
        <v>602627</v>
      </c>
      <c r="S128" s="38">
        <f t="shared" si="6"/>
        <v>2414346</v>
      </c>
      <c r="T128" s="38"/>
      <c r="U128" s="1"/>
      <c r="V128" s="1"/>
      <c r="W128" s="1"/>
      <c r="X128" s="16"/>
      <c r="Y128" s="2"/>
      <c r="Z128" s="45"/>
      <c r="AA128" s="45"/>
      <c r="AB128" s="45"/>
      <c r="AC128" s="2"/>
      <c r="AD128" s="2"/>
      <c r="AE128" s="2"/>
      <c r="AF128" s="2"/>
      <c r="AG128" s="2"/>
      <c r="AH128" s="2"/>
      <c r="AI128" s="2"/>
      <c r="AJ128" s="2"/>
      <c r="AK128" s="2"/>
      <c r="AL128" s="2"/>
    </row>
    <row r="129" ht="12.75" customHeight="1">
      <c r="A129" s="2"/>
      <c r="B129" s="4" t="s">
        <v>75</v>
      </c>
      <c r="C129" s="47">
        <v>1016398.0</v>
      </c>
      <c r="D129" s="47">
        <v>41352.0</v>
      </c>
      <c r="E129" s="49"/>
      <c r="F129" s="47">
        <v>816602.0</v>
      </c>
      <c r="G129" s="47">
        <v>5708.0</v>
      </c>
      <c r="H129" s="49"/>
      <c r="I129" s="47">
        <v>592625.0</v>
      </c>
      <c r="J129" s="47">
        <v>18929.0</v>
      </c>
      <c r="K129" s="49"/>
      <c r="L129" s="49">
        <f t="shared" ref="L129:M129" si="128">SUM(C129,F129,I129)</f>
        <v>2425625</v>
      </c>
      <c r="M129" s="49">
        <f t="shared" si="128"/>
        <v>65989</v>
      </c>
      <c r="N129" s="49"/>
      <c r="O129" s="2"/>
      <c r="P129" s="38">
        <f t="shared" si="3"/>
        <v>1057750</v>
      </c>
      <c r="Q129" s="38">
        <f t="shared" si="4"/>
        <v>822310</v>
      </c>
      <c r="R129" s="38">
        <f t="shared" si="5"/>
        <v>611554</v>
      </c>
      <c r="S129" s="38">
        <f t="shared" si="6"/>
        <v>2491614</v>
      </c>
      <c r="T129" s="38"/>
      <c r="U129" s="95">
        <v>706722.0</v>
      </c>
      <c r="V129" s="95">
        <v>576101.0</v>
      </c>
      <c r="W129" s="53">
        <f>R129</f>
        <v>611554</v>
      </c>
      <c r="X129" s="58">
        <f>SUM(U129:W129)</f>
        <v>1894377</v>
      </c>
      <c r="Y129" s="2"/>
      <c r="Z129" s="45"/>
      <c r="AA129" s="45"/>
      <c r="AB129" s="45"/>
      <c r="AC129" s="2"/>
      <c r="AD129" s="2"/>
      <c r="AE129" s="2"/>
      <c r="AF129" s="2"/>
      <c r="AG129" s="2"/>
      <c r="AH129" s="2"/>
      <c r="AI129" s="2"/>
      <c r="AJ129" s="2"/>
      <c r="AK129" s="2"/>
      <c r="AL129" s="2"/>
    </row>
    <row r="130" ht="12.0" customHeight="1">
      <c r="A130" s="40">
        <v>2001.0</v>
      </c>
      <c r="B130" s="4" t="s">
        <v>58</v>
      </c>
      <c r="C130" s="47">
        <v>1055412.0</v>
      </c>
      <c r="D130" s="47">
        <v>43637.0</v>
      </c>
      <c r="E130" s="49"/>
      <c r="F130" s="47">
        <v>827769.0</v>
      </c>
      <c r="G130" s="47">
        <v>5847.0</v>
      </c>
      <c r="H130" s="49"/>
      <c r="I130" s="47">
        <v>581742.0</v>
      </c>
      <c r="J130" s="47">
        <v>19780.0</v>
      </c>
      <c r="K130" s="49"/>
      <c r="L130" s="49">
        <f t="shared" ref="L130:M130" si="129">SUM(C130,F130,I130)</f>
        <v>2464923</v>
      </c>
      <c r="M130" s="49">
        <f t="shared" si="129"/>
        <v>69264</v>
      </c>
      <c r="N130" s="49"/>
      <c r="O130" s="2"/>
      <c r="P130" s="38">
        <f t="shared" si="3"/>
        <v>1099049</v>
      </c>
      <c r="Q130" s="38">
        <f t="shared" si="4"/>
        <v>833616</v>
      </c>
      <c r="R130" s="38">
        <f t="shared" si="5"/>
        <v>601522</v>
      </c>
      <c r="S130" s="38">
        <f t="shared" si="6"/>
        <v>2534187</v>
      </c>
      <c r="T130" s="38"/>
      <c r="U130" s="1"/>
      <c r="V130" s="1"/>
      <c r="W130" s="1"/>
      <c r="X130" s="16"/>
      <c r="Y130" s="2"/>
      <c r="Z130" s="45"/>
      <c r="AA130" s="45"/>
      <c r="AB130" s="45"/>
      <c r="AC130" s="2"/>
      <c r="AD130" s="2"/>
      <c r="AE130" s="2"/>
      <c r="AF130" s="2"/>
      <c r="AG130" s="2"/>
      <c r="AH130" s="2"/>
      <c r="AI130" s="2"/>
      <c r="AJ130" s="2"/>
      <c r="AK130" s="2"/>
      <c r="AL130" s="2"/>
    </row>
    <row r="131" ht="12.0" customHeight="1">
      <c r="A131" s="2"/>
      <c r="B131" s="4" t="s">
        <v>66</v>
      </c>
      <c r="C131" s="47">
        <v>1116534.0</v>
      </c>
      <c r="D131" s="47">
        <v>47444.0</v>
      </c>
      <c r="E131" s="49"/>
      <c r="F131" s="47">
        <v>867924.0</v>
      </c>
      <c r="G131" s="47">
        <v>5826.0</v>
      </c>
      <c r="H131" s="49"/>
      <c r="I131" s="47">
        <v>577227.0</v>
      </c>
      <c r="J131" s="47">
        <v>20792.0</v>
      </c>
      <c r="K131" s="49"/>
      <c r="L131" s="49">
        <f t="shared" ref="L131:M131" si="130">SUM(C131,F131,I131)</f>
        <v>2561685</v>
      </c>
      <c r="M131" s="49">
        <f t="shared" si="130"/>
        <v>74062</v>
      </c>
      <c r="N131" s="49"/>
      <c r="O131" s="2"/>
      <c r="P131" s="38">
        <f t="shared" si="3"/>
        <v>1163978</v>
      </c>
      <c r="Q131" s="38">
        <f t="shared" si="4"/>
        <v>873750</v>
      </c>
      <c r="R131" s="38">
        <f t="shared" si="5"/>
        <v>598019</v>
      </c>
      <c r="S131" s="38">
        <f t="shared" si="6"/>
        <v>2635747</v>
      </c>
      <c r="T131" s="38"/>
      <c r="U131" s="1"/>
      <c r="V131" s="1"/>
      <c r="W131" s="1"/>
      <c r="X131" s="16"/>
      <c r="Y131" s="2"/>
      <c r="Z131" s="45"/>
      <c r="AA131" s="45"/>
      <c r="AB131" s="45"/>
      <c r="AC131" s="2"/>
      <c r="AD131" s="2"/>
      <c r="AE131" s="2"/>
      <c r="AF131" s="2"/>
      <c r="AG131" s="2"/>
      <c r="AH131" s="2"/>
      <c r="AI131" s="2"/>
      <c r="AJ131" s="2"/>
      <c r="AK131" s="2"/>
      <c r="AL131" s="2"/>
    </row>
    <row r="132" ht="12.0" customHeight="1">
      <c r="A132" s="2"/>
      <c r="B132" s="4" t="s">
        <v>74</v>
      </c>
      <c r="C132" s="47">
        <v>1177995.0</v>
      </c>
      <c r="D132" s="47">
        <v>50136.0</v>
      </c>
      <c r="E132" s="49"/>
      <c r="F132" s="47">
        <v>921709.0</v>
      </c>
      <c r="G132" s="47">
        <v>5781.0</v>
      </c>
      <c r="H132" s="49"/>
      <c r="I132" s="47">
        <v>581796.0</v>
      </c>
      <c r="J132" s="47">
        <v>21391.0</v>
      </c>
      <c r="K132" s="49"/>
      <c r="L132" s="49">
        <f t="shared" ref="L132:M132" si="131">SUM(C132,F132,I132)</f>
        <v>2681500</v>
      </c>
      <c r="M132" s="49">
        <f t="shared" si="131"/>
        <v>77308</v>
      </c>
      <c r="N132" s="49"/>
      <c r="O132" s="2"/>
      <c r="P132" s="38">
        <f t="shared" si="3"/>
        <v>1228131</v>
      </c>
      <c r="Q132" s="38">
        <f t="shared" si="4"/>
        <v>927490</v>
      </c>
      <c r="R132" s="38">
        <f t="shared" si="5"/>
        <v>603187</v>
      </c>
      <c r="S132" s="38">
        <f t="shared" si="6"/>
        <v>2758808</v>
      </c>
      <c r="T132" s="38"/>
      <c r="U132" s="1"/>
      <c r="V132" s="1"/>
      <c r="W132" s="1"/>
      <c r="X132" s="16"/>
      <c r="Y132" s="2"/>
      <c r="Z132" s="45"/>
      <c r="AA132" s="45"/>
      <c r="AB132" s="45"/>
      <c r="AC132" s="2"/>
      <c r="AD132" s="2"/>
      <c r="AE132" s="2"/>
      <c r="AF132" s="2"/>
      <c r="AG132" s="2"/>
      <c r="AH132" s="2"/>
      <c r="AI132" s="2"/>
      <c r="AJ132" s="2"/>
      <c r="AK132" s="2"/>
      <c r="AL132" s="2"/>
    </row>
    <row r="133" ht="12.75" customHeight="1">
      <c r="A133" s="2"/>
      <c r="B133" s="4" t="s">
        <v>75</v>
      </c>
      <c r="C133" s="47">
        <v>1238125.0</v>
      </c>
      <c r="D133" s="47">
        <v>52226.0</v>
      </c>
      <c r="E133" s="49"/>
      <c r="F133" s="47">
        <v>940933.0</v>
      </c>
      <c r="G133" s="47">
        <v>7476.0</v>
      </c>
      <c r="H133" s="49"/>
      <c r="I133" s="47">
        <v>569460.0</v>
      </c>
      <c r="J133" s="47">
        <v>21908.0</v>
      </c>
      <c r="K133" s="49"/>
      <c r="L133" s="49">
        <f t="shared" ref="L133:M133" si="132">SUM(C133,F133,I133)</f>
        <v>2748518</v>
      </c>
      <c r="M133" s="49">
        <f t="shared" si="132"/>
        <v>81610</v>
      </c>
      <c r="N133" s="49"/>
      <c r="O133" s="2"/>
      <c r="P133" s="38">
        <f t="shared" si="3"/>
        <v>1290351</v>
      </c>
      <c r="Q133" s="38">
        <f t="shared" si="4"/>
        <v>948409</v>
      </c>
      <c r="R133" s="38">
        <f t="shared" si="5"/>
        <v>591368</v>
      </c>
      <c r="S133" s="38">
        <f t="shared" si="6"/>
        <v>2830128</v>
      </c>
      <c r="T133" s="38"/>
      <c r="U133" s="95">
        <v>863445.0</v>
      </c>
      <c r="V133" s="95">
        <v>653084.0</v>
      </c>
      <c r="W133" s="53">
        <f>R133</f>
        <v>591368</v>
      </c>
      <c r="X133" s="58">
        <f>SUM(U133:W133)</f>
        <v>2107897</v>
      </c>
      <c r="Y133" s="2"/>
      <c r="Z133" s="45"/>
      <c r="AA133" s="45"/>
      <c r="AB133" s="45"/>
      <c r="AC133" s="2"/>
      <c r="AD133" s="2"/>
      <c r="AE133" s="2"/>
      <c r="AF133" s="2"/>
      <c r="AG133" s="2"/>
      <c r="AH133" s="2"/>
      <c r="AI133" s="2"/>
      <c r="AJ133" s="2"/>
      <c r="AK133" s="2"/>
      <c r="AL133" s="2"/>
    </row>
    <row r="134" ht="12.0" customHeight="1">
      <c r="A134" s="40">
        <v>2002.0</v>
      </c>
      <c r="B134" s="4" t="s">
        <v>58</v>
      </c>
      <c r="C134" s="47">
        <v>1301374.0</v>
      </c>
      <c r="D134" s="47">
        <v>54030.0</v>
      </c>
      <c r="E134" s="49"/>
      <c r="F134" s="47">
        <v>1005136.0</v>
      </c>
      <c r="G134" s="47">
        <v>7342.0</v>
      </c>
      <c r="H134" s="49"/>
      <c r="I134" s="47">
        <v>564108.0</v>
      </c>
      <c r="J134" s="47">
        <v>23096.0</v>
      </c>
      <c r="K134" s="49"/>
      <c r="L134" s="49">
        <f t="shared" ref="L134:M134" si="133">SUM(C134,F134,I134)</f>
        <v>2870618</v>
      </c>
      <c r="M134" s="49">
        <f t="shared" si="133"/>
        <v>84468</v>
      </c>
      <c r="N134" s="49"/>
      <c r="O134" s="2"/>
      <c r="P134" s="38">
        <f t="shared" si="3"/>
        <v>1355404</v>
      </c>
      <c r="Q134" s="38">
        <f t="shared" si="4"/>
        <v>1012478</v>
      </c>
      <c r="R134" s="38">
        <f t="shared" si="5"/>
        <v>587204</v>
      </c>
      <c r="S134" s="38">
        <f t="shared" si="6"/>
        <v>2955086</v>
      </c>
      <c r="T134" s="38"/>
      <c r="U134" s="1"/>
      <c r="V134" s="1"/>
      <c r="W134" s="1"/>
      <c r="X134" s="16"/>
      <c r="Y134" s="2"/>
      <c r="Z134" s="45"/>
      <c r="AA134" s="45"/>
      <c r="AB134" s="45"/>
      <c r="AC134" s="2"/>
      <c r="AD134" s="2"/>
      <c r="AE134" s="2"/>
      <c r="AF134" s="2"/>
      <c r="AG134" s="2"/>
      <c r="AH134" s="2"/>
      <c r="AI134" s="2"/>
      <c r="AJ134" s="2"/>
      <c r="AK134" s="2"/>
      <c r="AL134" s="2"/>
    </row>
    <row r="135" ht="12.0" customHeight="1">
      <c r="A135" s="2"/>
      <c r="B135" s="4" t="s">
        <v>66</v>
      </c>
      <c r="C135" s="47">
        <v>1349442.0</v>
      </c>
      <c r="D135" s="47">
        <v>55152.0</v>
      </c>
      <c r="E135" s="49"/>
      <c r="F135" s="47">
        <v>1045981.0</v>
      </c>
      <c r="G135" s="47">
        <v>7280.0</v>
      </c>
      <c r="H135" s="49"/>
      <c r="I135" s="47">
        <v>559549.0</v>
      </c>
      <c r="J135" s="47">
        <v>24196.0</v>
      </c>
      <c r="K135" s="49"/>
      <c r="L135" s="49">
        <f t="shared" ref="L135:M135" si="134">SUM(C135,F135,I135)</f>
        <v>2954972</v>
      </c>
      <c r="M135" s="49">
        <f t="shared" si="134"/>
        <v>86628</v>
      </c>
      <c r="N135" s="49"/>
      <c r="O135" s="2"/>
      <c r="P135" s="38">
        <f t="shared" si="3"/>
        <v>1404594</v>
      </c>
      <c r="Q135" s="38">
        <f t="shared" si="4"/>
        <v>1053261</v>
      </c>
      <c r="R135" s="38">
        <f t="shared" si="5"/>
        <v>583745</v>
      </c>
      <c r="S135" s="38">
        <f t="shared" si="6"/>
        <v>3041600</v>
      </c>
      <c r="T135" s="38"/>
      <c r="U135" s="1"/>
      <c r="V135" s="1"/>
      <c r="W135" s="1"/>
      <c r="X135" s="16"/>
      <c r="Y135" s="2"/>
      <c r="Z135" s="45"/>
      <c r="AA135" s="45"/>
      <c r="AB135" s="45"/>
      <c r="AC135" s="2"/>
      <c r="AD135" s="2"/>
      <c r="AE135" s="2"/>
      <c r="AF135" s="2"/>
      <c r="AG135" s="2"/>
      <c r="AH135" s="2"/>
      <c r="AI135" s="2"/>
      <c r="AJ135" s="2"/>
      <c r="AK135" s="2"/>
      <c r="AL135" s="2"/>
    </row>
    <row r="136" ht="12.0" customHeight="1">
      <c r="A136" s="2"/>
      <c r="B136" s="4" t="s">
        <v>74</v>
      </c>
      <c r="C136" s="47">
        <v>1402929.0</v>
      </c>
      <c r="D136" s="47">
        <v>56016.0</v>
      </c>
      <c r="E136" s="49"/>
      <c r="F136" s="47">
        <v>1050899.0</v>
      </c>
      <c r="G136" s="47">
        <v>7277.0</v>
      </c>
      <c r="H136" s="49"/>
      <c r="I136" s="47">
        <v>542208.0</v>
      </c>
      <c r="J136" s="47">
        <v>25178.0</v>
      </c>
      <c r="K136" s="49"/>
      <c r="L136" s="49">
        <f t="shared" ref="L136:M136" si="135">SUM(C136,F136,I136)</f>
        <v>2996036</v>
      </c>
      <c r="M136" s="49">
        <f t="shared" si="135"/>
        <v>88471</v>
      </c>
      <c r="N136" s="49"/>
      <c r="O136" s="2"/>
      <c r="P136" s="38">
        <f t="shared" si="3"/>
        <v>1458945</v>
      </c>
      <c r="Q136" s="38">
        <f t="shared" si="4"/>
        <v>1058176</v>
      </c>
      <c r="R136" s="38">
        <f t="shared" si="5"/>
        <v>567386</v>
      </c>
      <c r="S136" s="38">
        <f t="shared" si="6"/>
        <v>3084507</v>
      </c>
      <c r="T136" s="38"/>
      <c r="U136" s="1"/>
      <c r="V136" s="1"/>
      <c r="W136" s="1"/>
      <c r="X136" s="16"/>
      <c r="Y136" s="2"/>
      <c r="Z136" s="45"/>
      <c r="AA136" s="45"/>
      <c r="AB136" s="45"/>
      <c r="AC136" s="2"/>
      <c r="AD136" s="2"/>
      <c r="AE136" s="2"/>
      <c r="AF136" s="2"/>
      <c r="AG136" s="2"/>
      <c r="AH136" s="2"/>
      <c r="AI136" s="2"/>
      <c r="AJ136" s="2"/>
      <c r="AK136" s="2"/>
      <c r="AL136" s="2"/>
    </row>
    <row r="137" ht="12.75" customHeight="1">
      <c r="A137" s="2"/>
      <c r="B137" s="4" t="s">
        <v>75</v>
      </c>
      <c r="C137" s="47">
        <v>1478610.0</v>
      </c>
      <c r="D137" s="47">
        <v>59677.0</v>
      </c>
      <c r="E137" s="49"/>
      <c r="F137" s="47">
        <v>1072990.0</v>
      </c>
      <c r="G137" s="47">
        <v>9072.0</v>
      </c>
      <c r="H137" s="49"/>
      <c r="I137" s="47">
        <v>512097.0</v>
      </c>
      <c r="J137" s="47">
        <v>25790.0</v>
      </c>
      <c r="K137" s="49"/>
      <c r="L137" s="49">
        <f t="shared" ref="L137:M137" si="136">SUM(C137,F137,I137)</f>
        <v>3063697</v>
      </c>
      <c r="M137" s="49">
        <f t="shared" si="136"/>
        <v>94539</v>
      </c>
      <c r="N137" s="49"/>
      <c r="O137" s="2"/>
      <c r="P137" s="38">
        <f t="shared" si="3"/>
        <v>1538287</v>
      </c>
      <c r="Q137" s="38">
        <f t="shared" si="4"/>
        <v>1082062</v>
      </c>
      <c r="R137" s="38">
        <f t="shared" si="5"/>
        <v>537887</v>
      </c>
      <c r="S137" s="38">
        <f t="shared" si="6"/>
        <v>3158236</v>
      </c>
      <c r="T137" s="38"/>
      <c r="U137" s="95">
        <v>1040439.0</v>
      </c>
      <c r="V137" s="95">
        <v>729809.0</v>
      </c>
      <c r="W137" s="53">
        <f>R137</f>
        <v>537887</v>
      </c>
      <c r="X137" s="58">
        <f>SUM(U137:W137)</f>
        <v>2308135</v>
      </c>
      <c r="Y137" s="2"/>
      <c r="Z137" s="45"/>
      <c r="AA137" s="45"/>
      <c r="AB137" s="45"/>
      <c r="AC137" s="2"/>
      <c r="AD137" s="2"/>
      <c r="AE137" s="2"/>
      <c r="AF137" s="2"/>
      <c r="AG137" s="2"/>
      <c r="AH137" s="2"/>
      <c r="AI137" s="2"/>
      <c r="AJ137" s="2"/>
      <c r="AK137" s="2"/>
      <c r="AL137" s="2"/>
    </row>
    <row r="138" ht="12.0" customHeight="1">
      <c r="A138" s="40">
        <v>2003.0</v>
      </c>
      <c r="B138" s="4" t="s">
        <v>58</v>
      </c>
      <c r="C138" s="47">
        <v>1576495.0</v>
      </c>
      <c r="D138" s="47">
        <v>60979.0</v>
      </c>
      <c r="E138" s="49"/>
      <c r="F138" s="47">
        <v>1066368.0</v>
      </c>
      <c r="G138" s="47">
        <v>10480.0</v>
      </c>
      <c r="H138" s="49"/>
      <c r="I138" s="47">
        <v>489056.0</v>
      </c>
      <c r="J138" s="47">
        <v>26759.0</v>
      </c>
      <c r="K138" s="49"/>
      <c r="L138" s="49">
        <f t="shared" ref="L138:M138" si="137">SUM(C138,F138,I138)</f>
        <v>3131919</v>
      </c>
      <c r="M138" s="49">
        <f t="shared" si="137"/>
        <v>98218</v>
      </c>
      <c r="N138" s="49"/>
      <c r="O138" s="2"/>
      <c r="P138" s="38">
        <f t="shared" si="3"/>
        <v>1637474</v>
      </c>
      <c r="Q138" s="38">
        <f t="shared" si="4"/>
        <v>1076848</v>
      </c>
      <c r="R138" s="38">
        <f t="shared" si="5"/>
        <v>515815</v>
      </c>
      <c r="S138" s="38">
        <f t="shared" si="6"/>
        <v>3230137</v>
      </c>
      <c r="T138" s="38"/>
      <c r="U138" s="1"/>
      <c r="V138" s="1"/>
      <c r="W138" s="1"/>
      <c r="X138" s="16"/>
      <c r="Y138" s="2"/>
      <c r="Z138" s="45"/>
      <c r="AA138" s="45"/>
      <c r="AB138" s="45"/>
      <c r="AC138" s="2"/>
      <c r="AD138" s="2"/>
      <c r="AE138" s="2"/>
      <c r="AF138" s="2"/>
      <c r="AG138" s="2"/>
      <c r="AH138" s="2"/>
      <c r="AI138" s="2"/>
      <c r="AJ138" s="2"/>
      <c r="AK138" s="2"/>
      <c r="AL138" s="2"/>
    </row>
    <row r="139" ht="12.0" customHeight="1">
      <c r="A139" s="2"/>
      <c r="B139" s="4" t="s">
        <v>66</v>
      </c>
      <c r="C139" s="47">
        <v>1687263.0</v>
      </c>
      <c r="D139" s="47">
        <v>62633.0</v>
      </c>
      <c r="E139" s="49"/>
      <c r="F139" s="47">
        <v>1043267.0</v>
      </c>
      <c r="G139" s="47">
        <v>11706.0</v>
      </c>
      <c r="H139" s="49"/>
      <c r="I139" s="47">
        <v>460254.0</v>
      </c>
      <c r="J139" s="47">
        <v>27499.0</v>
      </c>
      <c r="K139" s="49"/>
      <c r="L139" s="49">
        <f t="shared" ref="L139:M139" si="138">SUM(C139,F139,I139)</f>
        <v>3190784</v>
      </c>
      <c r="M139" s="49">
        <f t="shared" si="138"/>
        <v>101838</v>
      </c>
      <c r="N139" s="49"/>
      <c r="O139" s="2"/>
      <c r="P139" s="38">
        <f t="shared" si="3"/>
        <v>1749896</v>
      </c>
      <c r="Q139" s="38">
        <f t="shared" si="4"/>
        <v>1054973</v>
      </c>
      <c r="R139" s="38">
        <f t="shared" si="5"/>
        <v>487753</v>
      </c>
      <c r="S139" s="38">
        <f t="shared" si="6"/>
        <v>3292622</v>
      </c>
      <c r="T139" s="38"/>
      <c r="U139" s="1"/>
      <c r="V139" s="1"/>
      <c r="W139" s="1"/>
      <c r="X139" s="16"/>
      <c r="Y139" s="2"/>
      <c r="Z139" s="45"/>
      <c r="AA139" s="45"/>
      <c r="AB139" s="45"/>
      <c r="AC139" s="2"/>
      <c r="AD139" s="2"/>
      <c r="AE139" s="2"/>
      <c r="AF139" s="2"/>
      <c r="AG139" s="2"/>
      <c r="AH139" s="2"/>
      <c r="AI139" s="2"/>
      <c r="AJ139" s="2"/>
      <c r="AK139" s="2"/>
      <c r="AL139" s="2"/>
    </row>
    <row r="140" ht="12.0" customHeight="1">
      <c r="A140" s="2"/>
      <c r="B140" s="4" t="s">
        <v>74</v>
      </c>
      <c r="C140" s="47">
        <v>1733853.0</v>
      </c>
      <c r="D140" s="47">
        <v>67675.0</v>
      </c>
      <c r="E140" s="49"/>
      <c r="F140" s="47">
        <v>1085987.0</v>
      </c>
      <c r="G140" s="47">
        <v>13718.0</v>
      </c>
      <c r="H140" s="49"/>
      <c r="I140" s="47">
        <v>444799.0</v>
      </c>
      <c r="J140" s="47">
        <v>28100.0</v>
      </c>
      <c r="K140" s="49"/>
      <c r="L140" s="49">
        <f t="shared" ref="L140:M140" si="139">SUM(C140,F140,I140)</f>
        <v>3264639</v>
      </c>
      <c r="M140" s="49">
        <f t="shared" si="139"/>
        <v>109493</v>
      </c>
      <c r="N140" s="49"/>
      <c r="O140" s="2"/>
      <c r="P140" s="38">
        <f t="shared" si="3"/>
        <v>1801528</v>
      </c>
      <c r="Q140" s="38">
        <f t="shared" si="4"/>
        <v>1099705</v>
      </c>
      <c r="R140" s="38">
        <f t="shared" si="5"/>
        <v>472899</v>
      </c>
      <c r="S140" s="38">
        <f t="shared" si="6"/>
        <v>3374132</v>
      </c>
      <c r="T140" s="38"/>
      <c r="U140" s="1"/>
      <c r="V140" s="1"/>
      <c r="W140" s="1"/>
      <c r="X140" s="16"/>
      <c r="Y140" s="2"/>
      <c r="Z140" s="45"/>
      <c r="AA140" s="45"/>
      <c r="AB140" s="45"/>
      <c r="AC140" s="2"/>
      <c r="AD140" s="2"/>
      <c r="AE140" s="2"/>
      <c r="AF140" s="2"/>
      <c r="AG140" s="2"/>
      <c r="AH140" s="2"/>
      <c r="AI140" s="2"/>
      <c r="AJ140" s="2"/>
      <c r="AK140" s="2"/>
      <c r="AL140" s="2"/>
    </row>
    <row r="141" ht="12.75" customHeight="1">
      <c r="A141" s="2"/>
      <c r="B141" s="4" t="s">
        <v>75</v>
      </c>
      <c r="C141" s="47">
        <v>1642721.0</v>
      </c>
      <c r="D141" s="47">
        <v>63721.0</v>
      </c>
      <c r="E141" s="49"/>
      <c r="F141" s="47">
        <v>1145970.0</v>
      </c>
      <c r="G141" s="47">
        <v>16098.0</v>
      </c>
      <c r="H141" s="49"/>
      <c r="I141" s="47">
        <v>444820.0</v>
      </c>
      <c r="J141" s="47">
        <v>28918.0</v>
      </c>
      <c r="K141" s="49"/>
      <c r="L141" s="49">
        <f t="shared" ref="L141:M141" si="140">SUM(C141,F141,I141)</f>
        <v>3233511</v>
      </c>
      <c r="M141" s="49">
        <f t="shared" si="140"/>
        <v>108737</v>
      </c>
      <c r="N141" s="49"/>
      <c r="O141" s="2"/>
      <c r="P141" s="38">
        <f t="shared" si="3"/>
        <v>1706442</v>
      </c>
      <c r="Q141" s="38">
        <f t="shared" si="4"/>
        <v>1162068</v>
      </c>
      <c r="R141" s="38">
        <f t="shared" si="5"/>
        <v>473738</v>
      </c>
      <c r="S141" s="38">
        <f t="shared" si="6"/>
        <v>3342248</v>
      </c>
      <c r="T141" s="38"/>
      <c r="U141" s="95">
        <v>1300520.0</v>
      </c>
      <c r="V141" s="95">
        <v>752164.0</v>
      </c>
      <c r="W141" s="53">
        <f>R141</f>
        <v>473738</v>
      </c>
      <c r="X141" s="58">
        <f>SUM(U141:W141)</f>
        <v>2526422</v>
      </c>
      <c r="Y141" s="2"/>
      <c r="Z141" s="45"/>
      <c r="AA141" s="45"/>
      <c r="AB141" s="45"/>
      <c r="AC141" s="2"/>
      <c r="AD141" s="2"/>
      <c r="AE141" s="2"/>
      <c r="AF141" s="2"/>
      <c r="AG141" s="2"/>
      <c r="AH141" s="2"/>
      <c r="AI141" s="2"/>
      <c r="AJ141" s="2"/>
      <c r="AK141" s="2"/>
      <c r="AL141" s="2"/>
    </row>
    <row r="142" ht="12.0" customHeight="1">
      <c r="A142" s="40">
        <v>2004.0</v>
      </c>
      <c r="B142" s="4" t="s">
        <v>58</v>
      </c>
      <c r="C142" s="47">
        <v>1655643.0</v>
      </c>
      <c r="D142" s="47">
        <v>62301.0</v>
      </c>
      <c r="E142" s="49"/>
      <c r="F142" s="47">
        <v>1147284.0</v>
      </c>
      <c r="G142" s="47">
        <v>15887.0</v>
      </c>
      <c r="H142" s="49"/>
      <c r="I142" s="47">
        <v>438300.0</v>
      </c>
      <c r="J142" s="47">
        <v>26007.0</v>
      </c>
      <c r="K142" s="49"/>
      <c r="L142" s="49">
        <f t="shared" ref="L142:M142" si="141">SUM(C142,F142,I142)</f>
        <v>3241227</v>
      </c>
      <c r="M142" s="49">
        <f t="shared" si="141"/>
        <v>104195</v>
      </c>
      <c r="N142" s="49"/>
      <c r="O142" s="2"/>
      <c r="P142" s="38">
        <f t="shared" si="3"/>
        <v>1717944</v>
      </c>
      <c r="Q142" s="38">
        <f t="shared" si="4"/>
        <v>1163171</v>
      </c>
      <c r="R142" s="38">
        <f t="shared" si="5"/>
        <v>464307</v>
      </c>
      <c r="S142" s="38">
        <f t="shared" si="6"/>
        <v>3345422</v>
      </c>
      <c r="T142" s="38"/>
      <c r="U142" s="1"/>
      <c r="V142" s="1"/>
      <c r="W142" s="1"/>
      <c r="X142" s="16"/>
      <c r="Y142" s="2"/>
      <c r="Z142" s="45"/>
      <c r="AA142" s="45"/>
      <c r="AB142" s="45"/>
      <c r="AC142" s="2"/>
      <c r="AD142" s="2"/>
      <c r="AE142" s="2"/>
      <c r="AF142" s="2"/>
      <c r="AG142" s="2"/>
      <c r="AH142" s="2"/>
      <c r="AI142" s="2"/>
      <c r="AJ142" s="2"/>
      <c r="AK142" s="2"/>
      <c r="AL142" s="2"/>
    </row>
    <row r="143" ht="12.0" customHeight="1">
      <c r="A143" s="2"/>
      <c r="B143" s="4" t="s">
        <v>66</v>
      </c>
      <c r="C143" s="47">
        <v>1668566.0</v>
      </c>
      <c r="D143" s="47">
        <v>60881.0</v>
      </c>
      <c r="E143" s="49"/>
      <c r="F143" s="47">
        <v>1161739.0</v>
      </c>
      <c r="G143" s="47">
        <v>15855.0</v>
      </c>
      <c r="H143" s="49"/>
      <c r="I143" s="47">
        <v>427943.0</v>
      </c>
      <c r="J143" s="47">
        <v>30581.0</v>
      </c>
      <c r="K143" s="49"/>
      <c r="L143" s="49">
        <f t="shared" ref="L143:M143" si="142">SUM(C143,F143,I143)</f>
        <v>3258248</v>
      </c>
      <c r="M143" s="49">
        <f t="shared" si="142"/>
        <v>107317</v>
      </c>
      <c r="N143" s="49"/>
      <c r="O143" s="2"/>
      <c r="P143" s="38">
        <f t="shared" si="3"/>
        <v>1729447</v>
      </c>
      <c r="Q143" s="38">
        <f t="shared" si="4"/>
        <v>1177594</v>
      </c>
      <c r="R143" s="38">
        <f t="shared" si="5"/>
        <v>458524</v>
      </c>
      <c r="S143" s="38">
        <f t="shared" si="6"/>
        <v>3365565</v>
      </c>
      <c r="T143" s="38"/>
      <c r="U143" s="1"/>
      <c r="V143" s="1"/>
      <c r="W143" s="1"/>
      <c r="X143" s="16"/>
      <c r="Y143" s="2"/>
      <c r="Z143" s="45"/>
      <c r="AA143" s="45"/>
      <c r="AB143" s="45"/>
      <c r="AC143" s="2"/>
      <c r="AD143" s="2"/>
      <c r="AE143" s="2"/>
      <c r="AF143" s="2"/>
      <c r="AG143" s="2"/>
      <c r="AH143" s="2"/>
      <c r="AI143" s="2"/>
      <c r="AJ143" s="2"/>
      <c r="AK143" s="2"/>
      <c r="AL143" s="2"/>
    </row>
    <row r="144" ht="12.0" customHeight="1">
      <c r="A144" s="2"/>
      <c r="B144" s="4" t="s">
        <v>74</v>
      </c>
      <c r="C144" s="47">
        <v>1681488.0</v>
      </c>
      <c r="D144" s="47">
        <v>59461.0</v>
      </c>
      <c r="E144" s="49"/>
      <c r="F144" s="47">
        <v>1170559.0</v>
      </c>
      <c r="G144" s="47">
        <v>15739.0</v>
      </c>
      <c r="H144" s="49"/>
      <c r="I144" s="47">
        <v>421363.0</v>
      </c>
      <c r="J144" s="47">
        <v>31191.0</v>
      </c>
      <c r="K144" s="49"/>
      <c r="L144" s="49">
        <f t="shared" ref="L144:M144" si="143">SUM(C144,F144,I144)</f>
        <v>3273410</v>
      </c>
      <c r="M144" s="49">
        <f t="shared" si="143"/>
        <v>106391</v>
      </c>
      <c r="N144" s="49"/>
      <c r="O144" s="2"/>
      <c r="P144" s="38">
        <f t="shared" si="3"/>
        <v>1740949</v>
      </c>
      <c r="Q144" s="38">
        <f t="shared" si="4"/>
        <v>1186298</v>
      </c>
      <c r="R144" s="38">
        <f t="shared" si="5"/>
        <v>452554</v>
      </c>
      <c r="S144" s="38">
        <f t="shared" si="6"/>
        <v>3379801</v>
      </c>
      <c r="T144" s="38"/>
      <c r="U144" s="1"/>
      <c r="V144" s="1"/>
      <c r="W144" s="1"/>
      <c r="X144" s="16"/>
      <c r="Y144" s="2"/>
      <c r="Z144" s="45"/>
      <c r="AA144" s="45"/>
      <c r="AB144" s="45"/>
      <c r="AC144" s="2"/>
      <c r="AD144" s="2"/>
      <c r="AE144" s="2"/>
      <c r="AF144" s="2"/>
      <c r="AG144" s="2"/>
      <c r="AH144" s="2"/>
      <c r="AI144" s="2"/>
      <c r="AJ144" s="2"/>
      <c r="AK144" s="2"/>
      <c r="AL144" s="2"/>
    </row>
    <row r="145" ht="12.75" customHeight="1">
      <c r="A145" s="2"/>
      <c r="B145" s="4" t="s">
        <v>75</v>
      </c>
      <c r="C145" s="47">
        <v>1694410.0</v>
      </c>
      <c r="D145" s="47">
        <v>58041.0</v>
      </c>
      <c r="E145" s="49"/>
      <c r="F145" s="47">
        <v>1173847.0</v>
      </c>
      <c r="G145" s="47">
        <v>15546.0</v>
      </c>
      <c r="H145" s="49"/>
      <c r="I145" s="47">
        <v>409089.0</v>
      </c>
      <c r="J145" s="47">
        <v>32147.0</v>
      </c>
      <c r="K145" s="49"/>
      <c r="L145" s="49">
        <f t="shared" ref="L145:M145" si="144">SUM(C145,F145,I145)</f>
        <v>3277346</v>
      </c>
      <c r="M145" s="49">
        <f t="shared" si="144"/>
        <v>105734</v>
      </c>
      <c r="N145" s="49"/>
      <c r="O145" s="2"/>
      <c r="P145" s="38">
        <f t="shared" si="3"/>
        <v>1752451</v>
      </c>
      <c r="Q145" s="38">
        <f t="shared" si="4"/>
        <v>1189393</v>
      </c>
      <c r="R145" s="38">
        <f t="shared" si="5"/>
        <v>441236</v>
      </c>
      <c r="S145" s="38">
        <f t="shared" si="6"/>
        <v>3383080</v>
      </c>
      <c r="T145" s="38"/>
      <c r="U145" s="95">
        <v>1408047.0</v>
      </c>
      <c r="V145" s="95">
        <v>852270.0</v>
      </c>
      <c r="W145" s="53">
        <f>R145</f>
        <v>441236</v>
      </c>
      <c r="X145" s="58">
        <f>SUM(U145:W145)</f>
        <v>2701553</v>
      </c>
      <c r="Y145" s="2"/>
      <c r="Z145" s="45"/>
      <c r="AA145" s="45"/>
      <c r="AB145" s="45"/>
      <c r="AC145" s="2"/>
      <c r="AD145" s="2"/>
      <c r="AE145" s="2"/>
      <c r="AF145" s="2"/>
      <c r="AG145" s="2"/>
      <c r="AH145" s="2"/>
      <c r="AI145" s="2"/>
      <c r="AJ145" s="2"/>
      <c r="AK145" s="2"/>
      <c r="AL145" s="2"/>
    </row>
    <row r="146" ht="12.0" customHeight="1">
      <c r="A146" s="40">
        <v>2005.0</v>
      </c>
      <c r="B146" s="4" t="s">
        <v>58</v>
      </c>
      <c r="C146" s="47">
        <v>1715896.0</v>
      </c>
      <c r="D146" s="47">
        <v>56785.0</v>
      </c>
      <c r="E146" s="49"/>
      <c r="F146" s="47">
        <v>1187299.0</v>
      </c>
      <c r="G146" s="47">
        <v>15126.0</v>
      </c>
      <c r="H146" s="49"/>
      <c r="I146" s="47">
        <v>398619.0</v>
      </c>
      <c r="J146" s="47">
        <v>32574.0</v>
      </c>
      <c r="K146" s="49"/>
      <c r="L146" s="49">
        <f t="shared" ref="L146:M146" si="145">SUM(C146,F146,I146)</f>
        <v>3301814</v>
      </c>
      <c r="M146" s="49">
        <f t="shared" si="145"/>
        <v>104485</v>
      </c>
      <c r="N146" s="49"/>
      <c r="O146" s="2"/>
      <c r="P146" s="38">
        <f t="shared" si="3"/>
        <v>1772681</v>
      </c>
      <c r="Q146" s="38">
        <f t="shared" si="4"/>
        <v>1202425</v>
      </c>
      <c r="R146" s="38">
        <f t="shared" si="5"/>
        <v>431193</v>
      </c>
      <c r="S146" s="38">
        <f t="shared" si="6"/>
        <v>3406299</v>
      </c>
      <c r="T146" s="38"/>
      <c r="U146" s="1"/>
      <c r="V146" s="1"/>
      <c r="W146" s="1"/>
      <c r="X146" s="16"/>
      <c r="Y146" s="2"/>
      <c r="Z146" s="45"/>
      <c r="AA146" s="45"/>
      <c r="AB146" s="45"/>
      <c r="AC146" s="2"/>
      <c r="AD146" s="2"/>
      <c r="AE146" s="2"/>
      <c r="AF146" s="2"/>
      <c r="AG146" s="2"/>
      <c r="AH146" s="2"/>
      <c r="AI146" s="2"/>
      <c r="AJ146" s="2"/>
      <c r="AK146" s="2"/>
      <c r="AL146" s="2"/>
    </row>
    <row r="147" ht="12.0" customHeight="1">
      <c r="A147" s="2"/>
      <c r="B147" s="4" t="s">
        <v>66</v>
      </c>
      <c r="C147" s="47">
        <v>1737381.0</v>
      </c>
      <c r="D147" s="47">
        <v>55529.0</v>
      </c>
      <c r="E147" s="49"/>
      <c r="F147" s="47">
        <v>1212816.0</v>
      </c>
      <c r="G147" s="47">
        <v>14834.0</v>
      </c>
      <c r="H147" s="49"/>
      <c r="I147" s="47">
        <v>388057.0</v>
      </c>
      <c r="J147" s="47">
        <v>32858.0</v>
      </c>
      <c r="K147" s="49"/>
      <c r="L147" s="49">
        <f t="shared" ref="L147:M147" si="146">SUM(C147,F147,I147)</f>
        <v>3338254</v>
      </c>
      <c r="M147" s="49">
        <f t="shared" si="146"/>
        <v>103221</v>
      </c>
      <c r="N147" s="49"/>
      <c r="O147" s="2"/>
      <c r="P147" s="38">
        <f t="shared" si="3"/>
        <v>1792910</v>
      </c>
      <c r="Q147" s="38">
        <f t="shared" si="4"/>
        <v>1227650</v>
      </c>
      <c r="R147" s="38">
        <f t="shared" si="5"/>
        <v>420915</v>
      </c>
      <c r="S147" s="38">
        <f t="shared" si="6"/>
        <v>3441475</v>
      </c>
      <c r="T147" s="38"/>
      <c r="U147" s="1"/>
      <c r="V147" s="1"/>
      <c r="W147" s="1"/>
      <c r="X147" s="16"/>
      <c r="Y147" s="2"/>
      <c r="Z147" s="45"/>
      <c r="AA147" s="45"/>
      <c r="AB147" s="45"/>
      <c r="AC147" s="2"/>
      <c r="AD147" s="2"/>
      <c r="AE147" s="2"/>
      <c r="AF147" s="2"/>
      <c r="AG147" s="2"/>
      <c r="AH147" s="2"/>
      <c r="AI147" s="2"/>
      <c r="AJ147" s="2"/>
      <c r="AK147" s="2"/>
      <c r="AL147" s="2"/>
    </row>
    <row r="148" ht="12.0" customHeight="1">
      <c r="A148" s="2"/>
      <c r="B148" s="4" t="s">
        <v>74</v>
      </c>
      <c r="C148" s="47">
        <v>1758867.0</v>
      </c>
      <c r="D148" s="47">
        <v>54273.0</v>
      </c>
      <c r="E148" s="49"/>
      <c r="F148" s="47">
        <v>1245050.0</v>
      </c>
      <c r="G148" s="47">
        <v>14588.0</v>
      </c>
      <c r="H148" s="49"/>
      <c r="I148" s="47">
        <v>378109.0</v>
      </c>
      <c r="J148" s="47">
        <v>33229.0</v>
      </c>
      <c r="K148" s="49"/>
      <c r="L148" s="49">
        <f t="shared" ref="L148:M148" si="147">SUM(C148,F148,I148)</f>
        <v>3382026</v>
      </c>
      <c r="M148" s="49">
        <f t="shared" si="147"/>
        <v>102090</v>
      </c>
      <c r="N148" s="49"/>
      <c r="O148" s="2"/>
      <c r="P148" s="38">
        <f t="shared" si="3"/>
        <v>1813140</v>
      </c>
      <c r="Q148" s="38">
        <f t="shared" si="4"/>
        <v>1259638</v>
      </c>
      <c r="R148" s="38">
        <f t="shared" si="5"/>
        <v>411338</v>
      </c>
      <c r="S148" s="38">
        <f t="shared" si="6"/>
        <v>3484116</v>
      </c>
      <c r="T148" s="38"/>
      <c r="U148" s="1"/>
      <c r="V148" s="1"/>
      <c r="W148" s="1"/>
      <c r="X148" s="16"/>
      <c r="Y148" s="2"/>
      <c r="Z148" s="45"/>
      <c r="AA148" s="45"/>
      <c r="AB148" s="45"/>
      <c r="AC148" s="2"/>
      <c r="AD148" s="2"/>
      <c r="AE148" s="2"/>
      <c r="AF148" s="2"/>
      <c r="AG148" s="2"/>
      <c r="AH148" s="2"/>
      <c r="AI148" s="2"/>
      <c r="AJ148" s="2"/>
      <c r="AK148" s="2"/>
      <c r="AL148" s="2"/>
    </row>
    <row r="149" ht="12.75" customHeight="1">
      <c r="A149" s="2"/>
      <c r="B149" s="4" t="s">
        <v>75</v>
      </c>
      <c r="C149" s="47">
        <v>1780352.0</v>
      </c>
      <c r="D149" s="47">
        <v>53017.0</v>
      </c>
      <c r="E149" s="49"/>
      <c r="F149" s="47">
        <v>1294521.0</v>
      </c>
      <c r="G149" s="47">
        <v>14503.0</v>
      </c>
      <c r="H149" s="49"/>
      <c r="I149" s="47">
        <v>371484.0</v>
      </c>
      <c r="J149" s="47">
        <v>33762.0</v>
      </c>
      <c r="K149" s="49"/>
      <c r="L149" s="49">
        <f t="shared" ref="L149:M149" si="148">SUM(C149,F149,I149)</f>
        <v>3446357</v>
      </c>
      <c r="M149" s="49">
        <f t="shared" si="148"/>
        <v>101282</v>
      </c>
      <c r="N149" s="49"/>
      <c r="O149" s="2"/>
      <c r="P149" s="38">
        <f t="shared" si="3"/>
        <v>1833369</v>
      </c>
      <c r="Q149" s="38">
        <f t="shared" si="4"/>
        <v>1309024</v>
      </c>
      <c r="R149" s="38">
        <f t="shared" si="5"/>
        <v>405246</v>
      </c>
      <c r="S149" s="38">
        <f t="shared" si="6"/>
        <v>3547639</v>
      </c>
      <c r="T149" s="38"/>
      <c r="U149" s="95">
        <v>1598918.0</v>
      </c>
      <c r="V149" s="95">
        <v>974200.0</v>
      </c>
      <c r="W149" s="53">
        <f>R149</f>
        <v>405246</v>
      </c>
      <c r="X149" s="58">
        <f>SUM(U149:W149)</f>
        <v>2978364</v>
      </c>
      <c r="Y149" s="2"/>
      <c r="Z149" s="45"/>
      <c r="AA149" s="45"/>
      <c r="AB149" s="45"/>
      <c r="AC149" s="2"/>
      <c r="AD149" s="2"/>
      <c r="AE149" s="2"/>
      <c r="AF149" s="2"/>
      <c r="AG149" s="2"/>
      <c r="AH149" s="2"/>
      <c r="AI149" s="2"/>
      <c r="AJ149" s="2"/>
      <c r="AK149" s="2"/>
      <c r="AL149" s="2"/>
    </row>
    <row r="150" ht="12.0" customHeight="1">
      <c r="A150" s="40">
        <v>2006.0</v>
      </c>
      <c r="B150" s="4" t="s">
        <v>58</v>
      </c>
      <c r="C150" s="47">
        <v>1818496.0</v>
      </c>
      <c r="D150" s="47">
        <v>50829.0</v>
      </c>
      <c r="E150" s="49"/>
      <c r="F150" s="47">
        <v>1340192.0</v>
      </c>
      <c r="G150" s="47">
        <v>13233.0</v>
      </c>
      <c r="H150" s="49"/>
      <c r="I150" s="47">
        <v>368757.0</v>
      </c>
      <c r="J150" s="47">
        <v>34413.0</v>
      </c>
      <c r="K150" s="49"/>
      <c r="L150" s="49">
        <f t="shared" ref="L150:M150" si="149">SUM(C150,F150,I150)</f>
        <v>3527445</v>
      </c>
      <c r="M150" s="49">
        <f t="shared" si="149"/>
        <v>98475</v>
      </c>
      <c r="N150" s="49"/>
      <c r="O150" s="2"/>
      <c r="P150" s="38">
        <f t="shared" si="3"/>
        <v>1869325</v>
      </c>
      <c r="Q150" s="38">
        <f t="shared" si="4"/>
        <v>1353425</v>
      </c>
      <c r="R150" s="38">
        <f t="shared" si="5"/>
        <v>403170</v>
      </c>
      <c r="S150" s="38">
        <f t="shared" si="6"/>
        <v>3625920</v>
      </c>
      <c r="T150" s="38"/>
      <c r="U150" s="1"/>
      <c r="V150" s="1"/>
      <c r="W150" s="1"/>
      <c r="X150" s="16"/>
      <c r="Y150" s="2"/>
      <c r="Z150" s="45"/>
      <c r="AA150" s="45"/>
      <c r="AB150" s="45"/>
      <c r="AC150" s="2"/>
      <c r="AD150" s="2"/>
      <c r="AE150" s="2"/>
      <c r="AF150" s="2"/>
      <c r="AG150" s="2"/>
      <c r="AH150" s="2"/>
      <c r="AI150" s="2"/>
      <c r="AJ150" s="2"/>
      <c r="AK150" s="2"/>
      <c r="AL150" s="2"/>
    </row>
    <row r="151" ht="12.0" customHeight="1">
      <c r="A151" s="2"/>
      <c r="B151" s="4" t="s">
        <v>66</v>
      </c>
      <c r="C151" s="47">
        <v>1856640.0</v>
      </c>
      <c r="D151" s="47">
        <v>48642.0</v>
      </c>
      <c r="E151" s="49"/>
      <c r="F151" s="47">
        <v>1367611.0</v>
      </c>
      <c r="G151" s="47">
        <v>11671.0</v>
      </c>
      <c r="H151" s="49"/>
      <c r="I151" s="47">
        <v>370469.0</v>
      </c>
      <c r="J151" s="47">
        <v>34966.0</v>
      </c>
      <c r="K151" s="49"/>
      <c r="L151" s="49">
        <f t="shared" ref="L151:M151" si="150">SUM(C151,F151,I151)</f>
        <v>3594720</v>
      </c>
      <c r="M151" s="49">
        <f t="shared" si="150"/>
        <v>95279</v>
      </c>
      <c r="N151" s="49"/>
      <c r="O151" s="2"/>
      <c r="P151" s="38">
        <f t="shared" si="3"/>
        <v>1905282</v>
      </c>
      <c r="Q151" s="38">
        <f t="shared" si="4"/>
        <v>1379282</v>
      </c>
      <c r="R151" s="38">
        <f t="shared" si="5"/>
        <v>405435</v>
      </c>
      <c r="S151" s="38">
        <f t="shared" si="6"/>
        <v>3689999</v>
      </c>
      <c r="T151" s="38"/>
      <c r="U151" s="1"/>
      <c r="V151" s="1"/>
      <c r="W151" s="1"/>
      <c r="X151" s="16"/>
      <c r="Y151" s="2"/>
      <c r="Z151" s="45"/>
      <c r="AA151" s="45"/>
      <c r="AB151" s="45"/>
      <c r="AC151" s="2"/>
      <c r="AD151" s="2"/>
      <c r="AE151" s="2"/>
      <c r="AF151" s="2"/>
      <c r="AG151" s="2"/>
      <c r="AH151" s="2"/>
      <c r="AI151" s="2"/>
      <c r="AJ151" s="2"/>
      <c r="AK151" s="2"/>
      <c r="AL151" s="2"/>
    </row>
    <row r="152" ht="12.0" customHeight="1">
      <c r="A152" s="2"/>
      <c r="B152" s="4" t="s">
        <v>74</v>
      </c>
      <c r="C152" s="47">
        <v>1894784.0</v>
      </c>
      <c r="D152" s="47">
        <v>46454.0</v>
      </c>
      <c r="E152" s="49"/>
      <c r="F152" s="47">
        <v>1404812.0</v>
      </c>
      <c r="G152" s="47">
        <v>10090.0</v>
      </c>
      <c r="H152" s="49"/>
      <c r="I152" s="47">
        <v>373981.0</v>
      </c>
      <c r="J152" s="47">
        <v>35497.0</v>
      </c>
      <c r="K152" s="49"/>
      <c r="L152" s="49">
        <f t="shared" ref="L152:M152" si="151">SUM(C152,F152,I152)</f>
        <v>3673577</v>
      </c>
      <c r="M152" s="49">
        <f t="shared" si="151"/>
        <v>92041</v>
      </c>
      <c r="N152" s="49"/>
      <c r="O152" s="2"/>
      <c r="P152" s="38">
        <f t="shared" si="3"/>
        <v>1941238</v>
      </c>
      <c r="Q152" s="38">
        <f t="shared" si="4"/>
        <v>1414902</v>
      </c>
      <c r="R152" s="38">
        <f t="shared" si="5"/>
        <v>409478</v>
      </c>
      <c r="S152" s="38">
        <f t="shared" si="6"/>
        <v>3765618</v>
      </c>
      <c r="T152" s="38"/>
      <c r="U152" s="1"/>
      <c r="V152" s="1"/>
      <c r="W152" s="1"/>
      <c r="X152" s="16"/>
      <c r="Y152" s="2"/>
      <c r="Z152" s="45"/>
      <c r="AA152" s="45"/>
      <c r="AB152" s="45"/>
      <c r="AC152" s="2"/>
      <c r="AD152" s="2"/>
      <c r="AE152" s="2"/>
      <c r="AF152" s="2"/>
      <c r="AG152" s="2"/>
      <c r="AH152" s="2"/>
      <c r="AI152" s="2"/>
      <c r="AJ152" s="2"/>
      <c r="AK152" s="2"/>
      <c r="AL152" s="2"/>
    </row>
    <row r="153" ht="12.75" customHeight="1">
      <c r="A153" s="2"/>
      <c r="B153" s="4" t="s">
        <v>75</v>
      </c>
      <c r="C153" s="47">
        <v>1932928.0</v>
      </c>
      <c r="D153" s="47">
        <v>44266.0</v>
      </c>
      <c r="E153" s="49"/>
      <c r="F153" s="47">
        <v>1442306.0</v>
      </c>
      <c r="G153" s="47">
        <v>8415.0</v>
      </c>
      <c r="H153" s="49"/>
      <c r="I153" s="47">
        <v>373886.0</v>
      </c>
      <c r="J153" s="47">
        <v>36135.0</v>
      </c>
      <c r="K153" s="49"/>
      <c r="L153" s="49">
        <f t="shared" ref="L153:M153" si="152">SUM(C153,F153,I153)</f>
        <v>3749120</v>
      </c>
      <c r="M153" s="49">
        <f t="shared" si="152"/>
        <v>88816</v>
      </c>
      <c r="N153" s="49"/>
      <c r="O153" s="2"/>
      <c r="P153" s="38">
        <f t="shared" si="3"/>
        <v>1977194</v>
      </c>
      <c r="Q153" s="38">
        <f t="shared" si="4"/>
        <v>1450721</v>
      </c>
      <c r="R153" s="38">
        <f t="shared" si="5"/>
        <v>410021</v>
      </c>
      <c r="S153" s="38">
        <f t="shared" si="6"/>
        <v>3837936</v>
      </c>
      <c r="T153" s="38"/>
      <c r="U153" s="95">
        <v>1777550.0</v>
      </c>
      <c r="V153" s="95">
        <v>1122761.0</v>
      </c>
      <c r="W153" s="53">
        <f>R153</f>
        <v>410021</v>
      </c>
      <c r="X153" s="58">
        <f>SUM(U153:W153)</f>
        <v>3310332</v>
      </c>
      <c r="Y153" s="2"/>
      <c r="Z153" s="45"/>
      <c r="AA153" s="45"/>
      <c r="AB153" s="45"/>
      <c r="AC153" s="2"/>
      <c r="AD153" s="2"/>
      <c r="AE153" s="2"/>
      <c r="AF153" s="2"/>
      <c r="AG153" s="2"/>
      <c r="AH153" s="2"/>
      <c r="AI153" s="2"/>
      <c r="AJ153" s="2"/>
      <c r="AK153" s="2"/>
      <c r="AL153" s="2"/>
    </row>
    <row r="154" ht="12.0" customHeight="1">
      <c r="A154" s="40">
        <v>2007.0</v>
      </c>
      <c r="B154" s="4" t="s">
        <v>58</v>
      </c>
      <c r="C154" s="47">
        <v>1986577.0</v>
      </c>
      <c r="D154" s="47">
        <v>42111.0</v>
      </c>
      <c r="E154" s="49"/>
      <c r="F154" s="47">
        <v>1502642.0</v>
      </c>
      <c r="G154" s="47">
        <v>8767.0</v>
      </c>
      <c r="H154" s="49"/>
      <c r="I154" s="47">
        <v>376802.0</v>
      </c>
      <c r="J154" s="47">
        <v>36157.0</v>
      </c>
      <c r="K154" s="49"/>
      <c r="L154" s="49">
        <f t="shared" ref="L154:M154" si="153">SUM(C154,F154,I154)</f>
        <v>3866021</v>
      </c>
      <c r="M154" s="49">
        <f t="shared" si="153"/>
        <v>87035</v>
      </c>
      <c r="N154" s="49"/>
      <c r="O154" s="2"/>
      <c r="P154" s="38">
        <f t="shared" si="3"/>
        <v>2028688</v>
      </c>
      <c r="Q154" s="38">
        <f t="shared" si="4"/>
        <v>1511409</v>
      </c>
      <c r="R154" s="38">
        <f t="shared" si="5"/>
        <v>412959</v>
      </c>
      <c r="S154" s="38">
        <f t="shared" si="6"/>
        <v>3953056</v>
      </c>
      <c r="T154" s="38"/>
      <c r="U154" s="1"/>
      <c r="V154" s="1"/>
      <c r="W154" s="1"/>
      <c r="X154" s="16"/>
      <c r="Y154" s="2"/>
      <c r="Z154" s="45"/>
      <c r="AA154" s="45"/>
      <c r="AB154" s="45"/>
      <c r="AC154" s="2"/>
      <c r="AD154" s="2"/>
      <c r="AE154" s="2"/>
      <c r="AF154" s="2"/>
      <c r="AG154" s="2"/>
      <c r="AH154" s="2"/>
      <c r="AI154" s="2"/>
      <c r="AJ154" s="2"/>
      <c r="AK154" s="2"/>
      <c r="AL154" s="2"/>
    </row>
    <row r="155" ht="12.0" customHeight="1">
      <c r="A155" s="2"/>
      <c r="B155" s="4" t="s">
        <v>66</v>
      </c>
      <c r="C155" s="47">
        <v>2047066.0</v>
      </c>
      <c r="D155" s="47">
        <v>40452.0</v>
      </c>
      <c r="E155" s="49"/>
      <c r="F155" s="47">
        <v>1559509.0</v>
      </c>
      <c r="G155" s="47">
        <v>9099.0</v>
      </c>
      <c r="H155" s="49"/>
      <c r="I155" s="47">
        <v>380808.0</v>
      </c>
      <c r="J155" s="47">
        <v>36211.0</v>
      </c>
      <c r="K155" s="49"/>
      <c r="L155" s="49">
        <f t="shared" ref="L155:M155" si="154">SUM(C155,F155,I155)</f>
        <v>3987383</v>
      </c>
      <c r="M155" s="49">
        <f t="shared" si="154"/>
        <v>85762</v>
      </c>
      <c r="N155" s="49"/>
      <c r="O155" s="2"/>
      <c r="P155" s="38">
        <f t="shared" si="3"/>
        <v>2087518</v>
      </c>
      <c r="Q155" s="38">
        <f t="shared" si="4"/>
        <v>1568608</v>
      </c>
      <c r="R155" s="38">
        <f t="shared" si="5"/>
        <v>417019</v>
      </c>
      <c r="S155" s="38">
        <f t="shared" si="6"/>
        <v>4073145</v>
      </c>
      <c r="T155" s="38"/>
      <c r="U155" s="1"/>
      <c r="V155" s="1"/>
      <c r="W155" s="1"/>
      <c r="X155" s="16"/>
      <c r="Y155" s="2"/>
      <c r="Z155" s="45"/>
      <c r="AA155" s="45"/>
      <c r="AB155" s="45"/>
      <c r="AC155" s="2"/>
      <c r="AD155" s="2"/>
      <c r="AE155" s="2"/>
      <c r="AF155" s="2"/>
      <c r="AG155" s="2"/>
      <c r="AH155" s="2"/>
      <c r="AI155" s="2"/>
      <c r="AJ155" s="2"/>
      <c r="AK155" s="2"/>
      <c r="AL155" s="2"/>
    </row>
    <row r="156" ht="12.0" customHeight="1">
      <c r="A156" s="2"/>
      <c r="B156" s="4" t="s">
        <v>74</v>
      </c>
      <c r="C156" s="47">
        <v>2139217.0</v>
      </c>
      <c r="D156" s="47">
        <v>39455.0</v>
      </c>
      <c r="E156" s="49"/>
      <c r="F156" s="47">
        <v>1632547.0</v>
      </c>
      <c r="G156" s="47">
        <v>9525.0</v>
      </c>
      <c r="H156" s="49"/>
      <c r="I156" s="47">
        <v>390328.0</v>
      </c>
      <c r="J156" s="47">
        <v>36926.0</v>
      </c>
      <c r="K156" s="49"/>
      <c r="L156" s="49">
        <f t="shared" ref="L156:M156" si="155">SUM(C156,F156,I156)</f>
        <v>4162092</v>
      </c>
      <c r="M156" s="49">
        <f t="shared" si="155"/>
        <v>85906</v>
      </c>
      <c r="N156" s="49"/>
      <c r="O156" s="2"/>
      <c r="P156" s="38">
        <f t="shared" si="3"/>
        <v>2178672</v>
      </c>
      <c r="Q156" s="38">
        <f t="shared" si="4"/>
        <v>1642072</v>
      </c>
      <c r="R156" s="38">
        <f t="shared" si="5"/>
        <v>427254</v>
      </c>
      <c r="S156" s="38">
        <f t="shared" si="6"/>
        <v>4247998</v>
      </c>
      <c r="T156" s="38"/>
      <c r="U156" s="1"/>
      <c r="V156" s="1"/>
      <c r="W156" s="1"/>
      <c r="X156" s="16"/>
      <c r="Y156" s="2"/>
      <c r="Z156" s="45"/>
      <c r="AA156" s="45"/>
      <c r="AB156" s="45"/>
      <c r="AC156" s="2"/>
      <c r="AD156" s="2"/>
      <c r="AE156" s="2"/>
      <c r="AF156" s="2"/>
      <c r="AG156" s="2"/>
      <c r="AH156" s="2"/>
      <c r="AI156" s="2"/>
      <c r="AJ156" s="2"/>
      <c r="AK156" s="2"/>
      <c r="AL156" s="2"/>
    </row>
    <row r="157" ht="12.0" customHeight="1">
      <c r="A157" s="2"/>
      <c r="B157" s="4" t="s">
        <v>75</v>
      </c>
      <c r="C157" s="47">
        <v>2259257.0</v>
      </c>
      <c r="D157" s="47">
        <v>39815.0</v>
      </c>
      <c r="E157" s="49"/>
      <c r="F157" s="47">
        <v>1706684.0</v>
      </c>
      <c r="G157" s="47">
        <v>10658.0</v>
      </c>
      <c r="H157" s="49"/>
      <c r="I157" s="47">
        <v>405818.0</v>
      </c>
      <c r="J157" s="47">
        <v>37643.0</v>
      </c>
      <c r="K157" s="49"/>
      <c r="L157" s="49">
        <f t="shared" ref="L157:M157" si="156">SUM(C157,F157,I157)</f>
        <v>4371759</v>
      </c>
      <c r="M157" s="49">
        <f t="shared" si="156"/>
        <v>88116</v>
      </c>
      <c r="N157" s="49"/>
      <c r="O157" s="2"/>
      <c r="P157" s="38">
        <f t="shared" si="3"/>
        <v>2299072</v>
      </c>
      <c r="Q157" s="38">
        <f t="shared" si="4"/>
        <v>1717342</v>
      </c>
      <c r="R157" s="38">
        <f t="shared" si="5"/>
        <v>443461</v>
      </c>
      <c r="S157" s="38">
        <f t="shared" si="6"/>
        <v>4459875</v>
      </c>
      <c r="T157" s="38"/>
      <c r="U157" s="106">
        <v>2118909.0</v>
      </c>
      <c r="V157" s="106">
        <v>1381863.0</v>
      </c>
      <c r="W157" s="38">
        <f t="shared" ref="W157:W181" si="158">R157</f>
        <v>443461</v>
      </c>
      <c r="X157" s="58">
        <f t="shared" ref="X157:X181" si="159">SUM(U157:W157)</f>
        <v>3944233</v>
      </c>
      <c r="Y157" s="2"/>
      <c r="Z157" s="45"/>
      <c r="AA157" s="45"/>
      <c r="AB157" s="45"/>
      <c r="AC157" s="2"/>
      <c r="AD157" s="2"/>
      <c r="AE157" s="2"/>
      <c r="AF157" s="2"/>
      <c r="AG157" s="2"/>
      <c r="AH157" s="2"/>
      <c r="AI157" s="2"/>
      <c r="AJ157" s="2"/>
      <c r="AK157" s="2"/>
      <c r="AL157" s="2"/>
    </row>
    <row r="158" ht="12.0" customHeight="1">
      <c r="A158" s="40">
        <v>2008.0</v>
      </c>
      <c r="B158" s="4" t="s">
        <v>58</v>
      </c>
      <c r="C158" s="47">
        <v>2336173.0</v>
      </c>
      <c r="D158" s="47">
        <v>38542.0</v>
      </c>
      <c r="E158" s="49"/>
      <c r="F158" s="47">
        <v>1750656.0</v>
      </c>
      <c r="G158" s="47">
        <v>10933.0</v>
      </c>
      <c r="H158" s="49"/>
      <c r="I158" s="47">
        <v>423122.0</v>
      </c>
      <c r="J158" s="47">
        <v>38359.0</v>
      </c>
      <c r="K158" s="49"/>
      <c r="L158" s="49">
        <f t="shared" ref="L158:M158" si="157">SUM(C158,F158,I158)</f>
        <v>4509951</v>
      </c>
      <c r="M158" s="49">
        <f t="shared" si="157"/>
        <v>87834</v>
      </c>
      <c r="N158" s="49"/>
      <c r="O158" s="2"/>
      <c r="P158" s="38">
        <f t="shared" si="3"/>
        <v>2374715</v>
      </c>
      <c r="Q158" s="38">
        <f t="shared" si="4"/>
        <v>1761589</v>
      </c>
      <c r="R158" s="38">
        <f t="shared" si="5"/>
        <v>461481</v>
      </c>
      <c r="S158" s="38">
        <f t="shared" si="6"/>
        <v>4597785</v>
      </c>
      <c r="T158" s="38"/>
      <c r="U158" s="106">
        <v>2200958.0</v>
      </c>
      <c r="V158" s="106">
        <v>1437227.0</v>
      </c>
      <c r="W158" s="38">
        <f t="shared" si="158"/>
        <v>461481</v>
      </c>
      <c r="X158" s="45">
        <f t="shared" si="159"/>
        <v>4099666</v>
      </c>
      <c r="Y158" s="2"/>
      <c r="Z158" s="45"/>
      <c r="AA158" s="45"/>
      <c r="AB158" s="45"/>
      <c r="AC158" s="2"/>
      <c r="AD158" s="2"/>
      <c r="AE158" s="2"/>
      <c r="AF158" s="2"/>
      <c r="AG158" s="2"/>
      <c r="AH158" s="2"/>
      <c r="AI158" s="2"/>
      <c r="AJ158" s="2"/>
      <c r="AK158" s="2"/>
      <c r="AL158" s="2"/>
    </row>
    <row r="159" ht="12.0" customHeight="1">
      <c r="A159" s="2"/>
      <c r="B159" s="4" t="s">
        <v>66</v>
      </c>
      <c r="C159" s="47">
        <v>2405251.0</v>
      </c>
      <c r="D159" s="47">
        <v>40152.0</v>
      </c>
      <c r="E159" s="49"/>
      <c r="F159" s="47">
        <v>1789144.0</v>
      </c>
      <c r="G159" s="47">
        <v>11173.0</v>
      </c>
      <c r="H159" s="49"/>
      <c r="I159" s="47">
        <v>471154.0</v>
      </c>
      <c r="J159" s="47">
        <v>39063.0</v>
      </c>
      <c r="K159" s="49"/>
      <c r="L159" s="49">
        <f t="shared" ref="L159:M159" si="160">SUM(C159,F159,I159)</f>
        <v>4665549</v>
      </c>
      <c r="M159" s="49">
        <f t="shared" si="160"/>
        <v>90388</v>
      </c>
      <c r="N159" s="49"/>
      <c r="O159" s="2"/>
      <c r="P159" s="38">
        <f t="shared" si="3"/>
        <v>2445403</v>
      </c>
      <c r="Q159" s="38">
        <f t="shared" si="4"/>
        <v>1800317</v>
      </c>
      <c r="R159" s="38">
        <f t="shared" si="5"/>
        <v>510217</v>
      </c>
      <c r="S159" s="38">
        <f t="shared" si="6"/>
        <v>4755937</v>
      </c>
      <c r="T159" s="38"/>
      <c r="U159" s="106">
        <v>2252282.0</v>
      </c>
      <c r="V159" s="106">
        <v>1409896.0</v>
      </c>
      <c r="W159" s="38">
        <f t="shared" si="158"/>
        <v>510217</v>
      </c>
      <c r="X159" s="45">
        <f t="shared" si="159"/>
        <v>4172395</v>
      </c>
      <c r="Y159" s="2"/>
      <c r="Z159" s="45"/>
      <c r="AA159" s="45"/>
      <c r="AB159" s="45"/>
      <c r="AC159" s="2"/>
      <c r="AD159" s="2"/>
      <c r="AE159" s="2"/>
      <c r="AF159" s="2"/>
      <c r="AG159" s="2"/>
      <c r="AH159" s="2"/>
      <c r="AI159" s="2"/>
      <c r="AJ159" s="2"/>
      <c r="AK159" s="2"/>
      <c r="AL159" s="2"/>
    </row>
    <row r="160" ht="12.0" customHeight="1">
      <c r="A160" s="2"/>
      <c r="B160" s="4" t="s">
        <v>74</v>
      </c>
      <c r="C160" s="47">
        <v>2461427.0</v>
      </c>
      <c r="D160" s="47">
        <v>39828.0</v>
      </c>
      <c r="E160" s="49"/>
      <c r="F160" s="47">
        <v>1798681.0</v>
      </c>
      <c r="G160" s="47">
        <v>11233.0</v>
      </c>
      <c r="H160" s="49"/>
      <c r="I160" s="47">
        <v>539384.0</v>
      </c>
      <c r="J160" s="47">
        <v>37377.0</v>
      </c>
      <c r="K160" s="49"/>
      <c r="L160" s="49">
        <f t="shared" ref="L160:M160" si="161">SUM(C160,F160,I160)</f>
        <v>4799492</v>
      </c>
      <c r="M160" s="49">
        <f t="shared" si="161"/>
        <v>88438</v>
      </c>
      <c r="N160" s="49"/>
      <c r="O160" s="2"/>
      <c r="P160" s="38">
        <f t="shared" si="3"/>
        <v>2501255</v>
      </c>
      <c r="Q160" s="38">
        <f t="shared" si="4"/>
        <v>1809914</v>
      </c>
      <c r="R160" s="38">
        <f t="shared" si="5"/>
        <v>576761</v>
      </c>
      <c r="S160" s="38">
        <f t="shared" si="6"/>
        <v>4887930</v>
      </c>
      <c r="T160" s="38"/>
      <c r="U160" s="106">
        <v>2278170.0</v>
      </c>
      <c r="V160" s="106">
        <v>1459462.0</v>
      </c>
      <c r="W160" s="38">
        <f t="shared" si="158"/>
        <v>576761</v>
      </c>
      <c r="X160" s="45">
        <f t="shared" si="159"/>
        <v>4314393</v>
      </c>
      <c r="Y160" s="2"/>
      <c r="Z160" s="45"/>
      <c r="AA160" s="45"/>
      <c r="AB160" s="45"/>
      <c r="AC160" s="2"/>
      <c r="AD160" s="2"/>
      <c r="AE160" s="2"/>
      <c r="AF160" s="2"/>
      <c r="AG160" s="2"/>
      <c r="AH160" s="2"/>
      <c r="AI160" s="2"/>
      <c r="AJ160" s="2"/>
      <c r="AK160" s="2"/>
      <c r="AL160" s="2"/>
    </row>
    <row r="161" ht="12.0" customHeight="1">
      <c r="A161" s="2"/>
      <c r="B161" s="4" t="s">
        <v>75</v>
      </c>
      <c r="C161" s="47">
        <v>2479878.0</v>
      </c>
      <c r="D161" s="47">
        <v>38530.0</v>
      </c>
      <c r="E161" s="49"/>
      <c r="F161" s="47">
        <v>1786906.0</v>
      </c>
      <c r="G161" s="47">
        <v>14829.0</v>
      </c>
      <c r="H161" s="49"/>
      <c r="I161" s="47">
        <v>597206.0</v>
      </c>
      <c r="J161" s="47">
        <v>39406.0</v>
      </c>
      <c r="K161" s="49"/>
      <c r="L161" s="49">
        <f t="shared" ref="L161:M161" si="162">SUM(C161,F161,I161)</f>
        <v>4863990</v>
      </c>
      <c r="M161" s="49">
        <f t="shared" si="162"/>
        <v>92765</v>
      </c>
      <c r="N161" s="49"/>
      <c r="O161" s="2"/>
      <c r="P161" s="38">
        <f t="shared" si="3"/>
        <v>2518408</v>
      </c>
      <c r="Q161" s="38">
        <f t="shared" si="4"/>
        <v>1801735</v>
      </c>
      <c r="R161" s="38">
        <f t="shared" si="5"/>
        <v>636612</v>
      </c>
      <c r="S161" s="38">
        <f t="shared" si="6"/>
        <v>4956755</v>
      </c>
      <c r="T161" s="38"/>
      <c r="U161" s="106">
        <v>2289459.0</v>
      </c>
      <c r="V161" s="106">
        <v>1402714.0</v>
      </c>
      <c r="W161" s="38">
        <f t="shared" si="158"/>
        <v>636612</v>
      </c>
      <c r="X161" s="45">
        <f t="shared" si="159"/>
        <v>4328785</v>
      </c>
      <c r="Y161" s="2"/>
      <c r="Z161" s="45"/>
      <c r="AA161" s="45"/>
      <c r="AB161" s="45"/>
      <c r="AC161" s="2"/>
      <c r="AD161" s="2"/>
      <c r="AE161" s="2"/>
      <c r="AF161" s="2"/>
      <c r="AG161" s="2"/>
      <c r="AH161" s="2"/>
      <c r="AI161" s="2"/>
      <c r="AJ161" s="2"/>
      <c r="AK161" s="2"/>
      <c r="AL161" s="2"/>
    </row>
    <row r="162" ht="12.0" customHeight="1">
      <c r="A162" s="40">
        <v>2009.0</v>
      </c>
      <c r="B162" s="4" t="s">
        <v>58</v>
      </c>
      <c r="C162" s="47">
        <v>2510043.0</v>
      </c>
      <c r="D162" s="47">
        <v>39000.0</v>
      </c>
      <c r="E162" s="49"/>
      <c r="F162" s="47">
        <v>1793951.0</v>
      </c>
      <c r="G162" s="47">
        <v>14887.0</v>
      </c>
      <c r="H162" s="49"/>
      <c r="I162" s="47">
        <v>639540.0</v>
      </c>
      <c r="J162" s="47">
        <v>39931.0</v>
      </c>
      <c r="K162" s="49"/>
      <c r="L162" s="49">
        <f t="shared" ref="L162:M162" si="163">SUM(C162,F162,I162)</f>
        <v>4943534</v>
      </c>
      <c r="M162" s="49">
        <f t="shared" si="163"/>
        <v>93818</v>
      </c>
      <c r="N162" s="49"/>
      <c r="O162" s="2"/>
      <c r="P162" s="38">
        <f t="shared" si="3"/>
        <v>2549043</v>
      </c>
      <c r="Q162" s="38">
        <f t="shared" si="4"/>
        <v>1808838</v>
      </c>
      <c r="R162" s="38">
        <f t="shared" si="5"/>
        <v>679471</v>
      </c>
      <c r="S162" s="38">
        <f t="shared" si="6"/>
        <v>5037352</v>
      </c>
      <c r="T162" s="38"/>
      <c r="U162" s="106">
        <v>2326019.0</v>
      </c>
      <c r="V162" s="106">
        <v>1379399.0</v>
      </c>
      <c r="W162" s="38">
        <f t="shared" si="158"/>
        <v>679471</v>
      </c>
      <c r="X162" s="45">
        <f t="shared" si="159"/>
        <v>4384889</v>
      </c>
      <c r="Y162" s="2"/>
      <c r="Z162" s="45"/>
      <c r="AA162" s="45"/>
      <c r="AB162" s="45"/>
      <c r="AC162" s="2"/>
      <c r="AD162" s="2"/>
      <c r="AE162" s="2"/>
      <c r="AF162" s="2"/>
      <c r="AG162" s="2"/>
      <c r="AH162" s="2"/>
      <c r="AI162" s="2"/>
      <c r="AJ162" s="2"/>
      <c r="AK162" s="2"/>
      <c r="AL162" s="2"/>
    </row>
    <row r="163" ht="12.0" customHeight="1">
      <c r="A163" s="2"/>
      <c r="B163" s="4" t="s">
        <v>66</v>
      </c>
      <c r="C163" s="47">
        <v>2559714.0</v>
      </c>
      <c r="D163" s="47">
        <v>41551.0</v>
      </c>
      <c r="E163" s="49"/>
      <c r="F163" s="47">
        <v>1809640.0</v>
      </c>
      <c r="G163" s="47">
        <v>15018.0</v>
      </c>
      <c r="H163" s="49"/>
      <c r="I163" s="47">
        <v>699277.0</v>
      </c>
      <c r="J163" s="47">
        <v>40978.0</v>
      </c>
      <c r="K163" s="49"/>
      <c r="L163" s="49">
        <f t="shared" ref="L163:M163" si="164">SUM(C163,F163,I163)</f>
        <v>5068631</v>
      </c>
      <c r="M163" s="49">
        <f t="shared" si="164"/>
        <v>97547</v>
      </c>
      <c r="N163" s="49"/>
      <c r="O163" s="2"/>
      <c r="P163" s="38">
        <f t="shared" si="3"/>
        <v>2601265</v>
      </c>
      <c r="Q163" s="38">
        <f t="shared" si="4"/>
        <v>1824658</v>
      </c>
      <c r="R163" s="38">
        <f t="shared" si="5"/>
        <v>740255</v>
      </c>
      <c r="S163" s="38">
        <f t="shared" si="6"/>
        <v>5166178</v>
      </c>
      <c r="T163" s="38"/>
      <c r="U163" s="106">
        <v>2366633.0</v>
      </c>
      <c r="V163" s="106">
        <v>1410646.0</v>
      </c>
      <c r="W163" s="38">
        <f t="shared" si="158"/>
        <v>740255</v>
      </c>
      <c r="X163" s="45">
        <f t="shared" si="159"/>
        <v>4517534</v>
      </c>
      <c r="Y163" s="2"/>
      <c r="Z163" s="45"/>
      <c r="AA163" s="45"/>
      <c r="AB163" s="45"/>
      <c r="AC163" s="2"/>
      <c r="AD163" s="2"/>
      <c r="AE163" s="2"/>
      <c r="AF163" s="2"/>
      <c r="AG163" s="2"/>
      <c r="AH163" s="2"/>
      <c r="AI163" s="2"/>
      <c r="AJ163" s="2"/>
      <c r="AK163" s="2"/>
      <c r="AL163" s="2"/>
    </row>
    <row r="164" ht="12.0" customHeight="1">
      <c r="A164" s="2"/>
      <c r="B164" s="4" t="s">
        <v>74</v>
      </c>
      <c r="C164" s="47">
        <v>2587923.0</v>
      </c>
      <c r="D164" s="47">
        <v>44039.0</v>
      </c>
      <c r="E164" s="49"/>
      <c r="F164" s="47">
        <v>1819962.0</v>
      </c>
      <c r="G164" s="47">
        <v>15103.0</v>
      </c>
      <c r="H164" s="49"/>
      <c r="I164" s="47">
        <v>784254.0</v>
      </c>
      <c r="J164" s="47">
        <v>41763.0</v>
      </c>
      <c r="K164" s="49"/>
      <c r="L164" s="49">
        <f t="shared" ref="L164:M164" si="165">SUM(C164,F164,I164)</f>
        <v>5192139</v>
      </c>
      <c r="M164" s="49">
        <f t="shared" si="165"/>
        <v>100905</v>
      </c>
      <c r="N164" s="49"/>
      <c r="O164" s="2"/>
      <c r="P164" s="38">
        <f t="shared" si="3"/>
        <v>2631962</v>
      </c>
      <c r="Q164" s="38">
        <f t="shared" si="4"/>
        <v>1835065</v>
      </c>
      <c r="R164" s="38">
        <f t="shared" si="5"/>
        <v>826017</v>
      </c>
      <c r="S164" s="38">
        <f t="shared" si="6"/>
        <v>5293044</v>
      </c>
      <c r="T164" s="38"/>
      <c r="U164" s="106">
        <v>2416391.0</v>
      </c>
      <c r="V164" s="106">
        <v>1458531.0</v>
      </c>
      <c r="W164" s="38">
        <f t="shared" si="158"/>
        <v>826017</v>
      </c>
      <c r="X164" s="45">
        <f t="shared" si="159"/>
        <v>4700939</v>
      </c>
      <c r="Y164" s="2"/>
      <c r="Z164" s="45"/>
      <c r="AA164" s="45"/>
      <c r="AB164" s="45"/>
      <c r="AC164" s="2"/>
      <c r="AD164" s="2"/>
      <c r="AE164" s="2"/>
      <c r="AF164" s="2"/>
      <c r="AG164" s="2"/>
      <c r="AH164" s="2"/>
      <c r="AI164" s="2"/>
      <c r="AJ164" s="2"/>
      <c r="AK164" s="2"/>
      <c r="AL164" s="2"/>
    </row>
    <row r="165" ht="12.0" customHeight="1">
      <c r="A165" s="2"/>
      <c r="B165" s="4" t="s">
        <v>75</v>
      </c>
      <c r="C165" s="47">
        <v>2605083.0</v>
      </c>
      <c r="D165" s="47">
        <v>47951.0</v>
      </c>
      <c r="E165" s="49"/>
      <c r="F165" s="47">
        <v>1824656.0</v>
      </c>
      <c r="G165" s="47">
        <v>14263.0</v>
      </c>
      <c r="H165" s="49"/>
      <c r="I165" s="47">
        <v>836761.0</v>
      </c>
      <c r="J165" s="47">
        <v>43509.0</v>
      </c>
      <c r="K165" s="49"/>
      <c r="L165" s="49">
        <f t="shared" ref="L165:M165" si="166">SUM(C165,F165,I165)</f>
        <v>5266500</v>
      </c>
      <c r="M165" s="49">
        <f t="shared" si="166"/>
        <v>105723</v>
      </c>
      <c r="N165" s="49"/>
      <c r="O165" s="2"/>
      <c r="P165" s="38">
        <f t="shared" si="3"/>
        <v>2653034</v>
      </c>
      <c r="Q165" s="38">
        <f t="shared" si="4"/>
        <v>1838919</v>
      </c>
      <c r="R165" s="38">
        <f t="shared" si="5"/>
        <v>880270</v>
      </c>
      <c r="S165" s="38">
        <f t="shared" si="6"/>
        <v>5372223</v>
      </c>
      <c r="T165" s="38"/>
      <c r="U165" s="106">
        <v>2432789.0</v>
      </c>
      <c r="V165" s="106">
        <v>1495267.0</v>
      </c>
      <c r="W165" s="38">
        <f t="shared" si="158"/>
        <v>880270</v>
      </c>
      <c r="X165" s="45">
        <f t="shared" si="159"/>
        <v>4808326</v>
      </c>
      <c r="Y165" s="2"/>
      <c r="Z165" s="45"/>
      <c r="AA165" s="45"/>
      <c r="AB165" s="45"/>
      <c r="AC165" s="2"/>
      <c r="AD165" s="2"/>
      <c r="AE165" s="2"/>
      <c r="AF165" s="2"/>
      <c r="AG165" s="2"/>
      <c r="AH165" s="2"/>
      <c r="AI165" s="2"/>
      <c r="AJ165" s="2"/>
      <c r="AK165" s="2"/>
      <c r="AL165" s="2"/>
    </row>
    <row r="166" ht="12.0" customHeight="1">
      <c r="A166" s="40">
        <v>2010.0</v>
      </c>
      <c r="B166" s="4" t="s">
        <v>58</v>
      </c>
      <c r="C166" s="47">
        <v>2683571.0</v>
      </c>
      <c r="D166" s="47">
        <v>58900.0</v>
      </c>
      <c r="E166" s="49"/>
      <c r="F166" s="47">
        <v>1785646.0</v>
      </c>
      <c r="G166" s="47">
        <v>20328.0</v>
      </c>
      <c r="H166" s="49"/>
      <c r="I166" s="47">
        <v>888051.0</v>
      </c>
      <c r="J166" s="47">
        <v>44915.0</v>
      </c>
      <c r="K166" s="49"/>
      <c r="L166" s="49">
        <f t="shared" ref="L166:M166" si="167">SUM(C166,F166,I166)</f>
        <v>5357268</v>
      </c>
      <c r="M166" s="49">
        <f t="shared" si="167"/>
        <v>124143</v>
      </c>
      <c r="N166" s="49"/>
      <c r="O166" s="2"/>
      <c r="P166" s="38">
        <f t="shared" si="3"/>
        <v>2742471</v>
      </c>
      <c r="Q166" s="38">
        <f t="shared" si="4"/>
        <v>1805974</v>
      </c>
      <c r="R166" s="38">
        <f t="shared" si="5"/>
        <v>932966</v>
      </c>
      <c r="S166" s="38">
        <f t="shared" si="6"/>
        <v>5481411</v>
      </c>
      <c r="T166" s="38"/>
      <c r="U166" s="106">
        <v>2468361.0</v>
      </c>
      <c r="V166" s="106">
        <v>1472333.0</v>
      </c>
      <c r="W166" s="38">
        <f t="shared" si="158"/>
        <v>932966</v>
      </c>
      <c r="X166" s="45">
        <f t="shared" si="159"/>
        <v>4873660</v>
      </c>
      <c r="Y166" s="2"/>
      <c r="Z166" s="45"/>
      <c r="AA166" s="45"/>
      <c r="AB166" s="45"/>
      <c r="AC166" s="2"/>
      <c r="AD166" s="2"/>
      <c r="AE166" s="2"/>
      <c r="AF166" s="2"/>
      <c r="AG166" s="2"/>
      <c r="AH166" s="2"/>
      <c r="AI166" s="2"/>
      <c r="AJ166" s="2"/>
      <c r="AK166" s="2"/>
      <c r="AL166" s="2"/>
    </row>
    <row r="167" ht="12.0" customHeight="1">
      <c r="A167" s="2"/>
      <c r="B167" s="4" t="s">
        <v>66</v>
      </c>
      <c r="C167" s="47">
        <v>2591431.0</v>
      </c>
      <c r="D167" s="47">
        <v>61972.0</v>
      </c>
      <c r="E167" s="49"/>
      <c r="F167" s="47">
        <v>1764927.0</v>
      </c>
      <c r="G167" s="47">
        <v>22407.0</v>
      </c>
      <c r="H167" s="49"/>
      <c r="I167" s="47">
        <v>949829.0</v>
      </c>
      <c r="J167" s="47">
        <v>46973.0</v>
      </c>
      <c r="K167" s="49"/>
      <c r="L167" s="49">
        <f t="shared" ref="L167:M167" si="168">SUM(C167,F167,I167)</f>
        <v>5306187</v>
      </c>
      <c r="M167" s="49">
        <f t="shared" si="168"/>
        <v>131352</v>
      </c>
      <c r="N167" s="49"/>
      <c r="O167" s="2"/>
      <c r="P167" s="38">
        <f t="shared" si="3"/>
        <v>2653403</v>
      </c>
      <c r="Q167" s="38">
        <f t="shared" si="4"/>
        <v>1787334</v>
      </c>
      <c r="R167" s="38">
        <f t="shared" si="5"/>
        <v>996802</v>
      </c>
      <c r="S167" s="38">
        <f t="shared" si="6"/>
        <v>5437539</v>
      </c>
      <c r="T167" s="38"/>
      <c r="U167" s="106">
        <v>2371258.0</v>
      </c>
      <c r="V167" s="106">
        <v>1482365.0</v>
      </c>
      <c r="W167" s="38">
        <f t="shared" si="158"/>
        <v>996802</v>
      </c>
      <c r="X167" s="45">
        <f t="shared" si="159"/>
        <v>4850425</v>
      </c>
      <c r="Y167" s="2"/>
      <c r="Z167" s="45"/>
      <c r="AA167" s="45"/>
      <c r="AB167" s="45"/>
      <c r="AC167" s="2"/>
      <c r="AD167" s="2"/>
      <c r="AE167" s="2"/>
      <c r="AF167" s="2"/>
      <c r="AG167" s="2"/>
      <c r="AH167" s="2"/>
      <c r="AI167" s="2"/>
      <c r="AJ167" s="2"/>
      <c r="AK167" s="2"/>
      <c r="AL167" s="2"/>
    </row>
    <row r="168" ht="12.0" customHeight="1">
      <c r="A168" s="2"/>
      <c r="B168" s="4" t="s">
        <v>74</v>
      </c>
      <c r="C168" s="47">
        <v>2577901.0</v>
      </c>
      <c r="D168" s="47">
        <v>64919.0</v>
      </c>
      <c r="E168" s="49"/>
      <c r="F168" s="47">
        <v>1740573.0</v>
      </c>
      <c r="G168" s="47">
        <v>23123.0</v>
      </c>
      <c r="H168" s="49"/>
      <c r="I168" s="47">
        <v>996463.0</v>
      </c>
      <c r="J168" s="47">
        <v>49716.0</v>
      </c>
      <c r="K168" s="49"/>
      <c r="L168" s="49">
        <f t="shared" ref="L168:M168" si="169">SUM(C168,F168,I168)</f>
        <v>5314937</v>
      </c>
      <c r="M168" s="49">
        <f t="shared" si="169"/>
        <v>137758</v>
      </c>
      <c r="N168" s="49"/>
      <c r="O168" s="2"/>
      <c r="P168" s="38">
        <f t="shared" si="3"/>
        <v>2642820</v>
      </c>
      <c r="Q168" s="38">
        <f t="shared" si="4"/>
        <v>1763696</v>
      </c>
      <c r="R168" s="38">
        <f t="shared" si="5"/>
        <v>1046179</v>
      </c>
      <c r="S168" s="38">
        <f t="shared" si="6"/>
        <v>5452695</v>
      </c>
      <c r="T168" s="38"/>
      <c r="U168" s="106">
        <v>2374593.0</v>
      </c>
      <c r="V168" s="106">
        <v>1481831.0</v>
      </c>
      <c r="W168" s="38">
        <f t="shared" si="158"/>
        <v>1046179</v>
      </c>
      <c r="X168" s="45">
        <f t="shared" si="159"/>
        <v>4902603</v>
      </c>
      <c r="Y168" s="2"/>
      <c r="Z168" s="45"/>
      <c r="AA168" s="45"/>
      <c r="AB168" s="45"/>
      <c r="AC168" s="2"/>
      <c r="AD168" s="2"/>
      <c r="AE168" s="2"/>
      <c r="AF168" s="2"/>
      <c r="AG168" s="2"/>
      <c r="AH168" s="2"/>
      <c r="AI168" s="2"/>
      <c r="AJ168" s="2"/>
      <c r="AK168" s="2"/>
      <c r="AL168" s="2"/>
    </row>
    <row r="169" ht="12.0" customHeight="1">
      <c r="A169" s="2"/>
      <c r="B169" s="4" t="s">
        <v>75</v>
      </c>
      <c r="C169" s="47">
        <v>2582791.0</v>
      </c>
      <c r="D169" s="47">
        <v>77251.0</v>
      </c>
      <c r="E169" s="49"/>
      <c r="F169" s="47">
        <v>1707539.0</v>
      </c>
      <c r="G169" s="47">
        <v>24049.0</v>
      </c>
      <c r="H169" s="49"/>
      <c r="I169" s="47">
        <v>1037538.0</v>
      </c>
      <c r="J169" s="47">
        <v>52223.0</v>
      </c>
      <c r="K169" s="49"/>
      <c r="L169" s="49">
        <f t="shared" ref="L169:M169" si="170">SUM(C169,F169,I169)</f>
        <v>5327868</v>
      </c>
      <c r="M169" s="49">
        <f t="shared" si="170"/>
        <v>153523</v>
      </c>
      <c r="N169" s="49"/>
      <c r="O169" s="2"/>
      <c r="P169" s="38">
        <f t="shared" si="3"/>
        <v>2660042</v>
      </c>
      <c r="Q169" s="38">
        <f t="shared" si="4"/>
        <v>1731588</v>
      </c>
      <c r="R169" s="38">
        <f t="shared" si="5"/>
        <v>1089761</v>
      </c>
      <c r="S169" s="38">
        <f t="shared" si="6"/>
        <v>5481391</v>
      </c>
      <c r="T169" s="38"/>
      <c r="U169" s="106">
        <v>2399577.0</v>
      </c>
      <c r="V169" s="106">
        <v>1467985.0</v>
      </c>
      <c r="W169" s="38">
        <f t="shared" si="158"/>
        <v>1089761</v>
      </c>
      <c r="X169" s="45">
        <f t="shared" si="159"/>
        <v>4957323</v>
      </c>
      <c r="Y169" s="2"/>
      <c r="Z169" s="107">
        <v>35664.0</v>
      </c>
      <c r="AA169" s="107">
        <v>18670.0</v>
      </c>
      <c r="AB169" s="45">
        <f t="shared" ref="AB169:AB181" si="172">SUM(Z169:AA169)</f>
        <v>54334</v>
      </c>
      <c r="AC169" s="2"/>
      <c r="AD169" s="2"/>
      <c r="AE169" s="2"/>
      <c r="AF169" s="2"/>
      <c r="AG169" s="2"/>
      <c r="AH169" s="2"/>
      <c r="AI169" s="2"/>
      <c r="AJ169" s="2"/>
      <c r="AK169" s="2"/>
      <c r="AL169" s="2"/>
    </row>
    <row r="170" ht="12.0" customHeight="1">
      <c r="A170" s="40">
        <v>2011.0</v>
      </c>
      <c r="B170" s="4" t="s">
        <v>58</v>
      </c>
      <c r="C170" s="47">
        <v>2587552.0</v>
      </c>
      <c r="D170" s="47">
        <v>83145.0</v>
      </c>
      <c r="E170" s="49"/>
      <c r="F170" s="47">
        <v>1683155.0</v>
      </c>
      <c r="G170" s="47">
        <v>26759.0</v>
      </c>
      <c r="H170" s="49"/>
      <c r="I170" s="47">
        <v>1081813.0</v>
      </c>
      <c r="J170" s="47">
        <v>53784.0</v>
      </c>
      <c r="K170" s="49"/>
      <c r="L170" s="49">
        <f t="shared" ref="L170:M170" si="171">SUM(C170,F170,I170)</f>
        <v>5352520</v>
      </c>
      <c r="M170" s="49">
        <f t="shared" si="171"/>
        <v>163688</v>
      </c>
      <c r="N170" s="49"/>
      <c r="O170" s="2"/>
      <c r="P170" s="38">
        <f t="shared" si="3"/>
        <v>2670697</v>
      </c>
      <c r="Q170" s="38">
        <f t="shared" si="4"/>
        <v>1709914</v>
      </c>
      <c r="R170" s="38">
        <f t="shared" si="5"/>
        <v>1135597</v>
      </c>
      <c r="S170" s="38">
        <f t="shared" si="6"/>
        <v>5516208</v>
      </c>
      <c r="T170" s="38"/>
      <c r="U170" s="106">
        <v>2432146.0</v>
      </c>
      <c r="V170" s="106">
        <v>1451434.0</v>
      </c>
      <c r="W170" s="38">
        <f t="shared" si="158"/>
        <v>1135597</v>
      </c>
      <c r="X170" s="45">
        <f t="shared" si="159"/>
        <v>5019177</v>
      </c>
      <c r="Y170" s="2"/>
      <c r="Z170" s="107">
        <v>36102.0</v>
      </c>
      <c r="AA170" s="107">
        <v>19937.0</v>
      </c>
      <c r="AB170" s="45">
        <f t="shared" si="172"/>
        <v>56039</v>
      </c>
      <c r="AC170" s="2"/>
      <c r="AD170" s="2"/>
      <c r="AE170" s="2"/>
      <c r="AF170" s="2"/>
      <c r="AG170" s="2"/>
      <c r="AH170" s="2"/>
      <c r="AI170" s="2"/>
      <c r="AJ170" s="2"/>
      <c r="AK170" s="2"/>
      <c r="AL170" s="2"/>
    </row>
    <row r="171" ht="12.0" customHeight="1">
      <c r="A171" s="2"/>
      <c r="B171" s="4" t="s">
        <v>66</v>
      </c>
      <c r="C171" s="47">
        <v>2575096.0</v>
      </c>
      <c r="D171" s="47">
        <v>89098.0</v>
      </c>
      <c r="E171" s="49"/>
      <c r="F171" s="47">
        <v>1672004.0</v>
      </c>
      <c r="G171" s="47">
        <v>30390.0</v>
      </c>
      <c r="H171" s="49"/>
      <c r="I171" s="47">
        <v>1124607.0</v>
      </c>
      <c r="J171" s="47">
        <v>55991.0</v>
      </c>
      <c r="K171" s="49"/>
      <c r="L171" s="49">
        <f t="shared" ref="L171:M171" si="173">SUM(C171,F171,I171)</f>
        <v>5371707</v>
      </c>
      <c r="M171" s="49">
        <f t="shared" si="173"/>
        <v>175479</v>
      </c>
      <c r="N171" s="49"/>
      <c r="O171" s="2"/>
      <c r="P171" s="38">
        <f t="shared" si="3"/>
        <v>2664194</v>
      </c>
      <c r="Q171" s="38">
        <f t="shared" si="4"/>
        <v>1702394</v>
      </c>
      <c r="R171" s="38">
        <f t="shared" si="5"/>
        <v>1180598</v>
      </c>
      <c r="S171" s="38">
        <f t="shared" si="6"/>
        <v>5547186</v>
      </c>
      <c r="T171" s="38"/>
      <c r="U171" s="106">
        <v>2432685.0</v>
      </c>
      <c r="V171" s="106">
        <v>1443626.0</v>
      </c>
      <c r="W171" s="38">
        <f t="shared" si="158"/>
        <v>1180598</v>
      </c>
      <c r="X171" s="45">
        <f t="shared" si="159"/>
        <v>5056909</v>
      </c>
      <c r="Y171" s="2"/>
      <c r="Z171" s="107">
        <v>36922.0</v>
      </c>
      <c r="AA171" s="107">
        <v>20409.0</v>
      </c>
      <c r="AB171" s="45">
        <f t="shared" si="172"/>
        <v>57331</v>
      </c>
      <c r="AC171" s="2"/>
      <c r="AD171" s="2"/>
      <c r="AE171" s="2"/>
      <c r="AF171" s="2"/>
      <c r="AG171" s="2"/>
      <c r="AH171" s="2"/>
      <c r="AI171" s="2"/>
      <c r="AJ171" s="2"/>
      <c r="AK171" s="2"/>
      <c r="AL171" s="2"/>
    </row>
    <row r="172" ht="12.0" customHeight="1">
      <c r="A172" s="2"/>
      <c r="B172" s="4" t="s">
        <v>74</v>
      </c>
      <c r="C172" s="47">
        <v>2556235.0</v>
      </c>
      <c r="D172" s="47">
        <v>94398.0</v>
      </c>
      <c r="E172" s="49"/>
      <c r="F172" s="47">
        <v>1656879.0</v>
      </c>
      <c r="G172" s="47">
        <v>32212.0</v>
      </c>
      <c r="H172" s="49"/>
      <c r="I172" s="47">
        <v>1163646.0</v>
      </c>
      <c r="J172" s="47">
        <v>58039.0</v>
      </c>
      <c r="K172" s="49"/>
      <c r="L172" s="49">
        <f t="shared" ref="L172:M172" si="174">SUM(C172,F172,I172)</f>
        <v>5376760</v>
      </c>
      <c r="M172" s="49">
        <f t="shared" si="174"/>
        <v>184649</v>
      </c>
      <c r="N172" s="49"/>
      <c r="O172" s="2"/>
      <c r="P172" s="38">
        <f t="shared" si="3"/>
        <v>2650633</v>
      </c>
      <c r="Q172" s="38">
        <f t="shared" si="4"/>
        <v>1689091</v>
      </c>
      <c r="R172" s="38">
        <f t="shared" si="5"/>
        <v>1221685</v>
      </c>
      <c r="S172" s="38">
        <f t="shared" si="6"/>
        <v>5561409</v>
      </c>
      <c r="T172" s="38"/>
      <c r="U172" s="106">
        <v>2425974.0</v>
      </c>
      <c r="V172" s="106">
        <v>1435036.0</v>
      </c>
      <c r="W172" s="38">
        <f t="shared" si="158"/>
        <v>1221685</v>
      </c>
      <c r="X172" s="45">
        <f t="shared" si="159"/>
        <v>5082695</v>
      </c>
      <c r="Y172" s="2"/>
      <c r="Z172" s="107">
        <v>39282.0</v>
      </c>
      <c r="AA172" s="107">
        <v>21249.0</v>
      </c>
      <c r="AB172" s="45">
        <f t="shared" si="172"/>
        <v>60531</v>
      </c>
      <c r="AC172" s="2"/>
      <c r="AD172" s="2"/>
      <c r="AE172" s="2"/>
      <c r="AF172" s="2"/>
      <c r="AG172" s="2"/>
      <c r="AH172" s="2"/>
      <c r="AI172" s="2"/>
      <c r="AJ172" s="2"/>
      <c r="AK172" s="2"/>
      <c r="AL172" s="2"/>
    </row>
    <row r="173" ht="12.0" customHeight="1">
      <c r="A173" s="2"/>
      <c r="B173" s="4" t="s">
        <v>75</v>
      </c>
      <c r="C173" s="47">
        <v>2552171.0</v>
      </c>
      <c r="D173" s="47">
        <v>101574.0</v>
      </c>
      <c r="E173" s="49"/>
      <c r="F173" s="47">
        <v>1610660.0</v>
      </c>
      <c r="G173" s="47">
        <v>35088.0</v>
      </c>
      <c r="H173" s="49"/>
      <c r="I173" s="47">
        <v>1186432.0</v>
      </c>
      <c r="J173" s="47">
        <v>60486.0</v>
      </c>
      <c r="K173" s="49"/>
      <c r="L173" s="49">
        <f t="shared" ref="L173:M173" si="175">SUM(C173,F173,I173)</f>
        <v>5349263</v>
      </c>
      <c r="M173" s="49">
        <f t="shared" si="175"/>
        <v>197148</v>
      </c>
      <c r="N173" s="49"/>
      <c r="O173" s="2"/>
      <c r="P173" s="38">
        <f t="shared" si="3"/>
        <v>2653745</v>
      </c>
      <c r="Q173" s="38">
        <f t="shared" si="4"/>
        <v>1645748</v>
      </c>
      <c r="R173" s="38">
        <f t="shared" si="5"/>
        <v>1246918</v>
      </c>
      <c r="S173" s="38">
        <f t="shared" si="6"/>
        <v>5546411</v>
      </c>
      <c r="T173" s="38"/>
      <c r="U173" s="106">
        <v>2433708.0</v>
      </c>
      <c r="V173" s="106">
        <v>1422081.0</v>
      </c>
      <c r="W173" s="38">
        <f t="shared" si="158"/>
        <v>1246918</v>
      </c>
      <c r="X173" s="45">
        <f t="shared" si="159"/>
        <v>5102707</v>
      </c>
      <c r="Y173" s="2"/>
      <c r="Z173" s="107">
        <v>42406.0</v>
      </c>
      <c r="AA173" s="107">
        <v>21064.0</v>
      </c>
      <c r="AB173" s="45">
        <f t="shared" si="172"/>
        <v>63470</v>
      </c>
      <c r="AC173" s="2"/>
      <c r="AD173" s="2"/>
      <c r="AE173" s="2"/>
      <c r="AF173" s="2"/>
      <c r="AG173" s="2"/>
      <c r="AH173" s="2"/>
      <c r="AI173" s="2"/>
      <c r="AJ173" s="2"/>
      <c r="AK173" s="2"/>
      <c r="AL173" s="2"/>
    </row>
    <row r="174" ht="12.0" customHeight="1">
      <c r="A174" s="40">
        <v>2012.0</v>
      </c>
      <c r="B174" s="4" t="s">
        <v>58</v>
      </c>
      <c r="C174" s="47">
        <v>2571472.0</v>
      </c>
      <c r="D174" s="47">
        <v>107868.0</v>
      </c>
      <c r="E174" s="49"/>
      <c r="F174" s="47">
        <v>1601958.0</v>
      </c>
      <c r="G174" s="47">
        <v>37991.0</v>
      </c>
      <c r="H174" s="49"/>
      <c r="I174" s="47">
        <v>1207691.0</v>
      </c>
      <c r="J174" s="47">
        <v>62257.0</v>
      </c>
      <c r="K174" s="49"/>
      <c r="L174" s="49">
        <f t="shared" ref="L174:M174" si="176">SUM(C174,F174,I174)</f>
        <v>5381121</v>
      </c>
      <c r="M174" s="49">
        <f t="shared" si="176"/>
        <v>208116</v>
      </c>
      <c r="N174" s="49"/>
      <c r="O174" s="2"/>
      <c r="P174" s="38">
        <f t="shared" si="3"/>
        <v>2679340</v>
      </c>
      <c r="Q174" s="38">
        <f t="shared" si="4"/>
        <v>1639949</v>
      </c>
      <c r="R174" s="38">
        <f t="shared" si="5"/>
        <v>1269948</v>
      </c>
      <c r="S174" s="38">
        <f t="shared" si="6"/>
        <v>5589237</v>
      </c>
      <c r="T174" s="38"/>
      <c r="U174" s="106">
        <v>2469524.0</v>
      </c>
      <c r="V174" s="106">
        <v>1438203.0</v>
      </c>
      <c r="W174" s="38">
        <f t="shared" si="158"/>
        <v>1269948</v>
      </c>
      <c r="X174" s="45">
        <f t="shared" si="159"/>
        <v>5177675</v>
      </c>
      <c r="Y174" s="2"/>
      <c r="Z174" s="107">
        <v>42561.0</v>
      </c>
      <c r="AA174" s="107">
        <v>22354.0</v>
      </c>
      <c r="AB174" s="45">
        <f t="shared" si="172"/>
        <v>64915</v>
      </c>
      <c r="AC174" s="2"/>
      <c r="AD174" s="2"/>
      <c r="AE174" s="2"/>
      <c r="AF174" s="2"/>
      <c r="AG174" s="2"/>
      <c r="AH174" s="2"/>
      <c r="AI174" s="2"/>
      <c r="AJ174" s="2"/>
      <c r="AK174" s="2"/>
      <c r="AL174" s="2"/>
    </row>
    <row r="175" ht="12.0" customHeight="1">
      <c r="A175" s="2"/>
      <c r="B175" s="4" t="s">
        <v>66</v>
      </c>
      <c r="C175" s="47">
        <v>2559011.0</v>
      </c>
      <c r="D175" s="47">
        <v>112944.0</v>
      </c>
      <c r="E175" s="49"/>
      <c r="F175" s="47">
        <v>1574871.0</v>
      </c>
      <c r="G175" s="47">
        <v>43065.0</v>
      </c>
      <c r="H175" s="49"/>
      <c r="I175" s="47">
        <v>1247890.0</v>
      </c>
      <c r="J175" s="47">
        <v>65167.0</v>
      </c>
      <c r="K175" s="49"/>
      <c r="L175" s="49">
        <f t="shared" ref="L175:M175" si="177">SUM(C175,F175,I175)</f>
        <v>5381772</v>
      </c>
      <c r="M175" s="49">
        <f t="shared" si="177"/>
        <v>221176</v>
      </c>
      <c r="N175" s="49"/>
      <c r="O175" s="2"/>
      <c r="P175" s="38">
        <f t="shared" si="3"/>
        <v>2671955</v>
      </c>
      <c r="Q175" s="38">
        <f t="shared" si="4"/>
        <v>1617936</v>
      </c>
      <c r="R175" s="38">
        <f t="shared" si="5"/>
        <v>1313057</v>
      </c>
      <c r="S175" s="38">
        <f t="shared" si="6"/>
        <v>5602948</v>
      </c>
      <c r="T175" s="38"/>
      <c r="U175" s="106">
        <v>2470050.0</v>
      </c>
      <c r="V175" s="106">
        <v>1430945.0</v>
      </c>
      <c r="W175" s="38">
        <f t="shared" si="158"/>
        <v>1313057</v>
      </c>
      <c r="X175" s="45">
        <f t="shared" si="159"/>
        <v>5214052</v>
      </c>
      <c r="Y175" s="2"/>
      <c r="Z175" s="107">
        <v>40525.0</v>
      </c>
      <c r="AA175" s="107">
        <v>23535.0</v>
      </c>
      <c r="AB175" s="45">
        <f t="shared" si="172"/>
        <v>64060</v>
      </c>
      <c r="AC175" s="2"/>
      <c r="AD175" s="2"/>
      <c r="AE175" s="2"/>
      <c r="AF175" s="2"/>
      <c r="AG175" s="2"/>
      <c r="AH175" s="2"/>
      <c r="AI175" s="2"/>
      <c r="AJ175" s="2"/>
      <c r="AK175" s="2"/>
      <c r="AL175" s="2"/>
    </row>
    <row r="176" ht="12.0" customHeight="1">
      <c r="A176" s="2"/>
      <c r="B176" s="4" t="s">
        <v>74</v>
      </c>
      <c r="C176" s="47">
        <v>2574628.0</v>
      </c>
      <c r="D176" s="47">
        <v>120171.0</v>
      </c>
      <c r="E176" s="49"/>
      <c r="F176" s="47">
        <v>1545573.0</v>
      </c>
      <c r="G176" s="47">
        <v>46093.0</v>
      </c>
      <c r="H176" s="49"/>
      <c r="I176" s="47">
        <v>1274037.0</v>
      </c>
      <c r="J176" s="47">
        <v>67368.0</v>
      </c>
      <c r="K176" s="49"/>
      <c r="L176" s="49">
        <f t="shared" ref="L176:M176" si="178">SUM(C176,F176,I176)</f>
        <v>5394238</v>
      </c>
      <c r="M176" s="49">
        <f t="shared" si="178"/>
        <v>233632</v>
      </c>
      <c r="N176" s="49"/>
      <c r="O176" s="2"/>
      <c r="P176" s="38">
        <f t="shared" si="3"/>
        <v>2694799</v>
      </c>
      <c r="Q176" s="38">
        <f t="shared" si="4"/>
        <v>1591666</v>
      </c>
      <c r="R176" s="38">
        <f t="shared" si="5"/>
        <v>1341405</v>
      </c>
      <c r="S176" s="38">
        <f t="shared" si="6"/>
        <v>5627870</v>
      </c>
      <c r="T176" s="38"/>
      <c r="U176" s="106">
        <v>2500544.0</v>
      </c>
      <c r="V176" s="106">
        <v>1404939.0</v>
      </c>
      <c r="W176" s="38">
        <f t="shared" si="158"/>
        <v>1341405</v>
      </c>
      <c r="X176" s="45">
        <f t="shared" si="159"/>
        <v>5246888</v>
      </c>
      <c r="Y176" s="2"/>
      <c r="Z176" s="107">
        <v>38467.0</v>
      </c>
      <c r="AA176" s="107">
        <v>23355.0</v>
      </c>
      <c r="AB176" s="45">
        <f t="shared" si="172"/>
        <v>61822</v>
      </c>
      <c r="AC176" s="2"/>
      <c r="AD176" s="2"/>
      <c r="AE176" s="2"/>
      <c r="AF176" s="2"/>
      <c r="AG176" s="2"/>
      <c r="AH176" s="2"/>
      <c r="AI176" s="2"/>
      <c r="AJ176" s="2"/>
      <c r="AK176" s="2"/>
      <c r="AL176" s="2"/>
    </row>
    <row r="177" ht="12.0" customHeight="1">
      <c r="A177" s="2"/>
      <c r="B177" s="4" t="s">
        <v>75</v>
      </c>
      <c r="C177" s="47">
        <v>2576572.0</v>
      </c>
      <c r="D177" s="47">
        <v>128477.0</v>
      </c>
      <c r="E177" s="49"/>
      <c r="F177" s="47">
        <v>1533572.0</v>
      </c>
      <c r="G177" s="47">
        <v>51923.0</v>
      </c>
      <c r="H177" s="49"/>
      <c r="I177" s="47">
        <v>1295315.0</v>
      </c>
      <c r="J177" s="47">
        <v>70878.0</v>
      </c>
      <c r="K177" s="49"/>
      <c r="L177" s="49">
        <f t="shared" ref="L177:M177" si="179">SUM(C177,F177,I177)</f>
        <v>5405459</v>
      </c>
      <c r="M177" s="49">
        <f t="shared" si="179"/>
        <v>251278</v>
      </c>
      <c r="N177" s="49"/>
      <c r="O177" s="2"/>
      <c r="P177" s="38">
        <f t="shared" si="3"/>
        <v>2705049</v>
      </c>
      <c r="Q177" s="38">
        <f t="shared" si="4"/>
        <v>1585495</v>
      </c>
      <c r="R177" s="38">
        <f t="shared" si="5"/>
        <v>1366193</v>
      </c>
      <c r="S177" s="38">
        <f t="shared" si="6"/>
        <v>5656737</v>
      </c>
      <c r="T177" s="38"/>
      <c r="U177" s="106">
        <v>2521046.0</v>
      </c>
      <c r="V177" s="106">
        <v>1398732.0</v>
      </c>
      <c r="W177" s="38">
        <f t="shared" si="158"/>
        <v>1366193</v>
      </c>
      <c r="X177" s="45">
        <f t="shared" si="159"/>
        <v>5285971</v>
      </c>
      <c r="Y177" s="2"/>
      <c r="Z177" s="107">
        <v>36215.0</v>
      </c>
      <c r="AA177" s="107">
        <v>23455.0</v>
      </c>
      <c r="AB177" s="45">
        <f t="shared" si="172"/>
        <v>59670</v>
      </c>
      <c r="AC177" s="2"/>
      <c r="AD177" s="2"/>
      <c r="AE177" s="2"/>
      <c r="AF177" s="2"/>
      <c r="AG177" s="2"/>
      <c r="AH177" s="2"/>
      <c r="AI177" s="2"/>
      <c r="AJ177" s="2"/>
      <c r="AK177" s="2"/>
      <c r="AL177" s="2"/>
    </row>
    <row r="178" ht="12.0" customHeight="1">
      <c r="A178" s="40">
        <v>2013.0</v>
      </c>
      <c r="B178" s="4" t="s">
        <v>58</v>
      </c>
      <c r="C178" s="47">
        <v>2580130.0</v>
      </c>
      <c r="D178" s="47">
        <v>134985.0</v>
      </c>
      <c r="E178" s="49"/>
      <c r="F178" s="47">
        <v>1536398.0</v>
      </c>
      <c r="G178" s="47">
        <v>56374.0</v>
      </c>
      <c r="H178" s="49"/>
      <c r="I178" s="47">
        <v>1314873.0</v>
      </c>
      <c r="J178" s="47">
        <v>73575.0</v>
      </c>
      <c r="K178" s="49"/>
      <c r="L178" s="49">
        <f t="shared" ref="L178:M178" si="180">SUM(C178,F178,I178)</f>
        <v>5431401</v>
      </c>
      <c r="M178" s="49">
        <f t="shared" si="180"/>
        <v>264934</v>
      </c>
      <c r="N178" s="49"/>
      <c r="O178" s="2"/>
      <c r="P178" s="38">
        <f t="shared" si="3"/>
        <v>2715115</v>
      </c>
      <c r="Q178" s="38">
        <f t="shared" si="4"/>
        <v>1592772</v>
      </c>
      <c r="R178" s="38">
        <f t="shared" si="5"/>
        <v>1388448</v>
      </c>
      <c r="S178" s="38">
        <f t="shared" si="6"/>
        <v>5696335</v>
      </c>
      <c r="T178" s="38"/>
      <c r="U178" s="106">
        <v>2544907.0</v>
      </c>
      <c r="V178" s="106">
        <v>1414113.0</v>
      </c>
      <c r="W178" s="38">
        <f t="shared" si="158"/>
        <v>1388448</v>
      </c>
      <c r="X178" s="45">
        <f t="shared" si="159"/>
        <v>5347468</v>
      </c>
      <c r="Y178" s="2"/>
      <c r="Z178" s="107">
        <v>34529.0</v>
      </c>
      <c r="AA178" s="107">
        <v>24214.0</v>
      </c>
      <c r="AB178" s="45">
        <f t="shared" si="172"/>
        <v>58743</v>
      </c>
      <c r="AC178" s="2"/>
      <c r="AD178" s="2"/>
      <c r="AE178" s="2"/>
      <c r="AF178" s="2"/>
      <c r="AG178" s="2"/>
      <c r="AH178" s="2"/>
      <c r="AI178" s="2"/>
      <c r="AJ178" s="2"/>
      <c r="AK178" s="2"/>
      <c r="AL178" s="2"/>
    </row>
    <row r="179" ht="12.0" customHeight="1">
      <c r="A179" s="2"/>
      <c r="B179" s="4" t="s">
        <v>66</v>
      </c>
      <c r="C179" s="47">
        <v>2587309.0</v>
      </c>
      <c r="D179" s="47">
        <v>140182.0</v>
      </c>
      <c r="E179" s="49"/>
      <c r="F179" s="47">
        <v>1545242.0</v>
      </c>
      <c r="G179" s="47">
        <v>63423.0</v>
      </c>
      <c r="H179" s="49"/>
      <c r="I179" s="47">
        <v>1342511.0</v>
      </c>
      <c r="J179" s="47">
        <v>75917.0</v>
      </c>
      <c r="K179" s="49"/>
      <c r="L179" s="49">
        <f t="shared" ref="L179:M179" si="181">SUM(C179,F179,I179)</f>
        <v>5475062</v>
      </c>
      <c r="M179" s="49">
        <f t="shared" si="181"/>
        <v>279522</v>
      </c>
      <c r="N179" s="49"/>
      <c r="O179" s="2"/>
      <c r="P179" s="38">
        <f t="shared" si="3"/>
        <v>2727491</v>
      </c>
      <c r="Q179" s="38">
        <f t="shared" si="4"/>
        <v>1608665</v>
      </c>
      <c r="R179" s="38">
        <f t="shared" si="5"/>
        <v>1418428</v>
      </c>
      <c r="S179" s="38">
        <f t="shared" si="6"/>
        <v>5754584</v>
      </c>
      <c r="T179" s="38"/>
      <c r="U179" s="106">
        <v>2575662.0</v>
      </c>
      <c r="V179" s="106">
        <v>1424026.0</v>
      </c>
      <c r="W179" s="38">
        <f t="shared" si="158"/>
        <v>1418428</v>
      </c>
      <c r="X179" s="45">
        <f t="shared" si="159"/>
        <v>5418116</v>
      </c>
      <c r="Y179" s="2"/>
      <c r="Z179" s="107">
        <v>32769.0</v>
      </c>
      <c r="AA179" s="107">
        <v>26139.0</v>
      </c>
      <c r="AB179" s="45">
        <f t="shared" si="172"/>
        <v>58908</v>
      </c>
      <c r="AC179" s="2"/>
      <c r="AD179" s="2"/>
      <c r="AE179" s="2"/>
      <c r="AF179" s="2"/>
      <c r="AG179" s="2"/>
      <c r="AH179" s="2"/>
      <c r="AI179" s="2"/>
      <c r="AJ179" s="2"/>
      <c r="AK179" s="2"/>
      <c r="AL179" s="2"/>
    </row>
    <row r="180" ht="12.0" customHeight="1">
      <c r="A180" s="2"/>
      <c r="B180" s="4" t="s">
        <v>74</v>
      </c>
      <c r="C180" s="47">
        <v>2609589.0</v>
      </c>
      <c r="D180" s="47">
        <v>143224.0</v>
      </c>
      <c r="E180" s="49"/>
      <c r="F180" s="47">
        <v>1544701.0</v>
      </c>
      <c r="G180" s="47">
        <v>68157.0</v>
      </c>
      <c r="H180" s="49"/>
      <c r="I180" s="47">
        <v>1377347.0</v>
      </c>
      <c r="J180" s="47">
        <v>79761.0</v>
      </c>
      <c r="K180" s="49"/>
      <c r="L180" s="49">
        <f t="shared" ref="L180:M180" si="182">SUM(C180,F180,I180)</f>
        <v>5531637</v>
      </c>
      <c r="M180" s="49">
        <f t="shared" si="182"/>
        <v>291142</v>
      </c>
      <c r="N180" s="49"/>
      <c r="O180" s="2"/>
      <c r="P180" s="38">
        <f t="shared" si="3"/>
        <v>2752813</v>
      </c>
      <c r="Q180" s="38">
        <f t="shared" si="4"/>
        <v>1612858</v>
      </c>
      <c r="R180" s="38">
        <f t="shared" si="5"/>
        <v>1457108</v>
      </c>
      <c r="S180" s="38">
        <f t="shared" si="6"/>
        <v>5822779</v>
      </c>
      <c r="T180" s="38"/>
      <c r="U180" s="106">
        <v>2615573.0</v>
      </c>
      <c r="V180" s="106">
        <v>1429580.0</v>
      </c>
      <c r="W180" s="38">
        <f t="shared" si="158"/>
        <v>1457108</v>
      </c>
      <c r="X180" s="45">
        <f t="shared" si="159"/>
        <v>5502261</v>
      </c>
      <c r="Y180" s="2"/>
      <c r="Z180" s="107">
        <v>31727.0</v>
      </c>
      <c r="AA180" s="107">
        <v>28761.0</v>
      </c>
      <c r="AB180" s="45">
        <f t="shared" si="172"/>
        <v>60488</v>
      </c>
      <c r="AC180" s="2"/>
      <c r="AD180" s="2"/>
      <c r="AE180" s="2"/>
      <c r="AF180" s="2"/>
      <c r="AG180" s="2"/>
      <c r="AH180" s="2"/>
      <c r="AI180" s="2"/>
      <c r="AJ180" s="2"/>
      <c r="AK180" s="2"/>
      <c r="AL180" s="2"/>
    </row>
    <row r="181" ht="12.0" customHeight="1">
      <c r="A181" s="2"/>
      <c r="B181" s="4" t="s">
        <v>75</v>
      </c>
      <c r="C181" s="47">
        <v>2655125.0</v>
      </c>
      <c r="D181" s="47">
        <v>148724.0</v>
      </c>
      <c r="E181" s="49"/>
      <c r="F181" s="47">
        <v>1547091.0</v>
      </c>
      <c r="G181" s="47">
        <v>74580.0</v>
      </c>
      <c r="H181" s="49"/>
      <c r="I181" s="47">
        <v>1398447.0</v>
      </c>
      <c r="J181" s="47">
        <v>81648.0</v>
      </c>
      <c r="K181" s="49"/>
      <c r="L181" s="49">
        <f t="shared" ref="L181:M181" si="183">SUM(C181,F181,I181)</f>
        <v>5600663</v>
      </c>
      <c r="M181" s="49">
        <f t="shared" si="183"/>
        <v>304952</v>
      </c>
      <c r="N181" s="49"/>
      <c r="O181" s="2"/>
      <c r="P181" s="38">
        <f t="shared" si="3"/>
        <v>2803849</v>
      </c>
      <c r="Q181" s="38">
        <f t="shared" si="4"/>
        <v>1621671</v>
      </c>
      <c r="R181" s="38">
        <f t="shared" si="5"/>
        <v>1480095</v>
      </c>
      <c r="S181" s="38">
        <f t="shared" si="6"/>
        <v>5905615</v>
      </c>
      <c r="T181" s="38"/>
      <c r="U181" s="106">
        <v>2674008.0</v>
      </c>
      <c r="V181" s="106">
        <v>1453637.0</v>
      </c>
      <c r="W181" s="38">
        <f t="shared" si="158"/>
        <v>1480095</v>
      </c>
      <c r="X181" s="45">
        <f t="shared" si="159"/>
        <v>5607740</v>
      </c>
      <c r="Y181" s="2"/>
      <c r="Z181" s="107">
        <v>30597.0</v>
      </c>
      <c r="AA181" s="107">
        <v>29160.0</v>
      </c>
      <c r="AB181" s="45">
        <f t="shared" si="172"/>
        <v>59757</v>
      </c>
      <c r="AC181" s="2"/>
      <c r="AD181" s="2"/>
      <c r="AE181" s="2"/>
      <c r="AF181" s="2"/>
      <c r="AG181" s="2"/>
      <c r="AH181" s="2"/>
      <c r="AI181" s="2"/>
      <c r="AJ181" s="2"/>
      <c r="AK181" s="2"/>
      <c r="AL181" s="2"/>
    </row>
    <row r="182" ht="12.0" customHeight="1">
      <c r="A182" s="2"/>
      <c r="B182" s="4"/>
      <c r="C182" s="49"/>
      <c r="D182" s="49"/>
      <c r="E182" s="49"/>
      <c r="F182" s="49"/>
      <c r="G182" s="49"/>
      <c r="H182" s="49"/>
      <c r="I182" s="49"/>
      <c r="J182" s="49"/>
      <c r="K182" s="49"/>
      <c r="L182" s="49"/>
      <c r="M182" s="49"/>
      <c r="N182" s="49"/>
      <c r="O182" s="2"/>
      <c r="P182" s="1"/>
      <c r="Q182" s="1"/>
      <c r="R182" s="1"/>
      <c r="S182" s="1"/>
      <c r="T182" s="1"/>
      <c r="U182" s="1"/>
      <c r="V182" s="1"/>
      <c r="W182" s="1"/>
      <c r="X182" s="16"/>
      <c r="Y182" s="2"/>
      <c r="Z182" s="16"/>
      <c r="AA182" s="16"/>
      <c r="AB182" s="16"/>
      <c r="AC182" s="2"/>
      <c r="AD182" s="2"/>
      <c r="AE182" s="2"/>
      <c r="AF182" s="2"/>
      <c r="AG182" s="2"/>
      <c r="AH182" s="2"/>
      <c r="AI182" s="2"/>
      <c r="AJ182" s="2"/>
      <c r="AK182" s="2"/>
      <c r="AL182" s="2"/>
    </row>
    <row r="183" ht="12.0" customHeight="1">
      <c r="A183" s="2"/>
      <c r="B183" s="2"/>
      <c r="C183" s="2"/>
      <c r="D183" s="2"/>
      <c r="E183" s="2"/>
      <c r="F183" s="2"/>
      <c r="G183" s="2"/>
      <c r="H183" s="2"/>
      <c r="I183" s="2"/>
      <c r="J183" s="2"/>
      <c r="K183" s="2"/>
      <c r="L183" s="2"/>
      <c r="M183" s="2"/>
      <c r="N183" s="2"/>
      <c r="O183" s="2"/>
      <c r="P183" s="1"/>
      <c r="Q183" s="1"/>
      <c r="R183" s="1"/>
      <c r="S183" s="1"/>
      <c r="T183" s="1"/>
      <c r="U183" s="1"/>
      <c r="V183" s="1"/>
      <c r="W183" s="1"/>
      <c r="X183" s="16"/>
      <c r="Y183" s="2"/>
      <c r="Z183" s="16"/>
      <c r="AA183" s="16"/>
      <c r="AB183" s="16"/>
      <c r="AC183" s="2"/>
      <c r="AD183" s="2"/>
      <c r="AE183" s="2"/>
      <c r="AF183" s="2"/>
      <c r="AG183" s="2"/>
      <c r="AH183" s="2"/>
      <c r="AI183" s="2"/>
      <c r="AJ183" s="2"/>
      <c r="AK183" s="2"/>
      <c r="AL183" s="2"/>
    </row>
    <row r="184" ht="12.0" customHeight="1">
      <c r="A184" s="102" t="s">
        <v>139</v>
      </c>
      <c r="B184" s="2"/>
      <c r="C184" s="2"/>
      <c r="D184" s="2"/>
      <c r="E184" s="2"/>
      <c r="F184" s="2"/>
      <c r="G184" s="2"/>
      <c r="H184" s="2"/>
      <c r="I184" s="2"/>
      <c r="J184" s="2"/>
      <c r="K184" s="2"/>
      <c r="L184" s="2"/>
      <c r="M184" s="2"/>
      <c r="N184" s="2"/>
      <c r="O184" s="2"/>
      <c r="P184" s="1"/>
      <c r="Q184" s="1"/>
      <c r="R184" s="1"/>
      <c r="S184" s="1"/>
      <c r="T184" s="1"/>
      <c r="U184" s="1"/>
      <c r="V184" s="1"/>
      <c r="W184" s="1"/>
      <c r="X184" s="16"/>
      <c r="Y184" s="2"/>
      <c r="Z184" s="16"/>
      <c r="AA184" s="16"/>
      <c r="AB184" s="16"/>
      <c r="AC184" s="2"/>
      <c r="AD184" s="2"/>
      <c r="AE184" s="2"/>
      <c r="AF184" s="2"/>
      <c r="AG184" s="2"/>
      <c r="AH184" s="2"/>
      <c r="AI184" s="2"/>
      <c r="AJ184" s="2"/>
      <c r="AK184" s="2"/>
      <c r="AL184" s="2"/>
    </row>
    <row r="185" ht="12.0" customHeight="1">
      <c r="A185" s="102" t="s">
        <v>140</v>
      </c>
      <c r="B185" s="2"/>
      <c r="C185" s="2"/>
      <c r="D185" s="2"/>
      <c r="E185" s="2"/>
      <c r="F185" s="2"/>
      <c r="G185" s="2"/>
      <c r="H185" s="2"/>
      <c r="I185" s="2"/>
      <c r="J185" s="2"/>
      <c r="K185" s="2"/>
      <c r="L185" s="2"/>
      <c r="M185" s="2"/>
      <c r="N185" s="2"/>
      <c r="O185" s="2"/>
      <c r="P185" s="1"/>
      <c r="Q185" s="1"/>
      <c r="R185" s="1"/>
      <c r="S185" s="1"/>
      <c r="T185" s="1"/>
      <c r="U185" s="1"/>
      <c r="V185" s="1"/>
      <c r="W185" s="1"/>
      <c r="X185" s="16"/>
      <c r="Y185" s="2"/>
      <c r="Z185" s="16"/>
      <c r="AA185" s="16"/>
      <c r="AB185" s="16"/>
      <c r="AC185" s="2"/>
      <c r="AD185" s="2"/>
      <c r="AE185" s="2"/>
      <c r="AF185" s="2"/>
      <c r="AG185" s="2"/>
      <c r="AH185" s="2"/>
      <c r="AI185" s="2"/>
      <c r="AJ185" s="2"/>
      <c r="AK185" s="2"/>
      <c r="AL185" s="2"/>
    </row>
  </sheetData>
  <mergeCells count="8">
    <mergeCell ref="P4:S4"/>
    <mergeCell ref="U4:X4"/>
    <mergeCell ref="Z4:AB4"/>
    <mergeCell ref="P3:AB3"/>
    <mergeCell ref="C4:D4"/>
    <mergeCell ref="F4:G4"/>
    <mergeCell ref="I4:J4"/>
    <mergeCell ref="L4:M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7.29" defaultRowHeight="15.75"/>
  <cols>
    <col customWidth="1" min="1" max="1" width="9.14"/>
    <col customWidth="1" min="2" max="2" width="4.86"/>
    <col customWidth="1" min="3" max="5" width="12.71"/>
    <col customWidth="1" min="6" max="6" width="2.29"/>
    <col customWidth="1" min="7" max="9" width="12.71"/>
    <col customWidth="1" min="10" max="10" width="2.29"/>
    <col customWidth="1" min="11" max="12" width="12.71"/>
    <col customWidth="1" min="13" max="13" width="2.86"/>
    <col customWidth="1" min="14" max="15" width="12.71"/>
    <col customWidth="1" min="16" max="16" width="2.86"/>
    <col customWidth="1" min="17" max="18" width="12.71"/>
    <col customWidth="1" min="19" max="19" width="2.86"/>
    <col customWidth="1" min="20" max="21" width="12.71"/>
    <col customWidth="1" min="22" max="22" width="2.86"/>
    <col customWidth="1" min="23" max="24" width="12.71"/>
    <col customWidth="1" min="25" max="25" width="2.86"/>
    <col customWidth="1" min="26" max="27" width="12.71"/>
    <col customWidth="1" min="28" max="28" width="2.86"/>
    <col customWidth="1" min="29" max="29" width="9.14"/>
    <col customWidth="1" min="30" max="30" width="12.0"/>
    <col customWidth="1" min="31" max="40" width="9.14"/>
  </cols>
  <sheetData>
    <row r="1" ht="30.0" customHeight="1">
      <c r="A1" s="59"/>
      <c r="B1" s="60"/>
      <c r="C1" s="3" t="s">
        <v>76</v>
      </c>
      <c r="D1" s="61"/>
      <c r="E1" s="61"/>
      <c r="F1" s="61"/>
      <c r="G1" s="61"/>
      <c r="H1" s="61"/>
      <c r="I1" s="61"/>
      <c r="J1" s="5"/>
      <c r="K1" s="5"/>
      <c r="L1" s="5"/>
      <c r="M1" s="5"/>
      <c r="N1" s="5"/>
      <c r="O1" s="62"/>
      <c r="P1" s="59"/>
      <c r="Q1" s="63"/>
      <c r="R1" s="64"/>
      <c r="S1" s="59"/>
      <c r="T1" s="63"/>
      <c r="U1" s="64"/>
      <c r="V1" s="59"/>
      <c r="W1" s="63"/>
      <c r="X1" s="62"/>
      <c r="Y1" s="59"/>
      <c r="Z1" s="63"/>
      <c r="AA1" s="62"/>
      <c r="AB1" s="59"/>
      <c r="AC1" s="63"/>
      <c r="AD1" s="62"/>
      <c r="AE1" s="59"/>
      <c r="AF1" s="59"/>
      <c r="AG1" s="59"/>
      <c r="AH1" s="59"/>
      <c r="AI1" s="59"/>
      <c r="AJ1" s="59"/>
      <c r="AK1" s="59"/>
      <c r="AL1" s="59"/>
      <c r="AM1" s="59"/>
      <c r="AN1" s="59"/>
    </row>
    <row r="2" ht="30.0" customHeight="1">
      <c r="A2" s="59"/>
      <c r="B2" s="60"/>
      <c r="C2" s="3" t="s">
        <v>3</v>
      </c>
      <c r="D2" s="61"/>
      <c r="E2" s="61"/>
      <c r="F2" s="61"/>
      <c r="G2" s="61"/>
      <c r="H2" s="61"/>
      <c r="I2" s="61"/>
      <c r="J2" s="5"/>
      <c r="K2" s="5"/>
      <c r="L2" s="5"/>
      <c r="M2" s="5"/>
      <c r="N2" s="5"/>
      <c r="O2" s="62"/>
      <c r="P2" s="59"/>
      <c r="Q2" s="63"/>
      <c r="R2" s="64"/>
      <c r="S2" s="59"/>
      <c r="T2" s="63"/>
      <c r="U2" s="64"/>
      <c r="V2" s="59"/>
      <c r="W2" s="63"/>
      <c r="X2" s="62"/>
      <c r="Y2" s="59"/>
      <c r="Z2" s="63"/>
      <c r="AA2" s="62"/>
      <c r="AB2" s="59"/>
      <c r="AC2" s="63"/>
      <c r="AD2" s="62"/>
      <c r="AE2" s="59"/>
      <c r="AF2" s="59"/>
      <c r="AG2" s="59"/>
      <c r="AH2" s="59"/>
      <c r="AI2" s="59"/>
      <c r="AJ2" s="59"/>
      <c r="AK2" s="59"/>
      <c r="AL2" s="59"/>
      <c r="AM2" s="59"/>
      <c r="AN2" s="59"/>
    </row>
    <row r="3" ht="12.0"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row>
    <row r="4" ht="12.0"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ht="14.25" customHeight="1">
      <c r="A5" s="2"/>
      <c r="B5" s="2"/>
      <c r="C5" s="23" t="s">
        <v>78</v>
      </c>
      <c r="D5" s="14"/>
      <c r="E5" s="21"/>
      <c r="F5" s="25"/>
      <c r="G5" s="23" t="s">
        <v>79</v>
      </c>
      <c r="H5" s="14"/>
      <c r="I5" s="21"/>
      <c r="J5" s="2"/>
      <c r="K5" s="12" t="s">
        <v>80</v>
      </c>
      <c r="L5" s="21"/>
      <c r="M5" s="2"/>
      <c r="N5" s="12" t="s">
        <v>81</v>
      </c>
      <c r="O5" s="21"/>
      <c r="P5" s="2"/>
      <c r="Q5" s="12" t="s">
        <v>82</v>
      </c>
      <c r="R5" s="21"/>
      <c r="S5" s="2"/>
      <c r="T5" s="12" t="s">
        <v>83</v>
      </c>
      <c r="U5" s="21"/>
      <c r="V5" s="2"/>
      <c r="W5" s="12" t="s">
        <v>84</v>
      </c>
      <c r="X5" s="21"/>
      <c r="Y5" s="2"/>
      <c r="Z5" s="12" t="s">
        <v>85</v>
      </c>
      <c r="AA5" s="21"/>
      <c r="AB5" s="2"/>
      <c r="AC5" s="12" t="s">
        <v>86</v>
      </c>
      <c r="AD5" s="21"/>
      <c r="AE5" s="2"/>
      <c r="AF5" s="2"/>
      <c r="AG5" s="2"/>
      <c r="AH5" s="2"/>
      <c r="AI5" s="2"/>
      <c r="AJ5" s="2"/>
      <c r="AK5" s="2"/>
      <c r="AL5" s="2"/>
      <c r="AM5" s="2"/>
      <c r="AN5" s="2"/>
    </row>
    <row r="6" ht="14.25" customHeight="1">
      <c r="A6" s="9"/>
      <c r="B6" s="9"/>
      <c r="C6" s="68" t="s">
        <v>87</v>
      </c>
      <c r="D6" s="68" t="s">
        <v>88</v>
      </c>
      <c r="E6" s="68" t="s">
        <v>25</v>
      </c>
      <c r="F6" s="25"/>
      <c r="G6" s="68" t="s">
        <v>87</v>
      </c>
      <c r="H6" s="68" t="s">
        <v>88</v>
      </c>
      <c r="I6" s="68" t="s">
        <v>25</v>
      </c>
      <c r="J6" s="4"/>
      <c r="K6" s="70" t="s">
        <v>87</v>
      </c>
      <c r="L6" s="70" t="s">
        <v>88</v>
      </c>
      <c r="M6" s="9"/>
      <c r="N6" s="70" t="s">
        <v>89</v>
      </c>
      <c r="O6" s="71" t="s">
        <v>90</v>
      </c>
      <c r="P6" s="2"/>
      <c r="Q6" s="68" t="s">
        <v>89</v>
      </c>
      <c r="R6" s="72" t="s">
        <v>92</v>
      </c>
      <c r="S6" s="2"/>
      <c r="T6" s="68" t="s">
        <v>89</v>
      </c>
      <c r="U6" s="72" t="s">
        <v>93</v>
      </c>
      <c r="V6" s="2"/>
      <c r="W6" s="68" t="s">
        <v>89</v>
      </c>
      <c r="X6" s="71" t="s">
        <v>93</v>
      </c>
      <c r="Y6" s="2"/>
      <c r="Z6" s="68" t="s">
        <v>89</v>
      </c>
      <c r="AA6" s="71" t="s">
        <v>90</v>
      </c>
      <c r="AB6" s="2"/>
      <c r="AC6" s="68" t="s">
        <v>89</v>
      </c>
      <c r="AD6" s="71" t="s">
        <v>90</v>
      </c>
      <c r="AE6" s="2"/>
      <c r="AF6" s="2"/>
      <c r="AG6" s="2"/>
      <c r="AH6" s="2"/>
      <c r="AI6" s="2"/>
      <c r="AJ6" s="2"/>
      <c r="AK6" s="2"/>
      <c r="AL6" s="2"/>
      <c r="AM6" s="2"/>
      <c r="AN6" s="2"/>
    </row>
    <row r="7" ht="12.0" customHeight="1">
      <c r="A7" s="16" t="s">
        <v>53</v>
      </c>
      <c r="B7" s="16" t="s">
        <v>23</v>
      </c>
      <c r="C7" s="25"/>
      <c r="D7" s="25"/>
      <c r="E7" s="25"/>
      <c r="F7" s="25"/>
      <c r="G7" s="25"/>
      <c r="H7" s="25"/>
      <c r="I7" s="25"/>
      <c r="J7" s="2"/>
      <c r="K7" s="16"/>
      <c r="L7" s="16"/>
      <c r="M7" s="2"/>
      <c r="N7" s="16"/>
      <c r="O7" s="2"/>
      <c r="P7" s="2"/>
      <c r="Q7" s="2"/>
      <c r="R7" s="2"/>
      <c r="S7" s="2"/>
      <c r="T7" s="2"/>
      <c r="U7" s="2"/>
      <c r="V7" s="2"/>
      <c r="W7" s="2"/>
      <c r="X7" s="2"/>
      <c r="Y7" s="2"/>
      <c r="Z7" s="2"/>
      <c r="AA7" s="2"/>
      <c r="AB7" s="2"/>
      <c r="AC7" s="2"/>
      <c r="AD7" s="2"/>
      <c r="AE7" s="2"/>
      <c r="AF7" s="2"/>
      <c r="AG7" s="2"/>
      <c r="AH7" s="2"/>
      <c r="AI7" s="2"/>
      <c r="AJ7" s="2"/>
      <c r="AK7" s="2"/>
      <c r="AL7" s="2"/>
      <c r="AM7" s="2"/>
      <c r="AN7" s="2"/>
    </row>
    <row r="8" ht="12.0" customHeight="1">
      <c r="A8" s="40">
        <v>1981.0</v>
      </c>
      <c r="B8" s="4" t="s">
        <v>75</v>
      </c>
      <c r="C8" s="2"/>
      <c r="D8" s="74">
        <v>717.38947087</v>
      </c>
      <c r="E8" s="76">
        <f t="shared" ref="E8:E136" si="2">SUM(C8:D8)</f>
        <v>717.3894709</v>
      </c>
      <c r="F8" s="2"/>
      <c r="G8" s="2"/>
      <c r="H8" s="2"/>
      <c r="I8" s="76">
        <f t="shared" ref="I8:I136" si="3">SUM(G8:H8)</f>
        <v>0</v>
      </c>
      <c r="J8" s="2"/>
      <c r="K8" s="76">
        <f t="shared" ref="K8:L8" si="1">SUM(C8,G8)</f>
        <v>0</v>
      </c>
      <c r="L8" s="76">
        <f t="shared" si="1"/>
        <v>717.3894709</v>
      </c>
      <c r="M8" s="2"/>
      <c r="N8" s="76">
        <f t="shared" ref="N8:N128" si="5">SUM(K8:L8)</f>
        <v>717.3894709</v>
      </c>
      <c r="O8" s="42">
        <v>10.0</v>
      </c>
      <c r="P8" s="2"/>
      <c r="Q8" s="2"/>
      <c r="R8" s="2"/>
      <c r="S8" s="2"/>
      <c r="T8" s="2"/>
      <c r="U8" s="2"/>
      <c r="V8" s="2"/>
      <c r="W8" s="2"/>
      <c r="X8" s="2"/>
      <c r="Y8" s="2"/>
      <c r="Z8" s="2"/>
      <c r="AA8" s="2"/>
      <c r="AB8" s="2"/>
      <c r="AC8" s="2"/>
      <c r="AD8" s="2"/>
      <c r="AE8" s="2"/>
      <c r="AF8" s="2"/>
      <c r="AG8" s="2"/>
      <c r="AH8" s="2"/>
      <c r="AI8" s="2"/>
      <c r="AJ8" s="2"/>
      <c r="AK8" s="2"/>
      <c r="AL8" s="2"/>
      <c r="AM8" s="2"/>
      <c r="AN8" s="2"/>
    </row>
    <row r="9" ht="12.0" customHeight="1">
      <c r="A9" s="40">
        <v>1982.0</v>
      </c>
      <c r="B9" s="4" t="s">
        <v>58</v>
      </c>
      <c r="C9" s="2"/>
      <c r="D9" s="74">
        <v>1808.12116929</v>
      </c>
      <c r="E9" s="76">
        <f t="shared" si="2"/>
        <v>1808.121169</v>
      </c>
      <c r="F9" s="2"/>
      <c r="G9" s="2"/>
      <c r="H9" s="2"/>
      <c r="I9" s="76">
        <f t="shared" si="3"/>
        <v>0</v>
      </c>
      <c r="J9" s="2"/>
      <c r="K9" s="76">
        <f t="shared" ref="K9:L9" si="4">SUM(C9,G9)</f>
        <v>0</v>
      </c>
      <c r="L9" s="76">
        <f t="shared" si="4"/>
        <v>1808.121169</v>
      </c>
      <c r="M9" s="2"/>
      <c r="N9" s="76">
        <f t="shared" si="5"/>
        <v>1808.121169</v>
      </c>
      <c r="O9" s="42">
        <v>79.0</v>
      </c>
      <c r="P9" s="2"/>
      <c r="Q9" s="2"/>
      <c r="R9" s="2"/>
      <c r="S9" s="2"/>
      <c r="T9" s="2"/>
      <c r="U9" s="2"/>
      <c r="V9" s="2"/>
      <c r="W9" s="2"/>
      <c r="X9" s="2"/>
      <c r="Y9" s="2"/>
      <c r="Z9" s="2"/>
      <c r="AA9" s="2"/>
      <c r="AB9" s="2"/>
      <c r="AC9" s="2"/>
      <c r="AD9" s="2"/>
      <c r="AE9" s="2"/>
      <c r="AF9" s="2"/>
      <c r="AG9" s="2"/>
      <c r="AH9" s="2"/>
      <c r="AI9" s="2"/>
      <c r="AJ9" s="2"/>
      <c r="AK9" s="2"/>
      <c r="AL9" s="2"/>
      <c r="AM9" s="2"/>
      <c r="AN9" s="2"/>
    </row>
    <row r="10" ht="12.0" customHeight="1">
      <c r="A10" s="2"/>
      <c r="B10" s="4" t="s">
        <v>66</v>
      </c>
      <c r="C10" s="2"/>
      <c r="D10" s="74">
        <v>1778.48779918</v>
      </c>
      <c r="E10" s="76">
        <f t="shared" si="2"/>
        <v>1778.487799</v>
      </c>
      <c r="F10" s="2"/>
      <c r="G10" s="2"/>
      <c r="H10" s="2"/>
      <c r="I10" s="76">
        <f t="shared" si="3"/>
        <v>0</v>
      </c>
      <c r="J10" s="2"/>
      <c r="K10" s="76">
        <f t="shared" ref="K10:L10" si="6">SUM(C10,G10)</f>
        <v>0</v>
      </c>
      <c r="L10" s="76">
        <f t="shared" si="6"/>
        <v>1778.487799</v>
      </c>
      <c r="M10" s="2"/>
      <c r="N10" s="76">
        <f t="shared" si="5"/>
        <v>1778.487799</v>
      </c>
      <c r="O10" s="42">
        <v>155.0</v>
      </c>
      <c r="P10" s="2"/>
      <c r="Q10" s="2"/>
      <c r="R10" s="2"/>
      <c r="S10" s="2"/>
      <c r="T10" s="2"/>
      <c r="U10" s="2"/>
      <c r="V10" s="2"/>
      <c r="W10" s="2"/>
      <c r="X10" s="2"/>
      <c r="Y10" s="2"/>
      <c r="Z10" s="2"/>
      <c r="AA10" s="2"/>
      <c r="AB10" s="2"/>
      <c r="AC10" s="2"/>
      <c r="AD10" s="2"/>
      <c r="AE10" s="2"/>
      <c r="AF10" s="2"/>
      <c r="AG10" s="2"/>
      <c r="AH10" s="2"/>
      <c r="AI10" s="2"/>
      <c r="AJ10" s="2"/>
      <c r="AK10" s="2"/>
      <c r="AL10" s="2"/>
      <c r="AM10" s="2"/>
      <c r="AN10" s="2"/>
    </row>
    <row r="11" ht="12.0" customHeight="1">
      <c r="A11" s="2"/>
      <c r="B11" s="4" t="s">
        <v>74</v>
      </c>
      <c r="C11" s="2"/>
      <c r="D11" s="74">
        <v>3635.15813854</v>
      </c>
      <c r="E11" s="76">
        <f t="shared" si="2"/>
        <v>3635.158139</v>
      </c>
      <c r="F11" s="2"/>
      <c r="G11" s="2"/>
      <c r="H11" s="2"/>
      <c r="I11" s="76">
        <f t="shared" si="3"/>
        <v>0</v>
      </c>
      <c r="J11" s="2"/>
      <c r="K11" s="76">
        <f t="shared" ref="K11:L11" si="7">SUM(C11,G11)</f>
        <v>0</v>
      </c>
      <c r="L11" s="76">
        <f t="shared" si="7"/>
        <v>3635.158139</v>
      </c>
      <c r="M11" s="2"/>
      <c r="N11" s="76">
        <f t="shared" si="5"/>
        <v>3635.158139</v>
      </c>
      <c r="O11" s="42">
        <v>225.0</v>
      </c>
      <c r="P11" s="2"/>
      <c r="Q11" s="2"/>
      <c r="R11" s="2"/>
      <c r="S11" s="2"/>
      <c r="T11" s="2"/>
      <c r="U11" s="2"/>
      <c r="V11" s="2"/>
      <c r="W11" s="2"/>
      <c r="X11" s="2"/>
      <c r="Y11" s="2"/>
      <c r="Z11" s="2"/>
      <c r="AA11" s="2"/>
      <c r="AB11" s="2"/>
      <c r="AC11" s="2"/>
      <c r="AD11" s="2"/>
      <c r="AE11" s="2"/>
      <c r="AF11" s="2"/>
      <c r="AG11" s="2"/>
      <c r="AH11" s="2"/>
      <c r="AI11" s="2"/>
      <c r="AJ11" s="2"/>
      <c r="AK11" s="2"/>
      <c r="AL11" s="2"/>
      <c r="AM11" s="2"/>
      <c r="AN11" s="2"/>
    </row>
    <row r="12" ht="12.0" customHeight="1">
      <c r="A12" s="2"/>
      <c r="B12" s="4" t="s">
        <v>75</v>
      </c>
      <c r="C12" s="2"/>
      <c r="D12" s="74">
        <v>6055.60592479</v>
      </c>
      <c r="E12" s="76">
        <f t="shared" si="2"/>
        <v>6055.605925</v>
      </c>
      <c r="F12" s="2"/>
      <c r="G12" s="2"/>
      <c r="H12" s="74">
        <v>125.911788679999</v>
      </c>
      <c r="I12" s="76">
        <f t="shared" si="3"/>
        <v>125.9117887</v>
      </c>
      <c r="J12" s="2"/>
      <c r="K12" s="76">
        <f t="shared" ref="K12:L12" si="8">SUM(C12,G12)</f>
        <v>0</v>
      </c>
      <c r="L12" s="76">
        <f t="shared" si="8"/>
        <v>6181.517713</v>
      </c>
      <c r="M12" s="2"/>
      <c r="N12" s="76">
        <f t="shared" si="5"/>
        <v>6181.517713</v>
      </c>
      <c r="O12" s="42">
        <v>586.0</v>
      </c>
      <c r="P12" s="2"/>
      <c r="Q12" s="2"/>
      <c r="R12" s="2"/>
      <c r="S12" s="2"/>
      <c r="T12" s="2"/>
      <c r="U12" s="2"/>
      <c r="V12" s="2"/>
      <c r="W12" s="2"/>
      <c r="X12" s="2"/>
      <c r="Y12" s="2"/>
      <c r="Z12" s="2"/>
      <c r="AA12" s="2"/>
      <c r="AB12" s="2"/>
      <c r="AC12" s="2"/>
      <c r="AD12" s="2"/>
      <c r="AE12" s="2"/>
      <c r="AF12" s="2"/>
      <c r="AG12" s="2"/>
      <c r="AH12" s="2"/>
      <c r="AI12" s="2"/>
      <c r="AJ12" s="2"/>
      <c r="AK12" s="2"/>
      <c r="AL12" s="2"/>
      <c r="AM12" s="2"/>
      <c r="AN12" s="2"/>
    </row>
    <row r="13" ht="12.0" customHeight="1">
      <c r="A13" s="40">
        <v>1983.0</v>
      </c>
      <c r="B13" s="4" t="s">
        <v>58</v>
      </c>
      <c r="C13" s="2"/>
      <c r="D13" s="74">
        <v>3909.6528307</v>
      </c>
      <c r="E13" s="76">
        <f t="shared" si="2"/>
        <v>3909.652831</v>
      </c>
      <c r="F13" s="2"/>
      <c r="G13" s="2"/>
      <c r="H13" s="2"/>
      <c r="I13" s="76">
        <f t="shared" si="3"/>
        <v>0</v>
      </c>
      <c r="J13" s="2"/>
      <c r="K13" s="76">
        <f t="shared" ref="K13:L13" si="9">SUM(C13,G13)</f>
        <v>0</v>
      </c>
      <c r="L13" s="76">
        <f t="shared" si="9"/>
        <v>3909.652831</v>
      </c>
      <c r="M13" s="2"/>
      <c r="N13" s="76">
        <f t="shared" si="5"/>
        <v>3909.652831</v>
      </c>
      <c r="O13" s="42">
        <v>490.0</v>
      </c>
      <c r="P13" s="2"/>
      <c r="Q13" s="2"/>
      <c r="R13" s="2"/>
      <c r="S13" s="2"/>
      <c r="T13" s="2"/>
      <c r="U13" s="2"/>
      <c r="V13" s="2"/>
      <c r="W13" s="2"/>
      <c r="X13" s="2"/>
      <c r="Y13" s="2"/>
      <c r="Z13" s="2"/>
      <c r="AA13" s="2"/>
      <c r="AB13" s="2"/>
      <c r="AC13" s="2"/>
      <c r="AD13" s="2"/>
      <c r="AE13" s="2"/>
      <c r="AF13" s="2"/>
      <c r="AG13" s="2"/>
      <c r="AH13" s="2"/>
      <c r="AI13" s="2"/>
      <c r="AJ13" s="2"/>
      <c r="AK13" s="2"/>
      <c r="AL13" s="2"/>
      <c r="AM13" s="2"/>
      <c r="AN13" s="2"/>
    </row>
    <row r="14" ht="12.0" customHeight="1">
      <c r="A14" s="2"/>
      <c r="B14" s="4" t="s">
        <v>66</v>
      </c>
      <c r="C14" s="2"/>
      <c r="D14" s="74">
        <v>3590.74181169</v>
      </c>
      <c r="E14" s="76">
        <f t="shared" si="2"/>
        <v>3590.741812</v>
      </c>
      <c r="F14" s="2"/>
      <c r="G14" s="2"/>
      <c r="H14" s="2"/>
      <c r="I14" s="76">
        <f t="shared" si="3"/>
        <v>0</v>
      </c>
      <c r="J14" s="2"/>
      <c r="K14" s="76">
        <f t="shared" ref="K14:L14" si="10">SUM(C14,G14)</f>
        <v>0</v>
      </c>
      <c r="L14" s="76">
        <f t="shared" si="10"/>
        <v>3590.741812</v>
      </c>
      <c r="M14" s="2"/>
      <c r="N14" s="76">
        <f t="shared" si="5"/>
        <v>3590.741812</v>
      </c>
      <c r="O14" s="42">
        <v>816.0</v>
      </c>
      <c r="P14" s="2"/>
      <c r="Q14" s="2"/>
      <c r="R14" s="2"/>
      <c r="S14" s="2"/>
      <c r="T14" s="2"/>
      <c r="U14" s="2"/>
      <c r="V14" s="2"/>
      <c r="W14" s="2"/>
      <c r="X14" s="2"/>
      <c r="Y14" s="2"/>
      <c r="Z14" s="2"/>
      <c r="AA14" s="2"/>
      <c r="AB14" s="2"/>
      <c r="AC14" s="2"/>
      <c r="AD14" s="2"/>
      <c r="AE14" s="2"/>
      <c r="AF14" s="2"/>
      <c r="AG14" s="2"/>
      <c r="AH14" s="2"/>
      <c r="AI14" s="2"/>
      <c r="AJ14" s="2"/>
      <c r="AK14" s="2"/>
      <c r="AL14" s="2"/>
      <c r="AM14" s="2"/>
      <c r="AN14" s="2"/>
    </row>
    <row r="15" ht="12.0" customHeight="1">
      <c r="A15" s="2"/>
      <c r="B15" s="4" t="s">
        <v>74</v>
      </c>
      <c r="C15" s="2"/>
      <c r="D15" s="74">
        <v>3677.40255736999</v>
      </c>
      <c r="E15" s="76">
        <f t="shared" si="2"/>
        <v>3677.402557</v>
      </c>
      <c r="F15" s="2"/>
      <c r="G15" s="2"/>
      <c r="H15" s="2"/>
      <c r="I15" s="76">
        <f t="shared" si="3"/>
        <v>0</v>
      </c>
      <c r="J15" s="2"/>
      <c r="K15" s="76">
        <f t="shared" ref="K15:L15" si="11">SUM(C15,G15)</f>
        <v>0</v>
      </c>
      <c r="L15" s="76">
        <f t="shared" si="11"/>
        <v>3677.402557</v>
      </c>
      <c r="M15" s="2"/>
      <c r="N15" s="76">
        <f t="shared" si="5"/>
        <v>3677.402557</v>
      </c>
      <c r="O15" s="42">
        <v>923.0</v>
      </c>
      <c r="P15" s="2"/>
      <c r="Q15" s="2"/>
      <c r="R15" s="2"/>
      <c r="S15" s="2"/>
      <c r="T15" s="2"/>
      <c r="U15" s="2"/>
      <c r="V15" s="2"/>
      <c r="W15" s="2"/>
      <c r="X15" s="2"/>
      <c r="Y15" s="2"/>
      <c r="Z15" s="2"/>
      <c r="AA15" s="2"/>
      <c r="AB15" s="2"/>
      <c r="AC15" s="2"/>
      <c r="AD15" s="2"/>
      <c r="AE15" s="2"/>
      <c r="AF15" s="2"/>
      <c r="AG15" s="2"/>
      <c r="AH15" s="2"/>
      <c r="AI15" s="2"/>
      <c r="AJ15" s="2"/>
      <c r="AK15" s="2"/>
      <c r="AL15" s="2"/>
      <c r="AM15" s="2"/>
      <c r="AN15" s="2"/>
    </row>
    <row r="16" ht="12.0" customHeight="1">
      <c r="A16" s="2"/>
      <c r="B16" s="4" t="s">
        <v>75</v>
      </c>
      <c r="C16" s="2"/>
      <c r="D16" s="74">
        <v>1929.40345368</v>
      </c>
      <c r="E16" s="76">
        <f t="shared" si="2"/>
        <v>1929.403454</v>
      </c>
      <c r="F16" s="2"/>
      <c r="G16" s="2"/>
      <c r="H16" s="2"/>
      <c r="I16" s="76">
        <f t="shared" si="3"/>
        <v>0</v>
      </c>
      <c r="J16" s="2"/>
      <c r="K16" s="76">
        <f t="shared" ref="K16:L16" si="12">SUM(C16,G16)</f>
        <v>0</v>
      </c>
      <c r="L16" s="76">
        <f t="shared" si="12"/>
        <v>1929.403454</v>
      </c>
      <c r="M16" s="2"/>
      <c r="N16" s="76">
        <f t="shared" si="5"/>
        <v>1929.403454</v>
      </c>
      <c r="O16" s="42">
        <v>613.0</v>
      </c>
      <c r="P16" s="2"/>
      <c r="Q16" s="2"/>
      <c r="R16" s="2"/>
      <c r="S16" s="2"/>
      <c r="T16" s="2"/>
      <c r="U16" s="2"/>
      <c r="V16" s="2"/>
      <c r="W16" s="2"/>
      <c r="X16" s="2"/>
      <c r="Y16" s="2"/>
      <c r="Z16" s="2"/>
      <c r="AA16" s="2"/>
      <c r="AB16" s="2"/>
      <c r="AC16" s="2"/>
      <c r="AD16" s="2"/>
      <c r="AE16" s="2"/>
      <c r="AF16" s="2"/>
      <c r="AG16" s="2"/>
      <c r="AH16" s="2"/>
      <c r="AI16" s="2"/>
      <c r="AJ16" s="2"/>
      <c r="AK16" s="2"/>
      <c r="AL16" s="2"/>
      <c r="AM16" s="2"/>
      <c r="AN16" s="2"/>
    </row>
    <row r="17" ht="12.0" customHeight="1">
      <c r="A17" s="40">
        <v>1984.0</v>
      </c>
      <c r="B17" s="4" t="s">
        <v>58</v>
      </c>
      <c r="C17" s="2"/>
      <c r="D17" s="74">
        <v>3753.62050253999</v>
      </c>
      <c r="E17" s="76">
        <f t="shared" si="2"/>
        <v>3753.620503</v>
      </c>
      <c r="F17" s="2"/>
      <c r="G17" s="2"/>
      <c r="H17" s="2"/>
      <c r="I17" s="76">
        <f t="shared" si="3"/>
        <v>0</v>
      </c>
      <c r="J17" s="2"/>
      <c r="K17" s="76">
        <f t="shared" ref="K17:L17" si="13">SUM(C17,G17)</f>
        <v>0</v>
      </c>
      <c r="L17" s="76">
        <f t="shared" si="13"/>
        <v>3753.620503</v>
      </c>
      <c r="M17" s="2"/>
      <c r="N17" s="76">
        <f t="shared" si="5"/>
        <v>3753.620503</v>
      </c>
      <c r="O17" s="42">
        <v>637.0</v>
      </c>
      <c r="P17" s="2"/>
      <c r="Q17" s="2"/>
      <c r="R17" s="2"/>
      <c r="S17" s="2"/>
      <c r="T17" s="2"/>
      <c r="U17" s="2"/>
      <c r="V17" s="2"/>
      <c r="W17" s="2"/>
      <c r="X17" s="2"/>
      <c r="Y17" s="2"/>
      <c r="Z17" s="2"/>
      <c r="AA17" s="2"/>
      <c r="AB17" s="2"/>
      <c r="AC17" s="2"/>
      <c r="AD17" s="2"/>
      <c r="AE17" s="2"/>
      <c r="AF17" s="2"/>
      <c r="AG17" s="2"/>
      <c r="AH17" s="2"/>
      <c r="AI17" s="2"/>
      <c r="AJ17" s="2"/>
      <c r="AK17" s="2"/>
      <c r="AL17" s="2"/>
      <c r="AM17" s="2"/>
      <c r="AN17" s="2"/>
    </row>
    <row r="18" ht="12.0" customHeight="1">
      <c r="A18" s="2"/>
      <c r="B18" s="4" t="s">
        <v>66</v>
      </c>
      <c r="C18" s="2"/>
      <c r="D18" s="74">
        <v>1464.77895061999</v>
      </c>
      <c r="E18" s="76">
        <f t="shared" si="2"/>
        <v>1464.778951</v>
      </c>
      <c r="F18" s="2"/>
      <c r="G18" s="2"/>
      <c r="H18" s="2"/>
      <c r="I18" s="76">
        <f t="shared" si="3"/>
        <v>0</v>
      </c>
      <c r="J18" s="2"/>
      <c r="K18" s="76">
        <f t="shared" ref="K18:L18" si="14">SUM(C18,G18)</f>
        <v>0</v>
      </c>
      <c r="L18" s="76">
        <f t="shared" si="14"/>
        <v>1464.778951</v>
      </c>
      <c r="M18" s="2"/>
      <c r="N18" s="76">
        <f t="shared" si="5"/>
        <v>1464.778951</v>
      </c>
      <c r="O18" s="42">
        <v>538.0</v>
      </c>
      <c r="P18" s="2"/>
      <c r="Q18" s="2"/>
      <c r="R18" s="2"/>
      <c r="S18" s="2"/>
      <c r="T18" s="2"/>
      <c r="U18" s="2"/>
      <c r="V18" s="2"/>
      <c r="W18" s="2"/>
      <c r="X18" s="2"/>
      <c r="Y18" s="2"/>
      <c r="Z18" s="2"/>
      <c r="AA18" s="2"/>
      <c r="AB18" s="2"/>
      <c r="AC18" s="2"/>
      <c r="AD18" s="2"/>
      <c r="AE18" s="2"/>
      <c r="AF18" s="2"/>
      <c r="AG18" s="2"/>
      <c r="AH18" s="2"/>
      <c r="AI18" s="2"/>
      <c r="AJ18" s="2"/>
      <c r="AK18" s="2"/>
      <c r="AL18" s="2"/>
      <c r="AM18" s="2"/>
      <c r="AN18" s="2"/>
    </row>
    <row r="19" ht="12.0" customHeight="1">
      <c r="A19" s="2"/>
      <c r="B19" s="4" t="s">
        <v>74</v>
      </c>
      <c r="C19" s="74">
        <v>1061.47006656</v>
      </c>
      <c r="D19" s="74">
        <v>2899.61442072999</v>
      </c>
      <c r="E19" s="76">
        <f t="shared" si="2"/>
        <v>3961.084487</v>
      </c>
      <c r="F19" s="2"/>
      <c r="G19" s="2"/>
      <c r="H19" s="2"/>
      <c r="I19" s="76">
        <f t="shared" si="3"/>
        <v>0</v>
      </c>
      <c r="J19" s="2"/>
      <c r="K19" s="76">
        <f t="shared" ref="K19:L19" si="15">SUM(C19,G19)</f>
        <v>1061.470067</v>
      </c>
      <c r="L19" s="76">
        <f t="shared" si="15"/>
        <v>2899.614421</v>
      </c>
      <c r="M19" s="2"/>
      <c r="N19" s="76">
        <f t="shared" si="5"/>
        <v>3961.084487</v>
      </c>
      <c r="O19" s="42">
        <v>706.0</v>
      </c>
      <c r="P19" s="2"/>
      <c r="Q19" s="2"/>
      <c r="R19" s="2"/>
      <c r="S19" s="2"/>
      <c r="T19" s="2"/>
      <c r="U19" s="2"/>
      <c r="V19" s="2"/>
      <c r="W19" s="2"/>
      <c r="X19" s="2"/>
      <c r="Y19" s="2"/>
      <c r="Z19" s="2"/>
      <c r="AA19" s="2"/>
      <c r="AB19" s="2"/>
      <c r="AC19" s="2"/>
      <c r="AD19" s="2"/>
      <c r="AE19" s="2"/>
      <c r="AF19" s="2"/>
      <c r="AG19" s="2"/>
      <c r="AH19" s="2"/>
      <c r="AI19" s="2"/>
      <c r="AJ19" s="2"/>
      <c r="AK19" s="2"/>
      <c r="AL19" s="2"/>
      <c r="AM19" s="2"/>
      <c r="AN19" s="2"/>
    </row>
    <row r="20" ht="12.0" customHeight="1">
      <c r="A20" s="2"/>
      <c r="B20" s="4" t="s">
        <v>75</v>
      </c>
      <c r="C20" s="74">
        <v>6.13596652</v>
      </c>
      <c r="D20" s="74">
        <v>3464.87249972999</v>
      </c>
      <c r="E20" s="76">
        <f t="shared" si="2"/>
        <v>3471.008466</v>
      </c>
      <c r="F20" s="2"/>
      <c r="G20" s="74">
        <v>49.69141639</v>
      </c>
      <c r="H20" s="2"/>
      <c r="I20" s="76">
        <f t="shared" si="3"/>
        <v>49.69141639</v>
      </c>
      <c r="J20" s="2"/>
      <c r="K20" s="76">
        <f t="shared" ref="K20:L20" si="16">SUM(C20,G20)</f>
        <v>55.82738291</v>
      </c>
      <c r="L20" s="76">
        <f t="shared" si="16"/>
        <v>3464.8725</v>
      </c>
      <c r="M20" s="2"/>
      <c r="N20" s="76">
        <f t="shared" si="5"/>
        <v>3520.699883</v>
      </c>
      <c r="O20" s="42">
        <v>1142.0</v>
      </c>
      <c r="P20" s="2"/>
      <c r="Q20" s="2"/>
      <c r="R20" s="2"/>
      <c r="S20" s="2"/>
      <c r="T20" s="2"/>
      <c r="U20" s="2"/>
      <c r="V20" s="2"/>
      <c r="W20" s="2"/>
      <c r="X20" s="2"/>
      <c r="Y20" s="2"/>
      <c r="Z20" s="2"/>
      <c r="AA20" s="2"/>
      <c r="AB20" s="2"/>
      <c r="AC20" s="2"/>
      <c r="AD20" s="2"/>
      <c r="AE20" s="2"/>
      <c r="AF20" s="2"/>
      <c r="AG20" s="2"/>
      <c r="AH20" s="2"/>
      <c r="AI20" s="2"/>
      <c r="AJ20" s="2"/>
      <c r="AK20" s="2"/>
      <c r="AL20" s="2"/>
      <c r="AM20" s="2"/>
      <c r="AN20" s="2"/>
    </row>
    <row r="21" ht="12.0" customHeight="1">
      <c r="A21" s="40">
        <v>1985.0</v>
      </c>
      <c r="B21" s="4" t="s">
        <v>58</v>
      </c>
      <c r="C21" s="74">
        <v>710.30014531</v>
      </c>
      <c r="D21" s="74">
        <v>2981.17643762</v>
      </c>
      <c r="E21" s="76">
        <f t="shared" si="2"/>
        <v>3691.476583</v>
      </c>
      <c r="F21" s="2"/>
      <c r="G21" s="2"/>
      <c r="H21" s="2"/>
      <c r="I21" s="76">
        <f t="shared" si="3"/>
        <v>0</v>
      </c>
      <c r="J21" s="2"/>
      <c r="K21" s="76">
        <f t="shared" ref="K21:L21" si="17">SUM(C21,G21)</f>
        <v>710.3001453</v>
      </c>
      <c r="L21" s="76">
        <f t="shared" si="17"/>
        <v>2981.176438</v>
      </c>
      <c r="M21" s="2"/>
      <c r="N21" s="76">
        <f t="shared" si="5"/>
        <v>3691.476583</v>
      </c>
      <c r="O21" s="42">
        <v>1044.0</v>
      </c>
      <c r="P21" s="2"/>
      <c r="Q21" s="2"/>
      <c r="R21" s="2"/>
      <c r="S21" s="2"/>
      <c r="T21" s="2"/>
      <c r="U21" s="2"/>
      <c r="V21" s="2"/>
      <c r="W21" s="2"/>
      <c r="X21" s="2"/>
      <c r="Y21" s="2"/>
      <c r="Z21" s="2"/>
      <c r="AA21" s="2"/>
      <c r="AB21" s="2"/>
      <c r="AC21" s="2"/>
      <c r="AD21" s="2"/>
      <c r="AE21" s="2"/>
      <c r="AF21" s="2"/>
      <c r="AG21" s="2"/>
      <c r="AH21" s="2"/>
      <c r="AI21" s="2"/>
      <c r="AJ21" s="2"/>
      <c r="AK21" s="2"/>
      <c r="AL21" s="2"/>
      <c r="AM21" s="2"/>
      <c r="AN21" s="2"/>
    </row>
    <row r="22" ht="12.0" customHeight="1">
      <c r="A22" s="2"/>
      <c r="B22" s="4" t="s">
        <v>66</v>
      </c>
      <c r="C22" s="74">
        <v>71.92391884</v>
      </c>
      <c r="D22" s="74">
        <v>4059.2859919</v>
      </c>
      <c r="E22" s="76">
        <f t="shared" si="2"/>
        <v>4131.209911</v>
      </c>
      <c r="F22" s="2"/>
      <c r="G22" s="74">
        <v>148.95166189</v>
      </c>
      <c r="H22" s="2"/>
      <c r="I22" s="76">
        <f t="shared" si="3"/>
        <v>148.9516619</v>
      </c>
      <c r="J22" s="2"/>
      <c r="K22" s="76">
        <f t="shared" ref="K22:L22" si="18">SUM(C22,G22)</f>
        <v>220.8755807</v>
      </c>
      <c r="L22" s="76">
        <f t="shared" si="18"/>
        <v>4059.285992</v>
      </c>
      <c r="M22" s="2"/>
      <c r="N22" s="76">
        <f t="shared" si="5"/>
        <v>4280.161573</v>
      </c>
      <c r="O22" s="42">
        <v>1540.0</v>
      </c>
      <c r="P22" s="2"/>
      <c r="Q22" s="2"/>
      <c r="R22" s="2"/>
      <c r="S22" s="2"/>
      <c r="T22" s="2"/>
      <c r="U22" s="2"/>
      <c r="V22" s="2"/>
      <c r="W22" s="2"/>
      <c r="X22" s="2"/>
      <c r="Y22" s="2"/>
      <c r="Z22" s="2"/>
      <c r="AA22" s="2"/>
      <c r="AB22" s="2"/>
      <c r="AC22" s="2"/>
      <c r="AD22" s="2"/>
      <c r="AE22" s="2"/>
      <c r="AF22" s="2"/>
      <c r="AG22" s="2"/>
      <c r="AH22" s="2"/>
      <c r="AI22" s="2"/>
      <c r="AJ22" s="2"/>
      <c r="AK22" s="2"/>
      <c r="AL22" s="2"/>
      <c r="AM22" s="2"/>
      <c r="AN22" s="2"/>
    </row>
    <row r="23" ht="12.0" customHeight="1">
      <c r="A23" s="2"/>
      <c r="B23" s="4" t="s">
        <v>74</v>
      </c>
      <c r="C23" s="74">
        <v>1205.31585545</v>
      </c>
      <c r="D23" s="74">
        <v>6001.23851355</v>
      </c>
      <c r="E23" s="76">
        <f t="shared" si="2"/>
        <v>7206.554369</v>
      </c>
      <c r="F23" s="2"/>
      <c r="G23" s="74">
        <v>66.5331098199999</v>
      </c>
      <c r="H23" s="2"/>
      <c r="I23" s="76">
        <f t="shared" si="3"/>
        <v>66.53310982</v>
      </c>
      <c r="J23" s="2"/>
      <c r="K23" s="76">
        <f t="shared" ref="K23:L23" si="19">SUM(C23,G23)</f>
        <v>1271.848965</v>
      </c>
      <c r="L23" s="76">
        <f t="shared" si="19"/>
        <v>6001.238514</v>
      </c>
      <c r="M23" s="2"/>
      <c r="N23" s="76">
        <f t="shared" si="5"/>
        <v>7273.087479</v>
      </c>
      <c r="O23" s="42">
        <v>2396.0</v>
      </c>
      <c r="P23" s="2"/>
      <c r="Q23" s="2"/>
      <c r="R23" s="2"/>
      <c r="S23" s="2"/>
      <c r="T23" s="2"/>
      <c r="U23" s="2"/>
      <c r="V23" s="2"/>
      <c r="W23" s="2"/>
      <c r="X23" s="2"/>
      <c r="Y23" s="2"/>
      <c r="Z23" s="2"/>
      <c r="AA23" s="2"/>
      <c r="AB23" s="2"/>
      <c r="AC23" s="2"/>
      <c r="AD23" s="2"/>
      <c r="AE23" s="2"/>
      <c r="AF23" s="2"/>
      <c r="AG23" s="2"/>
      <c r="AH23" s="2"/>
      <c r="AI23" s="2"/>
      <c r="AJ23" s="2"/>
      <c r="AK23" s="2"/>
      <c r="AL23" s="2"/>
      <c r="AM23" s="2"/>
      <c r="AN23" s="2"/>
    </row>
    <row r="24" ht="12.0" customHeight="1">
      <c r="A24" s="2"/>
      <c r="B24" s="4" t="s">
        <v>75</v>
      </c>
      <c r="C24" s="74">
        <v>83.8706352799999</v>
      </c>
      <c r="D24" s="74">
        <v>7797.23797242999</v>
      </c>
      <c r="E24" s="76">
        <f t="shared" si="2"/>
        <v>7881.108608</v>
      </c>
      <c r="F24" s="2"/>
      <c r="G24" s="2"/>
      <c r="H24" s="2"/>
      <c r="I24" s="76">
        <f t="shared" si="3"/>
        <v>0</v>
      </c>
      <c r="J24" s="2"/>
      <c r="K24" s="76">
        <f t="shared" ref="K24:L24" si="20">SUM(C24,G24)</f>
        <v>83.87063528</v>
      </c>
      <c r="L24" s="76">
        <f t="shared" si="20"/>
        <v>7797.237972</v>
      </c>
      <c r="M24" s="2"/>
      <c r="N24" s="76">
        <f t="shared" si="5"/>
        <v>7881.108608</v>
      </c>
      <c r="O24" s="42">
        <v>2732.0</v>
      </c>
      <c r="P24" s="2"/>
      <c r="Q24" s="2"/>
      <c r="R24" s="2"/>
      <c r="S24" s="2"/>
      <c r="T24" s="2"/>
      <c r="U24" s="2"/>
      <c r="V24" s="2"/>
      <c r="W24" s="2"/>
      <c r="X24" s="2"/>
      <c r="Y24" s="2"/>
      <c r="Z24" s="2"/>
      <c r="AA24" s="2"/>
      <c r="AB24" s="2"/>
      <c r="AC24" s="2"/>
      <c r="AD24" s="2"/>
      <c r="AE24" s="2"/>
      <c r="AF24" s="2"/>
      <c r="AG24" s="2"/>
      <c r="AH24" s="2"/>
      <c r="AI24" s="2"/>
      <c r="AJ24" s="2"/>
      <c r="AK24" s="2"/>
      <c r="AL24" s="2"/>
      <c r="AM24" s="2"/>
      <c r="AN24" s="2"/>
    </row>
    <row r="25" ht="12.0" customHeight="1">
      <c r="A25" s="40">
        <v>1986.0</v>
      </c>
      <c r="B25" s="4" t="s">
        <v>58</v>
      </c>
      <c r="C25" s="74">
        <v>1300.58652143</v>
      </c>
      <c r="D25" s="74">
        <v>7979.20475094999</v>
      </c>
      <c r="E25" s="76">
        <f t="shared" si="2"/>
        <v>9279.791272</v>
      </c>
      <c r="F25" s="2"/>
      <c r="G25" s="2"/>
      <c r="H25" s="2"/>
      <c r="I25" s="76">
        <f t="shared" si="3"/>
        <v>0</v>
      </c>
      <c r="J25" s="2"/>
      <c r="K25" s="76">
        <f t="shared" ref="K25:L25" si="21">SUM(C25,G25)</f>
        <v>1300.586521</v>
      </c>
      <c r="L25" s="76">
        <f t="shared" si="21"/>
        <v>7979.204751</v>
      </c>
      <c r="M25" s="2"/>
      <c r="N25" s="76">
        <f t="shared" si="5"/>
        <v>9279.791272</v>
      </c>
      <c r="O25" s="42">
        <v>2538.0</v>
      </c>
      <c r="P25" s="2"/>
      <c r="Q25" s="2"/>
      <c r="R25" s="2"/>
      <c r="S25" s="2"/>
      <c r="T25" s="2"/>
      <c r="U25" s="2"/>
      <c r="V25" s="2"/>
      <c r="W25" s="2"/>
      <c r="X25" s="2"/>
      <c r="Y25" s="2"/>
      <c r="Z25" s="2"/>
      <c r="AA25" s="2"/>
      <c r="AB25" s="2"/>
      <c r="AC25" s="2"/>
      <c r="AD25" s="2"/>
      <c r="AE25" s="2"/>
      <c r="AF25" s="2"/>
      <c r="AG25" s="2"/>
      <c r="AH25" s="2"/>
      <c r="AI25" s="2"/>
      <c r="AJ25" s="2"/>
      <c r="AK25" s="2"/>
      <c r="AL25" s="2"/>
      <c r="AM25" s="2"/>
      <c r="AN25" s="2"/>
    </row>
    <row r="26" ht="12.0" customHeight="1">
      <c r="A26" s="2"/>
      <c r="B26" s="4" t="s">
        <v>66</v>
      </c>
      <c r="C26" s="74">
        <v>273.381737489999</v>
      </c>
      <c r="D26" s="74">
        <v>13734.53542837</v>
      </c>
      <c r="E26" s="76">
        <f t="shared" si="2"/>
        <v>14007.91717</v>
      </c>
      <c r="F26" s="2"/>
      <c r="G26" s="2"/>
      <c r="H26" s="2"/>
      <c r="I26" s="76">
        <f t="shared" si="3"/>
        <v>0</v>
      </c>
      <c r="J26" s="2"/>
      <c r="K26" s="76">
        <f t="shared" ref="K26:L26" si="22">SUM(C26,G26)</f>
        <v>273.3817375</v>
      </c>
      <c r="L26" s="76">
        <f t="shared" si="22"/>
        <v>13734.53543</v>
      </c>
      <c r="M26" s="2"/>
      <c r="N26" s="76">
        <f t="shared" si="5"/>
        <v>14007.91717</v>
      </c>
      <c r="O26" s="42">
        <v>3933.0</v>
      </c>
      <c r="P26" s="2"/>
      <c r="Q26" s="2"/>
      <c r="R26" s="2"/>
      <c r="S26" s="2"/>
      <c r="T26" s="2"/>
      <c r="U26" s="2"/>
      <c r="V26" s="2"/>
      <c r="W26" s="2"/>
      <c r="X26" s="2"/>
      <c r="Y26" s="2"/>
      <c r="Z26" s="2"/>
      <c r="AA26" s="2"/>
      <c r="AB26" s="2"/>
      <c r="AC26" s="2"/>
      <c r="AD26" s="2"/>
      <c r="AE26" s="2"/>
      <c r="AF26" s="2"/>
      <c r="AG26" s="2"/>
      <c r="AH26" s="2"/>
      <c r="AI26" s="2"/>
      <c r="AJ26" s="2"/>
      <c r="AK26" s="2"/>
      <c r="AL26" s="2"/>
      <c r="AM26" s="2"/>
      <c r="AN26" s="2"/>
    </row>
    <row r="27" ht="12.0" customHeight="1">
      <c r="A27" s="2"/>
      <c r="B27" s="4" t="s">
        <v>74</v>
      </c>
      <c r="C27" s="74">
        <v>946.096056879999</v>
      </c>
      <c r="D27" s="74">
        <v>22534.79201383</v>
      </c>
      <c r="E27" s="76">
        <f t="shared" si="2"/>
        <v>23480.88807</v>
      </c>
      <c r="F27" s="2"/>
      <c r="G27" s="2"/>
      <c r="H27" s="2"/>
      <c r="I27" s="76">
        <f t="shared" si="3"/>
        <v>0</v>
      </c>
      <c r="J27" s="2"/>
      <c r="K27" s="76">
        <f t="shared" ref="K27:L27" si="23">SUM(C27,G27)</f>
        <v>946.0960569</v>
      </c>
      <c r="L27" s="76">
        <f t="shared" si="23"/>
        <v>22534.79201</v>
      </c>
      <c r="M27" s="2"/>
      <c r="N27" s="76">
        <f t="shared" si="5"/>
        <v>23480.88807</v>
      </c>
      <c r="O27" s="42">
        <v>4923.0</v>
      </c>
      <c r="P27" s="2"/>
      <c r="Q27" s="2"/>
      <c r="R27" s="2"/>
      <c r="S27" s="2"/>
      <c r="T27" s="77">
        <v>996.0</v>
      </c>
      <c r="U27" s="78">
        <v>8.0</v>
      </c>
      <c r="V27" s="2"/>
      <c r="W27" s="79">
        <f t="shared" ref="W27:W128" si="25">SUM(T27,Q27)</f>
        <v>996</v>
      </c>
      <c r="X27" s="41">
        <f t="shared" ref="X27:X128" si="26">SUM(R27,U27)</f>
        <v>8</v>
      </c>
      <c r="Y27" s="2"/>
      <c r="Z27" s="2"/>
      <c r="AA27" s="2"/>
      <c r="AB27" s="2"/>
      <c r="AC27" s="77">
        <v>4.0</v>
      </c>
      <c r="AD27" s="42">
        <v>2.0</v>
      </c>
      <c r="AE27" s="2"/>
      <c r="AF27" s="2"/>
      <c r="AG27" s="2"/>
      <c r="AH27" s="2"/>
      <c r="AI27" s="2"/>
      <c r="AJ27" s="2"/>
      <c r="AK27" s="2"/>
      <c r="AL27" s="2"/>
      <c r="AM27" s="2"/>
      <c r="AN27" s="2"/>
    </row>
    <row r="28" ht="12.0" customHeight="1">
      <c r="A28" s="2"/>
      <c r="B28" s="4" t="s">
        <v>75</v>
      </c>
      <c r="C28" s="74">
        <v>1132.58459258</v>
      </c>
      <c r="D28" s="74">
        <v>13820.68970429</v>
      </c>
      <c r="E28" s="76">
        <f t="shared" si="2"/>
        <v>14953.2743</v>
      </c>
      <c r="F28" s="2"/>
      <c r="G28" s="2"/>
      <c r="H28" s="2"/>
      <c r="I28" s="76">
        <f t="shared" si="3"/>
        <v>0</v>
      </c>
      <c r="J28" s="2"/>
      <c r="K28" s="76">
        <f t="shared" ref="K28:L28" si="24">SUM(C28,G28)</f>
        <v>1132.584593</v>
      </c>
      <c r="L28" s="76">
        <f t="shared" si="24"/>
        <v>13820.6897</v>
      </c>
      <c r="M28" s="2"/>
      <c r="N28" s="76">
        <f t="shared" si="5"/>
        <v>14953.2743</v>
      </c>
      <c r="O28" s="42">
        <v>4640.0</v>
      </c>
      <c r="P28" s="2"/>
      <c r="Q28" s="2"/>
      <c r="R28" s="2"/>
      <c r="S28" s="2"/>
      <c r="T28" s="77">
        <v>1396.0</v>
      </c>
      <c r="U28" s="78">
        <v>11.0</v>
      </c>
      <c r="V28" s="2"/>
      <c r="W28" s="79">
        <f t="shared" si="25"/>
        <v>1396</v>
      </c>
      <c r="X28" s="41">
        <f t="shared" si="26"/>
        <v>11</v>
      </c>
      <c r="Y28" s="2"/>
      <c r="Z28" s="2"/>
      <c r="AA28" s="2"/>
      <c r="AB28" s="2"/>
      <c r="AC28" s="77">
        <v>4.0</v>
      </c>
      <c r="AD28" s="42">
        <v>1.0</v>
      </c>
      <c r="AE28" s="2"/>
      <c r="AF28" s="2"/>
      <c r="AG28" s="2"/>
      <c r="AH28" s="2"/>
      <c r="AI28" s="2"/>
      <c r="AJ28" s="2"/>
      <c r="AK28" s="2"/>
      <c r="AL28" s="2"/>
      <c r="AM28" s="2"/>
      <c r="AN28" s="2"/>
    </row>
    <row r="29" ht="12.0" customHeight="1">
      <c r="A29" s="40">
        <v>1987.0</v>
      </c>
      <c r="B29" s="4" t="s">
        <v>58</v>
      </c>
      <c r="C29" s="74">
        <v>1547.74520101999</v>
      </c>
      <c r="D29" s="74">
        <v>16840.134472</v>
      </c>
      <c r="E29" s="76">
        <f t="shared" si="2"/>
        <v>18387.87967</v>
      </c>
      <c r="F29" s="2"/>
      <c r="G29" s="2"/>
      <c r="H29" s="74">
        <v>250.098783</v>
      </c>
      <c r="I29" s="76">
        <f t="shared" si="3"/>
        <v>250.098783</v>
      </c>
      <c r="J29" s="2"/>
      <c r="K29" s="76">
        <f t="shared" ref="K29:L29" si="27">SUM(C29,G29)</f>
        <v>1547.745201</v>
      </c>
      <c r="L29" s="76">
        <f t="shared" si="27"/>
        <v>17090.23326</v>
      </c>
      <c r="M29" s="2"/>
      <c r="N29" s="76">
        <f t="shared" si="5"/>
        <v>18637.97846</v>
      </c>
      <c r="O29" s="42">
        <v>4726.0</v>
      </c>
      <c r="P29" s="2"/>
      <c r="Q29" s="2"/>
      <c r="R29" s="2"/>
      <c r="S29" s="2"/>
      <c r="T29" s="77">
        <v>3789.278334</v>
      </c>
      <c r="U29" s="78">
        <v>7.0</v>
      </c>
      <c r="V29" s="2"/>
      <c r="W29" s="79">
        <f t="shared" si="25"/>
        <v>3789.278334</v>
      </c>
      <c r="X29" s="41">
        <f t="shared" si="26"/>
        <v>7</v>
      </c>
      <c r="Y29" s="2"/>
      <c r="Z29" s="2"/>
      <c r="AA29" s="2"/>
      <c r="AB29" s="2"/>
      <c r="AC29" s="77">
        <v>3299.278334</v>
      </c>
      <c r="AD29" s="42">
        <v>7.0</v>
      </c>
      <c r="AE29" s="2"/>
      <c r="AF29" s="2"/>
      <c r="AG29" s="2"/>
      <c r="AH29" s="2"/>
      <c r="AI29" s="2"/>
      <c r="AJ29" s="2"/>
      <c r="AK29" s="2"/>
      <c r="AL29" s="2"/>
      <c r="AM29" s="2"/>
      <c r="AN29" s="2"/>
    </row>
    <row r="30" ht="12.0" customHeight="1">
      <c r="A30" s="2"/>
      <c r="B30" s="4" t="s">
        <v>66</v>
      </c>
      <c r="C30" s="74">
        <v>1988.56728715</v>
      </c>
      <c r="D30" s="74">
        <v>21993.56198</v>
      </c>
      <c r="E30" s="76">
        <f t="shared" si="2"/>
        <v>23982.12927</v>
      </c>
      <c r="F30" s="2"/>
      <c r="G30" s="2"/>
      <c r="H30" s="2"/>
      <c r="I30" s="76">
        <f t="shared" si="3"/>
        <v>0</v>
      </c>
      <c r="J30" s="2"/>
      <c r="K30" s="76">
        <f t="shared" ref="K30:L30" si="28">SUM(C30,G30)</f>
        <v>1988.567287</v>
      </c>
      <c r="L30" s="76">
        <f t="shared" si="28"/>
        <v>21993.56198</v>
      </c>
      <c r="M30" s="2"/>
      <c r="N30" s="76">
        <f t="shared" si="5"/>
        <v>23982.12927</v>
      </c>
      <c r="O30" s="42">
        <v>5536.0</v>
      </c>
      <c r="P30" s="2"/>
      <c r="Q30" s="2"/>
      <c r="R30" s="2"/>
      <c r="S30" s="2"/>
      <c r="T30" s="77">
        <v>4203.022519</v>
      </c>
      <c r="U30" s="78">
        <v>13.0</v>
      </c>
      <c r="V30" s="2"/>
      <c r="W30" s="79">
        <f t="shared" si="25"/>
        <v>4203.022519</v>
      </c>
      <c r="X30" s="41">
        <f t="shared" si="26"/>
        <v>13</v>
      </c>
      <c r="Y30" s="2"/>
      <c r="Z30" s="2"/>
      <c r="AA30" s="2"/>
      <c r="AB30" s="2"/>
      <c r="AC30" s="77">
        <v>4203.022519</v>
      </c>
      <c r="AD30" s="42">
        <v>13.0</v>
      </c>
      <c r="AE30" s="2"/>
      <c r="AF30" s="2"/>
      <c r="AG30" s="2"/>
      <c r="AH30" s="2"/>
      <c r="AI30" s="2"/>
      <c r="AJ30" s="2"/>
      <c r="AK30" s="2"/>
      <c r="AL30" s="2"/>
      <c r="AM30" s="2"/>
      <c r="AN30" s="2"/>
    </row>
    <row r="31" ht="12.0" customHeight="1">
      <c r="A31" s="2"/>
      <c r="B31" s="4" t="s">
        <v>74</v>
      </c>
      <c r="C31" s="74">
        <v>2342.84996451</v>
      </c>
      <c r="D31" s="74">
        <v>12125.1269014899</v>
      </c>
      <c r="E31" s="76">
        <f t="shared" si="2"/>
        <v>14467.97687</v>
      </c>
      <c r="F31" s="2"/>
      <c r="G31" s="74">
        <v>189.82049549</v>
      </c>
      <c r="H31" s="2"/>
      <c r="I31" s="76">
        <f t="shared" si="3"/>
        <v>189.8204955</v>
      </c>
      <c r="J31" s="2"/>
      <c r="K31" s="76">
        <f t="shared" ref="K31:L31" si="29">SUM(C31,G31)</f>
        <v>2532.67046</v>
      </c>
      <c r="L31" s="76">
        <f t="shared" si="29"/>
        <v>12125.1269</v>
      </c>
      <c r="M31" s="2"/>
      <c r="N31" s="76">
        <f t="shared" si="5"/>
        <v>14657.79736</v>
      </c>
      <c r="O31" s="42">
        <v>3789.0</v>
      </c>
      <c r="P31" s="2"/>
      <c r="Q31" s="77">
        <v>500.0</v>
      </c>
      <c r="R31" s="78">
        <v>5.0</v>
      </c>
      <c r="S31" s="2"/>
      <c r="T31" s="77">
        <v>599.922935999999</v>
      </c>
      <c r="U31" s="78">
        <v>3.0</v>
      </c>
      <c r="V31" s="2"/>
      <c r="W31" s="79">
        <f t="shared" si="25"/>
        <v>1099.922936</v>
      </c>
      <c r="X31" s="41">
        <f t="shared" si="26"/>
        <v>8</v>
      </c>
      <c r="Y31" s="2"/>
      <c r="Z31" s="2"/>
      <c r="AA31" s="2"/>
      <c r="AB31" s="2"/>
      <c r="AC31" s="77">
        <v>599.922935999999</v>
      </c>
      <c r="AD31" s="42">
        <v>3.0</v>
      </c>
      <c r="AE31" s="2"/>
      <c r="AF31" s="2"/>
      <c r="AG31" s="2"/>
      <c r="AH31" s="2"/>
      <c r="AI31" s="2"/>
      <c r="AJ31" s="2"/>
      <c r="AK31" s="2"/>
      <c r="AL31" s="2"/>
      <c r="AM31" s="2"/>
      <c r="AN31" s="2"/>
    </row>
    <row r="32" ht="12.0" customHeight="1">
      <c r="A32" s="2"/>
      <c r="B32" s="4" t="s">
        <v>75</v>
      </c>
      <c r="C32" s="74">
        <v>1839.93494174999</v>
      </c>
      <c r="D32" s="74">
        <v>10706.3900405899</v>
      </c>
      <c r="E32" s="76">
        <f t="shared" si="2"/>
        <v>12546.32498</v>
      </c>
      <c r="F32" s="2"/>
      <c r="G32" s="74">
        <v>475.53550092</v>
      </c>
      <c r="H32" s="2"/>
      <c r="I32" s="76">
        <f t="shared" si="3"/>
        <v>475.5355009</v>
      </c>
      <c r="J32" s="2"/>
      <c r="K32" s="76">
        <f t="shared" ref="K32:L32" si="30">SUM(C32,G32)</f>
        <v>2315.470443</v>
      </c>
      <c r="L32" s="76">
        <f t="shared" si="30"/>
        <v>10706.39004</v>
      </c>
      <c r="M32" s="2"/>
      <c r="N32" s="76">
        <f t="shared" si="5"/>
        <v>13021.86048</v>
      </c>
      <c r="O32" s="42">
        <v>2812.0</v>
      </c>
      <c r="P32" s="2"/>
      <c r="Q32" s="77">
        <v>200.0</v>
      </c>
      <c r="R32" s="78">
        <v>5.0</v>
      </c>
      <c r="S32" s="2"/>
      <c r="T32" s="77">
        <v>404.000009</v>
      </c>
      <c r="U32" s="78">
        <v>2.0</v>
      </c>
      <c r="V32" s="2"/>
      <c r="W32" s="79">
        <f t="shared" si="25"/>
        <v>604.000009</v>
      </c>
      <c r="X32" s="41">
        <f t="shared" si="26"/>
        <v>7</v>
      </c>
      <c r="Y32" s="2"/>
      <c r="Z32" s="2"/>
      <c r="AA32" s="2"/>
      <c r="AB32" s="2"/>
      <c r="AC32" s="77">
        <v>404.000009</v>
      </c>
      <c r="AD32" s="42">
        <v>2.0</v>
      </c>
      <c r="AE32" s="2"/>
      <c r="AF32" s="2"/>
      <c r="AG32" s="2"/>
      <c r="AH32" s="2"/>
      <c r="AI32" s="2"/>
      <c r="AJ32" s="2"/>
      <c r="AK32" s="2"/>
      <c r="AL32" s="2"/>
      <c r="AM32" s="2"/>
      <c r="AN32" s="2"/>
    </row>
    <row r="33" ht="12.0" customHeight="1">
      <c r="A33" s="40">
        <v>1988.0</v>
      </c>
      <c r="B33" s="4" t="s">
        <v>58</v>
      </c>
      <c r="C33" s="74">
        <v>1791.68883624</v>
      </c>
      <c r="D33" s="74">
        <v>6158.04592199999</v>
      </c>
      <c r="E33" s="76">
        <f t="shared" si="2"/>
        <v>7949.734758</v>
      </c>
      <c r="F33" s="2"/>
      <c r="G33" s="74">
        <v>167.97167163</v>
      </c>
      <c r="H33" s="2"/>
      <c r="I33" s="76">
        <f t="shared" si="3"/>
        <v>167.9716716</v>
      </c>
      <c r="J33" s="2"/>
      <c r="K33" s="76">
        <f t="shared" ref="K33:L33" si="31">SUM(C33,G33)</f>
        <v>1959.660508</v>
      </c>
      <c r="L33" s="76">
        <f t="shared" si="31"/>
        <v>6158.045922</v>
      </c>
      <c r="M33" s="2"/>
      <c r="N33" s="76">
        <f t="shared" si="5"/>
        <v>8117.70643</v>
      </c>
      <c r="O33" s="42">
        <v>1669.0</v>
      </c>
      <c r="P33" s="2"/>
      <c r="Q33" s="77">
        <v>1572.155828</v>
      </c>
      <c r="R33" s="78">
        <v>25.0</v>
      </c>
      <c r="S33" s="2"/>
      <c r="T33" s="77">
        <v>1400.517682</v>
      </c>
      <c r="U33" s="78">
        <v>7.0</v>
      </c>
      <c r="V33" s="2"/>
      <c r="W33" s="79">
        <f t="shared" si="25"/>
        <v>2972.67351</v>
      </c>
      <c r="X33" s="41">
        <f t="shared" si="26"/>
        <v>32</v>
      </c>
      <c r="Y33" s="2"/>
      <c r="Z33" s="2"/>
      <c r="AA33" s="2"/>
      <c r="AB33" s="2"/>
      <c r="AC33" s="77">
        <v>1400.517682</v>
      </c>
      <c r="AD33" s="42">
        <v>7.0</v>
      </c>
      <c r="AE33" s="2"/>
      <c r="AF33" s="2"/>
      <c r="AG33" s="2"/>
      <c r="AH33" s="2"/>
      <c r="AI33" s="2"/>
      <c r="AJ33" s="2"/>
      <c r="AK33" s="2"/>
      <c r="AL33" s="2"/>
      <c r="AM33" s="2"/>
      <c r="AN33" s="2"/>
    </row>
    <row r="34" ht="12.0" customHeight="1">
      <c r="A34" s="2"/>
      <c r="B34" s="4" t="s">
        <v>66</v>
      </c>
      <c r="C34" s="74">
        <v>6827.98522531</v>
      </c>
      <c r="D34" s="74">
        <v>9098.078451</v>
      </c>
      <c r="E34" s="76">
        <f t="shared" si="2"/>
        <v>15926.06368</v>
      </c>
      <c r="F34" s="2"/>
      <c r="G34" s="74">
        <v>993.29472249</v>
      </c>
      <c r="H34" s="2"/>
      <c r="I34" s="76">
        <f t="shared" si="3"/>
        <v>993.2947225</v>
      </c>
      <c r="J34" s="2"/>
      <c r="K34" s="76">
        <f t="shared" ref="K34:L34" si="32">SUM(C34,G34)</f>
        <v>7821.279948</v>
      </c>
      <c r="L34" s="76">
        <f t="shared" si="32"/>
        <v>9098.078451</v>
      </c>
      <c r="M34" s="2"/>
      <c r="N34" s="76">
        <f t="shared" si="5"/>
        <v>16919.3584</v>
      </c>
      <c r="O34" s="42">
        <v>2644.0</v>
      </c>
      <c r="P34" s="2"/>
      <c r="Q34" s="77">
        <v>3949.07782199999</v>
      </c>
      <c r="R34" s="78">
        <v>64.0</v>
      </c>
      <c r="S34" s="2"/>
      <c r="T34" s="77">
        <v>652.024631</v>
      </c>
      <c r="U34" s="78">
        <v>3.0</v>
      </c>
      <c r="V34" s="2"/>
      <c r="W34" s="79">
        <f t="shared" si="25"/>
        <v>4601.102453</v>
      </c>
      <c r="X34" s="41">
        <f t="shared" si="26"/>
        <v>67</v>
      </c>
      <c r="Y34" s="2"/>
      <c r="Z34" s="2"/>
      <c r="AA34" s="2"/>
      <c r="AB34" s="2"/>
      <c r="AC34" s="77">
        <v>652.024631</v>
      </c>
      <c r="AD34" s="42">
        <v>3.0</v>
      </c>
      <c r="AE34" s="2"/>
      <c r="AF34" s="2"/>
      <c r="AG34" s="2"/>
      <c r="AH34" s="2"/>
      <c r="AI34" s="2"/>
      <c r="AJ34" s="2"/>
      <c r="AK34" s="2"/>
      <c r="AL34" s="2"/>
      <c r="AM34" s="2"/>
      <c r="AN34" s="2"/>
    </row>
    <row r="35" ht="12.0" customHeight="1">
      <c r="A35" s="2"/>
      <c r="B35" s="4" t="s">
        <v>74</v>
      </c>
      <c r="C35" s="74">
        <v>6013.54305145999</v>
      </c>
      <c r="D35" s="74">
        <v>11138.631059</v>
      </c>
      <c r="E35" s="76">
        <f t="shared" si="2"/>
        <v>17152.17411</v>
      </c>
      <c r="F35" s="2"/>
      <c r="G35" s="74">
        <v>466.655233649999</v>
      </c>
      <c r="H35" s="2"/>
      <c r="I35" s="76">
        <f t="shared" si="3"/>
        <v>466.6552336</v>
      </c>
      <c r="J35" s="2"/>
      <c r="K35" s="76">
        <f t="shared" ref="K35:L35" si="33">SUM(C35,G35)</f>
        <v>6480.198285</v>
      </c>
      <c r="L35" s="76">
        <f t="shared" si="33"/>
        <v>11138.63106</v>
      </c>
      <c r="M35" s="2"/>
      <c r="N35" s="76">
        <f t="shared" si="5"/>
        <v>17618.82934</v>
      </c>
      <c r="O35" s="42">
        <v>2895.0</v>
      </c>
      <c r="P35" s="2"/>
      <c r="Q35" s="77">
        <v>2125.14</v>
      </c>
      <c r="R35" s="78">
        <v>37.0</v>
      </c>
      <c r="S35" s="2"/>
      <c r="T35" s="77">
        <v>2302.091309</v>
      </c>
      <c r="U35" s="78">
        <v>10.0</v>
      </c>
      <c r="V35" s="2"/>
      <c r="W35" s="79">
        <f t="shared" si="25"/>
        <v>4427.231309</v>
      </c>
      <c r="X35" s="41">
        <f t="shared" si="26"/>
        <v>47</v>
      </c>
      <c r="Y35" s="2"/>
      <c r="Z35" s="2"/>
      <c r="AA35" s="2"/>
      <c r="AB35" s="2"/>
      <c r="AC35" s="77">
        <v>1600.091229</v>
      </c>
      <c r="AD35" s="42">
        <v>6.0</v>
      </c>
      <c r="AE35" s="2"/>
      <c r="AF35" s="2"/>
      <c r="AG35" s="2"/>
      <c r="AH35" s="2"/>
      <c r="AI35" s="2"/>
      <c r="AJ35" s="2"/>
      <c r="AK35" s="2"/>
      <c r="AL35" s="2"/>
      <c r="AM35" s="2"/>
      <c r="AN35" s="2"/>
    </row>
    <row r="36" ht="12.0" customHeight="1">
      <c r="A36" s="2"/>
      <c r="B36" s="4" t="s">
        <v>75</v>
      </c>
      <c r="C36" s="74">
        <v>6505.83762689999</v>
      </c>
      <c r="D36" s="74">
        <v>13653.857116</v>
      </c>
      <c r="E36" s="76">
        <f t="shared" si="2"/>
        <v>20159.69474</v>
      </c>
      <c r="F36" s="2"/>
      <c r="G36" s="74">
        <v>463.80129903</v>
      </c>
      <c r="H36" s="2"/>
      <c r="I36" s="76">
        <f t="shared" si="3"/>
        <v>463.801299</v>
      </c>
      <c r="J36" s="2"/>
      <c r="K36" s="76">
        <f t="shared" ref="K36:L36" si="34">SUM(C36,G36)</f>
        <v>6969.638926</v>
      </c>
      <c r="L36" s="76">
        <f t="shared" si="34"/>
        <v>13653.85712</v>
      </c>
      <c r="M36" s="2"/>
      <c r="N36" s="76">
        <f t="shared" si="5"/>
        <v>20623.49604</v>
      </c>
      <c r="O36" s="42">
        <v>3023.0</v>
      </c>
      <c r="P36" s="2"/>
      <c r="Q36" s="77">
        <v>3549.76428799999</v>
      </c>
      <c r="R36" s="78">
        <v>60.0</v>
      </c>
      <c r="S36" s="2"/>
      <c r="T36" s="77">
        <v>1201.542423</v>
      </c>
      <c r="U36" s="78">
        <v>7.0</v>
      </c>
      <c r="V36" s="2"/>
      <c r="W36" s="79">
        <f t="shared" si="25"/>
        <v>4751.306711</v>
      </c>
      <c r="X36" s="41">
        <f t="shared" si="26"/>
        <v>67</v>
      </c>
      <c r="Y36" s="2"/>
      <c r="Z36" s="2"/>
      <c r="AA36" s="2"/>
      <c r="AB36" s="2"/>
      <c r="AC36" s="77">
        <v>1001.542423</v>
      </c>
      <c r="AD36" s="42">
        <v>5.0</v>
      </c>
      <c r="AE36" s="2"/>
      <c r="AF36" s="2"/>
      <c r="AG36" s="2"/>
      <c r="AH36" s="2"/>
      <c r="AI36" s="2"/>
      <c r="AJ36" s="2"/>
      <c r="AK36" s="2"/>
      <c r="AL36" s="2"/>
      <c r="AM36" s="2"/>
      <c r="AN36" s="2"/>
    </row>
    <row r="37" ht="12.0" customHeight="1">
      <c r="A37" s="40">
        <v>1989.0</v>
      </c>
      <c r="B37" s="4" t="s">
        <v>58</v>
      </c>
      <c r="C37" s="74">
        <v>5824.08900910999</v>
      </c>
      <c r="D37" s="74">
        <v>10623.290222</v>
      </c>
      <c r="E37" s="76">
        <f t="shared" si="2"/>
        <v>16447.37923</v>
      </c>
      <c r="F37" s="2"/>
      <c r="G37" s="74">
        <v>522.634780629999</v>
      </c>
      <c r="H37" s="74">
        <v>89.414585</v>
      </c>
      <c r="I37" s="76">
        <f t="shared" si="3"/>
        <v>612.0493656</v>
      </c>
      <c r="J37" s="2"/>
      <c r="K37" s="76">
        <f t="shared" ref="K37:L37" si="35">SUM(C37,G37)</f>
        <v>6346.72379</v>
      </c>
      <c r="L37" s="76">
        <f t="shared" si="35"/>
        <v>10712.70481</v>
      </c>
      <c r="M37" s="2"/>
      <c r="N37" s="76">
        <f t="shared" si="5"/>
        <v>17059.4286</v>
      </c>
      <c r="O37" s="42">
        <v>2928.0</v>
      </c>
      <c r="P37" s="2"/>
      <c r="Q37" s="77">
        <v>3572.908039</v>
      </c>
      <c r="R37" s="78">
        <v>95.0</v>
      </c>
      <c r="S37" s="2"/>
      <c r="T37" s="77">
        <v>1100.040894</v>
      </c>
      <c r="U37" s="78">
        <v>5.0</v>
      </c>
      <c r="V37" s="2"/>
      <c r="W37" s="79">
        <f t="shared" si="25"/>
        <v>4672.948933</v>
      </c>
      <c r="X37" s="41">
        <f t="shared" si="26"/>
        <v>100</v>
      </c>
      <c r="Y37" s="2"/>
      <c r="Z37" s="2"/>
      <c r="AA37" s="2"/>
      <c r="AB37" s="2"/>
      <c r="AC37" s="77">
        <v>1100.040894</v>
      </c>
      <c r="AD37" s="42">
        <v>5.0</v>
      </c>
      <c r="AE37" s="2"/>
      <c r="AF37" s="2"/>
      <c r="AG37" s="2"/>
      <c r="AH37" s="2"/>
      <c r="AI37" s="2"/>
      <c r="AJ37" s="2"/>
      <c r="AK37" s="2"/>
      <c r="AL37" s="2"/>
      <c r="AM37" s="2"/>
      <c r="AN37" s="2"/>
    </row>
    <row r="38" ht="12.0" customHeight="1">
      <c r="A38" s="2"/>
      <c r="B38" s="4" t="s">
        <v>66</v>
      </c>
      <c r="C38" s="74">
        <v>3635.92348758</v>
      </c>
      <c r="D38" s="74">
        <v>9625.366813</v>
      </c>
      <c r="E38" s="76">
        <f t="shared" si="2"/>
        <v>13261.2903</v>
      </c>
      <c r="F38" s="2"/>
      <c r="G38" s="74">
        <v>580.0985175</v>
      </c>
      <c r="H38" s="74">
        <v>395.08452</v>
      </c>
      <c r="I38" s="76">
        <f t="shared" si="3"/>
        <v>975.1830375</v>
      </c>
      <c r="J38" s="2"/>
      <c r="K38" s="76">
        <f t="shared" ref="K38:L38" si="36">SUM(C38,G38)</f>
        <v>4216.022005</v>
      </c>
      <c r="L38" s="76">
        <f t="shared" si="36"/>
        <v>10020.45133</v>
      </c>
      <c r="M38" s="2"/>
      <c r="N38" s="76">
        <f t="shared" si="5"/>
        <v>14236.47334</v>
      </c>
      <c r="O38" s="42">
        <v>3345.0</v>
      </c>
      <c r="P38" s="2"/>
      <c r="Q38" s="77">
        <v>7203.540197</v>
      </c>
      <c r="R38" s="78">
        <v>155.0</v>
      </c>
      <c r="S38" s="2"/>
      <c r="T38" s="77">
        <v>400.000001</v>
      </c>
      <c r="U38" s="78">
        <v>2.0</v>
      </c>
      <c r="V38" s="2"/>
      <c r="W38" s="79">
        <f t="shared" si="25"/>
        <v>7603.540198</v>
      </c>
      <c r="X38" s="41">
        <f t="shared" si="26"/>
        <v>157</v>
      </c>
      <c r="Y38" s="2"/>
      <c r="Z38" s="2"/>
      <c r="AA38" s="2"/>
      <c r="AB38" s="2"/>
      <c r="AC38" s="77">
        <v>400.400001</v>
      </c>
      <c r="AD38" s="42">
        <v>4.0</v>
      </c>
      <c r="AE38" s="2"/>
      <c r="AF38" s="2"/>
      <c r="AG38" s="2"/>
      <c r="AH38" s="2"/>
      <c r="AI38" s="2"/>
      <c r="AJ38" s="2"/>
      <c r="AK38" s="2"/>
      <c r="AL38" s="2"/>
      <c r="AM38" s="2"/>
      <c r="AN38" s="2"/>
    </row>
    <row r="39" ht="12.0" customHeight="1">
      <c r="A39" s="2"/>
      <c r="B39" s="4" t="s">
        <v>74</v>
      </c>
      <c r="C39" s="74">
        <v>4765.04968687999</v>
      </c>
      <c r="D39" s="74">
        <v>16711.2381329999</v>
      </c>
      <c r="E39" s="76">
        <f t="shared" si="2"/>
        <v>21476.28782</v>
      </c>
      <c r="F39" s="2"/>
      <c r="G39" s="74">
        <v>1110.99229655</v>
      </c>
      <c r="H39" s="2"/>
      <c r="I39" s="76">
        <f t="shared" si="3"/>
        <v>1110.992297</v>
      </c>
      <c r="J39" s="2"/>
      <c r="K39" s="76">
        <f t="shared" ref="K39:L39" si="37">SUM(C39,G39)</f>
        <v>5876.041983</v>
      </c>
      <c r="L39" s="76">
        <f t="shared" si="37"/>
        <v>16711.23813</v>
      </c>
      <c r="M39" s="2"/>
      <c r="N39" s="76">
        <f t="shared" si="5"/>
        <v>22587.28012</v>
      </c>
      <c r="O39" s="42">
        <v>3871.0</v>
      </c>
      <c r="P39" s="2"/>
      <c r="Q39" s="77">
        <v>10890.16</v>
      </c>
      <c r="R39" s="78">
        <v>271.0</v>
      </c>
      <c r="S39" s="2"/>
      <c r="T39" s="77">
        <v>2207.07121</v>
      </c>
      <c r="U39" s="78">
        <v>8.0</v>
      </c>
      <c r="V39" s="2"/>
      <c r="W39" s="79">
        <f t="shared" si="25"/>
        <v>13097.23121</v>
      </c>
      <c r="X39" s="41">
        <f t="shared" si="26"/>
        <v>279</v>
      </c>
      <c r="Y39" s="2"/>
      <c r="Z39" s="2"/>
      <c r="AA39" s="2"/>
      <c r="AB39" s="2"/>
      <c r="AC39" s="77">
        <v>2208.81621</v>
      </c>
      <c r="AD39" s="42">
        <v>15.0</v>
      </c>
      <c r="AE39" s="2"/>
      <c r="AF39" s="2"/>
      <c r="AG39" s="2"/>
      <c r="AH39" s="2"/>
      <c r="AI39" s="2"/>
      <c r="AJ39" s="2"/>
      <c r="AK39" s="2"/>
      <c r="AL39" s="2"/>
      <c r="AM39" s="2"/>
      <c r="AN39" s="2"/>
    </row>
    <row r="40" ht="12.0" customHeight="1">
      <c r="A40" s="2"/>
      <c r="B40" s="4" t="s">
        <v>75</v>
      </c>
      <c r="C40" s="74">
        <v>4556.4084383</v>
      </c>
      <c r="D40" s="74">
        <v>24829.6843719999</v>
      </c>
      <c r="E40" s="76">
        <f t="shared" si="2"/>
        <v>29386.09281</v>
      </c>
      <c r="F40" s="2"/>
      <c r="G40" s="74">
        <v>128.2252133</v>
      </c>
      <c r="H40" s="2"/>
      <c r="I40" s="76">
        <f t="shared" si="3"/>
        <v>128.2252133</v>
      </c>
      <c r="J40" s="2"/>
      <c r="K40" s="76">
        <f t="shared" ref="K40:L40" si="38">SUM(C40,G40)</f>
        <v>4684.633652</v>
      </c>
      <c r="L40" s="76">
        <f t="shared" si="38"/>
        <v>24829.68437</v>
      </c>
      <c r="M40" s="2"/>
      <c r="N40" s="76">
        <f t="shared" si="5"/>
        <v>29514.31802</v>
      </c>
      <c r="O40" s="42">
        <v>5031.0</v>
      </c>
      <c r="P40" s="2"/>
      <c r="Q40" s="77">
        <v>15159.565</v>
      </c>
      <c r="R40" s="78">
        <v>470.0</v>
      </c>
      <c r="S40" s="2"/>
      <c r="T40" s="77">
        <v>425.0</v>
      </c>
      <c r="U40" s="78">
        <v>2.0</v>
      </c>
      <c r="V40" s="2"/>
      <c r="W40" s="79">
        <f t="shared" si="25"/>
        <v>15584.565</v>
      </c>
      <c r="X40" s="41">
        <f t="shared" si="26"/>
        <v>472</v>
      </c>
      <c r="Y40" s="2"/>
      <c r="Z40" s="2"/>
      <c r="AA40" s="2"/>
      <c r="AB40" s="2"/>
      <c r="AC40" s="77">
        <v>426.4</v>
      </c>
      <c r="AD40" s="42">
        <v>6.0</v>
      </c>
      <c r="AE40" s="2"/>
      <c r="AF40" s="2"/>
      <c r="AG40" s="2"/>
      <c r="AH40" s="2"/>
      <c r="AI40" s="2"/>
      <c r="AJ40" s="2"/>
      <c r="AK40" s="2"/>
      <c r="AL40" s="2"/>
      <c r="AM40" s="2"/>
      <c r="AN40" s="2"/>
    </row>
    <row r="41" ht="12.0" customHeight="1">
      <c r="A41" s="40">
        <v>1990.0</v>
      </c>
      <c r="B41" s="4" t="s">
        <v>58</v>
      </c>
      <c r="C41" s="74">
        <v>2880.32217995999</v>
      </c>
      <c r="D41" s="74">
        <v>24381.25333</v>
      </c>
      <c r="E41" s="76">
        <f t="shared" si="2"/>
        <v>27261.57551</v>
      </c>
      <c r="F41" s="2"/>
      <c r="G41" s="74">
        <v>58.564271</v>
      </c>
      <c r="H41" s="74">
        <v>56.535031</v>
      </c>
      <c r="I41" s="76">
        <f t="shared" si="3"/>
        <v>115.099302</v>
      </c>
      <c r="J41" s="2"/>
      <c r="K41" s="76">
        <f t="shared" ref="K41:L41" si="39">SUM(C41,G41)</f>
        <v>2938.886451</v>
      </c>
      <c r="L41" s="76">
        <f t="shared" si="39"/>
        <v>24437.78836</v>
      </c>
      <c r="M41" s="2"/>
      <c r="N41" s="76">
        <f t="shared" si="5"/>
        <v>27376.67481</v>
      </c>
      <c r="O41" s="42">
        <v>4963.0</v>
      </c>
      <c r="P41" s="2"/>
      <c r="Q41" s="77">
        <v>14309.001</v>
      </c>
      <c r="R41" s="78">
        <v>420.0</v>
      </c>
      <c r="S41" s="2"/>
      <c r="T41" s="77">
        <v>2163.868702</v>
      </c>
      <c r="U41" s="78">
        <v>9.0</v>
      </c>
      <c r="V41" s="2"/>
      <c r="W41" s="79">
        <f t="shared" si="25"/>
        <v>16472.8697</v>
      </c>
      <c r="X41" s="41">
        <f t="shared" si="26"/>
        <v>429</v>
      </c>
      <c r="Y41" s="2"/>
      <c r="Z41" s="77">
        <v>1048.97274</v>
      </c>
      <c r="AA41" s="42">
        <v>4.0</v>
      </c>
      <c r="AB41" s="2"/>
      <c r="AC41" s="77">
        <v>2165.179702</v>
      </c>
      <c r="AD41" s="42">
        <v>15.0</v>
      </c>
      <c r="AE41" s="2"/>
      <c r="AF41" s="2"/>
      <c r="AG41" s="2"/>
      <c r="AH41" s="2"/>
      <c r="AI41" s="2"/>
      <c r="AJ41" s="2"/>
      <c r="AK41" s="2"/>
      <c r="AL41" s="2"/>
      <c r="AM41" s="2"/>
      <c r="AN41" s="2"/>
    </row>
    <row r="42" ht="12.0" customHeight="1">
      <c r="A42" s="2"/>
      <c r="B42" s="4" t="s">
        <v>66</v>
      </c>
      <c r="C42" s="74">
        <v>3371.50287199999</v>
      </c>
      <c r="D42" s="74">
        <v>23208.497274</v>
      </c>
      <c r="E42" s="76">
        <f t="shared" si="2"/>
        <v>26580.00015</v>
      </c>
      <c r="F42" s="2"/>
      <c r="G42" s="74">
        <v>124.153618</v>
      </c>
      <c r="H42" s="74">
        <v>7.52774499999999</v>
      </c>
      <c r="I42" s="76">
        <f t="shared" si="3"/>
        <v>131.681363</v>
      </c>
      <c r="J42" s="2"/>
      <c r="K42" s="76">
        <f t="shared" ref="K42:L42" si="40">SUM(C42,G42)</f>
        <v>3495.65649</v>
      </c>
      <c r="L42" s="76">
        <f t="shared" si="40"/>
        <v>23216.02502</v>
      </c>
      <c r="M42" s="2"/>
      <c r="N42" s="76">
        <f t="shared" si="5"/>
        <v>26711.68151</v>
      </c>
      <c r="O42" s="42">
        <v>5588.0</v>
      </c>
      <c r="P42" s="2"/>
      <c r="Q42" s="77">
        <v>13279.54</v>
      </c>
      <c r="R42" s="78">
        <v>467.0</v>
      </c>
      <c r="S42" s="2"/>
      <c r="T42" s="77">
        <v>1720.202487</v>
      </c>
      <c r="U42" s="78">
        <v>5.0</v>
      </c>
      <c r="V42" s="2"/>
      <c r="W42" s="79">
        <f t="shared" si="25"/>
        <v>14999.74249</v>
      </c>
      <c r="X42" s="41">
        <f t="shared" si="26"/>
        <v>472</v>
      </c>
      <c r="Y42" s="2"/>
      <c r="Z42" s="77">
        <v>200.002487</v>
      </c>
      <c r="AA42" s="42">
        <v>1.0</v>
      </c>
      <c r="AB42" s="2"/>
      <c r="AC42" s="77">
        <v>1723.558487</v>
      </c>
      <c r="AD42" s="42">
        <v>21.0</v>
      </c>
      <c r="AE42" s="2"/>
      <c r="AF42" s="2"/>
      <c r="AG42" s="2"/>
      <c r="AH42" s="2"/>
      <c r="AI42" s="2"/>
      <c r="AJ42" s="2"/>
      <c r="AK42" s="2"/>
      <c r="AL42" s="2"/>
      <c r="AM42" s="2"/>
      <c r="AN42" s="2"/>
    </row>
    <row r="43" ht="12.0" customHeight="1">
      <c r="A43" s="2"/>
      <c r="B43" s="4" t="s">
        <v>74</v>
      </c>
      <c r="C43" s="74">
        <v>3820.40251199999</v>
      </c>
      <c r="D43" s="74">
        <v>25994.1728469999</v>
      </c>
      <c r="E43" s="76">
        <f t="shared" si="2"/>
        <v>29814.57536</v>
      </c>
      <c r="F43" s="2"/>
      <c r="G43" s="74">
        <v>222.737822999999</v>
      </c>
      <c r="H43" s="74">
        <v>7.098762</v>
      </c>
      <c r="I43" s="76">
        <f t="shared" si="3"/>
        <v>229.836585</v>
      </c>
      <c r="J43" s="2"/>
      <c r="K43" s="76">
        <f t="shared" ref="K43:L43" si="41">SUM(C43,G43)</f>
        <v>4043.140335</v>
      </c>
      <c r="L43" s="76">
        <f t="shared" si="41"/>
        <v>26001.27161</v>
      </c>
      <c r="M43" s="2"/>
      <c r="N43" s="76">
        <f t="shared" si="5"/>
        <v>30044.41194</v>
      </c>
      <c r="O43" s="42">
        <v>5788.0</v>
      </c>
      <c r="P43" s="2"/>
      <c r="Q43" s="77">
        <v>19680.697955</v>
      </c>
      <c r="R43" s="78">
        <v>646.0</v>
      </c>
      <c r="S43" s="2"/>
      <c r="T43" s="77">
        <v>2350.221361</v>
      </c>
      <c r="U43" s="78">
        <v>5.0</v>
      </c>
      <c r="V43" s="2"/>
      <c r="W43" s="79">
        <f t="shared" si="25"/>
        <v>22030.91932</v>
      </c>
      <c r="X43" s="41">
        <f t="shared" si="26"/>
        <v>651</v>
      </c>
      <c r="Y43" s="2"/>
      <c r="Z43" s="2"/>
      <c r="AA43" s="2"/>
      <c r="AB43" s="2"/>
      <c r="AC43" s="77">
        <v>2360.921406</v>
      </c>
      <c r="AD43" s="42">
        <v>44.0</v>
      </c>
      <c r="AE43" s="2"/>
      <c r="AF43" s="2"/>
      <c r="AG43" s="2"/>
      <c r="AH43" s="2"/>
      <c r="AI43" s="2"/>
      <c r="AJ43" s="2"/>
      <c r="AK43" s="2"/>
      <c r="AL43" s="2"/>
      <c r="AM43" s="2"/>
      <c r="AN43" s="2"/>
    </row>
    <row r="44" ht="12.0" customHeight="1">
      <c r="A44" s="2"/>
      <c r="B44" s="4" t="s">
        <v>75</v>
      </c>
      <c r="C44" s="74">
        <v>4671.15811299999</v>
      </c>
      <c r="D44" s="74">
        <v>23617.502838</v>
      </c>
      <c r="E44" s="76">
        <f t="shared" si="2"/>
        <v>28288.66095</v>
      </c>
      <c r="F44" s="2"/>
      <c r="G44" s="74">
        <v>353.264195999999</v>
      </c>
      <c r="H44" s="74">
        <v>17.1334149999999</v>
      </c>
      <c r="I44" s="76">
        <f t="shared" si="3"/>
        <v>370.397611</v>
      </c>
      <c r="J44" s="2"/>
      <c r="K44" s="76">
        <f t="shared" ref="K44:L44" si="42">SUM(C44,G44)</f>
        <v>5024.422309</v>
      </c>
      <c r="L44" s="76">
        <f t="shared" si="42"/>
        <v>23634.63625</v>
      </c>
      <c r="M44" s="2"/>
      <c r="N44" s="76">
        <f t="shared" si="5"/>
        <v>28659.05856</v>
      </c>
      <c r="O44" s="42">
        <v>5571.0</v>
      </c>
      <c r="P44" s="2"/>
      <c r="Q44" s="77">
        <v>12108.128341</v>
      </c>
      <c r="R44" s="78">
        <v>413.0</v>
      </c>
      <c r="S44" s="2"/>
      <c r="T44" s="77">
        <v>1140.613804</v>
      </c>
      <c r="U44" s="78">
        <v>5.0</v>
      </c>
      <c r="V44" s="2"/>
      <c r="W44" s="79">
        <f t="shared" si="25"/>
        <v>13248.74215</v>
      </c>
      <c r="X44" s="41">
        <f t="shared" si="26"/>
        <v>418</v>
      </c>
      <c r="Y44" s="2"/>
      <c r="Z44" s="2"/>
      <c r="AA44" s="2"/>
      <c r="AB44" s="2"/>
      <c r="AC44" s="77">
        <v>1156.936593</v>
      </c>
      <c r="AD44" s="42">
        <v>43.0</v>
      </c>
      <c r="AE44" s="2"/>
      <c r="AF44" s="2"/>
      <c r="AG44" s="2"/>
      <c r="AH44" s="2"/>
      <c r="AI44" s="2"/>
      <c r="AJ44" s="2"/>
      <c r="AK44" s="2"/>
      <c r="AL44" s="2"/>
      <c r="AM44" s="2"/>
      <c r="AN44" s="2"/>
    </row>
    <row r="45" ht="12.0" customHeight="1">
      <c r="A45" s="40">
        <v>1991.0</v>
      </c>
      <c r="B45" s="4" t="s">
        <v>58</v>
      </c>
      <c r="C45" s="74">
        <v>3042.152919</v>
      </c>
      <c r="D45" s="74">
        <v>14938.8745959999</v>
      </c>
      <c r="E45" s="76">
        <f t="shared" si="2"/>
        <v>17981.02751</v>
      </c>
      <c r="F45" s="2"/>
      <c r="G45" s="2"/>
      <c r="H45" s="74">
        <v>4.333289</v>
      </c>
      <c r="I45" s="76">
        <f t="shared" si="3"/>
        <v>4.333289</v>
      </c>
      <c r="J45" s="2"/>
      <c r="K45" s="76">
        <f t="shared" ref="K45:L45" si="43">SUM(C45,G45)</f>
        <v>3042.152919</v>
      </c>
      <c r="L45" s="76">
        <f t="shared" si="43"/>
        <v>14943.20788</v>
      </c>
      <c r="M45" s="2"/>
      <c r="N45" s="76">
        <f t="shared" si="5"/>
        <v>17985.3608</v>
      </c>
      <c r="O45" s="42">
        <v>4494.0</v>
      </c>
      <c r="P45" s="2"/>
      <c r="Q45" s="77">
        <v>11828.3054629999</v>
      </c>
      <c r="R45" s="78">
        <v>498.0</v>
      </c>
      <c r="S45" s="2"/>
      <c r="T45" s="47">
        <v>398.845911</v>
      </c>
      <c r="U45" s="90">
        <v>2.0</v>
      </c>
      <c r="V45" s="2"/>
      <c r="W45" s="79">
        <f t="shared" si="25"/>
        <v>12227.15137</v>
      </c>
      <c r="X45" s="41">
        <f t="shared" si="26"/>
        <v>500</v>
      </c>
      <c r="Y45" s="79"/>
      <c r="Z45" s="77">
        <v>4431.50955099999</v>
      </c>
      <c r="AA45" s="42">
        <v>71.0</v>
      </c>
      <c r="AB45" s="2"/>
      <c r="AC45" s="77">
        <v>419.512648</v>
      </c>
      <c r="AD45" s="42">
        <v>64.0</v>
      </c>
      <c r="AE45" s="2"/>
      <c r="AF45" s="2"/>
      <c r="AG45" s="2"/>
      <c r="AH45" s="2"/>
      <c r="AI45" s="2"/>
      <c r="AJ45" s="2"/>
      <c r="AK45" s="2"/>
      <c r="AL45" s="2"/>
      <c r="AM45" s="2"/>
      <c r="AN45" s="2"/>
    </row>
    <row r="46" ht="12.0" customHeight="1">
      <c r="A46" s="2"/>
      <c r="B46" s="4" t="s">
        <v>66</v>
      </c>
      <c r="C46" s="74">
        <v>2614.959113</v>
      </c>
      <c r="D46" s="74">
        <v>26755.7236219999</v>
      </c>
      <c r="E46" s="76">
        <f t="shared" si="2"/>
        <v>29370.68273</v>
      </c>
      <c r="F46" s="2"/>
      <c r="G46" s="74">
        <v>256.47254</v>
      </c>
      <c r="H46" s="74">
        <v>1.793995</v>
      </c>
      <c r="I46" s="76">
        <f t="shared" si="3"/>
        <v>258.266535</v>
      </c>
      <c r="J46" s="2"/>
      <c r="K46" s="76">
        <f t="shared" ref="K46:L46" si="44">SUM(C46,G46)</f>
        <v>2871.431653</v>
      </c>
      <c r="L46" s="76">
        <f t="shared" si="44"/>
        <v>26757.51762</v>
      </c>
      <c r="M46" s="2"/>
      <c r="N46" s="76">
        <f t="shared" si="5"/>
        <v>29628.94927</v>
      </c>
      <c r="O46" s="42">
        <v>6695.0</v>
      </c>
      <c r="P46" s="2"/>
      <c r="Q46" s="77">
        <v>25156.1662919999</v>
      </c>
      <c r="R46" s="78">
        <v>948.0</v>
      </c>
      <c r="S46" s="2"/>
      <c r="T46" s="49"/>
      <c r="U46" s="91"/>
      <c r="V46" s="2"/>
      <c r="W46" s="79">
        <f t="shared" si="25"/>
        <v>25156.16629</v>
      </c>
      <c r="X46" s="41">
        <f t="shared" si="26"/>
        <v>948</v>
      </c>
      <c r="Y46" s="2"/>
      <c r="Z46" s="77">
        <v>2892.439784</v>
      </c>
      <c r="AA46" s="42">
        <v>62.0</v>
      </c>
      <c r="AB46" s="2"/>
      <c r="AC46" s="77">
        <v>26.4574279999999</v>
      </c>
      <c r="AD46" s="42">
        <v>110.0</v>
      </c>
      <c r="AE46" s="2"/>
      <c r="AF46" s="2"/>
      <c r="AG46" s="2"/>
      <c r="AH46" s="2"/>
      <c r="AI46" s="2"/>
      <c r="AJ46" s="2"/>
      <c r="AK46" s="2"/>
      <c r="AL46" s="2"/>
      <c r="AM46" s="2"/>
      <c r="AN46" s="2"/>
    </row>
    <row r="47" ht="12.0" customHeight="1">
      <c r="A47" s="2"/>
      <c r="B47" s="4" t="s">
        <v>74</v>
      </c>
      <c r="C47" s="74">
        <v>3428.285095</v>
      </c>
      <c r="D47" s="74">
        <v>28468.878007</v>
      </c>
      <c r="E47" s="76">
        <f t="shared" si="2"/>
        <v>31897.1631</v>
      </c>
      <c r="F47" s="2"/>
      <c r="G47" s="2"/>
      <c r="H47" s="2"/>
      <c r="I47" s="76">
        <f t="shared" si="3"/>
        <v>0</v>
      </c>
      <c r="J47" s="2"/>
      <c r="K47" s="76">
        <f t="shared" ref="K47:L47" si="45">SUM(C47,G47)</f>
        <v>3428.285095</v>
      </c>
      <c r="L47" s="76">
        <f t="shared" si="45"/>
        <v>28468.87801</v>
      </c>
      <c r="M47" s="2"/>
      <c r="N47" s="76">
        <f t="shared" si="5"/>
        <v>31897.1631</v>
      </c>
      <c r="O47" s="42">
        <v>6083.0</v>
      </c>
      <c r="P47" s="2"/>
      <c r="Q47" s="77">
        <v>31217.0791789999</v>
      </c>
      <c r="R47" s="78">
        <v>1237.0</v>
      </c>
      <c r="S47" s="2"/>
      <c r="T47" s="47">
        <v>4435.61572399999</v>
      </c>
      <c r="U47" s="90">
        <v>11.0</v>
      </c>
      <c r="V47" s="2"/>
      <c r="W47" s="79">
        <f t="shared" si="25"/>
        <v>35652.6949</v>
      </c>
      <c r="X47" s="41">
        <f t="shared" si="26"/>
        <v>1248</v>
      </c>
      <c r="Y47" s="2"/>
      <c r="Z47" s="77">
        <v>7420.536595</v>
      </c>
      <c r="AA47" s="42">
        <v>88.0</v>
      </c>
      <c r="AB47" s="2"/>
      <c r="AC47" s="77">
        <v>6895.646662</v>
      </c>
      <c r="AD47" s="42">
        <v>145.0</v>
      </c>
      <c r="AE47" s="2"/>
      <c r="AF47" s="2"/>
      <c r="AG47" s="2"/>
      <c r="AH47" s="2"/>
      <c r="AI47" s="2"/>
      <c r="AJ47" s="2"/>
      <c r="AK47" s="2"/>
      <c r="AL47" s="2"/>
      <c r="AM47" s="2"/>
      <c r="AN47" s="2"/>
    </row>
    <row r="48" ht="12.0" customHeight="1">
      <c r="A48" s="2"/>
      <c r="B48" s="4" t="s">
        <v>75</v>
      </c>
      <c r="C48" s="74">
        <v>3343.767531</v>
      </c>
      <c r="D48" s="74">
        <v>28683.3114729999</v>
      </c>
      <c r="E48" s="76">
        <f t="shared" si="2"/>
        <v>32027.079</v>
      </c>
      <c r="F48" s="2"/>
      <c r="G48" s="2"/>
      <c r="H48" s="2"/>
      <c r="I48" s="76">
        <f t="shared" si="3"/>
        <v>0</v>
      </c>
      <c r="J48" s="2"/>
      <c r="K48" s="76">
        <f t="shared" ref="K48:L48" si="46">SUM(C48,G48)</f>
        <v>3343.767531</v>
      </c>
      <c r="L48" s="76">
        <f t="shared" si="46"/>
        <v>28683.31147</v>
      </c>
      <c r="M48" s="2"/>
      <c r="N48" s="76">
        <f t="shared" si="5"/>
        <v>32027.079</v>
      </c>
      <c r="O48" s="42">
        <v>7170.0</v>
      </c>
      <c r="P48" s="2"/>
      <c r="Q48" s="77">
        <v>33483.2874199999</v>
      </c>
      <c r="R48" s="78">
        <v>1331.0</v>
      </c>
      <c r="S48" s="2"/>
      <c r="T48" s="47">
        <v>6168.41301</v>
      </c>
      <c r="U48" s="90">
        <v>14.0</v>
      </c>
      <c r="V48" s="2"/>
      <c r="W48" s="79">
        <f t="shared" si="25"/>
        <v>39651.70043</v>
      </c>
      <c r="X48" s="41">
        <f t="shared" si="26"/>
        <v>1345</v>
      </c>
      <c r="Y48" s="2"/>
      <c r="Z48" s="77">
        <v>11465.15654</v>
      </c>
      <c r="AA48" s="42">
        <v>130.0</v>
      </c>
      <c r="AB48" s="2"/>
      <c r="AC48" s="77">
        <v>9206.751073</v>
      </c>
      <c r="AD48" s="42">
        <v>188.0</v>
      </c>
      <c r="AE48" s="2"/>
      <c r="AF48" s="2"/>
      <c r="AG48" s="2"/>
      <c r="AH48" s="2"/>
      <c r="AI48" s="2"/>
      <c r="AJ48" s="2"/>
      <c r="AK48" s="2"/>
      <c r="AL48" s="2"/>
      <c r="AM48" s="2"/>
      <c r="AN48" s="2"/>
    </row>
    <row r="49" ht="12.0" customHeight="1">
      <c r="A49" s="40">
        <v>1992.0</v>
      </c>
      <c r="B49" s="4" t="s">
        <v>58</v>
      </c>
      <c r="C49" s="74">
        <v>2280.564782</v>
      </c>
      <c r="D49" s="74">
        <v>38871.0402129999</v>
      </c>
      <c r="E49" s="76">
        <f t="shared" si="2"/>
        <v>41151.60499</v>
      </c>
      <c r="F49" s="2"/>
      <c r="G49" s="74">
        <v>89.678028</v>
      </c>
      <c r="H49" s="2"/>
      <c r="I49" s="76">
        <f t="shared" si="3"/>
        <v>89.678028</v>
      </c>
      <c r="J49" s="2"/>
      <c r="K49" s="76">
        <f t="shared" ref="K49:L49" si="47">SUM(C49,G49)</f>
        <v>2370.24281</v>
      </c>
      <c r="L49" s="76">
        <f t="shared" si="47"/>
        <v>38871.04021</v>
      </c>
      <c r="M49" s="2"/>
      <c r="N49" s="76">
        <f t="shared" si="5"/>
        <v>41241.28302</v>
      </c>
      <c r="O49" s="42">
        <v>9434.0</v>
      </c>
      <c r="P49" s="2"/>
      <c r="Q49" s="77">
        <v>33106.2421549999</v>
      </c>
      <c r="R49" s="78">
        <v>1061.0</v>
      </c>
      <c r="S49" s="2"/>
      <c r="T49" s="47">
        <v>1681.60870399999</v>
      </c>
      <c r="U49" s="90">
        <v>13.0</v>
      </c>
      <c r="V49" s="2"/>
      <c r="W49" s="79">
        <f t="shared" si="25"/>
        <v>34787.85086</v>
      </c>
      <c r="X49" s="41">
        <f t="shared" si="26"/>
        <v>1074</v>
      </c>
      <c r="Y49" s="79"/>
      <c r="Z49" s="77">
        <v>10447.401384</v>
      </c>
      <c r="AA49" s="42">
        <v>122.0</v>
      </c>
      <c r="AB49" s="2"/>
      <c r="AC49" s="77">
        <v>1750.28846799999</v>
      </c>
      <c r="AD49" s="42">
        <v>114.0</v>
      </c>
      <c r="AE49" s="2"/>
      <c r="AF49" s="2"/>
      <c r="AG49" s="2"/>
      <c r="AH49" s="2"/>
      <c r="AI49" s="2"/>
      <c r="AJ49" s="2"/>
      <c r="AK49" s="2"/>
      <c r="AL49" s="2"/>
      <c r="AM49" s="2"/>
      <c r="AN49" s="2"/>
    </row>
    <row r="50" ht="12.0" customHeight="1">
      <c r="A50" s="2"/>
      <c r="B50" s="4" t="s">
        <v>66</v>
      </c>
      <c r="C50" s="74">
        <v>3110.572281</v>
      </c>
      <c r="D50" s="74">
        <v>50158.6614819999</v>
      </c>
      <c r="E50" s="76">
        <f t="shared" si="2"/>
        <v>53269.23376</v>
      </c>
      <c r="F50" s="2"/>
      <c r="G50" s="2"/>
      <c r="H50" s="74">
        <v>286.735536</v>
      </c>
      <c r="I50" s="76">
        <f t="shared" si="3"/>
        <v>286.735536</v>
      </c>
      <c r="J50" s="2"/>
      <c r="K50" s="76">
        <f t="shared" ref="K50:L50" si="48">SUM(C50,G50)</f>
        <v>3110.572281</v>
      </c>
      <c r="L50" s="76">
        <f t="shared" si="48"/>
        <v>50445.39702</v>
      </c>
      <c r="M50" s="2"/>
      <c r="N50" s="76">
        <f t="shared" si="5"/>
        <v>53555.9693</v>
      </c>
      <c r="O50" s="42">
        <v>11430.0</v>
      </c>
      <c r="P50" s="2"/>
      <c r="Q50" s="77">
        <v>41646.739095</v>
      </c>
      <c r="R50" s="78">
        <v>1296.0</v>
      </c>
      <c r="S50" s="2"/>
      <c r="T50" s="47">
        <v>2784.332929</v>
      </c>
      <c r="U50" s="90">
        <v>17.0</v>
      </c>
      <c r="V50" s="2"/>
      <c r="W50" s="79">
        <f t="shared" si="25"/>
        <v>44431.07202</v>
      </c>
      <c r="X50" s="41">
        <f t="shared" si="26"/>
        <v>1313</v>
      </c>
      <c r="Y50" s="2"/>
      <c r="Z50" s="77">
        <v>8502.729248</v>
      </c>
      <c r="AA50" s="42">
        <v>108.0</v>
      </c>
      <c r="AB50" s="2"/>
      <c r="AC50" s="77">
        <v>6317.017873</v>
      </c>
      <c r="AD50" s="42">
        <v>132.0</v>
      </c>
      <c r="AE50" s="2"/>
      <c r="AF50" s="2"/>
      <c r="AG50" s="2"/>
      <c r="AH50" s="2"/>
      <c r="AI50" s="2"/>
      <c r="AJ50" s="2"/>
      <c r="AK50" s="2"/>
      <c r="AL50" s="2"/>
      <c r="AM50" s="2"/>
      <c r="AN50" s="2"/>
    </row>
    <row r="51" ht="12.0" customHeight="1">
      <c r="A51" s="2"/>
      <c r="B51" s="4" t="s">
        <v>74</v>
      </c>
      <c r="C51" s="74">
        <v>3228.137937</v>
      </c>
      <c r="D51" s="74">
        <v>37950.46964</v>
      </c>
      <c r="E51" s="76">
        <f t="shared" si="2"/>
        <v>41178.60758</v>
      </c>
      <c r="F51" s="2"/>
      <c r="G51" s="74">
        <v>109.467863</v>
      </c>
      <c r="H51" s="74">
        <v>57.099433</v>
      </c>
      <c r="I51" s="76">
        <f t="shared" si="3"/>
        <v>166.567296</v>
      </c>
      <c r="J51" s="2"/>
      <c r="K51" s="76">
        <f t="shared" ref="K51:L51" si="49">SUM(C51,G51)</f>
        <v>3337.6058</v>
      </c>
      <c r="L51" s="76">
        <f t="shared" si="49"/>
        <v>38007.56907</v>
      </c>
      <c r="M51" s="2"/>
      <c r="N51" s="76">
        <f t="shared" si="5"/>
        <v>41345.17487</v>
      </c>
      <c r="O51" s="42">
        <v>9884.0</v>
      </c>
      <c r="P51" s="2"/>
      <c r="Q51" s="77">
        <v>50169.4032245498</v>
      </c>
      <c r="R51" s="78">
        <v>1721.0</v>
      </c>
      <c r="S51" s="2"/>
      <c r="T51" s="47">
        <v>3291.156204</v>
      </c>
      <c r="U51" s="90">
        <v>11.0</v>
      </c>
      <c r="V51" s="2"/>
      <c r="W51" s="79">
        <f t="shared" si="25"/>
        <v>53460.55943</v>
      </c>
      <c r="X51" s="41">
        <f t="shared" si="26"/>
        <v>1732</v>
      </c>
      <c r="Y51" s="2"/>
      <c r="Z51" s="77">
        <v>7775.79284899999</v>
      </c>
      <c r="AA51" s="42">
        <v>125.0</v>
      </c>
      <c r="AB51" s="2"/>
      <c r="AC51" s="77">
        <v>10221.439617</v>
      </c>
      <c r="AD51" s="42">
        <v>226.0</v>
      </c>
      <c r="AE51" s="2"/>
      <c r="AF51" s="2"/>
      <c r="AG51" s="2"/>
      <c r="AH51" s="2"/>
      <c r="AI51" s="2"/>
      <c r="AJ51" s="2"/>
      <c r="AK51" s="2"/>
      <c r="AL51" s="2"/>
      <c r="AM51" s="2"/>
      <c r="AN51" s="2"/>
    </row>
    <row r="52" ht="12.0" customHeight="1">
      <c r="A52" s="2"/>
      <c r="B52" s="4" t="s">
        <v>75</v>
      </c>
      <c r="C52" s="74">
        <v>3500.12092999999</v>
      </c>
      <c r="D52" s="74">
        <v>53885.392846</v>
      </c>
      <c r="E52" s="76">
        <f t="shared" si="2"/>
        <v>57385.51378</v>
      </c>
      <c r="F52" s="2"/>
      <c r="G52" s="2"/>
      <c r="H52" s="74">
        <v>138.913925</v>
      </c>
      <c r="I52" s="76">
        <f t="shared" si="3"/>
        <v>138.913925</v>
      </c>
      <c r="J52" s="2"/>
      <c r="K52" s="76">
        <f t="shared" ref="K52:L52" si="50">SUM(C52,G52)</f>
        <v>3500.12093</v>
      </c>
      <c r="L52" s="76">
        <f t="shared" si="50"/>
        <v>54024.30677</v>
      </c>
      <c r="M52" s="2"/>
      <c r="N52" s="76">
        <f t="shared" si="5"/>
        <v>57524.4277</v>
      </c>
      <c r="O52" s="42">
        <v>13034.0</v>
      </c>
      <c r="P52" s="2"/>
      <c r="Q52" s="77">
        <v>29759.1792279999</v>
      </c>
      <c r="R52" s="78">
        <v>1170.0</v>
      </c>
      <c r="S52" s="2"/>
      <c r="T52" s="47">
        <v>2311.291755</v>
      </c>
      <c r="U52" s="90">
        <v>8.0</v>
      </c>
      <c r="V52" s="2"/>
      <c r="W52" s="79">
        <f t="shared" si="25"/>
        <v>32070.47098</v>
      </c>
      <c r="X52" s="41">
        <f t="shared" si="26"/>
        <v>1178</v>
      </c>
      <c r="Y52" s="2"/>
      <c r="Z52" s="77">
        <v>8874.428002</v>
      </c>
      <c r="AA52" s="42">
        <v>139.0</v>
      </c>
      <c r="AB52" s="2"/>
      <c r="AC52" s="77">
        <v>8193.199806</v>
      </c>
      <c r="AD52" s="42">
        <v>138.0</v>
      </c>
      <c r="AE52" s="2"/>
      <c r="AF52" s="2"/>
      <c r="AG52" s="2"/>
      <c r="AH52" s="2"/>
      <c r="AI52" s="2"/>
      <c r="AJ52" s="2"/>
      <c r="AK52" s="2"/>
      <c r="AL52" s="2"/>
      <c r="AM52" s="2"/>
      <c r="AN52" s="2"/>
    </row>
    <row r="53" ht="12.0" customHeight="1">
      <c r="A53" s="40">
        <v>1993.0</v>
      </c>
      <c r="B53" s="4" t="s">
        <v>58</v>
      </c>
      <c r="C53" s="74">
        <v>2674.942174</v>
      </c>
      <c r="D53" s="74">
        <v>36154.548423</v>
      </c>
      <c r="E53" s="76">
        <f t="shared" si="2"/>
        <v>38829.4906</v>
      </c>
      <c r="F53" s="2"/>
      <c r="G53" s="74">
        <v>10.642225</v>
      </c>
      <c r="H53" s="74">
        <v>70.708466</v>
      </c>
      <c r="I53" s="76">
        <f t="shared" si="3"/>
        <v>81.350691</v>
      </c>
      <c r="J53" s="2"/>
      <c r="K53" s="76">
        <f t="shared" ref="K53:L53" si="51">SUM(C53,G53)</f>
        <v>2685.584399</v>
      </c>
      <c r="L53" s="76">
        <f t="shared" si="51"/>
        <v>36225.25689</v>
      </c>
      <c r="M53" s="2"/>
      <c r="N53" s="76">
        <f t="shared" si="5"/>
        <v>38910.84129</v>
      </c>
      <c r="O53" s="42">
        <v>9404.0</v>
      </c>
      <c r="P53" s="2"/>
      <c r="Q53" s="77">
        <v>31654.33576</v>
      </c>
      <c r="R53" s="78">
        <v>1193.0</v>
      </c>
      <c r="S53" s="2"/>
      <c r="T53" s="47">
        <v>7131.403306</v>
      </c>
      <c r="U53" s="90">
        <v>9.0</v>
      </c>
      <c r="V53" s="2"/>
      <c r="W53" s="79">
        <f t="shared" si="25"/>
        <v>38785.73907</v>
      </c>
      <c r="X53" s="41">
        <f t="shared" si="26"/>
        <v>1202</v>
      </c>
      <c r="Y53" s="79"/>
      <c r="Z53" s="77">
        <v>13183.2972829999</v>
      </c>
      <c r="AA53" s="42">
        <v>139.0</v>
      </c>
      <c r="AB53" s="2"/>
      <c r="AC53" s="77">
        <v>12769.6518619999</v>
      </c>
      <c r="AD53" s="42">
        <v>154.0</v>
      </c>
      <c r="AE53" s="2"/>
      <c r="AF53" s="2"/>
      <c r="AG53" s="2"/>
      <c r="AH53" s="2"/>
      <c r="AI53" s="2"/>
      <c r="AJ53" s="2"/>
      <c r="AK53" s="2"/>
      <c r="AL53" s="2"/>
      <c r="AM53" s="2"/>
      <c r="AN53" s="2"/>
    </row>
    <row r="54" ht="12.0" customHeight="1">
      <c r="A54" s="2"/>
      <c r="B54" s="4" t="s">
        <v>66</v>
      </c>
      <c r="C54" s="74">
        <v>2637.989519</v>
      </c>
      <c r="D54" s="74">
        <v>47603.4221109999</v>
      </c>
      <c r="E54" s="76">
        <f t="shared" si="2"/>
        <v>50241.41163</v>
      </c>
      <c r="F54" s="2"/>
      <c r="G54" s="74">
        <v>61.248883</v>
      </c>
      <c r="H54" s="74">
        <v>53.047381</v>
      </c>
      <c r="I54" s="76">
        <f t="shared" si="3"/>
        <v>114.296264</v>
      </c>
      <c r="J54" s="2"/>
      <c r="K54" s="76">
        <f t="shared" ref="K54:L54" si="52">SUM(C54,G54)</f>
        <v>2699.238402</v>
      </c>
      <c r="L54" s="76">
        <f t="shared" si="52"/>
        <v>47656.46949</v>
      </c>
      <c r="M54" s="2"/>
      <c r="N54" s="76">
        <f t="shared" si="5"/>
        <v>50355.70789</v>
      </c>
      <c r="O54" s="42">
        <v>12281.0</v>
      </c>
      <c r="P54" s="2"/>
      <c r="Q54" s="77">
        <v>36784.9328269999</v>
      </c>
      <c r="R54" s="78">
        <v>1495.0</v>
      </c>
      <c r="S54" s="2"/>
      <c r="T54" s="47">
        <v>39018.629033</v>
      </c>
      <c r="U54" s="90">
        <v>19.0</v>
      </c>
      <c r="V54" s="2"/>
      <c r="W54" s="79">
        <f t="shared" si="25"/>
        <v>75803.56186</v>
      </c>
      <c r="X54" s="41">
        <f t="shared" si="26"/>
        <v>1514</v>
      </c>
      <c r="Y54" s="2"/>
      <c r="Z54" s="77">
        <v>17587.525992</v>
      </c>
      <c r="AA54" s="42">
        <v>146.0</v>
      </c>
      <c r="AB54" s="2"/>
      <c r="AC54" s="77">
        <v>141848.914153</v>
      </c>
      <c r="AD54" s="42">
        <v>232.0</v>
      </c>
      <c r="AE54" s="2"/>
      <c r="AF54" s="2"/>
      <c r="AG54" s="2"/>
      <c r="AH54" s="2"/>
      <c r="AI54" s="2"/>
      <c r="AJ54" s="2"/>
      <c r="AK54" s="2"/>
      <c r="AL54" s="2"/>
      <c r="AM54" s="2"/>
      <c r="AN54" s="2"/>
    </row>
    <row r="55" ht="12.0" customHeight="1">
      <c r="A55" s="2"/>
      <c r="B55" s="4" t="s">
        <v>74</v>
      </c>
      <c r="C55" s="74">
        <v>4581.83611099999</v>
      </c>
      <c r="D55" s="74">
        <v>57653.4629750001</v>
      </c>
      <c r="E55" s="76">
        <f t="shared" si="2"/>
        <v>62235.29909</v>
      </c>
      <c r="F55" s="2"/>
      <c r="G55" s="74">
        <v>12.925392</v>
      </c>
      <c r="H55" s="74">
        <v>21.673366</v>
      </c>
      <c r="I55" s="76">
        <f t="shared" si="3"/>
        <v>34.598758</v>
      </c>
      <c r="J55" s="2"/>
      <c r="K55" s="76">
        <f t="shared" ref="K55:L55" si="53">SUM(C55,G55)</f>
        <v>4594.761503</v>
      </c>
      <c r="L55" s="76">
        <f t="shared" si="53"/>
        <v>57675.13634</v>
      </c>
      <c r="M55" s="2"/>
      <c r="N55" s="76">
        <f t="shared" si="5"/>
        <v>62269.89784</v>
      </c>
      <c r="O55" s="42">
        <v>13418.0</v>
      </c>
      <c r="P55" s="2"/>
      <c r="Q55" s="77">
        <v>51872.3737589999</v>
      </c>
      <c r="R55" s="78">
        <v>2031.0</v>
      </c>
      <c r="S55" s="2"/>
      <c r="T55" s="47">
        <v>22703.880334</v>
      </c>
      <c r="U55" s="90">
        <v>17.0</v>
      </c>
      <c r="V55" s="2"/>
      <c r="W55" s="79">
        <f t="shared" si="25"/>
        <v>74576.25409</v>
      </c>
      <c r="X55" s="41">
        <f t="shared" si="26"/>
        <v>2048</v>
      </c>
      <c r="Y55" s="2"/>
      <c r="Z55" s="77">
        <v>17392.179866</v>
      </c>
      <c r="AA55" s="42">
        <v>135.0</v>
      </c>
      <c r="AB55" s="2"/>
      <c r="AC55" s="77">
        <v>116752.867196</v>
      </c>
      <c r="AD55" s="42">
        <v>248.0</v>
      </c>
      <c r="AE55" s="2"/>
      <c r="AF55" s="2"/>
      <c r="AG55" s="2"/>
      <c r="AH55" s="2"/>
      <c r="AI55" s="2"/>
      <c r="AJ55" s="2"/>
      <c r="AK55" s="2"/>
      <c r="AL55" s="2"/>
      <c r="AM55" s="2"/>
      <c r="AN55" s="2"/>
    </row>
    <row r="56" ht="12.0" customHeight="1">
      <c r="A56" s="2"/>
      <c r="B56" s="4" t="s">
        <v>75</v>
      </c>
      <c r="C56" s="74">
        <v>4345.381127</v>
      </c>
      <c r="D56" s="74">
        <v>64707.2665039997</v>
      </c>
      <c r="E56" s="76">
        <f t="shared" si="2"/>
        <v>69052.64763</v>
      </c>
      <c r="F56" s="2"/>
      <c r="G56" s="2"/>
      <c r="H56" s="74">
        <v>5.53110299999999</v>
      </c>
      <c r="I56" s="76">
        <f t="shared" si="3"/>
        <v>5.531103</v>
      </c>
      <c r="J56" s="2"/>
      <c r="K56" s="76">
        <f t="shared" ref="K56:L56" si="54">SUM(C56,G56)</f>
        <v>4345.381127</v>
      </c>
      <c r="L56" s="76">
        <f t="shared" si="54"/>
        <v>64712.79761</v>
      </c>
      <c r="M56" s="2"/>
      <c r="N56" s="76">
        <f t="shared" si="5"/>
        <v>69058.17873</v>
      </c>
      <c r="O56" s="42">
        <v>14004.0</v>
      </c>
      <c r="P56" s="2"/>
      <c r="Q56" s="77">
        <v>47699.055939</v>
      </c>
      <c r="R56" s="78">
        <v>1725.0</v>
      </c>
      <c r="S56" s="2"/>
      <c r="T56" s="47">
        <v>8622.150329</v>
      </c>
      <c r="U56" s="90">
        <v>6.0</v>
      </c>
      <c r="V56" s="2"/>
      <c r="W56" s="79">
        <f t="shared" si="25"/>
        <v>56321.20627</v>
      </c>
      <c r="X56" s="41">
        <f t="shared" si="26"/>
        <v>1731</v>
      </c>
      <c r="Y56" s="2"/>
      <c r="Z56" s="77">
        <v>17139.4936689999</v>
      </c>
      <c r="AA56" s="42">
        <v>191.0</v>
      </c>
      <c r="AB56" s="2"/>
      <c r="AC56" s="77">
        <v>103095.971129</v>
      </c>
      <c r="AD56" s="42">
        <v>215.0</v>
      </c>
      <c r="AE56" s="2"/>
      <c r="AF56" s="2"/>
      <c r="AG56" s="2"/>
      <c r="AH56" s="2"/>
      <c r="AI56" s="2"/>
      <c r="AJ56" s="2"/>
      <c r="AK56" s="2"/>
      <c r="AL56" s="2"/>
      <c r="AM56" s="2"/>
      <c r="AN56" s="2"/>
    </row>
    <row r="57" ht="12.0" customHeight="1">
      <c r="A57" s="40">
        <v>1994.0</v>
      </c>
      <c r="B57" s="4" t="s">
        <v>58</v>
      </c>
      <c r="C57" s="74">
        <v>2353.448923</v>
      </c>
      <c r="D57" s="74">
        <v>49958.934558</v>
      </c>
      <c r="E57" s="76">
        <f t="shared" si="2"/>
        <v>52312.38348</v>
      </c>
      <c r="F57" s="2"/>
      <c r="G57" s="2"/>
      <c r="H57" s="74">
        <v>22.354476</v>
      </c>
      <c r="I57" s="76">
        <f t="shared" si="3"/>
        <v>22.354476</v>
      </c>
      <c r="J57" s="2"/>
      <c r="K57" s="76">
        <f t="shared" ref="K57:L57" si="55">SUM(C57,G57)</f>
        <v>2353.448923</v>
      </c>
      <c r="L57" s="76">
        <f t="shared" si="55"/>
        <v>49981.28903</v>
      </c>
      <c r="M57" s="2"/>
      <c r="N57" s="76">
        <f t="shared" si="5"/>
        <v>52334.73796</v>
      </c>
      <c r="O57" s="42">
        <v>11206.0</v>
      </c>
      <c r="P57" s="2"/>
      <c r="Q57" s="77">
        <v>32790.915749</v>
      </c>
      <c r="R57" s="78">
        <v>1154.0</v>
      </c>
      <c r="S57" s="2"/>
      <c r="T57" s="47">
        <v>12484.0</v>
      </c>
      <c r="U57" s="90">
        <v>5.0</v>
      </c>
      <c r="V57" s="2"/>
      <c r="W57" s="79">
        <f t="shared" si="25"/>
        <v>45274.91575</v>
      </c>
      <c r="X57" s="41">
        <f t="shared" si="26"/>
        <v>1159</v>
      </c>
      <c r="Y57" s="79"/>
      <c r="Z57" s="77">
        <v>18983.751273</v>
      </c>
      <c r="AA57" s="42">
        <v>194.0</v>
      </c>
      <c r="AB57" s="2"/>
      <c r="AC57" s="77">
        <v>101778.478585</v>
      </c>
      <c r="AD57" s="42">
        <v>152.0</v>
      </c>
      <c r="AE57" s="2"/>
      <c r="AF57" s="2"/>
      <c r="AG57" s="2"/>
      <c r="AH57" s="2"/>
      <c r="AI57" s="2"/>
      <c r="AJ57" s="2"/>
      <c r="AK57" s="2"/>
      <c r="AL57" s="2"/>
      <c r="AM57" s="2"/>
      <c r="AN57" s="2"/>
    </row>
    <row r="58" ht="12.0" customHeight="1">
      <c r="A58" s="2"/>
      <c r="B58" s="4" t="s">
        <v>66</v>
      </c>
      <c r="C58" s="74">
        <v>3011.63536099999</v>
      </c>
      <c r="D58" s="74">
        <v>30077.7466629999</v>
      </c>
      <c r="E58" s="76">
        <f t="shared" si="2"/>
        <v>33089.38202</v>
      </c>
      <c r="F58" s="2"/>
      <c r="G58" s="2"/>
      <c r="H58" s="74">
        <v>0.55521</v>
      </c>
      <c r="I58" s="76">
        <f t="shared" si="3"/>
        <v>0.55521</v>
      </c>
      <c r="J58" s="2"/>
      <c r="K58" s="76">
        <f t="shared" ref="K58:L58" si="56">SUM(C58,G58)</f>
        <v>3011.635361</v>
      </c>
      <c r="L58" s="76">
        <f t="shared" si="56"/>
        <v>30078.30187</v>
      </c>
      <c r="M58" s="2"/>
      <c r="N58" s="76">
        <f t="shared" si="5"/>
        <v>33089.93723</v>
      </c>
      <c r="O58" s="42">
        <v>8126.0</v>
      </c>
      <c r="P58" s="2"/>
      <c r="Q58" s="77">
        <v>13988.711905</v>
      </c>
      <c r="R58" s="78">
        <v>478.0</v>
      </c>
      <c r="S58" s="2"/>
      <c r="T58" s="47">
        <v>9062.998122</v>
      </c>
      <c r="U58" s="90">
        <v>8.0</v>
      </c>
      <c r="V58" s="2"/>
      <c r="W58" s="79">
        <f t="shared" si="25"/>
        <v>23051.71003</v>
      </c>
      <c r="X58" s="41">
        <f t="shared" si="26"/>
        <v>486</v>
      </c>
      <c r="Y58" s="2"/>
      <c r="Z58" s="77">
        <v>14154.014787</v>
      </c>
      <c r="AA58" s="42">
        <v>161.0</v>
      </c>
      <c r="AB58" s="2"/>
      <c r="AC58" s="77">
        <v>72234.1235889999</v>
      </c>
      <c r="AD58" s="42">
        <v>90.0</v>
      </c>
      <c r="AE58" s="2"/>
      <c r="AF58" s="2"/>
      <c r="AG58" s="2"/>
      <c r="AH58" s="2"/>
      <c r="AI58" s="2"/>
      <c r="AJ58" s="2"/>
      <c r="AK58" s="2"/>
      <c r="AL58" s="2"/>
      <c r="AM58" s="2"/>
      <c r="AN58" s="2"/>
    </row>
    <row r="59" ht="12.0" customHeight="1">
      <c r="A59" s="2"/>
      <c r="B59" s="4" t="s">
        <v>74</v>
      </c>
      <c r="C59" s="74">
        <v>7089.30235799999</v>
      </c>
      <c r="D59" s="74">
        <v>17091.0862579999</v>
      </c>
      <c r="E59" s="76">
        <f t="shared" si="2"/>
        <v>24180.38862</v>
      </c>
      <c r="F59" s="2"/>
      <c r="G59" s="74">
        <v>96.593247</v>
      </c>
      <c r="H59" s="74">
        <v>7.037917</v>
      </c>
      <c r="I59" s="76">
        <f t="shared" si="3"/>
        <v>103.631164</v>
      </c>
      <c r="J59" s="2"/>
      <c r="K59" s="76">
        <f t="shared" ref="K59:L59" si="57">SUM(C59,G59)</f>
        <v>7185.895605</v>
      </c>
      <c r="L59" s="76">
        <f t="shared" si="57"/>
        <v>17098.12417</v>
      </c>
      <c r="M59" s="2"/>
      <c r="N59" s="76">
        <f t="shared" si="5"/>
        <v>24284.01978</v>
      </c>
      <c r="O59" s="42">
        <v>5549.0</v>
      </c>
      <c r="P59" s="2"/>
      <c r="Q59" s="77">
        <v>5261.96549999999</v>
      </c>
      <c r="R59" s="78">
        <v>232.0</v>
      </c>
      <c r="S59" s="2"/>
      <c r="T59" s="47">
        <v>1112.436151</v>
      </c>
      <c r="U59" s="90">
        <v>2.0</v>
      </c>
      <c r="V59" s="2"/>
      <c r="W59" s="79">
        <f t="shared" si="25"/>
        <v>6374.401651</v>
      </c>
      <c r="X59" s="41">
        <f t="shared" si="26"/>
        <v>234</v>
      </c>
      <c r="Y59" s="2"/>
      <c r="Z59" s="77">
        <v>6457.66829099999</v>
      </c>
      <c r="AA59" s="42">
        <v>131.0</v>
      </c>
      <c r="AB59" s="2"/>
      <c r="AC59" s="77">
        <v>15442.0309409999</v>
      </c>
      <c r="AD59" s="42">
        <v>26.0</v>
      </c>
      <c r="AE59" s="2"/>
      <c r="AF59" s="2"/>
      <c r="AG59" s="2"/>
      <c r="AH59" s="2"/>
      <c r="AI59" s="2"/>
      <c r="AJ59" s="2"/>
      <c r="AK59" s="2"/>
      <c r="AL59" s="2"/>
      <c r="AM59" s="2"/>
      <c r="AN59" s="2"/>
    </row>
    <row r="60" ht="12.0" customHeight="1">
      <c r="A60" s="2"/>
      <c r="B60" s="4" t="s">
        <v>75</v>
      </c>
      <c r="C60" s="74">
        <v>2888.617209</v>
      </c>
      <c r="D60" s="74">
        <v>15981.1651049999</v>
      </c>
      <c r="E60" s="76">
        <f t="shared" si="2"/>
        <v>18869.78231</v>
      </c>
      <c r="F60" s="2"/>
      <c r="G60" s="74">
        <v>8.9</v>
      </c>
      <c r="H60" s="74">
        <v>41.718191</v>
      </c>
      <c r="I60" s="76">
        <f t="shared" si="3"/>
        <v>50.618191</v>
      </c>
      <c r="J60" s="2"/>
      <c r="K60" s="76">
        <f t="shared" ref="K60:L60" si="58">SUM(C60,G60)</f>
        <v>2897.517209</v>
      </c>
      <c r="L60" s="76">
        <f t="shared" si="58"/>
        <v>16022.8833</v>
      </c>
      <c r="M60" s="2"/>
      <c r="N60" s="76">
        <f t="shared" si="5"/>
        <v>18920.4005</v>
      </c>
      <c r="O60" s="42">
        <v>4610.0</v>
      </c>
      <c r="P60" s="2"/>
      <c r="Q60" s="77">
        <v>4398.201537</v>
      </c>
      <c r="R60" s="78">
        <v>134.0</v>
      </c>
      <c r="S60" s="2"/>
      <c r="T60" s="47">
        <v>1762.5</v>
      </c>
      <c r="U60" s="90">
        <v>2.0</v>
      </c>
      <c r="V60" s="2"/>
      <c r="W60" s="79">
        <f t="shared" si="25"/>
        <v>6160.701537</v>
      </c>
      <c r="X60" s="41">
        <f t="shared" si="26"/>
        <v>136</v>
      </c>
      <c r="Y60" s="2"/>
      <c r="Z60" s="77">
        <v>7337.47210299999</v>
      </c>
      <c r="AA60" s="42">
        <v>110.0</v>
      </c>
      <c r="AB60" s="2"/>
      <c r="AC60" s="77">
        <v>18626.549551</v>
      </c>
      <c r="AD60" s="42">
        <v>22.0</v>
      </c>
      <c r="AE60" s="2"/>
      <c r="AF60" s="2"/>
      <c r="AG60" s="2"/>
      <c r="AH60" s="2"/>
      <c r="AI60" s="2"/>
      <c r="AJ60" s="2"/>
      <c r="AK60" s="2"/>
      <c r="AL60" s="2"/>
      <c r="AM60" s="2"/>
      <c r="AN60" s="2"/>
    </row>
    <row r="61" ht="12.0" customHeight="1">
      <c r="A61" s="40">
        <v>1995.0</v>
      </c>
      <c r="B61" s="4" t="s">
        <v>58</v>
      </c>
      <c r="C61" s="74">
        <v>3503.993585</v>
      </c>
      <c r="D61" s="74">
        <v>9280.529533</v>
      </c>
      <c r="E61" s="76">
        <f t="shared" si="2"/>
        <v>12784.52312</v>
      </c>
      <c r="F61" s="2"/>
      <c r="G61" s="2"/>
      <c r="H61" s="74">
        <v>50.621179</v>
      </c>
      <c r="I61" s="76">
        <f t="shared" si="3"/>
        <v>50.621179</v>
      </c>
      <c r="J61" s="2"/>
      <c r="K61" s="76">
        <f t="shared" ref="K61:L61" si="59">SUM(C61,G61)</f>
        <v>3503.993585</v>
      </c>
      <c r="L61" s="76">
        <f t="shared" si="59"/>
        <v>9331.150712</v>
      </c>
      <c r="M61" s="2"/>
      <c r="N61" s="76">
        <f t="shared" si="5"/>
        <v>12835.1443</v>
      </c>
      <c r="O61" s="42">
        <v>2933.0</v>
      </c>
      <c r="P61" s="2"/>
      <c r="Q61" s="77">
        <v>1253.3</v>
      </c>
      <c r="R61" s="78">
        <v>88.0</v>
      </c>
      <c r="S61" s="2"/>
      <c r="T61" s="49"/>
      <c r="U61" s="91"/>
      <c r="V61" s="2"/>
      <c r="W61" s="79">
        <f t="shared" si="25"/>
        <v>1253.3</v>
      </c>
      <c r="X61" s="41">
        <f t="shared" si="26"/>
        <v>88</v>
      </c>
      <c r="Y61" s="79"/>
      <c r="Z61" s="77">
        <v>7145.404781</v>
      </c>
      <c r="AA61" s="42">
        <v>144.0</v>
      </c>
      <c r="AB61" s="2"/>
      <c r="AC61" s="77">
        <v>35.096879</v>
      </c>
      <c r="AD61" s="42">
        <v>6.0</v>
      </c>
      <c r="AE61" s="2"/>
      <c r="AF61" s="2"/>
      <c r="AG61" s="2"/>
      <c r="AH61" s="2"/>
      <c r="AI61" s="2"/>
      <c r="AJ61" s="2"/>
      <c r="AK61" s="2"/>
      <c r="AL61" s="2"/>
      <c r="AM61" s="2"/>
      <c r="AN61" s="2"/>
    </row>
    <row r="62" ht="12.0" customHeight="1">
      <c r="A62" s="2"/>
      <c r="B62" s="4" t="s">
        <v>66</v>
      </c>
      <c r="C62" s="74">
        <v>3656.652305</v>
      </c>
      <c r="D62" s="74">
        <v>14532.26522</v>
      </c>
      <c r="E62" s="76">
        <f t="shared" si="2"/>
        <v>18188.91753</v>
      </c>
      <c r="F62" s="2"/>
      <c r="G62" s="2"/>
      <c r="H62" s="74">
        <v>80.163796</v>
      </c>
      <c r="I62" s="76">
        <f t="shared" si="3"/>
        <v>80.163796</v>
      </c>
      <c r="J62" s="2"/>
      <c r="K62" s="76">
        <f t="shared" ref="K62:L62" si="60">SUM(C62,G62)</f>
        <v>3656.652305</v>
      </c>
      <c r="L62" s="76">
        <f t="shared" si="60"/>
        <v>14612.42902</v>
      </c>
      <c r="M62" s="2"/>
      <c r="N62" s="76">
        <f t="shared" si="5"/>
        <v>18269.08132</v>
      </c>
      <c r="O62" s="42">
        <v>3862.0</v>
      </c>
      <c r="P62" s="2"/>
      <c r="Q62" s="77">
        <v>3200.23391099999</v>
      </c>
      <c r="R62" s="78">
        <v>152.0</v>
      </c>
      <c r="S62" s="2"/>
      <c r="T62" s="49"/>
      <c r="U62" s="91"/>
      <c r="V62" s="2"/>
      <c r="W62" s="79">
        <f t="shared" si="25"/>
        <v>3200.233911</v>
      </c>
      <c r="X62" s="41">
        <f t="shared" si="26"/>
        <v>152</v>
      </c>
      <c r="Y62" s="2"/>
      <c r="Z62" s="77">
        <v>8028.909046</v>
      </c>
      <c r="AA62" s="42">
        <v>178.0</v>
      </c>
      <c r="AB62" s="2"/>
      <c r="AC62" s="77">
        <v>1712.801652</v>
      </c>
      <c r="AD62" s="42">
        <v>12.0</v>
      </c>
      <c r="AE62" s="2"/>
      <c r="AF62" s="2"/>
      <c r="AG62" s="2"/>
      <c r="AH62" s="2"/>
      <c r="AI62" s="2"/>
      <c r="AJ62" s="2"/>
      <c r="AK62" s="2"/>
      <c r="AL62" s="2"/>
      <c r="AM62" s="2"/>
      <c r="AN62" s="2"/>
    </row>
    <row r="63" ht="12.0" customHeight="1">
      <c r="A63" s="2"/>
      <c r="B63" s="4" t="s">
        <v>74</v>
      </c>
      <c r="C63" s="74">
        <v>2704.980005</v>
      </c>
      <c r="D63" s="74">
        <v>30330.8989689999</v>
      </c>
      <c r="E63" s="76">
        <f t="shared" si="2"/>
        <v>33035.87897</v>
      </c>
      <c r="F63" s="2"/>
      <c r="G63" s="74">
        <v>2.490653</v>
      </c>
      <c r="H63" s="74">
        <v>177.789616</v>
      </c>
      <c r="I63" s="76">
        <f t="shared" si="3"/>
        <v>180.280269</v>
      </c>
      <c r="J63" s="2"/>
      <c r="K63" s="76">
        <f t="shared" ref="K63:L63" si="61">SUM(C63,G63)</f>
        <v>2707.470658</v>
      </c>
      <c r="L63" s="76">
        <f t="shared" si="61"/>
        <v>30508.68858</v>
      </c>
      <c r="M63" s="2"/>
      <c r="N63" s="76">
        <f t="shared" si="5"/>
        <v>33216.15924</v>
      </c>
      <c r="O63" s="42">
        <v>6289.0</v>
      </c>
      <c r="P63" s="2"/>
      <c r="Q63" s="77">
        <v>936.22739</v>
      </c>
      <c r="R63" s="78">
        <v>50.0</v>
      </c>
      <c r="S63" s="2"/>
      <c r="T63" s="47">
        <v>20.706355</v>
      </c>
      <c r="U63" s="90">
        <v>1.0</v>
      </c>
      <c r="V63" s="2"/>
      <c r="W63" s="79">
        <f t="shared" si="25"/>
        <v>956.933745</v>
      </c>
      <c r="X63" s="41">
        <f t="shared" si="26"/>
        <v>51</v>
      </c>
      <c r="Y63" s="2"/>
      <c r="Z63" s="77">
        <v>7417.50964499999</v>
      </c>
      <c r="AA63" s="42">
        <v>154.0</v>
      </c>
      <c r="AB63" s="2"/>
      <c r="AC63" s="77">
        <v>1131.30721</v>
      </c>
      <c r="AD63" s="42">
        <v>8.0</v>
      </c>
      <c r="AE63" s="2"/>
      <c r="AF63" s="2"/>
      <c r="AG63" s="2"/>
      <c r="AH63" s="2"/>
      <c r="AI63" s="2"/>
      <c r="AJ63" s="2"/>
      <c r="AK63" s="2"/>
      <c r="AL63" s="2"/>
      <c r="AM63" s="2"/>
      <c r="AN63" s="2"/>
    </row>
    <row r="64" ht="12.0" customHeight="1">
      <c r="A64" s="2"/>
      <c r="B64" s="4" t="s">
        <v>75</v>
      </c>
      <c r="C64" s="74">
        <v>4522.65390399999</v>
      </c>
      <c r="D64" s="74">
        <v>34155.006695</v>
      </c>
      <c r="E64" s="76">
        <f t="shared" si="2"/>
        <v>38677.6606</v>
      </c>
      <c r="F64" s="2"/>
      <c r="G64" s="74">
        <v>5.457171</v>
      </c>
      <c r="H64" s="74">
        <v>103.325566</v>
      </c>
      <c r="I64" s="76">
        <f t="shared" si="3"/>
        <v>108.782737</v>
      </c>
      <c r="J64" s="2"/>
      <c r="K64" s="76">
        <f t="shared" ref="K64:L64" si="62">SUM(C64,G64)</f>
        <v>4528.111075</v>
      </c>
      <c r="L64" s="76">
        <f t="shared" si="62"/>
        <v>34258.33226</v>
      </c>
      <c r="M64" s="2"/>
      <c r="N64" s="76">
        <f t="shared" si="5"/>
        <v>38786.44334</v>
      </c>
      <c r="O64" s="42">
        <v>6414.0</v>
      </c>
      <c r="P64" s="2"/>
      <c r="Q64" s="77">
        <v>3509.21757599999</v>
      </c>
      <c r="R64" s="78">
        <v>143.0</v>
      </c>
      <c r="S64" s="2"/>
      <c r="T64" s="49"/>
      <c r="U64" s="91"/>
      <c r="V64" s="2"/>
      <c r="W64" s="79">
        <f t="shared" si="25"/>
        <v>3509.217576</v>
      </c>
      <c r="X64" s="41">
        <f t="shared" si="26"/>
        <v>143</v>
      </c>
      <c r="Y64" s="2"/>
      <c r="Z64" s="77">
        <v>5979.007754</v>
      </c>
      <c r="AA64" s="42">
        <v>127.0</v>
      </c>
      <c r="AB64" s="2"/>
      <c r="AC64" s="77">
        <v>274.404102</v>
      </c>
      <c r="AD64" s="42">
        <v>9.0</v>
      </c>
      <c r="AE64" s="2"/>
      <c r="AF64" s="2"/>
      <c r="AG64" s="2"/>
      <c r="AH64" s="2"/>
      <c r="AI64" s="2"/>
      <c r="AJ64" s="2"/>
      <c r="AK64" s="2"/>
      <c r="AL64" s="2"/>
      <c r="AM64" s="2"/>
      <c r="AN64" s="2"/>
    </row>
    <row r="65" ht="12.0" customHeight="1">
      <c r="A65" s="40">
        <v>1996.0</v>
      </c>
      <c r="B65" s="4" t="s">
        <v>58</v>
      </c>
      <c r="C65" s="74">
        <v>3013.486281</v>
      </c>
      <c r="D65" s="74">
        <v>34174.322753</v>
      </c>
      <c r="E65" s="76">
        <f t="shared" si="2"/>
        <v>37187.80903</v>
      </c>
      <c r="F65" s="2"/>
      <c r="G65" s="74">
        <v>32.525</v>
      </c>
      <c r="H65" s="74">
        <v>789.215925</v>
      </c>
      <c r="I65" s="76">
        <f t="shared" si="3"/>
        <v>821.740925</v>
      </c>
      <c r="J65" s="2"/>
      <c r="K65" s="76">
        <f t="shared" ref="K65:L65" si="63">SUM(C65,G65)</f>
        <v>3046.011281</v>
      </c>
      <c r="L65" s="76">
        <f t="shared" si="63"/>
        <v>34963.53868</v>
      </c>
      <c r="M65" s="2"/>
      <c r="N65" s="76">
        <f t="shared" si="5"/>
        <v>38009.54996</v>
      </c>
      <c r="O65" s="42">
        <v>6121.0</v>
      </c>
      <c r="P65" s="2"/>
      <c r="Q65" s="77">
        <v>3322.5329537</v>
      </c>
      <c r="R65" s="78">
        <v>158.0</v>
      </c>
      <c r="S65" s="2"/>
      <c r="T65" s="49"/>
      <c r="U65" s="91"/>
      <c r="V65" s="2"/>
      <c r="W65" s="79">
        <f t="shared" si="25"/>
        <v>3322.532954</v>
      </c>
      <c r="X65" s="41">
        <f t="shared" si="26"/>
        <v>158</v>
      </c>
      <c r="Y65" s="79"/>
      <c r="Z65" s="77">
        <v>13914.578642</v>
      </c>
      <c r="AA65" s="42">
        <v>180.0</v>
      </c>
      <c r="AB65" s="2"/>
      <c r="AC65" s="77">
        <v>1213.042016</v>
      </c>
      <c r="AD65" s="42">
        <v>30.0</v>
      </c>
      <c r="AE65" s="2"/>
      <c r="AF65" s="2"/>
      <c r="AG65" s="2"/>
      <c r="AH65" s="2"/>
      <c r="AI65" s="2"/>
      <c r="AJ65" s="2"/>
      <c r="AK65" s="2"/>
      <c r="AL65" s="2"/>
      <c r="AM65" s="2"/>
      <c r="AN65" s="2"/>
    </row>
    <row r="66" ht="12.0" customHeight="1">
      <c r="A66" s="2"/>
      <c r="B66" s="4" t="s">
        <v>66</v>
      </c>
      <c r="C66" s="74">
        <v>3280.878758</v>
      </c>
      <c r="D66" s="74">
        <v>41115.08888</v>
      </c>
      <c r="E66" s="76">
        <f t="shared" si="2"/>
        <v>44395.96764</v>
      </c>
      <c r="F66" s="2"/>
      <c r="G66" s="74">
        <v>93.61</v>
      </c>
      <c r="H66" s="74">
        <v>866.79438</v>
      </c>
      <c r="I66" s="76">
        <f t="shared" si="3"/>
        <v>960.40438</v>
      </c>
      <c r="J66" s="2"/>
      <c r="K66" s="76">
        <f t="shared" ref="K66:L66" si="64">SUM(C66,G66)</f>
        <v>3374.488758</v>
      </c>
      <c r="L66" s="76">
        <f t="shared" si="64"/>
        <v>41981.88326</v>
      </c>
      <c r="M66" s="2"/>
      <c r="N66" s="76">
        <f t="shared" si="5"/>
        <v>45356.37202</v>
      </c>
      <c r="O66" s="42">
        <v>7252.0</v>
      </c>
      <c r="P66" s="2"/>
      <c r="Q66" s="77">
        <v>4622.80064399999</v>
      </c>
      <c r="R66" s="78">
        <v>312.0</v>
      </c>
      <c r="S66" s="2"/>
      <c r="T66" s="47">
        <v>1934.166666</v>
      </c>
      <c r="U66" s="90">
        <v>2.0</v>
      </c>
      <c r="V66" s="2"/>
      <c r="W66" s="79">
        <f t="shared" si="25"/>
        <v>6556.96731</v>
      </c>
      <c r="X66" s="41">
        <f t="shared" si="26"/>
        <v>314</v>
      </c>
      <c r="Y66" s="2"/>
      <c r="Z66" s="77">
        <v>13484.332369</v>
      </c>
      <c r="AA66" s="42">
        <v>165.0</v>
      </c>
      <c r="AB66" s="2"/>
      <c r="AC66" s="77">
        <v>16405.100956</v>
      </c>
      <c r="AD66" s="42">
        <v>77.0</v>
      </c>
      <c r="AE66" s="2"/>
      <c r="AF66" s="2"/>
      <c r="AG66" s="2"/>
      <c r="AH66" s="2"/>
      <c r="AI66" s="2"/>
      <c r="AJ66" s="2"/>
      <c r="AK66" s="2"/>
      <c r="AL66" s="2"/>
      <c r="AM66" s="2"/>
      <c r="AN66" s="2"/>
    </row>
    <row r="67" ht="12.0" customHeight="1">
      <c r="A67" s="2"/>
      <c r="B67" s="4" t="s">
        <v>74</v>
      </c>
      <c r="C67" s="74">
        <v>3541.0157</v>
      </c>
      <c r="D67" s="74">
        <v>28471.6029409999</v>
      </c>
      <c r="E67" s="76">
        <f t="shared" si="2"/>
        <v>32012.61864</v>
      </c>
      <c r="F67" s="2"/>
      <c r="G67" s="74">
        <v>43.034</v>
      </c>
      <c r="H67" s="74">
        <v>1483.665388</v>
      </c>
      <c r="I67" s="76">
        <f t="shared" si="3"/>
        <v>1526.699388</v>
      </c>
      <c r="J67" s="2"/>
      <c r="K67" s="76">
        <f t="shared" ref="K67:L67" si="65">SUM(C67,G67)</f>
        <v>3584.0497</v>
      </c>
      <c r="L67" s="76">
        <f t="shared" si="65"/>
        <v>29955.26833</v>
      </c>
      <c r="M67" s="2"/>
      <c r="N67" s="76">
        <f t="shared" si="5"/>
        <v>33539.31803</v>
      </c>
      <c r="O67" s="42">
        <v>5539.0</v>
      </c>
      <c r="P67" s="2"/>
      <c r="Q67" s="77">
        <v>4519.10885399999</v>
      </c>
      <c r="R67" s="78">
        <v>245.0</v>
      </c>
      <c r="S67" s="2"/>
      <c r="T67" s="47">
        <v>1768.060056</v>
      </c>
      <c r="U67" s="90">
        <v>2.0</v>
      </c>
      <c r="V67" s="2"/>
      <c r="W67" s="79">
        <f t="shared" si="25"/>
        <v>6287.16891</v>
      </c>
      <c r="X67" s="41">
        <f t="shared" si="26"/>
        <v>247</v>
      </c>
      <c r="Y67" s="2"/>
      <c r="Z67" s="77">
        <v>9022.796004</v>
      </c>
      <c r="AA67" s="42">
        <v>148.0</v>
      </c>
      <c r="AB67" s="2"/>
      <c r="AC67" s="77">
        <v>37907.8440799999</v>
      </c>
      <c r="AD67" s="42">
        <v>90.0</v>
      </c>
      <c r="AE67" s="2"/>
      <c r="AF67" s="2"/>
      <c r="AG67" s="2"/>
      <c r="AH67" s="2"/>
      <c r="AI67" s="2"/>
      <c r="AJ67" s="2"/>
      <c r="AK67" s="2"/>
      <c r="AL67" s="2"/>
      <c r="AM67" s="2"/>
      <c r="AN67" s="2"/>
    </row>
    <row r="68" ht="12.0" customHeight="1">
      <c r="A68" s="2"/>
      <c r="B68" s="4" t="s">
        <v>75</v>
      </c>
      <c r="C68" s="74">
        <v>4288.69787199999</v>
      </c>
      <c r="D68" s="74">
        <v>24635.246806</v>
      </c>
      <c r="E68" s="76">
        <f t="shared" si="2"/>
        <v>28923.94468</v>
      </c>
      <c r="F68" s="2"/>
      <c r="G68" s="74">
        <v>153.339196</v>
      </c>
      <c r="H68" s="74">
        <v>1350.37116499999</v>
      </c>
      <c r="I68" s="76">
        <f t="shared" si="3"/>
        <v>1503.710361</v>
      </c>
      <c r="J68" s="2"/>
      <c r="K68" s="76">
        <f t="shared" ref="K68:L68" si="66">SUM(C68,G68)</f>
        <v>4442.037068</v>
      </c>
      <c r="L68" s="76">
        <f t="shared" si="66"/>
        <v>25985.61797</v>
      </c>
      <c r="M68" s="2"/>
      <c r="N68" s="76">
        <f t="shared" si="5"/>
        <v>30427.65504</v>
      </c>
      <c r="O68" s="42">
        <v>5508.0</v>
      </c>
      <c r="P68" s="2"/>
      <c r="Q68" s="77">
        <v>16514.4880219999</v>
      </c>
      <c r="R68" s="78">
        <v>614.0</v>
      </c>
      <c r="S68" s="2"/>
      <c r="T68" s="47">
        <v>1300.0</v>
      </c>
      <c r="U68" s="90">
        <v>1.0</v>
      </c>
      <c r="V68" s="2"/>
      <c r="W68" s="79">
        <f t="shared" si="25"/>
        <v>17814.48802</v>
      </c>
      <c r="X68" s="41">
        <f t="shared" si="26"/>
        <v>615</v>
      </c>
      <c r="Y68" s="2"/>
      <c r="Z68" s="77">
        <v>10721.051946</v>
      </c>
      <c r="AA68" s="42">
        <v>165.0</v>
      </c>
      <c r="AB68" s="2"/>
      <c r="AC68" s="77">
        <v>43974.5078249999</v>
      </c>
      <c r="AD68" s="42">
        <v>175.0</v>
      </c>
      <c r="AE68" s="2"/>
      <c r="AF68" s="2"/>
      <c r="AG68" s="2"/>
      <c r="AH68" s="2"/>
      <c r="AI68" s="2"/>
      <c r="AJ68" s="2"/>
      <c r="AK68" s="2"/>
      <c r="AL68" s="2"/>
      <c r="AM68" s="2"/>
      <c r="AN68" s="2"/>
    </row>
    <row r="69" ht="12.0" customHeight="1">
      <c r="A69" s="40">
        <v>1997.0</v>
      </c>
      <c r="B69" s="4" t="s">
        <v>58</v>
      </c>
      <c r="C69" s="74">
        <v>5245.656096</v>
      </c>
      <c r="D69" s="74">
        <v>24612.582819</v>
      </c>
      <c r="E69" s="76">
        <f t="shared" si="2"/>
        <v>29858.23892</v>
      </c>
      <c r="F69" s="2"/>
      <c r="G69" s="74">
        <v>47.5472</v>
      </c>
      <c r="H69" s="74">
        <v>1055.925509</v>
      </c>
      <c r="I69" s="76">
        <f t="shared" si="3"/>
        <v>1103.472709</v>
      </c>
      <c r="J69" s="2"/>
      <c r="K69" s="76">
        <f t="shared" ref="K69:L69" si="67">SUM(C69,G69)</f>
        <v>5293.203296</v>
      </c>
      <c r="L69" s="76">
        <f t="shared" si="67"/>
        <v>25668.50833</v>
      </c>
      <c r="M69" s="2"/>
      <c r="N69" s="76">
        <f t="shared" si="5"/>
        <v>30961.71162</v>
      </c>
      <c r="O69" s="42">
        <v>4975.0</v>
      </c>
      <c r="P69" s="2"/>
      <c r="Q69" s="77">
        <v>17841.4112069999</v>
      </c>
      <c r="R69" s="78">
        <v>766.0</v>
      </c>
      <c r="S69" s="2"/>
      <c r="T69" s="47">
        <v>1687.813406</v>
      </c>
      <c r="U69" s="90">
        <v>4.0</v>
      </c>
      <c r="V69" s="2"/>
      <c r="W69" s="79">
        <f t="shared" si="25"/>
        <v>19529.22461</v>
      </c>
      <c r="X69" s="41">
        <f t="shared" si="26"/>
        <v>770</v>
      </c>
      <c r="Y69" s="79"/>
      <c r="Z69" s="77">
        <v>16903.364651</v>
      </c>
      <c r="AA69" s="42">
        <v>191.0</v>
      </c>
      <c r="AB69" s="2"/>
      <c r="AC69" s="77">
        <v>45688.1408849999</v>
      </c>
      <c r="AD69" s="42">
        <v>252.0</v>
      </c>
      <c r="AE69" s="2"/>
      <c r="AF69" s="2"/>
      <c r="AG69" s="2"/>
      <c r="AH69" s="2"/>
      <c r="AI69" s="2"/>
      <c r="AJ69" s="2"/>
      <c r="AK69" s="2"/>
      <c r="AL69" s="2"/>
      <c r="AM69" s="2"/>
      <c r="AN69" s="2"/>
    </row>
    <row r="70" ht="12.0" customHeight="1">
      <c r="A70" s="2"/>
      <c r="B70" s="4" t="s">
        <v>66</v>
      </c>
      <c r="C70" s="74">
        <v>4453.15543099999</v>
      </c>
      <c r="D70" s="74">
        <v>24812.220499</v>
      </c>
      <c r="E70" s="76">
        <f t="shared" si="2"/>
        <v>29265.37593</v>
      </c>
      <c r="F70" s="2"/>
      <c r="G70" s="74">
        <v>70.027373</v>
      </c>
      <c r="H70" s="74">
        <v>1118.34467099999</v>
      </c>
      <c r="I70" s="76">
        <f t="shared" si="3"/>
        <v>1188.372044</v>
      </c>
      <c r="J70" s="2"/>
      <c r="K70" s="76">
        <f t="shared" ref="K70:L70" si="68">SUM(C70,G70)</f>
        <v>4523.182804</v>
      </c>
      <c r="L70" s="76">
        <f t="shared" si="68"/>
        <v>25930.56517</v>
      </c>
      <c r="M70" s="2"/>
      <c r="N70" s="76">
        <f t="shared" si="5"/>
        <v>30453.74797</v>
      </c>
      <c r="O70" s="42">
        <v>5071.0</v>
      </c>
      <c r="P70" s="2"/>
      <c r="Q70" s="77">
        <v>18452.9668359999</v>
      </c>
      <c r="R70" s="78">
        <v>819.0</v>
      </c>
      <c r="S70" s="2"/>
      <c r="T70" s="47">
        <v>2926.084382</v>
      </c>
      <c r="U70" s="90">
        <v>5.0</v>
      </c>
      <c r="V70" s="2"/>
      <c r="W70" s="79">
        <f t="shared" si="25"/>
        <v>21379.05122</v>
      </c>
      <c r="X70" s="41">
        <f t="shared" si="26"/>
        <v>824</v>
      </c>
      <c r="Y70" s="2"/>
      <c r="Z70" s="77">
        <v>10849.8973619999</v>
      </c>
      <c r="AA70" s="42">
        <v>156.0</v>
      </c>
      <c r="AB70" s="2"/>
      <c r="AC70" s="77">
        <v>70685.258231</v>
      </c>
      <c r="AD70" s="42">
        <v>314.0</v>
      </c>
      <c r="AE70" s="2"/>
      <c r="AF70" s="2"/>
      <c r="AG70" s="2"/>
      <c r="AH70" s="2"/>
      <c r="AI70" s="2"/>
      <c r="AJ70" s="2"/>
      <c r="AK70" s="2"/>
      <c r="AL70" s="2"/>
      <c r="AM70" s="2"/>
      <c r="AN70" s="2"/>
    </row>
    <row r="71" ht="12.0" customHeight="1">
      <c r="A71" s="2"/>
      <c r="B71" s="4" t="s">
        <v>74</v>
      </c>
      <c r="C71" s="74">
        <v>4513.086247</v>
      </c>
      <c r="D71" s="74">
        <v>34580.004159</v>
      </c>
      <c r="E71" s="76">
        <f t="shared" si="2"/>
        <v>39093.09041</v>
      </c>
      <c r="F71" s="2"/>
      <c r="G71" s="74">
        <v>78.292606</v>
      </c>
      <c r="H71" s="74">
        <v>862.036163999999</v>
      </c>
      <c r="I71" s="76">
        <f t="shared" si="3"/>
        <v>940.32877</v>
      </c>
      <c r="J71" s="2"/>
      <c r="K71" s="76">
        <f t="shared" ref="K71:L71" si="69">SUM(C71,G71)</f>
        <v>4591.378853</v>
      </c>
      <c r="L71" s="76">
        <f t="shared" si="69"/>
        <v>35442.04032</v>
      </c>
      <c r="M71" s="2"/>
      <c r="N71" s="76">
        <f t="shared" si="5"/>
        <v>40033.41918</v>
      </c>
      <c r="O71" s="42">
        <v>5840.0</v>
      </c>
      <c r="P71" s="2"/>
      <c r="Q71" s="77">
        <v>18879.294133</v>
      </c>
      <c r="R71" s="78">
        <v>670.0</v>
      </c>
      <c r="S71" s="2"/>
      <c r="T71" s="47">
        <v>1079.216958</v>
      </c>
      <c r="U71" s="90">
        <v>4.0</v>
      </c>
      <c r="V71" s="2"/>
      <c r="W71" s="79">
        <f t="shared" si="25"/>
        <v>19958.51109</v>
      </c>
      <c r="X71" s="41">
        <f t="shared" si="26"/>
        <v>674</v>
      </c>
      <c r="Y71" s="2"/>
      <c r="Z71" s="77">
        <v>15125.6120629999</v>
      </c>
      <c r="AA71" s="42">
        <v>150.0</v>
      </c>
      <c r="AB71" s="2"/>
      <c r="AC71" s="77">
        <v>16045.8515509999</v>
      </c>
      <c r="AD71" s="42">
        <v>216.0</v>
      </c>
      <c r="AE71" s="2"/>
      <c r="AF71" s="2"/>
      <c r="AG71" s="2"/>
      <c r="AH71" s="2"/>
      <c r="AI71" s="2"/>
      <c r="AJ71" s="2"/>
      <c r="AK71" s="2"/>
      <c r="AL71" s="2"/>
      <c r="AM71" s="2"/>
      <c r="AN71" s="2"/>
    </row>
    <row r="72" ht="12.0" customHeight="1">
      <c r="A72" s="2"/>
      <c r="B72" s="4" t="s">
        <v>75</v>
      </c>
      <c r="C72" s="74">
        <v>4302.878646</v>
      </c>
      <c r="D72" s="74">
        <v>38709.918476</v>
      </c>
      <c r="E72" s="76">
        <f t="shared" si="2"/>
        <v>43012.79712</v>
      </c>
      <c r="F72" s="2"/>
      <c r="G72" s="74">
        <v>62.212</v>
      </c>
      <c r="H72" s="74">
        <v>1282.695399</v>
      </c>
      <c r="I72" s="76">
        <f t="shared" si="3"/>
        <v>1344.907399</v>
      </c>
      <c r="J72" s="2"/>
      <c r="K72" s="76">
        <f t="shared" ref="K72:L72" si="70">SUM(C72,G72)</f>
        <v>4365.090646</v>
      </c>
      <c r="L72" s="76">
        <f t="shared" si="70"/>
        <v>39992.61388</v>
      </c>
      <c r="M72" s="2"/>
      <c r="N72" s="76">
        <f t="shared" si="5"/>
        <v>44357.70452</v>
      </c>
      <c r="O72" s="42">
        <v>6659.0</v>
      </c>
      <c r="P72" s="2"/>
      <c r="Q72" s="77">
        <v>21557.1286989999</v>
      </c>
      <c r="R72" s="78">
        <v>686.0</v>
      </c>
      <c r="S72" s="2"/>
      <c r="T72" s="47">
        <v>4541.619621</v>
      </c>
      <c r="U72" s="90">
        <v>5.0</v>
      </c>
      <c r="V72" s="2"/>
      <c r="W72" s="79">
        <f t="shared" si="25"/>
        <v>26098.74832</v>
      </c>
      <c r="X72" s="41">
        <f t="shared" si="26"/>
        <v>691</v>
      </c>
      <c r="Y72" s="2"/>
      <c r="Z72" s="77">
        <v>19080.767023</v>
      </c>
      <c r="AA72" s="42">
        <v>213.0</v>
      </c>
      <c r="AB72" s="2"/>
      <c r="AC72" s="77">
        <v>102805.006035</v>
      </c>
      <c r="AD72" s="42">
        <v>289.0</v>
      </c>
      <c r="AE72" s="2"/>
      <c r="AF72" s="2"/>
      <c r="AG72" s="2"/>
      <c r="AH72" s="2"/>
      <c r="AI72" s="2"/>
      <c r="AJ72" s="2"/>
      <c r="AK72" s="2"/>
      <c r="AL72" s="2"/>
      <c r="AM72" s="2"/>
      <c r="AN72" s="2"/>
    </row>
    <row r="73" ht="12.0" customHeight="1">
      <c r="A73" s="40">
        <v>1998.0</v>
      </c>
      <c r="B73" s="4" t="s">
        <v>58</v>
      </c>
      <c r="C73" s="74">
        <v>5235.626405</v>
      </c>
      <c r="D73" s="74">
        <v>51985.007677</v>
      </c>
      <c r="E73" s="76">
        <f t="shared" si="2"/>
        <v>57220.63408</v>
      </c>
      <c r="F73" s="2"/>
      <c r="G73" s="74">
        <v>7.8</v>
      </c>
      <c r="H73" s="74">
        <v>1109.469465</v>
      </c>
      <c r="I73" s="76">
        <f t="shared" si="3"/>
        <v>1117.269465</v>
      </c>
      <c r="J73" s="2"/>
      <c r="K73" s="76">
        <f t="shared" ref="K73:L73" si="71">SUM(C73,G73)</f>
        <v>5243.426405</v>
      </c>
      <c r="L73" s="76">
        <f t="shared" si="71"/>
        <v>53094.47714</v>
      </c>
      <c r="M73" s="2"/>
      <c r="N73" s="76">
        <f t="shared" si="5"/>
        <v>58337.90355</v>
      </c>
      <c r="O73" s="42">
        <v>7564.0</v>
      </c>
      <c r="P73" s="2"/>
      <c r="Q73" s="77">
        <v>16476.141925</v>
      </c>
      <c r="R73" s="78">
        <v>555.0</v>
      </c>
      <c r="S73" s="2"/>
      <c r="T73" s="47">
        <v>3715.934068</v>
      </c>
      <c r="U73" s="90">
        <v>5.0</v>
      </c>
      <c r="V73" s="2"/>
      <c r="W73" s="79">
        <f t="shared" si="25"/>
        <v>20192.07599</v>
      </c>
      <c r="X73" s="41">
        <f t="shared" si="26"/>
        <v>560</v>
      </c>
      <c r="Y73" s="79"/>
      <c r="Z73" s="77">
        <v>11759.4155359999</v>
      </c>
      <c r="AA73" s="42">
        <v>155.0</v>
      </c>
      <c r="AB73" s="2"/>
      <c r="AC73" s="77">
        <v>108950.697829</v>
      </c>
      <c r="AD73" s="42">
        <v>277.0</v>
      </c>
      <c r="AE73" s="2"/>
      <c r="AF73" s="2"/>
      <c r="AG73" s="2"/>
      <c r="AH73" s="2"/>
      <c r="AI73" s="2"/>
      <c r="AJ73" s="2"/>
      <c r="AK73" s="2"/>
      <c r="AL73" s="2"/>
      <c r="AM73" s="2"/>
      <c r="AN73" s="2"/>
    </row>
    <row r="74" ht="12.0" customHeight="1">
      <c r="A74" s="2"/>
      <c r="B74" s="4" t="s">
        <v>66</v>
      </c>
      <c r="C74" s="74">
        <v>3631.32497999999</v>
      </c>
      <c r="D74" s="74">
        <v>77596.2354269999</v>
      </c>
      <c r="E74" s="76">
        <f t="shared" si="2"/>
        <v>81227.56041</v>
      </c>
      <c r="F74" s="2"/>
      <c r="G74" s="74">
        <v>3.1</v>
      </c>
      <c r="H74" s="74">
        <v>1238.304652</v>
      </c>
      <c r="I74" s="76">
        <f t="shared" si="3"/>
        <v>1241.404652</v>
      </c>
      <c r="J74" s="2"/>
      <c r="K74" s="76">
        <f t="shared" ref="K74:L74" si="72">SUM(C74,G74)</f>
        <v>3634.42498</v>
      </c>
      <c r="L74" s="76">
        <f t="shared" si="72"/>
        <v>78834.54008</v>
      </c>
      <c r="M74" s="2"/>
      <c r="N74" s="76">
        <f t="shared" si="5"/>
        <v>82468.96506</v>
      </c>
      <c r="O74" s="42">
        <v>9070.0</v>
      </c>
      <c r="P74" s="2"/>
      <c r="Q74" s="77">
        <v>25173.3567499999</v>
      </c>
      <c r="R74" s="78">
        <v>766.0</v>
      </c>
      <c r="S74" s="2"/>
      <c r="T74" s="47">
        <v>1900.0</v>
      </c>
      <c r="U74" s="90">
        <v>2.0</v>
      </c>
      <c r="V74" s="2"/>
      <c r="W74" s="79">
        <f t="shared" si="25"/>
        <v>27073.35675</v>
      </c>
      <c r="X74" s="41">
        <f t="shared" si="26"/>
        <v>768</v>
      </c>
      <c r="Y74" s="2"/>
      <c r="Z74" s="77">
        <v>8087.95342399999</v>
      </c>
      <c r="AA74" s="42">
        <v>140.0</v>
      </c>
      <c r="AB74" s="2"/>
      <c r="AC74" s="77">
        <v>43812.16467</v>
      </c>
      <c r="AD74" s="42">
        <v>162.0</v>
      </c>
      <c r="AE74" s="2"/>
      <c r="AF74" s="2"/>
      <c r="AG74" s="2"/>
      <c r="AH74" s="2"/>
      <c r="AI74" s="2"/>
      <c r="AJ74" s="2"/>
      <c r="AK74" s="2"/>
      <c r="AL74" s="2"/>
      <c r="AM74" s="2"/>
      <c r="AN74" s="2"/>
    </row>
    <row r="75" ht="12.0" customHeight="1">
      <c r="A75" s="2"/>
      <c r="B75" s="4" t="s">
        <v>74</v>
      </c>
      <c r="C75" s="74">
        <v>2197.91829899999</v>
      </c>
      <c r="D75" s="74">
        <v>77161.0113539999</v>
      </c>
      <c r="E75" s="76">
        <f t="shared" si="2"/>
        <v>79358.92965</v>
      </c>
      <c r="F75" s="2"/>
      <c r="G75" s="74">
        <v>1773.779347</v>
      </c>
      <c r="H75" s="74">
        <v>1873.860955</v>
      </c>
      <c r="I75" s="76">
        <f t="shared" si="3"/>
        <v>3647.640302</v>
      </c>
      <c r="J75" s="2"/>
      <c r="K75" s="76">
        <f t="shared" ref="K75:L75" si="73">SUM(C75,G75)</f>
        <v>3971.697646</v>
      </c>
      <c r="L75" s="76">
        <f t="shared" si="73"/>
        <v>79034.87231</v>
      </c>
      <c r="M75" s="2"/>
      <c r="N75" s="76">
        <f t="shared" si="5"/>
        <v>83006.56995</v>
      </c>
      <c r="O75" s="42">
        <v>8759.0</v>
      </c>
      <c r="P75" s="2"/>
      <c r="Q75" s="77">
        <v>25519.5425</v>
      </c>
      <c r="R75" s="78">
        <v>634.0</v>
      </c>
      <c r="S75" s="2"/>
      <c r="T75" s="49"/>
      <c r="U75" s="91"/>
      <c r="V75" s="2"/>
      <c r="W75" s="79">
        <f t="shared" si="25"/>
        <v>25519.5425</v>
      </c>
      <c r="X75" s="41">
        <f t="shared" si="26"/>
        <v>634</v>
      </c>
      <c r="Y75" s="2"/>
      <c r="Z75" s="77">
        <v>16389.6405509999</v>
      </c>
      <c r="AA75" s="42">
        <v>121.0</v>
      </c>
      <c r="AB75" s="2"/>
      <c r="AC75" s="77">
        <v>7898.60228999999</v>
      </c>
      <c r="AD75" s="42">
        <v>101.0</v>
      </c>
      <c r="AE75" s="2"/>
      <c r="AF75" s="2"/>
      <c r="AG75" s="2"/>
      <c r="AH75" s="2"/>
      <c r="AI75" s="2"/>
      <c r="AJ75" s="2"/>
      <c r="AK75" s="2"/>
      <c r="AL75" s="2"/>
      <c r="AM75" s="2"/>
      <c r="AN75" s="2"/>
    </row>
    <row r="76" ht="12.0" customHeight="1">
      <c r="A76" s="2"/>
      <c r="B76" s="4" t="s">
        <v>75</v>
      </c>
      <c r="C76" s="74">
        <v>2390.919519</v>
      </c>
      <c r="D76" s="74">
        <v>92034.352976</v>
      </c>
      <c r="E76" s="76">
        <f t="shared" si="2"/>
        <v>94425.2725</v>
      </c>
      <c r="F76" s="2"/>
      <c r="G76" s="74">
        <v>32.275</v>
      </c>
      <c r="H76" s="74">
        <v>2964.57830799999</v>
      </c>
      <c r="I76" s="76">
        <f t="shared" si="3"/>
        <v>2996.853308</v>
      </c>
      <c r="J76" s="2"/>
      <c r="K76" s="76">
        <f t="shared" ref="K76:L76" si="74">SUM(C76,G76)</f>
        <v>2423.194519</v>
      </c>
      <c r="L76" s="76">
        <f t="shared" si="74"/>
        <v>94998.93128</v>
      </c>
      <c r="M76" s="2"/>
      <c r="N76" s="76">
        <f t="shared" si="5"/>
        <v>97422.1258</v>
      </c>
      <c r="O76" s="42">
        <v>10059.0</v>
      </c>
      <c r="P76" s="2"/>
      <c r="Q76" s="77">
        <v>10216.13595</v>
      </c>
      <c r="R76" s="78">
        <v>280.0</v>
      </c>
      <c r="S76" s="2"/>
      <c r="T76" s="49"/>
      <c r="U76" s="91"/>
      <c r="V76" s="2"/>
      <c r="W76" s="79">
        <f t="shared" si="25"/>
        <v>10216.13595</v>
      </c>
      <c r="X76" s="41">
        <f t="shared" si="26"/>
        <v>280</v>
      </c>
      <c r="Y76" s="2"/>
      <c r="Z76" s="77">
        <v>26501.604938</v>
      </c>
      <c r="AA76" s="42">
        <v>199.0</v>
      </c>
      <c r="AB76" s="2"/>
      <c r="AC76" s="77">
        <v>2780.905701</v>
      </c>
      <c r="AD76" s="42">
        <v>61.0</v>
      </c>
      <c r="AE76" s="2"/>
      <c r="AF76" s="2"/>
      <c r="AG76" s="2"/>
      <c r="AH76" s="2"/>
      <c r="AI76" s="2"/>
      <c r="AJ76" s="2"/>
      <c r="AK76" s="2"/>
      <c r="AL76" s="2"/>
      <c r="AM76" s="2"/>
      <c r="AN76" s="2"/>
    </row>
    <row r="77" ht="12.0" customHeight="1">
      <c r="A77" s="40">
        <v>1999.0</v>
      </c>
      <c r="B77" s="4" t="s">
        <v>58</v>
      </c>
      <c r="C77" s="74">
        <v>1267.92684</v>
      </c>
      <c r="D77" s="74">
        <v>100069.381953999</v>
      </c>
      <c r="E77" s="76">
        <f t="shared" si="2"/>
        <v>101337.3088</v>
      </c>
      <c r="F77" s="2"/>
      <c r="G77" s="74">
        <v>23.77</v>
      </c>
      <c r="H77" s="74">
        <v>1835.47042399999</v>
      </c>
      <c r="I77" s="76">
        <f t="shared" si="3"/>
        <v>1859.240424</v>
      </c>
      <c r="J77" s="2"/>
      <c r="K77" s="76">
        <f t="shared" ref="K77:L77" si="75">SUM(C77,G77)</f>
        <v>1291.69684</v>
      </c>
      <c r="L77" s="76">
        <f t="shared" si="75"/>
        <v>101904.8524</v>
      </c>
      <c r="M77" s="2"/>
      <c r="N77" s="76">
        <f t="shared" si="5"/>
        <v>103196.5492</v>
      </c>
      <c r="O77" s="42">
        <v>10557.0</v>
      </c>
      <c r="P77" s="2"/>
      <c r="Q77" s="47">
        <v>16885.10405</v>
      </c>
      <c r="R77" s="90">
        <v>511.0</v>
      </c>
      <c r="S77" s="2"/>
      <c r="T77" s="49"/>
      <c r="U77" s="91"/>
      <c r="V77" s="2"/>
      <c r="W77" s="79">
        <f t="shared" si="25"/>
        <v>16885.10405</v>
      </c>
      <c r="X77" s="41">
        <f t="shared" si="26"/>
        <v>511</v>
      </c>
      <c r="Y77" s="2"/>
      <c r="Z77" s="77">
        <v>21424.128735</v>
      </c>
      <c r="AA77" s="42">
        <v>163.0</v>
      </c>
      <c r="AB77" s="2"/>
      <c r="AC77" s="77">
        <v>6343.009015</v>
      </c>
      <c r="AD77" s="42">
        <v>106.0</v>
      </c>
      <c r="AE77" s="2"/>
      <c r="AF77" s="2"/>
      <c r="AG77" s="2"/>
      <c r="AH77" s="2"/>
      <c r="AI77" s="2"/>
      <c r="AJ77" s="2"/>
      <c r="AK77" s="2"/>
      <c r="AL77" s="2"/>
      <c r="AM77" s="2"/>
      <c r="AN77" s="2"/>
    </row>
    <row r="78" ht="12.0" customHeight="1">
      <c r="A78" s="2"/>
      <c r="B78" s="4" t="s">
        <v>66</v>
      </c>
      <c r="C78" s="74">
        <v>2574.910635</v>
      </c>
      <c r="D78" s="74">
        <v>73629.394687</v>
      </c>
      <c r="E78" s="76">
        <f t="shared" si="2"/>
        <v>76204.30532</v>
      </c>
      <c r="F78" s="2"/>
      <c r="G78" s="74">
        <v>6.665</v>
      </c>
      <c r="H78" s="74">
        <v>1552.732315</v>
      </c>
      <c r="I78" s="76">
        <f t="shared" si="3"/>
        <v>1559.397315</v>
      </c>
      <c r="J78" s="2"/>
      <c r="K78" s="76">
        <f t="shared" ref="K78:L78" si="76">SUM(C78,G78)</f>
        <v>2581.575635</v>
      </c>
      <c r="L78" s="76">
        <f t="shared" si="76"/>
        <v>75182.127</v>
      </c>
      <c r="M78" s="2"/>
      <c r="N78" s="76">
        <f t="shared" si="5"/>
        <v>77763.70264</v>
      </c>
      <c r="O78" s="42">
        <v>9162.0</v>
      </c>
      <c r="P78" s="2"/>
      <c r="Q78" s="47">
        <v>17160.6191579999</v>
      </c>
      <c r="R78" s="90">
        <v>600.0</v>
      </c>
      <c r="S78" s="2"/>
      <c r="T78" s="47">
        <v>3247.00841599999</v>
      </c>
      <c r="U78" s="90">
        <v>2.0</v>
      </c>
      <c r="V78" s="2"/>
      <c r="W78" s="79">
        <f t="shared" si="25"/>
        <v>20407.62757</v>
      </c>
      <c r="X78" s="41">
        <f t="shared" si="26"/>
        <v>602</v>
      </c>
      <c r="Y78" s="2"/>
      <c r="Z78" s="77">
        <v>24214.5025869999</v>
      </c>
      <c r="AA78" s="42">
        <v>204.0</v>
      </c>
      <c r="AB78" s="2"/>
      <c r="AC78" s="77">
        <v>77056.0822859999</v>
      </c>
      <c r="AD78" s="42">
        <v>169.0</v>
      </c>
      <c r="AE78" s="2"/>
      <c r="AF78" s="2"/>
      <c r="AG78" s="2"/>
      <c r="AH78" s="2"/>
      <c r="AI78" s="2"/>
      <c r="AJ78" s="2"/>
      <c r="AK78" s="2"/>
      <c r="AL78" s="2"/>
      <c r="AM78" s="2"/>
      <c r="AN78" s="2"/>
    </row>
    <row r="79" ht="12.0" customHeight="1">
      <c r="A79" s="2"/>
      <c r="B79" s="4" t="s">
        <v>74</v>
      </c>
      <c r="C79" s="74">
        <v>1998.26524999999</v>
      </c>
      <c r="D79" s="74">
        <v>61850.510527</v>
      </c>
      <c r="E79" s="76">
        <f t="shared" si="2"/>
        <v>63848.77578</v>
      </c>
      <c r="F79" s="2"/>
      <c r="G79" s="74">
        <v>23.6</v>
      </c>
      <c r="H79" s="74">
        <v>1336.448332</v>
      </c>
      <c r="I79" s="76">
        <f t="shared" si="3"/>
        <v>1360.048332</v>
      </c>
      <c r="J79" s="2"/>
      <c r="K79" s="76">
        <f t="shared" ref="K79:L79" si="77">SUM(C79,G79)</f>
        <v>2021.86525</v>
      </c>
      <c r="L79" s="76">
        <f t="shared" si="77"/>
        <v>63186.95886</v>
      </c>
      <c r="M79" s="2"/>
      <c r="N79" s="76">
        <f t="shared" si="5"/>
        <v>65208.82411</v>
      </c>
      <c r="O79" s="42">
        <v>8390.0</v>
      </c>
      <c r="P79" s="2"/>
      <c r="Q79" s="47">
        <v>12696.256978</v>
      </c>
      <c r="R79" s="90">
        <v>627.0</v>
      </c>
      <c r="S79" s="2"/>
      <c r="T79" s="49"/>
      <c r="U79" s="91"/>
      <c r="V79" s="2"/>
      <c r="W79" s="79">
        <f t="shared" si="25"/>
        <v>12696.25698</v>
      </c>
      <c r="X79" s="41">
        <f t="shared" si="26"/>
        <v>627</v>
      </c>
      <c r="Y79" s="2"/>
      <c r="Z79" s="77">
        <v>13304.40507</v>
      </c>
      <c r="AA79" s="42">
        <v>151.0</v>
      </c>
      <c r="AB79" s="2"/>
      <c r="AC79" s="77">
        <v>5522.333487</v>
      </c>
      <c r="AD79" s="42">
        <v>114.0</v>
      </c>
      <c r="AE79" s="2"/>
      <c r="AF79" s="2"/>
      <c r="AG79" s="2"/>
      <c r="AH79" s="2"/>
      <c r="AI79" s="2"/>
      <c r="AJ79" s="2"/>
      <c r="AK79" s="2"/>
      <c r="AL79" s="2"/>
      <c r="AM79" s="2"/>
      <c r="AN79" s="2"/>
    </row>
    <row r="80" ht="12.0" customHeight="1">
      <c r="A80" s="2"/>
      <c r="B80" s="4" t="s">
        <v>75</v>
      </c>
      <c r="C80" s="74">
        <v>3657.75486899999</v>
      </c>
      <c r="D80" s="74">
        <v>43652.012317</v>
      </c>
      <c r="E80" s="76">
        <f t="shared" si="2"/>
        <v>47309.76719</v>
      </c>
      <c r="F80" s="2"/>
      <c r="G80" s="74">
        <v>62.090567</v>
      </c>
      <c r="H80" s="74">
        <v>1199.09821599999</v>
      </c>
      <c r="I80" s="76">
        <f t="shared" si="3"/>
        <v>1261.188783</v>
      </c>
      <c r="J80" s="2"/>
      <c r="K80" s="76">
        <f t="shared" ref="K80:L80" si="78">SUM(C80,G80)</f>
        <v>3719.845436</v>
      </c>
      <c r="L80" s="76">
        <f t="shared" si="78"/>
        <v>44851.11053</v>
      </c>
      <c r="M80" s="2"/>
      <c r="N80" s="76">
        <f t="shared" si="5"/>
        <v>48570.95597</v>
      </c>
      <c r="O80" s="42">
        <v>6838.0</v>
      </c>
      <c r="P80" s="2"/>
      <c r="Q80" s="47">
        <v>6996.963637</v>
      </c>
      <c r="R80" s="90">
        <v>369.0</v>
      </c>
      <c r="S80" s="2"/>
      <c r="T80" s="47">
        <v>1300.0</v>
      </c>
      <c r="U80" s="90">
        <v>1.0</v>
      </c>
      <c r="V80" s="2"/>
      <c r="W80" s="79">
        <f t="shared" si="25"/>
        <v>8296.963637</v>
      </c>
      <c r="X80" s="41">
        <f t="shared" si="26"/>
        <v>370</v>
      </c>
      <c r="Y80" s="2"/>
      <c r="Z80" s="77">
        <v>16310.41583</v>
      </c>
      <c r="AA80" s="42">
        <v>152.0</v>
      </c>
      <c r="AB80" s="2"/>
      <c r="AC80" s="77">
        <v>40598.2673499999</v>
      </c>
      <c r="AD80" s="42">
        <v>164.0</v>
      </c>
      <c r="AE80" s="2"/>
      <c r="AF80" s="2"/>
      <c r="AG80" s="2"/>
      <c r="AH80" s="2"/>
      <c r="AI80" s="2"/>
      <c r="AJ80" s="2"/>
      <c r="AK80" s="2"/>
      <c r="AL80" s="2"/>
      <c r="AM80" s="2"/>
      <c r="AN80" s="2"/>
    </row>
    <row r="81" ht="12.0" customHeight="1">
      <c r="A81" s="40">
        <v>2000.0</v>
      </c>
      <c r="B81" s="4" t="s">
        <v>58</v>
      </c>
      <c r="C81" s="74">
        <v>3068.496037</v>
      </c>
      <c r="D81" s="74">
        <v>33898.744359</v>
      </c>
      <c r="E81" s="76">
        <f t="shared" si="2"/>
        <v>36967.2404</v>
      </c>
      <c r="F81" s="2"/>
      <c r="G81" s="74">
        <v>30.014117</v>
      </c>
      <c r="H81" s="74">
        <v>940.925230999999</v>
      </c>
      <c r="I81" s="76">
        <f t="shared" si="3"/>
        <v>970.939348</v>
      </c>
      <c r="J81" s="2"/>
      <c r="K81" s="76">
        <f t="shared" ref="K81:L81" si="79">SUM(C81,G81)</f>
        <v>3098.510154</v>
      </c>
      <c r="L81" s="76">
        <f t="shared" si="79"/>
        <v>34839.66959</v>
      </c>
      <c r="M81" s="2"/>
      <c r="N81" s="76">
        <f t="shared" si="5"/>
        <v>37938.17974</v>
      </c>
      <c r="O81" s="42">
        <v>5928.0</v>
      </c>
      <c r="P81" s="2"/>
      <c r="Q81" s="47">
        <v>8201.01461699999</v>
      </c>
      <c r="R81" s="90">
        <v>403.0</v>
      </c>
      <c r="S81" s="2"/>
      <c r="T81" s="49"/>
      <c r="U81" s="91"/>
      <c r="V81" s="2"/>
      <c r="W81" s="79">
        <f t="shared" si="25"/>
        <v>8201.014617</v>
      </c>
      <c r="X81" s="41">
        <f t="shared" si="26"/>
        <v>403</v>
      </c>
      <c r="Y81" s="2"/>
      <c r="Z81" s="77">
        <v>19215.777565</v>
      </c>
      <c r="AA81" s="42">
        <v>152.0</v>
      </c>
      <c r="AB81" s="2"/>
      <c r="AC81" s="77">
        <v>3534.43121499999</v>
      </c>
      <c r="AD81" s="42">
        <v>79.0</v>
      </c>
      <c r="AE81" s="2"/>
      <c r="AF81" s="2"/>
      <c r="AG81" s="2"/>
      <c r="AH81" s="2"/>
      <c r="AI81" s="2"/>
      <c r="AJ81" s="2"/>
      <c r="AK81" s="2"/>
      <c r="AL81" s="2"/>
      <c r="AM81" s="2"/>
      <c r="AN81" s="2"/>
    </row>
    <row r="82" ht="12.0" customHeight="1">
      <c r="A82" s="2"/>
      <c r="B82" s="4" t="s">
        <v>66</v>
      </c>
      <c r="C82" s="74">
        <v>7415.453367</v>
      </c>
      <c r="D82" s="74">
        <v>38047.0714269999</v>
      </c>
      <c r="E82" s="76">
        <f t="shared" si="2"/>
        <v>45462.52479</v>
      </c>
      <c r="F82" s="2"/>
      <c r="G82" s="74">
        <v>186.535081</v>
      </c>
      <c r="H82" s="74">
        <v>1120.966363</v>
      </c>
      <c r="I82" s="76">
        <f t="shared" si="3"/>
        <v>1307.501444</v>
      </c>
      <c r="J82" s="2"/>
      <c r="K82" s="76">
        <f t="shared" ref="K82:L82" si="80">SUM(C82,G82)</f>
        <v>7601.988448</v>
      </c>
      <c r="L82" s="76">
        <f t="shared" si="80"/>
        <v>39168.03779</v>
      </c>
      <c r="M82" s="2"/>
      <c r="N82" s="76">
        <f t="shared" si="5"/>
        <v>46770.02624</v>
      </c>
      <c r="O82" s="42">
        <v>6447.0</v>
      </c>
      <c r="P82" s="2"/>
      <c r="Q82" s="47">
        <v>8038.21339099999</v>
      </c>
      <c r="R82" s="90">
        <v>218.0</v>
      </c>
      <c r="S82" s="2"/>
      <c r="T82" s="47">
        <v>2450.0</v>
      </c>
      <c r="U82" s="90">
        <v>2.0</v>
      </c>
      <c r="V82" s="2"/>
      <c r="W82" s="79">
        <f t="shared" si="25"/>
        <v>10488.21339</v>
      </c>
      <c r="X82" s="41">
        <f t="shared" si="26"/>
        <v>220</v>
      </c>
      <c r="Y82" s="2"/>
      <c r="Z82" s="77">
        <v>15204.133502</v>
      </c>
      <c r="AA82" s="42">
        <v>159.0</v>
      </c>
      <c r="AB82" s="2"/>
      <c r="AC82" s="77">
        <v>72129.2165549999</v>
      </c>
      <c r="AD82" s="42">
        <v>129.0</v>
      </c>
      <c r="AE82" s="2"/>
      <c r="AF82" s="2"/>
      <c r="AG82" s="2"/>
      <c r="AH82" s="2"/>
      <c r="AI82" s="2"/>
      <c r="AJ82" s="2"/>
      <c r="AK82" s="2"/>
      <c r="AL82" s="2"/>
      <c r="AM82" s="2"/>
      <c r="AN82" s="2"/>
    </row>
    <row r="83" ht="12.0" customHeight="1">
      <c r="A83" s="2"/>
      <c r="B83" s="4" t="s">
        <v>74</v>
      </c>
      <c r="C83" s="74">
        <v>5697.540716</v>
      </c>
      <c r="D83" s="74">
        <v>47979.3598739999</v>
      </c>
      <c r="E83" s="76">
        <f t="shared" si="2"/>
        <v>53676.90059</v>
      </c>
      <c r="F83" s="2"/>
      <c r="G83" s="74">
        <v>51.188912</v>
      </c>
      <c r="H83" s="74">
        <v>1290.740589</v>
      </c>
      <c r="I83" s="76">
        <f t="shared" si="3"/>
        <v>1341.929501</v>
      </c>
      <c r="J83" s="2"/>
      <c r="K83" s="76">
        <f t="shared" ref="K83:L83" si="81">SUM(C83,G83)</f>
        <v>5748.729628</v>
      </c>
      <c r="L83" s="76">
        <f t="shared" si="81"/>
        <v>49270.10046</v>
      </c>
      <c r="M83" s="2"/>
      <c r="N83" s="76">
        <f t="shared" si="5"/>
        <v>55018.83009</v>
      </c>
      <c r="O83" s="42">
        <v>7325.0</v>
      </c>
      <c r="P83" s="2"/>
      <c r="Q83" s="47">
        <v>7557.993994</v>
      </c>
      <c r="R83" s="90">
        <v>306.0</v>
      </c>
      <c r="S83" s="2"/>
      <c r="T83" s="47">
        <v>1500.0</v>
      </c>
      <c r="U83" s="90">
        <v>1.0</v>
      </c>
      <c r="V83" s="2"/>
      <c r="W83" s="79">
        <f t="shared" si="25"/>
        <v>9057.993994</v>
      </c>
      <c r="X83" s="41">
        <f t="shared" si="26"/>
        <v>307</v>
      </c>
      <c r="Y83" s="2"/>
      <c r="Z83" s="77">
        <v>13532.984221</v>
      </c>
      <c r="AA83" s="42">
        <v>150.0</v>
      </c>
      <c r="AB83" s="2"/>
      <c r="AC83" s="77">
        <v>46568.777027</v>
      </c>
      <c r="AD83" s="42">
        <v>110.0</v>
      </c>
      <c r="AE83" s="2"/>
      <c r="AF83" s="2"/>
      <c r="AG83" s="2"/>
      <c r="AH83" s="2"/>
      <c r="AI83" s="2"/>
      <c r="AJ83" s="2"/>
      <c r="AK83" s="2"/>
      <c r="AL83" s="2"/>
      <c r="AM83" s="2"/>
      <c r="AN83" s="2"/>
    </row>
    <row r="84" ht="12.0" customHeight="1">
      <c r="A84" s="2"/>
      <c r="B84" s="4" t="s">
        <v>75</v>
      </c>
      <c r="C84" s="74">
        <v>5119.23500399999</v>
      </c>
      <c r="D84" s="74">
        <v>57466.814487</v>
      </c>
      <c r="E84" s="76">
        <f t="shared" si="2"/>
        <v>62586.04949</v>
      </c>
      <c r="F84" s="2"/>
      <c r="G84" s="74">
        <v>26.8317579999999</v>
      </c>
      <c r="H84" s="74">
        <v>1848.79843599999</v>
      </c>
      <c r="I84" s="76">
        <f t="shared" si="3"/>
        <v>1875.630194</v>
      </c>
      <c r="J84" s="2"/>
      <c r="K84" s="76">
        <f t="shared" ref="K84:L84" si="82">SUM(C84,G84)</f>
        <v>5146.066762</v>
      </c>
      <c r="L84" s="76">
        <f t="shared" si="82"/>
        <v>59315.61292</v>
      </c>
      <c r="M84" s="2"/>
      <c r="N84" s="76">
        <f t="shared" si="5"/>
        <v>64461.67969</v>
      </c>
      <c r="O84" s="42">
        <v>7215.0</v>
      </c>
      <c r="P84" s="2"/>
      <c r="Q84" s="47">
        <v>12406.904773</v>
      </c>
      <c r="R84" s="90">
        <v>375.0</v>
      </c>
      <c r="S84" s="2"/>
      <c r="T84" s="47">
        <v>2000.0</v>
      </c>
      <c r="U84" s="90">
        <v>2.0</v>
      </c>
      <c r="V84" s="2"/>
      <c r="W84" s="79">
        <f t="shared" si="25"/>
        <v>14406.90477</v>
      </c>
      <c r="X84" s="41">
        <f t="shared" si="26"/>
        <v>377</v>
      </c>
      <c r="Y84" s="2"/>
      <c r="Z84" s="77">
        <v>14495.326246</v>
      </c>
      <c r="AA84" s="42">
        <v>139.0</v>
      </c>
      <c r="AB84" s="2"/>
      <c r="AC84" s="77">
        <v>59689.979124</v>
      </c>
      <c r="AD84" s="42">
        <v>200.0</v>
      </c>
      <c r="AE84" s="2"/>
      <c r="AF84" s="2"/>
      <c r="AG84" s="2"/>
      <c r="AH84" s="2"/>
      <c r="AI84" s="2"/>
      <c r="AJ84" s="2"/>
      <c r="AK84" s="2"/>
      <c r="AL84" s="2"/>
      <c r="AM84" s="2"/>
      <c r="AN84" s="2"/>
    </row>
    <row r="85" ht="12.0" customHeight="1">
      <c r="A85" s="40">
        <v>2001.0</v>
      </c>
      <c r="B85" s="4" t="s">
        <v>58</v>
      </c>
      <c r="C85" s="74">
        <v>3090.22495799999</v>
      </c>
      <c r="D85" s="74">
        <v>76697.345496</v>
      </c>
      <c r="E85" s="76">
        <f t="shared" si="2"/>
        <v>79787.57045</v>
      </c>
      <c r="F85" s="2"/>
      <c r="G85" s="74">
        <v>3.471652</v>
      </c>
      <c r="H85" s="74">
        <v>2858.56268599999</v>
      </c>
      <c r="I85" s="76">
        <f t="shared" si="3"/>
        <v>2862.034338</v>
      </c>
      <c r="J85" s="2"/>
      <c r="K85" s="76">
        <f t="shared" ref="K85:L85" si="83">SUM(C85,G85)</f>
        <v>3093.69661</v>
      </c>
      <c r="L85" s="76">
        <f t="shared" si="83"/>
        <v>79555.90818</v>
      </c>
      <c r="M85" s="2"/>
      <c r="N85" s="76">
        <f t="shared" si="5"/>
        <v>82649.60479</v>
      </c>
      <c r="O85" s="42">
        <v>8267.0</v>
      </c>
      <c r="P85" s="2"/>
      <c r="Q85" s="47">
        <v>9899.265182</v>
      </c>
      <c r="R85" s="90">
        <v>352.0</v>
      </c>
      <c r="S85" s="2"/>
      <c r="T85" s="47">
        <v>4647.435963</v>
      </c>
      <c r="U85" s="90">
        <v>2.0</v>
      </c>
      <c r="V85" s="2"/>
      <c r="W85" s="79">
        <f t="shared" si="25"/>
        <v>14546.70115</v>
      </c>
      <c r="X85" s="41">
        <f t="shared" si="26"/>
        <v>354</v>
      </c>
      <c r="Y85" s="2"/>
      <c r="Z85" s="77">
        <v>31773.126121</v>
      </c>
      <c r="AA85" s="42">
        <v>226.0</v>
      </c>
      <c r="AB85" s="2"/>
      <c r="AC85" s="77">
        <v>110159.444823999</v>
      </c>
      <c r="AD85" s="42">
        <v>235.0</v>
      </c>
      <c r="AE85" s="2"/>
      <c r="AF85" s="2"/>
      <c r="AG85" s="2"/>
      <c r="AH85" s="2"/>
      <c r="AI85" s="2"/>
      <c r="AJ85" s="2"/>
      <c r="AK85" s="2"/>
      <c r="AL85" s="2"/>
      <c r="AM85" s="2"/>
      <c r="AN85" s="2"/>
    </row>
    <row r="86" ht="12.0" customHeight="1">
      <c r="A86" s="2"/>
      <c r="B86" s="4" t="s">
        <v>66</v>
      </c>
      <c r="C86" s="74">
        <v>5414.94994599999</v>
      </c>
      <c r="D86" s="74">
        <v>132030.907226</v>
      </c>
      <c r="E86" s="76">
        <f t="shared" si="2"/>
        <v>137445.8572</v>
      </c>
      <c r="F86" s="2"/>
      <c r="G86" s="74">
        <v>720.376218999999</v>
      </c>
      <c r="H86" s="74">
        <v>3432.37771</v>
      </c>
      <c r="I86" s="76">
        <f t="shared" si="3"/>
        <v>4152.753929</v>
      </c>
      <c r="J86" s="2"/>
      <c r="K86" s="76">
        <f t="shared" ref="K86:L86" si="84">SUM(C86,G86)</f>
        <v>6135.326165</v>
      </c>
      <c r="L86" s="76">
        <f t="shared" si="84"/>
        <v>135463.2849</v>
      </c>
      <c r="M86" s="2"/>
      <c r="N86" s="76">
        <f t="shared" si="5"/>
        <v>141598.6111</v>
      </c>
      <c r="O86" s="42">
        <v>13097.0</v>
      </c>
      <c r="P86" s="2"/>
      <c r="Q86" s="47">
        <v>18064.786731</v>
      </c>
      <c r="R86" s="90">
        <v>443.0</v>
      </c>
      <c r="S86" s="2"/>
      <c r="T86" s="47">
        <v>4700.0</v>
      </c>
      <c r="U86" s="90">
        <v>2.0</v>
      </c>
      <c r="V86" s="2"/>
      <c r="W86" s="79">
        <f t="shared" si="25"/>
        <v>22764.78673</v>
      </c>
      <c r="X86" s="41">
        <f t="shared" si="26"/>
        <v>445</v>
      </c>
      <c r="Y86" s="2"/>
      <c r="Z86" s="77">
        <v>37419.9123319999</v>
      </c>
      <c r="AA86" s="42">
        <v>254.0</v>
      </c>
      <c r="AB86" s="2"/>
      <c r="AC86" s="77">
        <v>119631.911257</v>
      </c>
      <c r="AD86" s="42">
        <v>239.0</v>
      </c>
      <c r="AE86" s="2"/>
      <c r="AF86" s="2"/>
      <c r="AG86" s="2"/>
      <c r="AH86" s="2"/>
      <c r="AI86" s="2"/>
      <c r="AJ86" s="2"/>
      <c r="AK86" s="2"/>
      <c r="AL86" s="2"/>
      <c r="AM86" s="2"/>
      <c r="AN86" s="2"/>
    </row>
    <row r="87" ht="12.0" customHeight="1">
      <c r="A87" s="2"/>
      <c r="B87" s="4" t="s">
        <v>74</v>
      </c>
      <c r="C87" s="74">
        <v>7355.69367099999</v>
      </c>
      <c r="D87" s="74">
        <v>127942.356315</v>
      </c>
      <c r="E87" s="76">
        <f t="shared" si="2"/>
        <v>135298.05</v>
      </c>
      <c r="F87" s="2"/>
      <c r="G87" s="74">
        <v>131.350812</v>
      </c>
      <c r="H87" s="74">
        <v>2503.137224</v>
      </c>
      <c r="I87" s="76">
        <f t="shared" si="3"/>
        <v>2634.488036</v>
      </c>
      <c r="J87" s="2"/>
      <c r="K87" s="76">
        <f t="shared" ref="K87:L87" si="85">SUM(C87,G87)</f>
        <v>7487.044483</v>
      </c>
      <c r="L87" s="76">
        <f t="shared" si="85"/>
        <v>130445.4935</v>
      </c>
      <c r="M87" s="2"/>
      <c r="N87" s="76">
        <f t="shared" si="5"/>
        <v>137932.538</v>
      </c>
      <c r="O87" s="42">
        <v>11051.0</v>
      </c>
      <c r="P87" s="2"/>
      <c r="Q87" s="47">
        <v>31723.748494</v>
      </c>
      <c r="R87" s="90">
        <v>858.0</v>
      </c>
      <c r="S87" s="2"/>
      <c r="T87" s="49"/>
      <c r="U87" s="91"/>
      <c r="V87" s="2"/>
      <c r="W87" s="79">
        <f t="shared" si="25"/>
        <v>31723.74849</v>
      </c>
      <c r="X87" s="41">
        <f t="shared" si="26"/>
        <v>858</v>
      </c>
      <c r="Y87" s="2"/>
      <c r="Z87" s="77">
        <v>15218.102045</v>
      </c>
      <c r="AA87" s="42">
        <v>189.0</v>
      </c>
      <c r="AB87" s="2"/>
      <c r="AC87" s="77">
        <v>52228.030797</v>
      </c>
      <c r="AD87" s="42">
        <v>431.0</v>
      </c>
      <c r="AE87" s="2"/>
      <c r="AF87" s="2"/>
      <c r="AG87" s="2"/>
      <c r="AH87" s="2"/>
      <c r="AI87" s="2"/>
      <c r="AJ87" s="2"/>
      <c r="AK87" s="2"/>
      <c r="AL87" s="2"/>
      <c r="AM87" s="2"/>
      <c r="AN87" s="2"/>
    </row>
    <row r="88" ht="12.0" customHeight="1">
      <c r="A88" s="2"/>
      <c r="B88" s="4" t="s">
        <v>75</v>
      </c>
      <c r="C88" s="74">
        <v>9992.86228199999</v>
      </c>
      <c r="D88" s="74">
        <v>147244.675449</v>
      </c>
      <c r="E88" s="76">
        <f t="shared" si="2"/>
        <v>157237.5377</v>
      </c>
      <c r="F88" s="2"/>
      <c r="G88" s="74">
        <v>125.572138</v>
      </c>
      <c r="H88" s="74">
        <v>2427.537428</v>
      </c>
      <c r="I88" s="76">
        <f t="shared" si="3"/>
        <v>2553.109566</v>
      </c>
      <c r="J88" s="2"/>
      <c r="K88" s="76">
        <f t="shared" ref="K88:L88" si="86">SUM(C88,G88)</f>
        <v>10118.43442</v>
      </c>
      <c r="L88" s="76">
        <f t="shared" si="86"/>
        <v>149672.2129</v>
      </c>
      <c r="M88" s="2"/>
      <c r="N88" s="76">
        <f t="shared" si="5"/>
        <v>159790.6473</v>
      </c>
      <c r="O88" s="42">
        <v>11061.0</v>
      </c>
      <c r="P88" s="2"/>
      <c r="Q88" s="47">
        <v>79819.532458</v>
      </c>
      <c r="R88" s="90">
        <v>1086.0</v>
      </c>
      <c r="S88" s="2"/>
      <c r="T88" s="47">
        <v>6549.841794</v>
      </c>
      <c r="U88" s="90">
        <v>4.0</v>
      </c>
      <c r="V88" s="2"/>
      <c r="W88" s="79">
        <f t="shared" si="25"/>
        <v>86369.37425</v>
      </c>
      <c r="X88" s="41">
        <f t="shared" si="26"/>
        <v>1090</v>
      </c>
      <c r="Y88" s="2"/>
      <c r="Z88" s="77">
        <v>27756.273323</v>
      </c>
      <c r="AA88" s="42">
        <v>205.0</v>
      </c>
      <c r="AB88" s="2"/>
      <c r="AC88" s="77">
        <v>197209.657944</v>
      </c>
      <c r="AD88" s="42">
        <v>591.0</v>
      </c>
      <c r="AE88" s="2"/>
      <c r="AF88" s="2"/>
      <c r="AG88" s="2"/>
      <c r="AH88" s="2"/>
      <c r="AI88" s="2"/>
      <c r="AJ88" s="2"/>
      <c r="AK88" s="2"/>
      <c r="AL88" s="2"/>
      <c r="AM88" s="2"/>
      <c r="AN88" s="2"/>
    </row>
    <row r="89" ht="12.0" customHeight="1">
      <c r="A89" s="40">
        <v>2002.0</v>
      </c>
      <c r="B89" s="4" t="s">
        <v>58</v>
      </c>
      <c r="C89" s="74">
        <v>12805.1758779999</v>
      </c>
      <c r="D89" s="74">
        <v>157658.060575</v>
      </c>
      <c r="E89" s="76">
        <f t="shared" si="2"/>
        <v>170463.2365</v>
      </c>
      <c r="F89" s="2"/>
      <c r="G89" s="74">
        <v>77.8035649999999</v>
      </c>
      <c r="H89" s="74">
        <v>2517.543407</v>
      </c>
      <c r="I89" s="76">
        <f t="shared" si="3"/>
        <v>2595.346972</v>
      </c>
      <c r="J89" s="2"/>
      <c r="K89" s="76">
        <f t="shared" ref="K89:L89" si="87">SUM(C89,G89)</f>
        <v>12882.97944</v>
      </c>
      <c r="L89" s="76">
        <f t="shared" si="87"/>
        <v>160175.604</v>
      </c>
      <c r="M89" s="2"/>
      <c r="N89" s="76">
        <f t="shared" si="5"/>
        <v>173058.5834</v>
      </c>
      <c r="O89" s="42">
        <v>11449.0</v>
      </c>
      <c r="P89" s="2"/>
      <c r="Q89" s="47">
        <v>40348.9493029999</v>
      </c>
      <c r="R89" s="90">
        <v>743.0</v>
      </c>
      <c r="S89" s="2"/>
      <c r="T89" s="47">
        <v>10475.0</v>
      </c>
      <c r="U89" s="90">
        <v>4.0</v>
      </c>
      <c r="V89" s="2"/>
      <c r="W89" s="79">
        <f t="shared" si="25"/>
        <v>50823.9493</v>
      </c>
      <c r="X89" s="41">
        <f t="shared" si="26"/>
        <v>747</v>
      </c>
      <c r="Y89" s="2"/>
      <c r="Z89" s="77">
        <v>31943.8855149999</v>
      </c>
      <c r="AA89" s="42">
        <v>227.0</v>
      </c>
      <c r="AB89" s="2"/>
      <c r="AC89" s="77">
        <v>263540.194379</v>
      </c>
      <c r="AD89" s="42">
        <v>430.0</v>
      </c>
      <c r="AE89" s="2"/>
      <c r="AF89" s="2"/>
      <c r="AG89" s="2"/>
      <c r="AH89" s="2"/>
      <c r="AI89" s="2"/>
      <c r="AJ89" s="2"/>
      <c r="AK89" s="2"/>
      <c r="AL89" s="2"/>
      <c r="AM89" s="2"/>
      <c r="AN89" s="2"/>
    </row>
    <row r="90" ht="12.0" customHeight="1">
      <c r="A90" s="2"/>
      <c r="B90" s="4" t="s">
        <v>66</v>
      </c>
      <c r="C90" s="74">
        <v>14164.383603</v>
      </c>
      <c r="D90" s="74">
        <v>117452.621171</v>
      </c>
      <c r="E90" s="76">
        <f t="shared" si="2"/>
        <v>131617.0048</v>
      </c>
      <c r="F90" s="2"/>
      <c r="G90" s="74">
        <v>32.763593</v>
      </c>
      <c r="H90" s="74">
        <v>1570.72071099999</v>
      </c>
      <c r="I90" s="76">
        <f t="shared" si="3"/>
        <v>1603.484304</v>
      </c>
      <c r="J90" s="2"/>
      <c r="K90" s="76">
        <f t="shared" ref="K90:L90" si="88">SUM(C90,G90)</f>
        <v>14197.1472</v>
      </c>
      <c r="L90" s="76">
        <f t="shared" si="88"/>
        <v>119023.3419</v>
      </c>
      <c r="M90" s="2"/>
      <c r="N90" s="76">
        <f t="shared" si="5"/>
        <v>133220.4891</v>
      </c>
      <c r="O90" s="42">
        <v>9726.0</v>
      </c>
      <c r="P90" s="2"/>
      <c r="Q90" s="47">
        <v>48049.2991699999</v>
      </c>
      <c r="R90" s="90">
        <v>575.0</v>
      </c>
      <c r="S90" s="2"/>
      <c r="T90" s="47">
        <v>2500.0</v>
      </c>
      <c r="U90" s="90">
        <v>1.0</v>
      </c>
      <c r="V90" s="2"/>
      <c r="W90" s="79">
        <f t="shared" si="25"/>
        <v>50549.29917</v>
      </c>
      <c r="X90" s="41">
        <f t="shared" si="26"/>
        <v>576</v>
      </c>
      <c r="Y90" s="2"/>
      <c r="Z90" s="77">
        <v>56666.5326349999</v>
      </c>
      <c r="AA90" s="42">
        <v>234.0</v>
      </c>
      <c r="AB90" s="2"/>
      <c r="AC90" s="77">
        <v>85139.174773</v>
      </c>
      <c r="AD90" s="42">
        <v>296.0</v>
      </c>
      <c r="AE90" s="2"/>
      <c r="AF90" s="2"/>
      <c r="AG90" s="2"/>
      <c r="AH90" s="2"/>
      <c r="AI90" s="2"/>
      <c r="AJ90" s="2"/>
      <c r="AK90" s="2"/>
      <c r="AL90" s="2"/>
      <c r="AM90" s="2"/>
      <c r="AN90" s="2"/>
    </row>
    <row r="91" ht="12.0" customHeight="1">
      <c r="A91" s="2"/>
      <c r="B91" s="4" t="s">
        <v>74</v>
      </c>
      <c r="C91" s="74">
        <v>15323.610661</v>
      </c>
      <c r="D91" s="74">
        <v>138348.400983</v>
      </c>
      <c r="E91" s="76">
        <f t="shared" si="2"/>
        <v>153672.0116</v>
      </c>
      <c r="F91" s="2"/>
      <c r="G91" s="74">
        <v>19.079541</v>
      </c>
      <c r="H91" s="74">
        <v>1484.093976</v>
      </c>
      <c r="I91" s="76">
        <f t="shared" si="3"/>
        <v>1503.173517</v>
      </c>
      <c r="J91" s="2"/>
      <c r="K91" s="76">
        <f t="shared" ref="K91:L91" si="89">SUM(C91,G91)</f>
        <v>15342.6902</v>
      </c>
      <c r="L91" s="76">
        <f t="shared" si="89"/>
        <v>139832.495</v>
      </c>
      <c r="M91" s="2"/>
      <c r="N91" s="76">
        <f t="shared" si="5"/>
        <v>155175.1852</v>
      </c>
      <c r="O91" s="42">
        <v>9899.0</v>
      </c>
      <c r="P91" s="2"/>
      <c r="Q91" s="47">
        <v>34338.8293809999</v>
      </c>
      <c r="R91" s="90">
        <v>774.0</v>
      </c>
      <c r="S91" s="2"/>
      <c r="T91" s="47">
        <v>4250.0</v>
      </c>
      <c r="U91" s="90">
        <v>2.0</v>
      </c>
      <c r="V91" s="2"/>
      <c r="W91" s="79">
        <f t="shared" si="25"/>
        <v>38588.82938</v>
      </c>
      <c r="X91" s="41">
        <f t="shared" si="26"/>
        <v>776</v>
      </c>
      <c r="Y91" s="2"/>
      <c r="Z91" s="77">
        <v>40532.4634439999</v>
      </c>
      <c r="AA91" s="42">
        <v>240.0</v>
      </c>
      <c r="AB91" s="2"/>
      <c r="AC91" s="77">
        <v>134580.469033</v>
      </c>
      <c r="AD91" s="42">
        <v>479.0</v>
      </c>
      <c r="AE91" s="2"/>
      <c r="AF91" s="2"/>
      <c r="AG91" s="2"/>
      <c r="AH91" s="2"/>
      <c r="AI91" s="2"/>
      <c r="AJ91" s="2"/>
      <c r="AK91" s="2"/>
      <c r="AL91" s="2"/>
      <c r="AM91" s="2"/>
      <c r="AN91" s="2"/>
    </row>
    <row r="92" ht="12.0" customHeight="1">
      <c r="A92" s="2"/>
      <c r="B92" s="4" t="s">
        <v>75</v>
      </c>
      <c r="C92" s="74">
        <v>24759.6294379999</v>
      </c>
      <c r="D92" s="74">
        <v>234916.502128</v>
      </c>
      <c r="E92" s="76">
        <f t="shared" si="2"/>
        <v>259676.1316</v>
      </c>
      <c r="F92" s="2"/>
      <c r="G92" s="74">
        <v>2590.884002</v>
      </c>
      <c r="H92" s="74">
        <v>2020.614255</v>
      </c>
      <c r="I92" s="76">
        <f t="shared" si="3"/>
        <v>4611.498257</v>
      </c>
      <c r="J92" s="2"/>
      <c r="K92" s="76">
        <f t="shared" ref="K92:L92" si="90">SUM(C92,G92)</f>
        <v>27350.51344</v>
      </c>
      <c r="L92" s="76">
        <f t="shared" si="90"/>
        <v>236937.1164</v>
      </c>
      <c r="M92" s="2"/>
      <c r="N92" s="76">
        <f t="shared" si="5"/>
        <v>264287.6298</v>
      </c>
      <c r="O92" s="42">
        <v>12293.0</v>
      </c>
      <c r="P92" s="2"/>
      <c r="Q92" s="47">
        <v>54695.986253</v>
      </c>
      <c r="R92" s="90">
        <v>1128.0</v>
      </c>
      <c r="S92" s="2"/>
      <c r="T92" s="47">
        <v>5000.0</v>
      </c>
      <c r="U92" s="90">
        <v>2.0</v>
      </c>
      <c r="V92" s="2"/>
      <c r="W92" s="79">
        <f t="shared" si="25"/>
        <v>59695.98625</v>
      </c>
      <c r="X92" s="41">
        <f t="shared" si="26"/>
        <v>1130</v>
      </c>
      <c r="Y92" s="2"/>
      <c r="Z92" s="77">
        <v>50004.699756</v>
      </c>
      <c r="AA92" s="42">
        <v>264.0</v>
      </c>
      <c r="AB92" s="2"/>
      <c r="AC92" s="77">
        <v>151896.733453</v>
      </c>
      <c r="AD92" s="42">
        <v>721.0</v>
      </c>
      <c r="AE92" s="2"/>
      <c r="AF92" s="2"/>
      <c r="AG92" s="2"/>
      <c r="AH92" s="2"/>
      <c r="AI92" s="2"/>
      <c r="AJ92" s="2"/>
      <c r="AK92" s="2"/>
      <c r="AL92" s="2"/>
      <c r="AM92" s="2"/>
      <c r="AN92" s="2"/>
    </row>
    <row r="93" ht="12.0" customHeight="1">
      <c r="A93" s="40">
        <v>2003.0</v>
      </c>
      <c r="B93" s="4" t="s">
        <v>58</v>
      </c>
      <c r="C93" s="74">
        <v>26322.641582</v>
      </c>
      <c r="D93" s="74">
        <v>263325.340459999</v>
      </c>
      <c r="E93" s="76">
        <f t="shared" si="2"/>
        <v>289647.982</v>
      </c>
      <c r="F93" s="2"/>
      <c r="G93" s="74">
        <v>55.598447</v>
      </c>
      <c r="H93" s="74">
        <v>1710.478547</v>
      </c>
      <c r="I93" s="76">
        <f t="shared" si="3"/>
        <v>1766.076994</v>
      </c>
      <c r="J93" s="2"/>
      <c r="K93" s="76">
        <f t="shared" ref="K93:L93" si="91">SUM(C93,G93)</f>
        <v>26378.24003</v>
      </c>
      <c r="L93" s="76">
        <f t="shared" si="91"/>
        <v>265035.819</v>
      </c>
      <c r="M93" s="2"/>
      <c r="N93" s="76">
        <f t="shared" si="5"/>
        <v>291414.059</v>
      </c>
      <c r="O93" s="42">
        <v>12383.0</v>
      </c>
      <c r="P93" s="2"/>
      <c r="Q93" s="47">
        <v>75847.9038229998</v>
      </c>
      <c r="R93" s="90">
        <v>1537.0</v>
      </c>
      <c r="S93" s="2"/>
      <c r="T93" s="47">
        <v>4000.0</v>
      </c>
      <c r="U93" s="90">
        <v>2.0</v>
      </c>
      <c r="V93" s="2"/>
      <c r="W93" s="79">
        <f t="shared" si="25"/>
        <v>79847.90382</v>
      </c>
      <c r="X93" s="41">
        <f t="shared" si="26"/>
        <v>1539</v>
      </c>
      <c r="Y93" s="2"/>
      <c r="Z93" s="77">
        <v>46318.48554</v>
      </c>
      <c r="AA93" s="42">
        <v>281.0</v>
      </c>
      <c r="AB93" s="2"/>
      <c r="AC93" s="77">
        <v>179496.980974999</v>
      </c>
      <c r="AD93" s="42">
        <v>864.0</v>
      </c>
      <c r="AE93" s="2"/>
      <c r="AF93" s="2"/>
      <c r="AG93" s="2"/>
      <c r="AH93" s="2"/>
      <c r="AI93" s="2"/>
      <c r="AJ93" s="2"/>
      <c r="AK93" s="2"/>
      <c r="AL93" s="2"/>
      <c r="AM93" s="2"/>
      <c r="AN93" s="2"/>
    </row>
    <row r="94" ht="12.0" customHeight="1">
      <c r="A94" s="2"/>
      <c r="B94" s="4" t="s">
        <v>66</v>
      </c>
      <c r="C94" s="74">
        <v>35236.5644379999</v>
      </c>
      <c r="D94" s="74">
        <v>311636.676951999</v>
      </c>
      <c r="E94" s="76">
        <f t="shared" si="2"/>
        <v>346873.2414</v>
      </c>
      <c r="F94" s="2"/>
      <c r="G94" s="74">
        <v>848.746235999999</v>
      </c>
      <c r="H94" s="74">
        <v>1559.424988</v>
      </c>
      <c r="I94" s="76">
        <f t="shared" si="3"/>
        <v>2408.171224</v>
      </c>
      <c r="J94" s="2"/>
      <c r="K94" s="76">
        <f t="shared" ref="K94:L94" si="92">SUM(C94,G94)</f>
        <v>36085.31067</v>
      </c>
      <c r="L94" s="76">
        <f t="shared" si="92"/>
        <v>313196.1019</v>
      </c>
      <c r="M94" s="2"/>
      <c r="N94" s="76">
        <f t="shared" si="5"/>
        <v>349281.4126</v>
      </c>
      <c r="O94" s="42">
        <v>14189.0</v>
      </c>
      <c r="P94" s="2"/>
      <c r="Q94" s="47">
        <v>72986.9950649999</v>
      </c>
      <c r="R94" s="90">
        <v>1645.0</v>
      </c>
      <c r="S94" s="2"/>
      <c r="T94" s="47">
        <v>3800.0</v>
      </c>
      <c r="U94" s="90">
        <v>2.0</v>
      </c>
      <c r="V94" s="2"/>
      <c r="W94" s="79">
        <f t="shared" si="25"/>
        <v>76786.99506</v>
      </c>
      <c r="X94" s="41">
        <f t="shared" si="26"/>
        <v>1647</v>
      </c>
      <c r="Y94" s="2"/>
      <c r="Z94" s="77">
        <v>94899.580028</v>
      </c>
      <c r="AA94" s="42">
        <v>330.0</v>
      </c>
      <c r="AB94" s="2"/>
      <c r="AC94" s="77">
        <v>155337.205318</v>
      </c>
      <c r="AD94" s="42">
        <v>895.0</v>
      </c>
      <c r="AE94" s="2"/>
      <c r="AF94" s="2"/>
      <c r="AG94" s="2"/>
      <c r="AH94" s="2"/>
      <c r="AI94" s="2"/>
      <c r="AJ94" s="2"/>
      <c r="AK94" s="2"/>
      <c r="AL94" s="2"/>
      <c r="AM94" s="2"/>
      <c r="AN94" s="2"/>
    </row>
    <row r="95" ht="12.0" customHeight="1">
      <c r="A95" s="2"/>
      <c r="B95" s="4" t="s">
        <v>74</v>
      </c>
      <c r="C95" s="74">
        <v>32160.544703</v>
      </c>
      <c r="D95" s="74">
        <v>315439.928913</v>
      </c>
      <c r="E95" s="76">
        <f t="shared" si="2"/>
        <v>347600.4736</v>
      </c>
      <c r="F95" s="2"/>
      <c r="G95" s="74">
        <v>3768.75059499999</v>
      </c>
      <c r="H95" s="74">
        <v>1709.524495</v>
      </c>
      <c r="I95" s="76">
        <f t="shared" si="3"/>
        <v>5478.27509</v>
      </c>
      <c r="J95" s="2"/>
      <c r="K95" s="76">
        <f t="shared" ref="K95:L95" si="93">SUM(C95,G95)</f>
        <v>35929.2953</v>
      </c>
      <c r="L95" s="76">
        <f t="shared" si="93"/>
        <v>317149.4534</v>
      </c>
      <c r="M95" s="2"/>
      <c r="N95" s="76">
        <f t="shared" si="5"/>
        <v>353078.7487</v>
      </c>
      <c r="O95" s="42">
        <v>14241.0</v>
      </c>
      <c r="P95" s="2"/>
      <c r="Q95" s="47">
        <v>61035.5159719999</v>
      </c>
      <c r="R95" s="90">
        <v>1461.0</v>
      </c>
      <c r="S95" s="2"/>
      <c r="T95" s="47">
        <v>5240.0</v>
      </c>
      <c r="U95" s="90">
        <v>3.0</v>
      </c>
      <c r="V95" s="2"/>
      <c r="W95" s="79">
        <f t="shared" si="25"/>
        <v>66275.51597</v>
      </c>
      <c r="X95" s="41">
        <f t="shared" si="26"/>
        <v>1464</v>
      </c>
      <c r="Y95" s="2"/>
      <c r="Z95" s="77">
        <v>54357.630373</v>
      </c>
      <c r="AA95" s="42">
        <v>287.0</v>
      </c>
      <c r="AB95" s="2"/>
      <c r="AC95" s="77">
        <v>150325.467327</v>
      </c>
      <c r="AD95" s="42">
        <v>601.0</v>
      </c>
      <c r="AE95" s="2"/>
      <c r="AF95" s="2"/>
      <c r="AG95" s="2"/>
      <c r="AH95" s="2"/>
      <c r="AI95" s="2"/>
      <c r="AJ95" s="2"/>
      <c r="AK95" s="2"/>
      <c r="AL95" s="2"/>
      <c r="AM95" s="2"/>
      <c r="AN95" s="2"/>
    </row>
    <row r="96" ht="12.0" customHeight="1">
      <c r="A96" s="2"/>
      <c r="B96" s="4" t="s">
        <v>75</v>
      </c>
      <c r="C96" s="74">
        <v>26740.937225</v>
      </c>
      <c r="D96" s="74">
        <v>169354.33152</v>
      </c>
      <c r="E96" s="76">
        <f t="shared" si="2"/>
        <v>196095.2687</v>
      </c>
      <c r="F96" s="2"/>
      <c r="G96" s="74">
        <v>7270.834309</v>
      </c>
      <c r="H96" s="74">
        <v>2408.789085</v>
      </c>
      <c r="I96" s="76">
        <f t="shared" si="3"/>
        <v>9679.623394</v>
      </c>
      <c r="J96" s="2"/>
      <c r="K96" s="76">
        <f t="shared" ref="K96:L96" si="94">SUM(C96,G96)</f>
        <v>34011.77153</v>
      </c>
      <c r="L96" s="76">
        <f t="shared" si="94"/>
        <v>171763.1206</v>
      </c>
      <c r="M96" s="2"/>
      <c r="N96" s="76">
        <f t="shared" si="5"/>
        <v>205774.8921</v>
      </c>
      <c r="O96" s="42">
        <v>12364.0</v>
      </c>
      <c r="P96" s="2"/>
      <c r="Q96" s="47">
        <v>25917.813043</v>
      </c>
      <c r="R96" s="90">
        <v>626.0</v>
      </c>
      <c r="S96" s="2"/>
      <c r="T96" s="47">
        <v>6600.0</v>
      </c>
      <c r="U96" s="90">
        <v>4.0</v>
      </c>
      <c r="V96" s="2"/>
      <c r="W96" s="79">
        <f t="shared" si="25"/>
        <v>32517.81304</v>
      </c>
      <c r="X96" s="41">
        <f t="shared" si="26"/>
        <v>630</v>
      </c>
      <c r="Y96" s="2"/>
      <c r="Z96" s="77">
        <v>72884.749068</v>
      </c>
      <c r="AA96" s="42">
        <v>401.0</v>
      </c>
      <c r="AB96" s="2"/>
      <c r="AC96" s="77">
        <v>164170.055327</v>
      </c>
      <c r="AD96" s="42">
        <v>484.0</v>
      </c>
      <c r="AE96" s="2"/>
      <c r="AF96" s="2"/>
      <c r="AG96" s="2"/>
      <c r="AH96" s="2"/>
      <c r="AI96" s="2"/>
      <c r="AJ96" s="2"/>
      <c r="AK96" s="2"/>
      <c r="AL96" s="2"/>
      <c r="AM96" s="2"/>
      <c r="AN96" s="2"/>
    </row>
    <row r="97" ht="12.0" customHeight="1">
      <c r="A97" s="40">
        <v>2004.0</v>
      </c>
      <c r="B97" s="4" t="s">
        <v>58</v>
      </c>
      <c r="C97" s="74">
        <v>20983.674622</v>
      </c>
      <c r="D97" s="74">
        <v>106464.976915</v>
      </c>
      <c r="E97" s="76">
        <f t="shared" si="2"/>
        <v>127448.6515</v>
      </c>
      <c r="F97" s="2"/>
      <c r="G97" s="74">
        <v>678.279194</v>
      </c>
      <c r="H97" s="74">
        <v>746.102517999999</v>
      </c>
      <c r="I97" s="76">
        <f t="shared" si="3"/>
        <v>1424.381712</v>
      </c>
      <c r="J97" s="2"/>
      <c r="K97" s="76">
        <f t="shared" ref="K97:L97" si="95">SUM(C97,G97)</f>
        <v>21661.95382</v>
      </c>
      <c r="L97" s="76">
        <f t="shared" si="95"/>
        <v>107211.0794</v>
      </c>
      <c r="M97" s="2"/>
      <c r="N97" s="76">
        <f t="shared" si="5"/>
        <v>128873.0332</v>
      </c>
      <c r="O97" s="42">
        <v>9055.0</v>
      </c>
      <c r="P97" s="2"/>
      <c r="Q97" s="47">
        <v>21583.6925129999</v>
      </c>
      <c r="R97" s="90">
        <v>571.0</v>
      </c>
      <c r="S97" s="2"/>
      <c r="T97" s="47">
        <v>2500.0</v>
      </c>
      <c r="U97" s="90">
        <v>1.0</v>
      </c>
      <c r="V97" s="2"/>
      <c r="W97" s="79">
        <f t="shared" si="25"/>
        <v>24083.69251</v>
      </c>
      <c r="X97" s="41">
        <f t="shared" si="26"/>
        <v>572</v>
      </c>
      <c r="Y97" s="2"/>
      <c r="Z97" s="77">
        <v>97957.252089</v>
      </c>
      <c r="AA97" s="42">
        <v>345.0</v>
      </c>
      <c r="AB97" s="2"/>
      <c r="AC97" s="77">
        <v>70197.41111</v>
      </c>
      <c r="AD97" s="42">
        <v>334.0</v>
      </c>
      <c r="AE97" s="2"/>
      <c r="AF97" s="2"/>
      <c r="AG97" s="2"/>
      <c r="AH97" s="2"/>
      <c r="AI97" s="2"/>
      <c r="AJ97" s="2"/>
      <c r="AK97" s="2"/>
      <c r="AL97" s="2"/>
      <c r="AM97" s="2"/>
      <c r="AN97" s="2"/>
    </row>
    <row r="98" ht="12.0" customHeight="1">
      <c r="A98" s="2"/>
      <c r="B98" s="4" t="s">
        <v>66</v>
      </c>
      <c r="C98" s="74">
        <v>34010.725038</v>
      </c>
      <c r="D98" s="74">
        <v>133646.083500999</v>
      </c>
      <c r="E98" s="76">
        <f t="shared" si="2"/>
        <v>167656.8085</v>
      </c>
      <c r="F98" s="2"/>
      <c r="G98" s="74">
        <v>49.421002</v>
      </c>
      <c r="H98" s="74">
        <v>1339.909698</v>
      </c>
      <c r="I98" s="76">
        <f t="shared" si="3"/>
        <v>1389.3307</v>
      </c>
      <c r="J98" s="2"/>
      <c r="K98" s="76">
        <f t="shared" ref="K98:L98" si="96">SUM(C98,G98)</f>
        <v>34060.14604</v>
      </c>
      <c r="L98" s="76">
        <f t="shared" si="96"/>
        <v>134985.9932</v>
      </c>
      <c r="M98" s="2"/>
      <c r="N98" s="76">
        <f t="shared" si="5"/>
        <v>169046.1392</v>
      </c>
      <c r="O98" s="42">
        <v>10598.0</v>
      </c>
      <c r="P98" s="2"/>
      <c r="Q98" s="47">
        <v>35998.58322</v>
      </c>
      <c r="R98" s="90">
        <v>1004.0</v>
      </c>
      <c r="S98" s="2"/>
      <c r="T98" s="49"/>
      <c r="U98" s="91"/>
      <c r="V98" s="2"/>
      <c r="W98" s="79">
        <f t="shared" si="25"/>
        <v>35998.58322</v>
      </c>
      <c r="X98" s="41">
        <f t="shared" si="26"/>
        <v>1004</v>
      </c>
      <c r="Y98" s="2"/>
      <c r="Z98" s="77">
        <v>68879.864863</v>
      </c>
      <c r="AA98" s="42">
        <v>400.0</v>
      </c>
      <c r="AB98" s="2"/>
      <c r="AC98" s="77">
        <v>34387.3162549999</v>
      </c>
      <c r="AD98" s="42">
        <v>440.0</v>
      </c>
      <c r="AE98" s="2"/>
      <c r="AF98" s="2"/>
      <c r="AG98" s="2"/>
      <c r="AH98" s="2"/>
      <c r="AI98" s="2"/>
      <c r="AJ98" s="2"/>
      <c r="AK98" s="2"/>
      <c r="AL98" s="2"/>
      <c r="AM98" s="2"/>
      <c r="AN98" s="2"/>
    </row>
    <row r="99" ht="12.0" customHeight="1">
      <c r="A99" s="2"/>
      <c r="B99" s="4" t="s">
        <v>74</v>
      </c>
      <c r="C99" s="74">
        <v>26994.1754219999</v>
      </c>
      <c r="D99" s="74">
        <v>85046.558354</v>
      </c>
      <c r="E99" s="76">
        <f t="shared" si="2"/>
        <v>112040.7338</v>
      </c>
      <c r="F99" s="2"/>
      <c r="G99" s="74">
        <v>25.732886</v>
      </c>
      <c r="H99" s="74">
        <v>543.290516</v>
      </c>
      <c r="I99" s="76">
        <f t="shared" si="3"/>
        <v>569.023402</v>
      </c>
      <c r="J99" s="2"/>
      <c r="K99" s="76">
        <f t="shared" ref="K99:L99" si="97">SUM(C99,G99)</f>
        <v>27019.90831</v>
      </c>
      <c r="L99" s="76">
        <f t="shared" si="97"/>
        <v>85589.84887</v>
      </c>
      <c r="M99" s="2"/>
      <c r="N99" s="76">
        <f t="shared" si="5"/>
        <v>112609.7572</v>
      </c>
      <c r="O99" s="42">
        <v>8867.0</v>
      </c>
      <c r="P99" s="2"/>
      <c r="Q99" s="47">
        <v>26244.573924</v>
      </c>
      <c r="R99" s="90">
        <v>366.0</v>
      </c>
      <c r="S99" s="2"/>
      <c r="T99" s="47">
        <v>5000.0</v>
      </c>
      <c r="U99" s="90">
        <v>2.0</v>
      </c>
      <c r="V99" s="2"/>
      <c r="W99" s="79">
        <f t="shared" si="25"/>
        <v>31244.57392</v>
      </c>
      <c r="X99" s="41">
        <f t="shared" si="26"/>
        <v>368</v>
      </c>
      <c r="Y99" s="2"/>
      <c r="Z99" s="77">
        <v>60621.6135479999</v>
      </c>
      <c r="AA99" s="42">
        <v>365.0</v>
      </c>
      <c r="AB99" s="2"/>
      <c r="AC99" s="77">
        <v>111151.942415</v>
      </c>
      <c r="AD99" s="42">
        <v>273.0</v>
      </c>
      <c r="AE99" s="2"/>
      <c r="AF99" s="2"/>
      <c r="AG99" s="2"/>
      <c r="AH99" s="2"/>
      <c r="AI99" s="2"/>
      <c r="AJ99" s="2"/>
      <c r="AK99" s="2"/>
      <c r="AL99" s="2"/>
      <c r="AM99" s="2"/>
      <c r="AN99" s="2"/>
    </row>
    <row r="100" ht="12.0" customHeight="1">
      <c r="A100" s="2"/>
      <c r="B100" s="4" t="s">
        <v>75</v>
      </c>
      <c r="C100" s="74">
        <v>32438.69227</v>
      </c>
      <c r="D100" s="74">
        <v>81187.9555499998</v>
      </c>
      <c r="E100" s="76">
        <f t="shared" si="2"/>
        <v>113626.6478</v>
      </c>
      <c r="F100" s="2"/>
      <c r="G100" s="74">
        <v>7.207506</v>
      </c>
      <c r="H100" s="74">
        <v>722.558073</v>
      </c>
      <c r="I100" s="76">
        <f t="shared" si="3"/>
        <v>729.765579</v>
      </c>
      <c r="J100" s="2"/>
      <c r="K100" s="76">
        <f t="shared" ref="K100:L100" si="98">SUM(C100,G100)</f>
        <v>32445.89978</v>
      </c>
      <c r="L100" s="76">
        <f t="shared" si="98"/>
        <v>81910.51362</v>
      </c>
      <c r="M100" s="2"/>
      <c r="N100" s="76">
        <f t="shared" si="5"/>
        <v>114356.4134</v>
      </c>
      <c r="O100" s="42">
        <v>8461.0</v>
      </c>
      <c r="P100" s="2"/>
      <c r="Q100" s="47">
        <v>17513.165822</v>
      </c>
      <c r="R100" s="90">
        <v>504.0</v>
      </c>
      <c r="S100" s="2"/>
      <c r="T100" s="47">
        <v>2900.0</v>
      </c>
      <c r="U100" s="90">
        <v>1.0</v>
      </c>
      <c r="V100" s="2"/>
      <c r="W100" s="79">
        <f t="shared" si="25"/>
        <v>20413.16582</v>
      </c>
      <c r="X100" s="41">
        <f t="shared" si="26"/>
        <v>505</v>
      </c>
      <c r="Y100" s="2"/>
      <c r="Z100" s="77">
        <v>62015.6491119999</v>
      </c>
      <c r="AA100" s="42">
        <v>417.0</v>
      </c>
      <c r="AB100" s="2"/>
      <c r="AC100" s="77">
        <v>77670.807295</v>
      </c>
      <c r="AD100" s="42">
        <v>427.0</v>
      </c>
      <c r="AE100" s="2"/>
      <c r="AF100" s="2"/>
      <c r="AG100" s="2"/>
      <c r="AH100" s="2"/>
      <c r="AI100" s="2"/>
      <c r="AJ100" s="2"/>
      <c r="AK100" s="2"/>
      <c r="AL100" s="2"/>
      <c r="AM100" s="2"/>
      <c r="AN100" s="2"/>
    </row>
    <row r="101" ht="12.0" customHeight="1">
      <c r="A101" s="40">
        <v>2005.0</v>
      </c>
      <c r="B101" s="4" t="s">
        <v>58</v>
      </c>
      <c r="C101" s="74">
        <v>22379.9469629999</v>
      </c>
      <c r="D101" s="74">
        <v>76964.839452</v>
      </c>
      <c r="E101" s="76">
        <f t="shared" si="2"/>
        <v>99344.78641</v>
      </c>
      <c r="F101" s="2"/>
      <c r="G101" s="74">
        <v>2483.121571</v>
      </c>
      <c r="H101" s="74">
        <v>504.967170999999</v>
      </c>
      <c r="I101" s="76">
        <f t="shared" si="3"/>
        <v>2988.088742</v>
      </c>
      <c r="J101" s="2"/>
      <c r="K101" s="76">
        <f t="shared" ref="K101:L101" si="99">SUM(C101,G101)</f>
        <v>24863.06853</v>
      </c>
      <c r="L101" s="76">
        <f t="shared" si="99"/>
        <v>77469.80662</v>
      </c>
      <c r="M101" s="2"/>
      <c r="N101" s="76">
        <f t="shared" si="5"/>
        <v>102332.8752</v>
      </c>
      <c r="O101" s="42">
        <v>7475.0</v>
      </c>
      <c r="P101" s="2"/>
      <c r="Q101" s="47">
        <v>22903.90637</v>
      </c>
      <c r="R101" s="90">
        <v>795.0</v>
      </c>
      <c r="S101" s="2"/>
      <c r="T101" s="47">
        <v>5050.0</v>
      </c>
      <c r="U101" s="90">
        <v>2.0</v>
      </c>
      <c r="V101" s="2"/>
      <c r="W101" s="79">
        <f t="shared" si="25"/>
        <v>27953.90637</v>
      </c>
      <c r="X101" s="41">
        <f t="shared" si="26"/>
        <v>797</v>
      </c>
      <c r="Y101" s="2"/>
      <c r="Z101" s="77">
        <v>68114.1596009999</v>
      </c>
      <c r="AA101" s="42">
        <v>397.0</v>
      </c>
      <c r="AB101" s="2"/>
      <c r="AC101" s="77">
        <v>113288.690243</v>
      </c>
      <c r="AD101" s="42">
        <v>475.0</v>
      </c>
      <c r="AE101" s="2"/>
      <c r="AF101" s="2"/>
      <c r="AG101" s="2"/>
      <c r="AH101" s="2"/>
      <c r="AI101" s="2"/>
      <c r="AJ101" s="2"/>
      <c r="AK101" s="2"/>
      <c r="AL101" s="2"/>
      <c r="AM101" s="2"/>
      <c r="AN101" s="2"/>
    </row>
    <row r="102" ht="12.0" customHeight="1">
      <c r="A102" s="2"/>
      <c r="B102" s="4" t="s">
        <v>66</v>
      </c>
      <c r="C102" s="74">
        <v>27892.5320559999</v>
      </c>
      <c r="D102" s="74">
        <v>85482.6952599999</v>
      </c>
      <c r="E102" s="76">
        <f t="shared" si="2"/>
        <v>113375.2273</v>
      </c>
      <c r="F102" s="2"/>
      <c r="G102" s="74">
        <v>59.395495</v>
      </c>
      <c r="H102" s="74">
        <v>762.035773</v>
      </c>
      <c r="I102" s="76">
        <f t="shared" si="3"/>
        <v>821.431268</v>
      </c>
      <c r="J102" s="2"/>
      <c r="K102" s="76">
        <f t="shared" ref="K102:L102" si="100">SUM(C102,G102)</f>
        <v>27951.92755</v>
      </c>
      <c r="L102" s="76">
        <f t="shared" si="100"/>
        <v>86244.73103</v>
      </c>
      <c r="M102" s="2"/>
      <c r="N102" s="76">
        <f t="shared" si="5"/>
        <v>114196.6586</v>
      </c>
      <c r="O102" s="42">
        <v>7533.0</v>
      </c>
      <c r="P102" s="2"/>
      <c r="Q102" s="47">
        <v>33944.4842019999</v>
      </c>
      <c r="R102" s="90">
        <v>724.0</v>
      </c>
      <c r="S102" s="2"/>
      <c r="T102" s="49"/>
      <c r="U102" s="91"/>
      <c r="V102" s="2"/>
      <c r="W102" s="79">
        <f t="shared" si="25"/>
        <v>33944.4842</v>
      </c>
      <c r="X102" s="41">
        <f t="shared" si="26"/>
        <v>724</v>
      </c>
      <c r="Y102" s="2"/>
      <c r="Z102" s="77">
        <v>103700.554369</v>
      </c>
      <c r="AA102" s="42">
        <v>373.0</v>
      </c>
      <c r="AB102" s="2"/>
      <c r="AC102" s="77">
        <v>58734.637264</v>
      </c>
      <c r="AD102" s="42">
        <v>459.0</v>
      </c>
      <c r="AE102" s="2"/>
      <c r="AF102" s="2"/>
      <c r="AG102" s="2"/>
      <c r="AH102" s="2"/>
      <c r="AI102" s="2"/>
      <c r="AJ102" s="2"/>
      <c r="AK102" s="2"/>
      <c r="AL102" s="2"/>
      <c r="AM102" s="2"/>
      <c r="AN102" s="2"/>
    </row>
    <row r="103" ht="12.0" customHeight="1">
      <c r="A103" s="2"/>
      <c r="B103" s="4" t="s">
        <v>74</v>
      </c>
      <c r="C103" s="74">
        <v>37345.9362419999</v>
      </c>
      <c r="D103" s="74">
        <v>119129.209289</v>
      </c>
      <c r="E103" s="76">
        <f t="shared" si="2"/>
        <v>156475.1455</v>
      </c>
      <c r="F103" s="2"/>
      <c r="G103" s="74">
        <v>24.306223</v>
      </c>
      <c r="H103" s="74">
        <v>711.169344</v>
      </c>
      <c r="I103" s="76">
        <f t="shared" si="3"/>
        <v>735.475567</v>
      </c>
      <c r="J103" s="2"/>
      <c r="K103" s="76">
        <f t="shared" ref="K103:L103" si="101">SUM(C103,G103)</f>
        <v>37370.24246</v>
      </c>
      <c r="L103" s="76">
        <f t="shared" si="101"/>
        <v>119840.3786</v>
      </c>
      <c r="M103" s="2"/>
      <c r="N103" s="76">
        <f t="shared" si="5"/>
        <v>157210.6211</v>
      </c>
      <c r="O103" s="42">
        <v>8651.0</v>
      </c>
      <c r="P103" s="2"/>
      <c r="Q103" s="47">
        <v>33705.729173</v>
      </c>
      <c r="R103" s="90">
        <v>788.0</v>
      </c>
      <c r="S103" s="2"/>
      <c r="T103" s="47">
        <v>5000.0</v>
      </c>
      <c r="U103" s="90">
        <v>2.0</v>
      </c>
      <c r="V103" s="2"/>
      <c r="W103" s="79">
        <f t="shared" si="25"/>
        <v>38705.72917</v>
      </c>
      <c r="X103" s="41">
        <f t="shared" si="26"/>
        <v>790</v>
      </c>
      <c r="Y103" s="2"/>
      <c r="Z103" s="77">
        <v>39062.782454</v>
      </c>
      <c r="AA103" s="42">
        <v>394.0</v>
      </c>
      <c r="AB103" s="2"/>
      <c r="AC103" s="77">
        <v>180591.407018999</v>
      </c>
      <c r="AD103" s="42">
        <v>646.0</v>
      </c>
      <c r="AE103" s="2"/>
      <c r="AF103" s="2"/>
      <c r="AG103" s="2"/>
      <c r="AH103" s="2"/>
      <c r="AI103" s="2"/>
      <c r="AJ103" s="2"/>
      <c r="AK103" s="2"/>
      <c r="AL103" s="2"/>
      <c r="AM103" s="2"/>
      <c r="AN103" s="2"/>
    </row>
    <row r="104" ht="12.0" customHeight="1">
      <c r="A104" s="2"/>
      <c r="B104" s="4" t="s">
        <v>75</v>
      </c>
      <c r="C104" s="74">
        <v>20829.7654019999</v>
      </c>
      <c r="D104" s="74">
        <v>101613.585512999</v>
      </c>
      <c r="E104" s="76">
        <f t="shared" si="2"/>
        <v>122443.3509</v>
      </c>
      <c r="F104" s="2"/>
      <c r="G104" s="74">
        <v>132.442019</v>
      </c>
      <c r="H104" s="74">
        <v>2232.964303</v>
      </c>
      <c r="I104" s="76">
        <f t="shared" si="3"/>
        <v>2365.406322</v>
      </c>
      <c r="J104" s="2"/>
      <c r="K104" s="76">
        <f t="shared" ref="K104:L104" si="102">SUM(C104,G104)</f>
        <v>20962.20742</v>
      </c>
      <c r="L104" s="76">
        <f t="shared" si="102"/>
        <v>103846.5498</v>
      </c>
      <c r="M104" s="2"/>
      <c r="N104" s="76">
        <f t="shared" si="5"/>
        <v>124808.7572</v>
      </c>
      <c r="O104" s="42">
        <v>8050.0</v>
      </c>
      <c r="P104" s="2"/>
      <c r="Q104" s="47">
        <v>23128.977892</v>
      </c>
      <c r="R104" s="90">
        <v>759.0</v>
      </c>
      <c r="S104" s="2"/>
      <c r="T104" s="47">
        <v>2050.0</v>
      </c>
      <c r="U104" s="90">
        <v>1.0</v>
      </c>
      <c r="V104" s="2"/>
      <c r="W104" s="79">
        <f t="shared" si="25"/>
        <v>25178.97789</v>
      </c>
      <c r="X104" s="41">
        <f t="shared" si="26"/>
        <v>760</v>
      </c>
      <c r="Y104" s="2"/>
      <c r="Z104" s="77">
        <v>36437.363277</v>
      </c>
      <c r="AA104" s="42">
        <v>388.0</v>
      </c>
      <c r="AB104" s="2"/>
      <c r="AC104" s="77">
        <v>84224.460148</v>
      </c>
      <c r="AD104" s="42">
        <v>605.0</v>
      </c>
      <c r="AE104" s="2"/>
      <c r="AF104" s="2"/>
      <c r="AG104" s="2"/>
      <c r="AH104" s="2"/>
      <c r="AI104" s="2"/>
      <c r="AJ104" s="2"/>
      <c r="AK104" s="2"/>
      <c r="AL104" s="2"/>
      <c r="AM104" s="2"/>
      <c r="AN104" s="2"/>
    </row>
    <row r="105" ht="12.0" customHeight="1">
      <c r="A105" s="40">
        <v>2006.0</v>
      </c>
      <c r="B105" s="4" t="s">
        <v>58</v>
      </c>
      <c r="C105" s="74">
        <v>23181.8019689999</v>
      </c>
      <c r="D105" s="74">
        <v>88643.1328509999</v>
      </c>
      <c r="E105" s="76">
        <f t="shared" si="2"/>
        <v>111824.9348</v>
      </c>
      <c r="F105" s="2"/>
      <c r="G105" s="74">
        <v>1188.92363399999</v>
      </c>
      <c r="H105" s="74">
        <v>816.865934999999</v>
      </c>
      <c r="I105" s="76">
        <f t="shared" si="3"/>
        <v>2005.789569</v>
      </c>
      <c r="J105" s="2"/>
      <c r="K105" s="76">
        <f t="shared" ref="K105:L105" si="103">SUM(C105,G105)</f>
        <v>24370.7256</v>
      </c>
      <c r="L105" s="76">
        <f t="shared" si="103"/>
        <v>89459.99879</v>
      </c>
      <c r="M105" s="2"/>
      <c r="N105" s="76">
        <f t="shared" si="5"/>
        <v>113830.7244</v>
      </c>
      <c r="O105" s="42">
        <v>7151.0</v>
      </c>
      <c r="P105" s="2"/>
      <c r="Q105" s="47">
        <v>26422.2418619999</v>
      </c>
      <c r="R105" s="90">
        <v>708.0</v>
      </c>
      <c r="S105" s="2"/>
      <c r="T105" s="47">
        <v>3000.0</v>
      </c>
      <c r="U105" s="90">
        <v>1.0</v>
      </c>
      <c r="V105" s="2"/>
      <c r="W105" s="79">
        <f t="shared" si="25"/>
        <v>29422.24186</v>
      </c>
      <c r="X105" s="41">
        <f t="shared" si="26"/>
        <v>709</v>
      </c>
      <c r="Y105" s="2"/>
      <c r="Z105" s="77">
        <v>74147.974</v>
      </c>
      <c r="AA105" s="42">
        <v>355.0</v>
      </c>
      <c r="AB105" s="2"/>
      <c r="AC105" s="77">
        <v>104189.016580999</v>
      </c>
      <c r="AD105" s="42">
        <v>642.0</v>
      </c>
      <c r="AE105" s="2"/>
      <c r="AF105" s="2"/>
      <c r="AG105" s="2"/>
      <c r="AH105" s="2"/>
      <c r="AI105" s="2"/>
      <c r="AJ105" s="2"/>
      <c r="AK105" s="2"/>
      <c r="AL105" s="2"/>
      <c r="AM105" s="2"/>
      <c r="AN105" s="2"/>
    </row>
    <row r="106" ht="12.0" customHeight="1">
      <c r="A106" s="2"/>
      <c r="B106" s="4" t="s">
        <v>66</v>
      </c>
      <c r="C106" s="74">
        <v>17454.2083629999</v>
      </c>
      <c r="D106" s="74">
        <v>100037.062353</v>
      </c>
      <c r="E106" s="76">
        <f t="shared" si="2"/>
        <v>117491.2707</v>
      </c>
      <c r="F106" s="2"/>
      <c r="G106" s="74">
        <v>141.469968</v>
      </c>
      <c r="H106" s="74">
        <v>760.354837999999</v>
      </c>
      <c r="I106" s="76">
        <f t="shared" si="3"/>
        <v>901.824806</v>
      </c>
      <c r="J106" s="2"/>
      <c r="K106" s="76">
        <f t="shared" ref="K106:L106" si="104">SUM(C106,G106)</f>
        <v>17595.67833</v>
      </c>
      <c r="L106" s="76">
        <f t="shared" si="104"/>
        <v>100797.4172</v>
      </c>
      <c r="M106" s="2"/>
      <c r="N106" s="76">
        <f t="shared" si="5"/>
        <v>118393.0955</v>
      </c>
      <c r="O106" s="42">
        <v>7163.0</v>
      </c>
      <c r="P106" s="2"/>
      <c r="Q106" s="47">
        <v>41997.735674</v>
      </c>
      <c r="R106" s="90">
        <v>1203.0</v>
      </c>
      <c r="S106" s="2"/>
      <c r="T106" s="47">
        <v>5250.0</v>
      </c>
      <c r="U106" s="90">
        <v>2.0</v>
      </c>
      <c r="V106" s="2"/>
      <c r="W106" s="79">
        <f t="shared" si="25"/>
        <v>47247.73567</v>
      </c>
      <c r="X106" s="41">
        <f t="shared" si="26"/>
        <v>1205</v>
      </c>
      <c r="Y106" s="2"/>
      <c r="Z106" s="77">
        <v>33609.548894</v>
      </c>
      <c r="AA106" s="42">
        <v>333.0</v>
      </c>
      <c r="AB106" s="2"/>
      <c r="AC106" s="77">
        <v>599277.241901999</v>
      </c>
      <c r="AD106" s="42">
        <v>964.0</v>
      </c>
      <c r="AE106" s="2"/>
      <c r="AF106" s="2"/>
      <c r="AG106" s="2"/>
      <c r="AH106" s="2"/>
      <c r="AI106" s="2"/>
      <c r="AJ106" s="2"/>
      <c r="AK106" s="2"/>
      <c r="AL106" s="2"/>
      <c r="AM106" s="2"/>
      <c r="AN106" s="2"/>
    </row>
    <row r="107" ht="12.0" customHeight="1">
      <c r="A107" s="2"/>
      <c r="B107" s="4" t="s">
        <v>74</v>
      </c>
      <c r="C107" s="74">
        <v>25089.167324</v>
      </c>
      <c r="D107" s="74">
        <v>98098.2150110001</v>
      </c>
      <c r="E107" s="76">
        <f t="shared" si="2"/>
        <v>123187.3823</v>
      </c>
      <c r="F107" s="2"/>
      <c r="G107" s="74">
        <v>41.577</v>
      </c>
      <c r="H107" s="74">
        <v>807.799433</v>
      </c>
      <c r="I107" s="76">
        <f t="shared" si="3"/>
        <v>849.376433</v>
      </c>
      <c r="J107" s="2"/>
      <c r="K107" s="76">
        <f t="shared" ref="K107:L107" si="105">SUM(C107,G107)</f>
        <v>25130.74432</v>
      </c>
      <c r="L107" s="76">
        <f t="shared" si="105"/>
        <v>98906.01444</v>
      </c>
      <c r="M107" s="2"/>
      <c r="N107" s="76">
        <f t="shared" si="5"/>
        <v>124036.7588</v>
      </c>
      <c r="O107" s="42">
        <v>7180.0</v>
      </c>
      <c r="P107" s="2"/>
      <c r="Q107" s="47">
        <v>17883.4173889999</v>
      </c>
      <c r="R107" s="90">
        <v>659.0</v>
      </c>
      <c r="S107" s="2"/>
      <c r="T107" s="47">
        <v>4500.0</v>
      </c>
      <c r="U107" s="90">
        <v>2.0</v>
      </c>
      <c r="V107" s="2"/>
      <c r="W107" s="79">
        <f t="shared" si="25"/>
        <v>22383.41739</v>
      </c>
      <c r="X107" s="41">
        <f t="shared" si="26"/>
        <v>661</v>
      </c>
      <c r="Y107" s="2"/>
      <c r="Z107" s="77">
        <v>42933.191125</v>
      </c>
      <c r="AA107" s="42">
        <v>300.0</v>
      </c>
      <c r="AB107" s="2"/>
      <c r="AC107" s="77">
        <v>115959.855408</v>
      </c>
      <c r="AD107" s="42">
        <v>539.0</v>
      </c>
      <c r="AE107" s="2"/>
      <c r="AF107" s="2"/>
      <c r="AG107" s="2"/>
      <c r="AH107" s="2"/>
      <c r="AI107" s="2"/>
      <c r="AJ107" s="2"/>
      <c r="AK107" s="2"/>
      <c r="AL107" s="2"/>
      <c r="AM107" s="2"/>
      <c r="AN107" s="2"/>
    </row>
    <row r="108" ht="12.0" customHeight="1">
      <c r="A108" s="2"/>
      <c r="B108" s="4" t="s">
        <v>75</v>
      </c>
      <c r="C108" s="74">
        <v>13671.288555</v>
      </c>
      <c r="D108" s="74">
        <v>109384.144592999</v>
      </c>
      <c r="E108" s="76">
        <f t="shared" si="2"/>
        <v>123055.4331</v>
      </c>
      <c r="F108" s="2"/>
      <c r="G108" s="74">
        <v>144.542776</v>
      </c>
      <c r="H108" s="74">
        <v>312.428882</v>
      </c>
      <c r="I108" s="76">
        <f t="shared" si="3"/>
        <v>456.971658</v>
      </c>
      <c r="J108" s="2"/>
      <c r="K108" s="76">
        <f t="shared" ref="K108:L108" si="106">SUM(C108,G108)</f>
        <v>13815.83133</v>
      </c>
      <c r="L108" s="76">
        <f t="shared" si="106"/>
        <v>109696.5735</v>
      </c>
      <c r="M108" s="2"/>
      <c r="N108" s="76">
        <f t="shared" si="5"/>
        <v>123512.4048</v>
      </c>
      <c r="O108" s="42">
        <v>7299.0</v>
      </c>
      <c r="P108" s="2"/>
      <c r="Q108" s="47">
        <v>19228.14946945</v>
      </c>
      <c r="R108" s="90">
        <v>493.0</v>
      </c>
      <c r="S108" s="2"/>
      <c r="T108" s="47">
        <v>5575.0</v>
      </c>
      <c r="U108" s="90">
        <v>2.0</v>
      </c>
      <c r="V108" s="2"/>
      <c r="W108" s="79">
        <f t="shared" si="25"/>
        <v>24803.14947</v>
      </c>
      <c r="X108" s="41">
        <f t="shared" si="26"/>
        <v>495</v>
      </c>
      <c r="Y108" s="2"/>
      <c r="Z108" s="77">
        <v>48567.5631659999</v>
      </c>
      <c r="AA108" s="42">
        <v>295.0</v>
      </c>
      <c r="AB108" s="2"/>
      <c r="AC108" s="77">
        <v>145238.90270645</v>
      </c>
      <c r="AD108" s="42">
        <v>408.0</v>
      </c>
      <c r="AE108" s="2"/>
      <c r="AF108" s="2"/>
      <c r="AG108" s="2"/>
      <c r="AH108" s="2"/>
      <c r="AI108" s="2"/>
      <c r="AJ108" s="2"/>
      <c r="AK108" s="2"/>
      <c r="AL108" s="2"/>
      <c r="AM108" s="2"/>
      <c r="AN108" s="2"/>
    </row>
    <row r="109" ht="12.0" customHeight="1">
      <c r="A109" s="40">
        <v>2007.0</v>
      </c>
      <c r="B109" s="4" t="s">
        <v>58</v>
      </c>
      <c r="C109" s="74">
        <v>17053.995927</v>
      </c>
      <c r="D109" s="74">
        <v>114688.067808999</v>
      </c>
      <c r="E109" s="76">
        <f t="shared" si="2"/>
        <v>131742.0637</v>
      </c>
      <c r="F109" s="2"/>
      <c r="G109" s="74">
        <v>1.103</v>
      </c>
      <c r="H109" s="74">
        <v>516.279329</v>
      </c>
      <c r="I109" s="76">
        <f t="shared" si="3"/>
        <v>517.382329</v>
      </c>
      <c r="J109" s="2"/>
      <c r="K109" s="76">
        <f t="shared" ref="K109:L109" si="107">SUM(C109,G109)</f>
        <v>17055.09893</v>
      </c>
      <c r="L109" s="76">
        <f t="shared" si="107"/>
        <v>115204.3471</v>
      </c>
      <c r="M109" s="2"/>
      <c r="N109" s="76">
        <f t="shared" si="5"/>
        <v>132259.4461</v>
      </c>
      <c r="O109" s="42">
        <v>7809.0</v>
      </c>
      <c r="P109" s="2"/>
      <c r="Q109" s="47">
        <v>30583.7195979999</v>
      </c>
      <c r="R109" s="90">
        <v>631.0</v>
      </c>
      <c r="S109" s="2"/>
      <c r="T109" s="49"/>
      <c r="U109" s="91"/>
      <c r="V109" s="2"/>
      <c r="W109" s="79">
        <f t="shared" si="25"/>
        <v>30583.7196</v>
      </c>
      <c r="X109" s="41">
        <f t="shared" si="26"/>
        <v>631</v>
      </c>
      <c r="Y109" s="2"/>
      <c r="Z109" s="77">
        <v>42242.876258</v>
      </c>
      <c r="AA109" s="42">
        <v>292.0</v>
      </c>
      <c r="AB109" s="2"/>
      <c r="AC109" s="77">
        <v>59763.2285299999</v>
      </c>
      <c r="AD109" s="42">
        <v>505.0</v>
      </c>
      <c r="AE109" s="2"/>
      <c r="AF109" s="2"/>
      <c r="AG109" s="2"/>
      <c r="AH109" s="2"/>
      <c r="AI109" s="2"/>
      <c r="AJ109" s="2"/>
      <c r="AK109" s="2"/>
      <c r="AL109" s="2"/>
      <c r="AM109" s="2"/>
      <c r="AN109" s="2"/>
    </row>
    <row r="110" ht="12.0" customHeight="1">
      <c r="A110" s="2"/>
      <c r="B110" s="4" t="s">
        <v>66</v>
      </c>
      <c r="C110" s="74">
        <v>10972.8251449999</v>
      </c>
      <c r="D110" s="74">
        <v>137410.293465999</v>
      </c>
      <c r="E110" s="76">
        <f t="shared" si="2"/>
        <v>148383.1186</v>
      </c>
      <c r="F110" s="2"/>
      <c r="G110" s="74">
        <v>236.287222</v>
      </c>
      <c r="H110" s="74">
        <v>532.144744</v>
      </c>
      <c r="I110" s="76">
        <f t="shared" si="3"/>
        <v>768.431966</v>
      </c>
      <c r="J110" s="2"/>
      <c r="K110" s="76">
        <f t="shared" ref="K110:L110" si="108">SUM(C110,G110)</f>
        <v>11209.11237</v>
      </c>
      <c r="L110" s="76">
        <f t="shared" si="108"/>
        <v>137942.4382</v>
      </c>
      <c r="M110" s="2"/>
      <c r="N110" s="76">
        <f t="shared" si="5"/>
        <v>149151.5506</v>
      </c>
      <c r="O110" s="42">
        <v>9433.0</v>
      </c>
      <c r="P110" s="2"/>
      <c r="Q110" s="47">
        <v>30441.1032059999</v>
      </c>
      <c r="R110" s="90">
        <v>687.0</v>
      </c>
      <c r="S110" s="2"/>
      <c r="T110" s="47">
        <v>6825.0</v>
      </c>
      <c r="U110" s="90">
        <v>2.0</v>
      </c>
      <c r="V110" s="2"/>
      <c r="W110" s="79">
        <f t="shared" si="25"/>
        <v>37266.10321</v>
      </c>
      <c r="X110" s="41">
        <f t="shared" si="26"/>
        <v>689</v>
      </c>
      <c r="Y110" s="2"/>
      <c r="Z110" s="77">
        <v>41931.2372919999</v>
      </c>
      <c r="AA110" s="42">
        <v>305.0</v>
      </c>
      <c r="AB110" s="2"/>
      <c r="AC110" s="77">
        <v>1621845.987019</v>
      </c>
      <c r="AD110" s="42">
        <v>1145.0</v>
      </c>
      <c r="AE110" s="2"/>
      <c r="AF110" s="2"/>
      <c r="AG110" s="2"/>
      <c r="AH110" s="2"/>
      <c r="AI110" s="2"/>
      <c r="AJ110" s="2"/>
      <c r="AK110" s="2"/>
      <c r="AL110" s="2"/>
      <c r="AM110" s="2"/>
      <c r="AN110" s="2"/>
    </row>
    <row r="111" ht="12.0" customHeight="1">
      <c r="A111" s="2"/>
      <c r="B111" s="4" t="s">
        <v>74</v>
      </c>
      <c r="C111" s="74">
        <v>18304.6440349999</v>
      </c>
      <c r="D111" s="74">
        <v>148640.729040999</v>
      </c>
      <c r="E111" s="76">
        <f t="shared" si="2"/>
        <v>166945.3731</v>
      </c>
      <c r="F111" s="2"/>
      <c r="G111" s="74">
        <v>448.134708</v>
      </c>
      <c r="H111" s="74">
        <v>296.338604</v>
      </c>
      <c r="I111" s="76">
        <f t="shared" si="3"/>
        <v>744.473312</v>
      </c>
      <c r="J111" s="2"/>
      <c r="K111" s="76">
        <f t="shared" ref="K111:L111" si="109">SUM(C111,G111)</f>
        <v>18752.77874</v>
      </c>
      <c r="L111" s="76">
        <f t="shared" si="109"/>
        <v>148937.0676</v>
      </c>
      <c r="M111" s="2"/>
      <c r="N111" s="76">
        <f t="shared" si="5"/>
        <v>167689.8464</v>
      </c>
      <c r="O111" s="42">
        <v>9675.0</v>
      </c>
      <c r="P111" s="2"/>
      <c r="Q111" s="47">
        <v>21616.366905</v>
      </c>
      <c r="R111" s="90">
        <v>526.0</v>
      </c>
      <c r="S111" s="2"/>
      <c r="T111" s="49"/>
      <c r="U111" s="91"/>
      <c r="V111" s="2"/>
      <c r="W111" s="79">
        <f t="shared" si="25"/>
        <v>21616.36691</v>
      </c>
      <c r="X111" s="41">
        <f t="shared" si="26"/>
        <v>526</v>
      </c>
      <c r="Y111" s="2"/>
      <c r="Z111" s="77">
        <v>35161.5955359999</v>
      </c>
      <c r="AA111" s="42">
        <v>311.0</v>
      </c>
      <c r="AB111" s="2"/>
      <c r="AC111" s="77">
        <v>31897.1698639999</v>
      </c>
      <c r="AD111" s="42">
        <v>450.0</v>
      </c>
      <c r="AE111" s="2"/>
      <c r="AF111" s="2"/>
      <c r="AG111" s="2"/>
      <c r="AH111" s="2"/>
      <c r="AI111" s="2"/>
      <c r="AJ111" s="2"/>
      <c r="AK111" s="2"/>
      <c r="AL111" s="2"/>
      <c r="AM111" s="2"/>
      <c r="AN111" s="2"/>
    </row>
    <row r="112" ht="12.0" customHeight="1">
      <c r="A112" s="2"/>
      <c r="B112" s="4" t="s">
        <v>75</v>
      </c>
      <c r="C112" s="74">
        <v>16303.0437879999</v>
      </c>
      <c r="D112" s="74">
        <v>151631.495566</v>
      </c>
      <c r="E112" s="76">
        <f t="shared" si="2"/>
        <v>167934.5394</v>
      </c>
      <c r="F112" s="2"/>
      <c r="G112" s="74">
        <v>3660.499177</v>
      </c>
      <c r="H112" s="74">
        <v>302.512407</v>
      </c>
      <c r="I112" s="76">
        <f t="shared" si="3"/>
        <v>3963.011584</v>
      </c>
      <c r="J112" s="2"/>
      <c r="K112" s="76">
        <f t="shared" ref="K112:L112" si="110">SUM(C112,G112)</f>
        <v>19963.54296</v>
      </c>
      <c r="L112" s="76">
        <f t="shared" si="110"/>
        <v>151934.008</v>
      </c>
      <c r="M112" s="2"/>
      <c r="N112" s="76">
        <f t="shared" si="5"/>
        <v>171897.5509</v>
      </c>
      <c r="O112" s="42">
        <v>8358.0</v>
      </c>
      <c r="P112" s="2"/>
      <c r="Q112" s="47">
        <v>17066.8741579999</v>
      </c>
      <c r="R112" s="90">
        <v>212.0</v>
      </c>
      <c r="S112" s="2"/>
      <c r="T112" s="49"/>
      <c r="U112" s="91"/>
      <c r="V112" s="2"/>
      <c r="W112" s="79">
        <f t="shared" si="25"/>
        <v>17066.87416</v>
      </c>
      <c r="X112" s="41">
        <f t="shared" si="26"/>
        <v>212</v>
      </c>
      <c r="Y112" s="2"/>
      <c r="Z112" s="77">
        <v>36764.292254</v>
      </c>
      <c r="AA112" s="42">
        <v>320.0</v>
      </c>
      <c r="AB112" s="2"/>
      <c r="AC112" s="77">
        <v>40906.938753</v>
      </c>
      <c r="AD112" s="42">
        <v>189.0</v>
      </c>
      <c r="AE112" s="2"/>
      <c r="AF112" s="2"/>
      <c r="AG112" s="2"/>
      <c r="AH112" s="2"/>
      <c r="AI112" s="2"/>
      <c r="AJ112" s="2"/>
      <c r="AK112" s="2"/>
      <c r="AL112" s="2"/>
      <c r="AM112" s="2"/>
      <c r="AN112" s="2"/>
    </row>
    <row r="113" ht="12.0" customHeight="1">
      <c r="A113" s="40">
        <v>2008.0</v>
      </c>
      <c r="B113" s="4" t="s">
        <v>58</v>
      </c>
      <c r="C113" s="74">
        <v>11898.265291</v>
      </c>
      <c r="D113" s="74">
        <v>156935.210856999</v>
      </c>
      <c r="E113" s="76">
        <f t="shared" si="2"/>
        <v>168833.4761</v>
      </c>
      <c r="F113" s="2"/>
      <c r="G113" s="2"/>
      <c r="H113" s="74">
        <v>178.354021</v>
      </c>
      <c r="I113" s="76">
        <f t="shared" si="3"/>
        <v>178.354021</v>
      </c>
      <c r="J113" s="2"/>
      <c r="K113" s="76">
        <f t="shared" ref="K113:L113" si="111">SUM(C113,G113)</f>
        <v>11898.26529</v>
      </c>
      <c r="L113" s="76">
        <f t="shared" si="111"/>
        <v>157113.5649</v>
      </c>
      <c r="M113" s="2"/>
      <c r="N113" s="76">
        <f t="shared" si="5"/>
        <v>169011.8302</v>
      </c>
      <c r="O113" s="42">
        <v>8561.0</v>
      </c>
      <c r="P113" s="2"/>
      <c r="Q113" s="47">
        <v>23396.23703</v>
      </c>
      <c r="R113" s="90">
        <v>529.0</v>
      </c>
      <c r="S113" s="2"/>
      <c r="T113" s="49"/>
      <c r="U113" s="91"/>
      <c r="V113" s="2"/>
      <c r="W113" s="79">
        <f t="shared" si="25"/>
        <v>23396.23703</v>
      </c>
      <c r="X113" s="41">
        <f t="shared" si="26"/>
        <v>529</v>
      </c>
      <c r="Y113" s="2"/>
      <c r="Z113" s="77">
        <v>58891.515223</v>
      </c>
      <c r="AA113" s="42">
        <v>408.0</v>
      </c>
      <c r="AB113" s="2"/>
      <c r="AC113" s="77">
        <v>32063.5716849999</v>
      </c>
      <c r="AD113" s="42">
        <v>421.0</v>
      </c>
      <c r="AE113" s="2"/>
      <c r="AF113" s="2"/>
      <c r="AG113" s="2"/>
      <c r="AH113" s="2"/>
      <c r="AI113" s="2"/>
      <c r="AJ113" s="2"/>
      <c r="AK113" s="2"/>
      <c r="AL113" s="2"/>
      <c r="AM113" s="2"/>
      <c r="AN113" s="2"/>
    </row>
    <row r="114" ht="12.0" customHeight="1">
      <c r="A114" s="2"/>
      <c r="B114" s="4" t="s">
        <v>66</v>
      </c>
      <c r="C114" s="74">
        <v>19256.838579</v>
      </c>
      <c r="D114" s="74">
        <v>155649.388345999</v>
      </c>
      <c r="E114" s="76">
        <f t="shared" si="2"/>
        <v>174906.2269</v>
      </c>
      <c r="F114" s="2"/>
      <c r="G114" s="74">
        <v>1018.170995</v>
      </c>
      <c r="H114" s="74">
        <v>800.224754</v>
      </c>
      <c r="I114" s="76">
        <f t="shared" si="3"/>
        <v>1818.395749</v>
      </c>
      <c r="J114" s="2"/>
      <c r="K114" s="76">
        <f t="shared" ref="K114:L114" si="112">SUM(C114,G114)</f>
        <v>20275.00957</v>
      </c>
      <c r="L114" s="76">
        <f t="shared" si="112"/>
        <v>156449.6131</v>
      </c>
      <c r="M114" s="2"/>
      <c r="N114" s="76">
        <f t="shared" si="5"/>
        <v>176724.6227</v>
      </c>
      <c r="O114" s="42">
        <v>8122.0</v>
      </c>
      <c r="P114" s="2"/>
      <c r="Q114" s="47">
        <v>19514.5467359999</v>
      </c>
      <c r="R114" s="90">
        <v>490.0</v>
      </c>
      <c r="S114" s="2"/>
      <c r="T114" s="49"/>
      <c r="U114" s="91"/>
      <c r="V114" s="2"/>
      <c r="W114" s="79">
        <f t="shared" si="25"/>
        <v>19514.54674</v>
      </c>
      <c r="X114" s="41">
        <f t="shared" si="26"/>
        <v>490</v>
      </c>
      <c r="Y114" s="2"/>
      <c r="Z114" s="77">
        <v>101473.458877</v>
      </c>
      <c r="AA114" s="42">
        <v>466.0</v>
      </c>
      <c r="AB114" s="2"/>
      <c r="AC114" s="77">
        <v>24292.688602</v>
      </c>
      <c r="AD114" s="42">
        <v>394.0</v>
      </c>
      <c r="AE114" s="2"/>
      <c r="AF114" s="2"/>
      <c r="AG114" s="2"/>
      <c r="AH114" s="2"/>
      <c r="AI114" s="2"/>
      <c r="AJ114" s="2"/>
      <c r="AK114" s="2"/>
      <c r="AL114" s="2"/>
      <c r="AM114" s="2"/>
      <c r="AN114" s="2"/>
    </row>
    <row r="115" ht="12.0" customHeight="1">
      <c r="A115" s="2"/>
      <c r="B115" s="4" t="s">
        <v>74</v>
      </c>
      <c r="C115" s="74">
        <v>9507.81461299999</v>
      </c>
      <c r="D115" s="74">
        <v>96850.1002879999</v>
      </c>
      <c r="E115" s="76">
        <f t="shared" si="2"/>
        <v>106357.9149</v>
      </c>
      <c r="F115" s="2"/>
      <c r="G115" s="74">
        <v>106.219546</v>
      </c>
      <c r="H115" s="74">
        <v>122.716115</v>
      </c>
      <c r="I115" s="76">
        <f t="shared" si="3"/>
        <v>228.935661</v>
      </c>
      <c r="J115" s="2"/>
      <c r="K115" s="76">
        <f t="shared" ref="K115:L115" si="113">SUM(C115,G115)</f>
        <v>9614.034159</v>
      </c>
      <c r="L115" s="76">
        <f t="shared" si="113"/>
        <v>96972.8164</v>
      </c>
      <c r="M115" s="2"/>
      <c r="N115" s="76">
        <f t="shared" si="5"/>
        <v>106586.8506</v>
      </c>
      <c r="O115" s="42">
        <v>6325.0</v>
      </c>
      <c r="P115" s="2"/>
      <c r="Q115" s="47">
        <v>12839.9555259999</v>
      </c>
      <c r="R115" s="90">
        <v>287.0</v>
      </c>
      <c r="S115" s="2"/>
      <c r="T115" s="47">
        <v>2000.0</v>
      </c>
      <c r="U115" s="90">
        <v>1.0</v>
      </c>
      <c r="V115" s="2"/>
      <c r="W115" s="79">
        <f t="shared" si="25"/>
        <v>14839.95553</v>
      </c>
      <c r="X115" s="41">
        <f t="shared" si="26"/>
        <v>288</v>
      </c>
      <c r="Y115" s="2"/>
      <c r="Z115" s="77">
        <v>21532.750651</v>
      </c>
      <c r="AA115" s="42">
        <v>299.0</v>
      </c>
      <c r="AB115" s="2"/>
      <c r="AC115" s="77">
        <v>546616.762794999</v>
      </c>
      <c r="AD115" s="42">
        <v>775.0</v>
      </c>
      <c r="AE115" s="2"/>
      <c r="AF115" s="2"/>
      <c r="AG115" s="2"/>
      <c r="AH115" s="2"/>
      <c r="AI115" s="2"/>
      <c r="AJ115" s="2"/>
      <c r="AK115" s="2"/>
      <c r="AL115" s="2"/>
      <c r="AM115" s="2"/>
      <c r="AN115" s="2"/>
    </row>
    <row r="116" ht="12.0" customHeight="1">
      <c r="A116" s="2"/>
      <c r="B116" s="4" t="s">
        <v>75</v>
      </c>
      <c r="C116" s="74">
        <v>2311.86297899999</v>
      </c>
      <c r="D116" s="74">
        <v>86648.941839</v>
      </c>
      <c r="E116" s="76">
        <f t="shared" si="2"/>
        <v>88960.80482</v>
      </c>
      <c r="F116" s="2"/>
      <c r="G116" s="74">
        <v>81.298652</v>
      </c>
      <c r="H116" s="74">
        <v>536.924888</v>
      </c>
      <c r="I116" s="76">
        <f t="shared" si="3"/>
        <v>618.22354</v>
      </c>
      <c r="J116" s="2"/>
      <c r="K116" s="76">
        <f t="shared" ref="K116:L116" si="114">SUM(C116,G116)</f>
        <v>2393.161631</v>
      </c>
      <c r="L116" s="76">
        <f t="shared" si="114"/>
        <v>87185.86673</v>
      </c>
      <c r="M116" s="2"/>
      <c r="N116" s="76">
        <f t="shared" si="5"/>
        <v>89579.02836</v>
      </c>
      <c r="O116" s="42">
        <v>4731.0</v>
      </c>
      <c r="P116" s="2"/>
      <c r="Q116" s="47">
        <v>2352.913925</v>
      </c>
      <c r="R116" s="90">
        <v>78.0</v>
      </c>
      <c r="S116" s="2"/>
      <c r="T116" s="49"/>
      <c r="U116" s="91"/>
      <c r="V116" s="2"/>
      <c r="W116" s="79">
        <f t="shared" si="25"/>
        <v>2352.913925</v>
      </c>
      <c r="X116" s="41">
        <f t="shared" si="26"/>
        <v>78</v>
      </c>
      <c r="Y116" s="2"/>
      <c r="Z116" s="77">
        <v>158840.154406</v>
      </c>
      <c r="AA116" s="42">
        <v>513.0</v>
      </c>
      <c r="AB116" s="2"/>
      <c r="AC116" s="77">
        <v>12813.3382659999</v>
      </c>
      <c r="AD116" s="42">
        <v>116.0</v>
      </c>
      <c r="AE116" s="2"/>
      <c r="AF116" s="2"/>
      <c r="AG116" s="2"/>
      <c r="AH116" s="2"/>
      <c r="AI116" s="2"/>
      <c r="AJ116" s="2"/>
      <c r="AK116" s="2"/>
      <c r="AL116" s="2"/>
      <c r="AM116" s="2"/>
      <c r="AN116" s="2"/>
    </row>
    <row r="117" ht="12.0" customHeight="1">
      <c r="A117" s="40">
        <v>2009.0</v>
      </c>
      <c r="B117" s="4" t="s">
        <v>58</v>
      </c>
      <c r="C117" s="74">
        <v>1929.45316799999</v>
      </c>
      <c r="D117" s="74">
        <v>150134.565145</v>
      </c>
      <c r="E117" s="76">
        <f t="shared" si="2"/>
        <v>152064.0183</v>
      </c>
      <c r="F117" s="2"/>
      <c r="G117" s="74">
        <v>552.296619</v>
      </c>
      <c r="H117" s="74">
        <v>1880.490408</v>
      </c>
      <c r="I117" s="76">
        <f t="shared" si="3"/>
        <v>2432.787027</v>
      </c>
      <c r="J117" s="2"/>
      <c r="K117" s="76">
        <f t="shared" ref="K117:L117" si="115">SUM(C117,G117)</f>
        <v>2481.749787</v>
      </c>
      <c r="L117" s="76">
        <f t="shared" si="115"/>
        <v>152015.0556</v>
      </c>
      <c r="M117" s="2"/>
      <c r="N117" s="76">
        <f t="shared" si="5"/>
        <v>154496.8053</v>
      </c>
      <c r="O117" s="42">
        <v>4674.0</v>
      </c>
      <c r="P117" s="2"/>
      <c r="Q117" s="47">
        <v>13972.499707</v>
      </c>
      <c r="R117" s="90">
        <v>348.0</v>
      </c>
      <c r="S117" s="2"/>
      <c r="T117" s="49"/>
      <c r="U117" s="91"/>
      <c r="V117" s="2"/>
      <c r="W117" s="79">
        <f t="shared" si="25"/>
        <v>13972.49971</v>
      </c>
      <c r="X117" s="41">
        <f t="shared" si="26"/>
        <v>348</v>
      </c>
      <c r="Y117" s="2"/>
      <c r="Z117" s="77">
        <v>34725.15973</v>
      </c>
      <c r="AA117" s="42">
        <v>403.0</v>
      </c>
      <c r="AB117" s="2"/>
      <c r="AC117" s="77">
        <v>25050.154801</v>
      </c>
      <c r="AD117" s="42">
        <v>338.0</v>
      </c>
      <c r="AE117" s="2"/>
      <c r="AF117" s="2"/>
      <c r="AG117" s="2"/>
      <c r="AH117" s="2"/>
      <c r="AI117" s="2"/>
      <c r="AJ117" s="2"/>
      <c r="AK117" s="2"/>
      <c r="AL117" s="2"/>
      <c r="AM117" s="2"/>
      <c r="AN117" s="2"/>
    </row>
    <row r="118" ht="12.0" customHeight="1">
      <c r="A118" s="2"/>
      <c r="B118" s="4" t="s">
        <v>66</v>
      </c>
      <c r="C118" s="74">
        <v>3402.66251099999</v>
      </c>
      <c r="D118" s="74">
        <v>309696.575970999</v>
      </c>
      <c r="E118" s="76">
        <f t="shared" si="2"/>
        <v>313099.2385</v>
      </c>
      <c r="F118" s="2"/>
      <c r="G118" s="74">
        <v>216.754635</v>
      </c>
      <c r="H118" s="74">
        <v>4032.583075</v>
      </c>
      <c r="I118" s="76">
        <f t="shared" si="3"/>
        <v>4249.33771</v>
      </c>
      <c r="J118" s="2"/>
      <c r="K118" s="76">
        <f t="shared" ref="K118:L118" si="116">SUM(C118,G118)</f>
        <v>3619.417146</v>
      </c>
      <c r="L118" s="76">
        <f t="shared" si="116"/>
        <v>313729.159</v>
      </c>
      <c r="M118" s="2"/>
      <c r="N118" s="76">
        <f t="shared" si="5"/>
        <v>317348.5762</v>
      </c>
      <c r="O118" s="42">
        <v>6128.0</v>
      </c>
      <c r="P118" s="2"/>
      <c r="Q118" s="47">
        <v>20392.207783</v>
      </c>
      <c r="R118" s="90">
        <v>383.0</v>
      </c>
      <c r="S118" s="2"/>
      <c r="T118" s="47">
        <v>3000.0</v>
      </c>
      <c r="U118" s="90">
        <v>1.0</v>
      </c>
      <c r="V118" s="2"/>
      <c r="W118" s="79">
        <f t="shared" si="25"/>
        <v>23392.20778</v>
      </c>
      <c r="X118" s="41">
        <f t="shared" si="26"/>
        <v>384</v>
      </c>
      <c r="Y118" s="2"/>
      <c r="Z118" s="77">
        <v>52016.093289</v>
      </c>
      <c r="AA118" s="42">
        <v>422.0</v>
      </c>
      <c r="AB118" s="2"/>
      <c r="AC118" s="77">
        <v>388943.418582999</v>
      </c>
      <c r="AD118" s="42">
        <v>534.0</v>
      </c>
      <c r="AE118" s="2"/>
      <c r="AF118" s="2"/>
      <c r="AG118" s="2"/>
      <c r="AH118" s="2"/>
      <c r="AI118" s="2"/>
      <c r="AJ118" s="2"/>
      <c r="AK118" s="2"/>
      <c r="AL118" s="2"/>
      <c r="AM118" s="2"/>
      <c r="AN118" s="2"/>
    </row>
    <row r="119" ht="12.0" customHeight="1">
      <c r="A119" s="2"/>
      <c r="B119" s="4" t="s">
        <v>74</v>
      </c>
      <c r="C119" s="74">
        <v>6518.451432</v>
      </c>
      <c r="D119" s="74">
        <v>190162.562707999</v>
      </c>
      <c r="E119" s="76">
        <f t="shared" si="2"/>
        <v>196681.0141</v>
      </c>
      <c r="F119" s="2"/>
      <c r="G119" s="74">
        <v>28.635944</v>
      </c>
      <c r="H119" s="74">
        <v>3908.200651</v>
      </c>
      <c r="I119" s="76">
        <f t="shared" si="3"/>
        <v>3936.836595</v>
      </c>
      <c r="J119" s="2"/>
      <c r="K119" s="76">
        <f t="shared" ref="K119:L119" si="117">SUM(C119,G119)</f>
        <v>6547.087376</v>
      </c>
      <c r="L119" s="76">
        <f t="shared" si="117"/>
        <v>194070.7634</v>
      </c>
      <c r="M119" s="2"/>
      <c r="N119" s="76">
        <f t="shared" si="5"/>
        <v>200617.8507</v>
      </c>
      <c r="O119" s="42">
        <v>5859.0</v>
      </c>
      <c r="P119" s="2"/>
      <c r="Q119" s="47">
        <v>24703.8271969999</v>
      </c>
      <c r="R119" s="90">
        <v>514.0</v>
      </c>
      <c r="S119" s="2"/>
      <c r="T119" s="47">
        <v>4000.0</v>
      </c>
      <c r="U119" s="90">
        <v>1.0</v>
      </c>
      <c r="V119" s="2"/>
      <c r="W119" s="79">
        <f t="shared" si="25"/>
        <v>28703.8272</v>
      </c>
      <c r="X119" s="41">
        <f t="shared" si="26"/>
        <v>515</v>
      </c>
      <c r="Y119" s="2"/>
      <c r="Z119" s="77">
        <v>50004.823478</v>
      </c>
      <c r="AA119" s="42">
        <v>474.0</v>
      </c>
      <c r="AB119" s="2"/>
      <c r="AC119" s="77">
        <v>570609.565650001</v>
      </c>
      <c r="AD119" s="42">
        <v>743.0</v>
      </c>
      <c r="AE119" s="2"/>
      <c r="AF119" s="2"/>
      <c r="AG119" s="2"/>
      <c r="AH119" s="2"/>
      <c r="AI119" s="2"/>
      <c r="AJ119" s="2"/>
      <c r="AK119" s="2"/>
      <c r="AL119" s="2"/>
      <c r="AM119" s="2"/>
      <c r="AN119" s="2"/>
    </row>
    <row r="120" ht="12.0" customHeight="1">
      <c r="A120" s="2"/>
      <c r="B120" s="4" t="s">
        <v>75</v>
      </c>
      <c r="C120" s="74">
        <v>10801.28644</v>
      </c>
      <c r="D120" s="74">
        <v>117574.266298</v>
      </c>
      <c r="E120" s="76">
        <f t="shared" si="2"/>
        <v>128375.5527</v>
      </c>
      <c r="F120" s="2"/>
      <c r="G120" s="74">
        <v>12.562</v>
      </c>
      <c r="H120" s="74">
        <v>3932.87434099999</v>
      </c>
      <c r="I120" s="76">
        <f t="shared" si="3"/>
        <v>3945.436341</v>
      </c>
      <c r="J120" s="2"/>
      <c r="K120" s="76">
        <f t="shared" ref="K120:L120" si="118">SUM(C120,G120)</f>
        <v>10813.84844</v>
      </c>
      <c r="L120" s="76">
        <f t="shared" si="118"/>
        <v>121507.1406</v>
      </c>
      <c r="M120" s="2"/>
      <c r="N120" s="76">
        <f t="shared" si="5"/>
        <v>132320.9891</v>
      </c>
      <c r="O120" s="42">
        <v>5395.0</v>
      </c>
      <c r="P120" s="2"/>
      <c r="Q120" s="47">
        <v>24787.749787</v>
      </c>
      <c r="R120" s="90">
        <v>521.0</v>
      </c>
      <c r="S120" s="2"/>
      <c r="T120" s="47">
        <v>4150.0</v>
      </c>
      <c r="U120" s="90">
        <v>2.0</v>
      </c>
      <c r="V120" s="2"/>
      <c r="W120" s="79">
        <f t="shared" si="25"/>
        <v>28937.74979</v>
      </c>
      <c r="X120" s="41">
        <f t="shared" si="26"/>
        <v>523</v>
      </c>
      <c r="Y120" s="2"/>
      <c r="Z120" s="77">
        <v>37850.24251</v>
      </c>
      <c r="AA120" s="42">
        <v>462.0</v>
      </c>
      <c r="AB120" s="2"/>
      <c r="AC120" s="77">
        <v>771537.380941999</v>
      </c>
      <c r="AD120" s="42">
        <v>1106.0</v>
      </c>
      <c r="AE120" s="2"/>
      <c r="AF120" s="2"/>
      <c r="AG120" s="2"/>
      <c r="AH120" s="2"/>
      <c r="AI120" s="2"/>
      <c r="AJ120" s="2"/>
      <c r="AK120" s="2"/>
      <c r="AL120" s="2"/>
      <c r="AM120" s="2"/>
      <c r="AN120" s="2"/>
    </row>
    <row r="121" ht="12.0" customHeight="1">
      <c r="A121" s="40">
        <v>2010.0</v>
      </c>
      <c r="B121" s="4" t="s">
        <v>58</v>
      </c>
      <c r="C121" s="74">
        <v>9370.477982</v>
      </c>
      <c r="D121" s="74">
        <v>112093.369242</v>
      </c>
      <c r="E121" s="76">
        <f t="shared" si="2"/>
        <v>121463.8472</v>
      </c>
      <c r="F121" s="2"/>
      <c r="G121" s="74">
        <v>2.228129</v>
      </c>
      <c r="H121" s="74">
        <v>2851.744015</v>
      </c>
      <c r="I121" s="76">
        <f t="shared" si="3"/>
        <v>2853.972144</v>
      </c>
      <c r="J121" s="2"/>
      <c r="K121" s="76">
        <f t="shared" ref="K121:L121" si="119">SUM(C121,G121)</f>
        <v>9372.706111</v>
      </c>
      <c r="L121" s="76">
        <f t="shared" si="119"/>
        <v>114945.1133</v>
      </c>
      <c r="M121" s="2"/>
      <c r="N121" s="76">
        <f t="shared" si="5"/>
        <v>124317.8194</v>
      </c>
      <c r="O121" s="42">
        <v>4348.0</v>
      </c>
      <c r="P121" s="2"/>
      <c r="Q121" s="47">
        <v>39047.865393</v>
      </c>
      <c r="R121" s="90">
        <v>802.0</v>
      </c>
      <c r="S121" s="2"/>
      <c r="T121" s="49"/>
      <c r="U121" s="91"/>
      <c r="V121" s="2"/>
      <c r="W121" s="79">
        <f t="shared" si="25"/>
        <v>39047.86539</v>
      </c>
      <c r="X121" s="41">
        <f t="shared" si="26"/>
        <v>802</v>
      </c>
      <c r="Y121" s="2"/>
      <c r="Z121" s="77">
        <v>22000.1936829999</v>
      </c>
      <c r="AA121" s="42">
        <v>353.0</v>
      </c>
      <c r="AB121" s="2"/>
      <c r="AC121" s="47">
        <v>56538.541157</v>
      </c>
      <c r="AD121" s="90">
        <v>698.0</v>
      </c>
      <c r="AE121" s="2"/>
      <c r="AF121" s="2"/>
      <c r="AG121" s="2"/>
      <c r="AH121" s="2"/>
      <c r="AI121" s="2"/>
      <c r="AJ121" s="2"/>
      <c r="AK121" s="2"/>
      <c r="AL121" s="2"/>
      <c r="AM121" s="2"/>
      <c r="AN121" s="2"/>
    </row>
    <row r="122" ht="12.0" customHeight="1">
      <c r="A122" s="2"/>
      <c r="B122" s="4" t="s">
        <v>66</v>
      </c>
      <c r="C122" s="74">
        <v>8655.568321</v>
      </c>
      <c r="D122" s="74">
        <v>103395.717378999</v>
      </c>
      <c r="E122" s="76">
        <f t="shared" si="2"/>
        <v>112051.2857</v>
      </c>
      <c r="F122" s="2"/>
      <c r="G122" s="74">
        <v>13.36</v>
      </c>
      <c r="H122" s="74">
        <v>2468.724259</v>
      </c>
      <c r="I122" s="76">
        <f t="shared" si="3"/>
        <v>2482.084259</v>
      </c>
      <c r="J122" s="2"/>
      <c r="K122" s="76">
        <f t="shared" ref="K122:L122" si="120">SUM(C122,G122)</f>
        <v>8668.928321</v>
      </c>
      <c r="L122" s="76">
        <f t="shared" si="120"/>
        <v>105864.4416</v>
      </c>
      <c r="M122" s="2"/>
      <c r="N122" s="76">
        <f t="shared" si="5"/>
        <v>114533.37</v>
      </c>
      <c r="O122" s="42">
        <v>4789.0</v>
      </c>
      <c r="P122" s="2"/>
      <c r="Q122" s="47">
        <v>41104.4448319999</v>
      </c>
      <c r="R122" s="90">
        <v>1015.0</v>
      </c>
      <c r="S122" s="2"/>
      <c r="T122" s="47">
        <v>2450.0</v>
      </c>
      <c r="U122" s="90">
        <v>1.0</v>
      </c>
      <c r="V122" s="2"/>
      <c r="W122" s="79">
        <f t="shared" si="25"/>
        <v>43554.44483</v>
      </c>
      <c r="X122" s="41">
        <f t="shared" si="26"/>
        <v>1016</v>
      </c>
      <c r="Y122" s="2"/>
      <c r="Z122" s="77">
        <v>31483.296031</v>
      </c>
      <c r="AA122" s="42">
        <v>383.0</v>
      </c>
      <c r="AB122" s="2"/>
      <c r="AC122" s="47">
        <v>173996.216134</v>
      </c>
      <c r="AD122" s="90">
        <v>902.0</v>
      </c>
      <c r="AE122" s="2"/>
      <c r="AF122" s="2"/>
      <c r="AG122" s="2"/>
      <c r="AH122" s="2"/>
      <c r="AI122" s="2"/>
      <c r="AJ122" s="2"/>
      <c r="AK122" s="2"/>
      <c r="AL122" s="2"/>
      <c r="AM122" s="2"/>
      <c r="AN122" s="2"/>
    </row>
    <row r="123" ht="12.0" customHeight="1">
      <c r="A123" s="2"/>
      <c r="B123" s="4" t="s">
        <v>74</v>
      </c>
      <c r="C123" s="74">
        <v>9929.70948099999</v>
      </c>
      <c r="D123" s="74">
        <v>147237.180048</v>
      </c>
      <c r="E123" s="76">
        <f t="shared" si="2"/>
        <v>157166.8895</v>
      </c>
      <c r="F123" s="2"/>
      <c r="G123" s="74">
        <v>44.1995</v>
      </c>
      <c r="H123" s="74">
        <v>4146.71773399999</v>
      </c>
      <c r="I123" s="76">
        <f t="shared" si="3"/>
        <v>4190.917234</v>
      </c>
      <c r="J123" s="2"/>
      <c r="K123" s="76">
        <f t="shared" ref="K123:L123" si="121">SUM(C123,G123)</f>
        <v>9973.908981</v>
      </c>
      <c r="L123" s="76">
        <f t="shared" si="121"/>
        <v>151383.8978</v>
      </c>
      <c r="M123" s="2"/>
      <c r="N123" s="76">
        <f t="shared" si="5"/>
        <v>161357.8068</v>
      </c>
      <c r="O123" s="42">
        <v>5963.0</v>
      </c>
      <c r="P123" s="2"/>
      <c r="Q123" s="47">
        <v>49218.6685049999</v>
      </c>
      <c r="R123" s="90">
        <v>696.0</v>
      </c>
      <c r="S123" s="2"/>
      <c r="T123" s="47">
        <v>2625.0</v>
      </c>
      <c r="U123" s="90">
        <v>1.0</v>
      </c>
      <c r="V123" s="2"/>
      <c r="W123" s="79">
        <f t="shared" si="25"/>
        <v>51843.6685</v>
      </c>
      <c r="X123" s="41">
        <f t="shared" si="26"/>
        <v>697</v>
      </c>
      <c r="Y123" s="2"/>
      <c r="Z123" s="77">
        <v>51790.8099219999</v>
      </c>
      <c r="AA123" s="42">
        <v>369.0</v>
      </c>
      <c r="AB123" s="2"/>
      <c r="AC123" s="47">
        <v>165062.858845</v>
      </c>
      <c r="AD123" s="90">
        <v>704.0</v>
      </c>
      <c r="AE123" s="2"/>
      <c r="AF123" s="2"/>
      <c r="AG123" s="2"/>
      <c r="AH123" s="2"/>
      <c r="AI123" s="2"/>
      <c r="AJ123" s="2"/>
      <c r="AK123" s="2"/>
      <c r="AL123" s="2"/>
      <c r="AM123" s="2"/>
      <c r="AN123" s="2"/>
    </row>
    <row r="124" ht="12.0" customHeight="1">
      <c r="A124" s="2"/>
      <c r="B124" s="4" t="s">
        <v>75</v>
      </c>
      <c r="C124" s="74">
        <v>9932.676757</v>
      </c>
      <c r="D124" s="74">
        <v>202009.517798999</v>
      </c>
      <c r="E124" s="76">
        <f t="shared" si="2"/>
        <v>211942.1946</v>
      </c>
      <c r="F124" s="2"/>
      <c r="G124" s="74">
        <v>1894.92237399999</v>
      </c>
      <c r="H124" s="74">
        <v>13055.2117979999</v>
      </c>
      <c r="I124" s="76">
        <f t="shared" si="3"/>
        <v>14950.13417</v>
      </c>
      <c r="J124" s="2"/>
      <c r="K124" s="76">
        <f t="shared" ref="K124:L124" si="122">SUM(C124,G124)</f>
        <v>11827.59913</v>
      </c>
      <c r="L124" s="76">
        <f t="shared" si="122"/>
        <v>215064.7296</v>
      </c>
      <c r="M124" s="2"/>
      <c r="N124" s="76">
        <f t="shared" si="5"/>
        <v>226892.3287</v>
      </c>
      <c r="O124" s="42">
        <v>8724.0</v>
      </c>
      <c r="P124" s="2"/>
      <c r="Q124" s="47">
        <v>40876.1041949999</v>
      </c>
      <c r="R124" s="90">
        <v>694.0</v>
      </c>
      <c r="S124" s="2"/>
      <c r="T124" s="49"/>
      <c r="U124" s="91"/>
      <c r="V124" s="2"/>
      <c r="W124" s="79">
        <f t="shared" si="25"/>
        <v>40876.10419</v>
      </c>
      <c r="X124" s="41">
        <f t="shared" si="26"/>
        <v>694</v>
      </c>
      <c r="Y124" s="2"/>
      <c r="Z124" s="77">
        <v>45047.3213339999</v>
      </c>
      <c r="AA124" s="42">
        <v>454.0</v>
      </c>
      <c r="AB124" s="2"/>
      <c r="AC124" s="47">
        <v>57839.448396</v>
      </c>
      <c r="AD124" s="90">
        <v>656.0</v>
      </c>
      <c r="AE124" s="2"/>
      <c r="AF124" s="2"/>
      <c r="AG124" s="2"/>
      <c r="AH124" s="2"/>
      <c r="AI124" s="2"/>
      <c r="AJ124" s="2"/>
      <c r="AK124" s="2"/>
      <c r="AL124" s="2"/>
      <c r="AM124" s="2"/>
      <c r="AN124" s="2"/>
    </row>
    <row r="125" ht="12.0" customHeight="1">
      <c r="A125" s="40">
        <v>2011.0</v>
      </c>
      <c r="B125" s="4" t="s">
        <v>58</v>
      </c>
      <c r="C125" s="74">
        <v>10466.845327</v>
      </c>
      <c r="D125" s="74">
        <v>156594.531251</v>
      </c>
      <c r="E125" s="76">
        <f t="shared" si="2"/>
        <v>167061.3766</v>
      </c>
      <c r="F125" s="2"/>
      <c r="G125" s="74">
        <v>762.259389999999</v>
      </c>
      <c r="H125" s="74">
        <v>7281.228081</v>
      </c>
      <c r="I125" s="76">
        <f t="shared" si="3"/>
        <v>8043.487471</v>
      </c>
      <c r="J125" s="2"/>
      <c r="K125" s="76">
        <f t="shared" ref="K125:L125" si="123">SUM(C125,G125)</f>
        <v>11229.10472</v>
      </c>
      <c r="L125" s="76">
        <f t="shared" si="123"/>
        <v>163875.7593</v>
      </c>
      <c r="M125" s="2"/>
      <c r="N125" s="76">
        <f t="shared" si="5"/>
        <v>175104.864</v>
      </c>
      <c r="O125" s="42">
        <v>8161.0</v>
      </c>
      <c r="P125" s="2"/>
      <c r="Q125" s="47">
        <v>25484.8811009999</v>
      </c>
      <c r="R125" s="90">
        <v>622.0</v>
      </c>
      <c r="S125" s="2"/>
      <c r="T125" s="49"/>
      <c r="U125" s="91"/>
      <c r="V125" s="2"/>
      <c r="W125" s="79">
        <f t="shared" si="25"/>
        <v>25484.8811</v>
      </c>
      <c r="X125" s="41">
        <f t="shared" si="26"/>
        <v>622</v>
      </c>
      <c r="Y125" s="2"/>
      <c r="Z125" s="77">
        <v>64365.2058399999</v>
      </c>
      <c r="AA125" s="42">
        <v>416.0</v>
      </c>
      <c r="AB125" s="2"/>
      <c r="AC125" s="47">
        <v>49283.635833</v>
      </c>
      <c r="AD125" s="90">
        <v>493.0</v>
      </c>
      <c r="AE125" s="2"/>
      <c r="AF125" s="2"/>
      <c r="AG125" s="2"/>
      <c r="AH125" s="2"/>
      <c r="AI125" s="2"/>
      <c r="AJ125" s="2"/>
      <c r="AK125" s="2"/>
      <c r="AL125" s="2"/>
      <c r="AM125" s="2"/>
      <c r="AN125" s="2"/>
    </row>
    <row r="126" ht="12.0" customHeight="1">
      <c r="A126" s="2"/>
      <c r="B126" s="4" t="s">
        <v>66</v>
      </c>
      <c r="C126" s="74">
        <v>7849.507488</v>
      </c>
      <c r="D126" s="74">
        <v>85642.857516</v>
      </c>
      <c r="E126" s="76">
        <f t="shared" si="2"/>
        <v>93492.365</v>
      </c>
      <c r="F126" s="2"/>
      <c r="G126" s="74">
        <v>1028.28542099999</v>
      </c>
      <c r="H126" s="74">
        <v>6810.94959999999</v>
      </c>
      <c r="I126" s="76">
        <f t="shared" si="3"/>
        <v>7839.235021</v>
      </c>
      <c r="J126" s="2"/>
      <c r="K126" s="76">
        <f t="shared" ref="K126:L126" si="124">SUM(C126,G126)</f>
        <v>8877.792909</v>
      </c>
      <c r="L126" s="76">
        <f t="shared" si="124"/>
        <v>92453.80712</v>
      </c>
      <c r="M126" s="2"/>
      <c r="N126" s="76">
        <f t="shared" si="5"/>
        <v>101331.6</v>
      </c>
      <c r="O126" s="42">
        <v>7567.0</v>
      </c>
      <c r="P126" s="2"/>
      <c r="Q126" s="47">
        <v>46109.789681</v>
      </c>
      <c r="R126" s="90">
        <v>688.0</v>
      </c>
      <c r="S126" s="2"/>
      <c r="T126" s="49"/>
      <c r="U126" s="91"/>
      <c r="V126" s="2"/>
      <c r="W126" s="79">
        <f t="shared" si="25"/>
        <v>46109.78968</v>
      </c>
      <c r="X126" s="41">
        <f t="shared" si="26"/>
        <v>688</v>
      </c>
      <c r="Y126" s="2"/>
      <c r="Z126" s="77">
        <v>165141.05666</v>
      </c>
      <c r="AA126" s="42">
        <v>393.0</v>
      </c>
      <c r="AB126" s="2"/>
      <c r="AC126" s="47">
        <v>95034.4932999999</v>
      </c>
      <c r="AD126" s="90">
        <v>763.0</v>
      </c>
      <c r="AE126" s="2"/>
      <c r="AF126" s="2"/>
      <c r="AG126" s="2"/>
      <c r="AH126" s="2"/>
      <c r="AI126" s="2"/>
      <c r="AJ126" s="2"/>
      <c r="AK126" s="2"/>
      <c r="AL126" s="2"/>
      <c r="AM126" s="2"/>
      <c r="AN126" s="2"/>
    </row>
    <row r="127" ht="12.0" customHeight="1">
      <c r="A127" s="2"/>
      <c r="B127" s="4" t="s">
        <v>74</v>
      </c>
      <c r="C127" s="74">
        <v>9569.108432</v>
      </c>
      <c r="D127" s="74">
        <v>100732.158571</v>
      </c>
      <c r="E127" s="76">
        <f t="shared" si="2"/>
        <v>110301.267</v>
      </c>
      <c r="F127" s="2"/>
      <c r="G127" s="74">
        <v>939.284325999999</v>
      </c>
      <c r="H127" s="74">
        <v>5671.20471599999</v>
      </c>
      <c r="I127" s="76">
        <f t="shared" si="3"/>
        <v>6610.489042</v>
      </c>
      <c r="J127" s="2"/>
      <c r="K127" s="76">
        <f t="shared" ref="K127:L127" si="125">SUM(C127,G127)</f>
        <v>10508.39276</v>
      </c>
      <c r="L127" s="76">
        <f t="shared" si="125"/>
        <v>106403.3633</v>
      </c>
      <c r="M127" s="2"/>
      <c r="N127" s="76">
        <f t="shared" si="5"/>
        <v>116911.756</v>
      </c>
      <c r="O127" s="42">
        <v>7826.0</v>
      </c>
      <c r="P127" s="2"/>
      <c r="Q127" s="47">
        <v>32540.5381479999</v>
      </c>
      <c r="R127" s="90">
        <v>741.0</v>
      </c>
      <c r="S127" s="2"/>
      <c r="T127" s="49"/>
      <c r="U127" s="91"/>
      <c r="V127" s="2"/>
      <c r="W127" s="79">
        <f t="shared" si="25"/>
        <v>32540.53815</v>
      </c>
      <c r="X127" s="41">
        <f t="shared" si="26"/>
        <v>741</v>
      </c>
      <c r="Y127" s="2"/>
      <c r="Z127" s="77">
        <v>212254.910959999</v>
      </c>
      <c r="AA127" s="42">
        <v>423.0</v>
      </c>
      <c r="AB127" s="2"/>
      <c r="AC127" s="47">
        <v>69090.5557189999</v>
      </c>
      <c r="AD127" s="90">
        <v>698.0</v>
      </c>
      <c r="AE127" s="2"/>
      <c r="AF127" s="2"/>
      <c r="AG127" s="2"/>
      <c r="AH127" s="2"/>
      <c r="AI127" s="2"/>
      <c r="AJ127" s="2"/>
      <c r="AK127" s="2"/>
      <c r="AL127" s="2"/>
      <c r="AM127" s="2"/>
      <c r="AN127" s="2"/>
    </row>
    <row r="128" ht="12.0" customHeight="1">
      <c r="A128" s="2"/>
      <c r="B128" s="4" t="s">
        <v>75</v>
      </c>
      <c r="C128" s="74">
        <v>12410.029706</v>
      </c>
      <c r="D128" s="74">
        <v>195415.576240999</v>
      </c>
      <c r="E128" s="76">
        <f t="shared" si="2"/>
        <v>207825.6059</v>
      </c>
      <c r="F128" s="2"/>
      <c r="G128" s="74">
        <v>1943.638094</v>
      </c>
      <c r="H128" s="74">
        <v>7377.85467499999</v>
      </c>
      <c r="I128" s="76">
        <f t="shared" si="3"/>
        <v>9321.492769</v>
      </c>
      <c r="J128" s="2"/>
      <c r="K128" s="76">
        <f t="shared" ref="K128:L128" si="126">SUM(C128,G128)</f>
        <v>14353.6678</v>
      </c>
      <c r="L128" s="76">
        <f t="shared" si="126"/>
        <v>202793.4309</v>
      </c>
      <c r="M128" s="2"/>
      <c r="N128" s="76">
        <f t="shared" si="5"/>
        <v>217147.0987</v>
      </c>
      <c r="O128" s="42">
        <v>8802.0</v>
      </c>
      <c r="P128" s="2"/>
      <c r="Q128" s="47">
        <v>32686.1858649999</v>
      </c>
      <c r="R128" s="90">
        <v>920.0</v>
      </c>
      <c r="S128" s="2"/>
      <c r="T128" s="49"/>
      <c r="U128" s="91"/>
      <c r="V128" s="2"/>
      <c r="W128" s="79">
        <f t="shared" si="25"/>
        <v>32686.18586</v>
      </c>
      <c r="X128" s="41">
        <f t="shared" si="26"/>
        <v>920</v>
      </c>
      <c r="Y128" s="2"/>
      <c r="Z128" s="77">
        <v>164174.619213</v>
      </c>
      <c r="AA128" s="42">
        <v>217.0</v>
      </c>
      <c r="AB128" s="2"/>
      <c r="AC128" s="47">
        <v>45784.9038759999</v>
      </c>
      <c r="AD128" s="90">
        <v>614.0</v>
      </c>
      <c r="AE128" s="2"/>
      <c r="AF128" s="2"/>
      <c r="AG128" s="2"/>
      <c r="AH128" s="2"/>
      <c r="AI128" s="2"/>
      <c r="AJ128" s="2"/>
      <c r="AK128" s="2"/>
      <c r="AL128" s="2"/>
      <c r="AM128" s="2"/>
      <c r="AN128" s="2"/>
    </row>
    <row r="129" ht="12.0" customHeight="1">
      <c r="A129" s="40">
        <v>2012.0</v>
      </c>
      <c r="B129" s="4" t="s">
        <v>58</v>
      </c>
      <c r="C129" s="74">
        <v>8519.29560100001</v>
      </c>
      <c r="D129" s="74">
        <v>188431.835723</v>
      </c>
      <c r="E129" s="76">
        <f t="shared" si="2"/>
        <v>196951.1313</v>
      </c>
      <c r="F129" s="2"/>
      <c r="G129" s="74">
        <v>1317.13661299999</v>
      </c>
      <c r="H129" s="74">
        <v>7508.182384</v>
      </c>
      <c r="I129" s="76">
        <f t="shared" si="3"/>
        <v>8825.318997</v>
      </c>
      <c r="J129" s="2"/>
      <c r="K129" s="76">
        <f t="shared" ref="K129:L129" si="127">SUM(C129,G129)</f>
        <v>9836.432214</v>
      </c>
      <c r="L129" s="76">
        <f t="shared" si="127"/>
        <v>195940.0181</v>
      </c>
      <c r="M129" s="2"/>
      <c r="N129" s="76">
        <f t="shared" ref="N129:N136" si="129">SUM(E129,I129)</f>
        <v>205776.4503</v>
      </c>
      <c r="O129" s="42">
        <v>10172.0</v>
      </c>
      <c r="P129" s="2"/>
      <c r="Q129" s="49" t="s">
        <v>116</v>
      </c>
      <c r="R129" s="49" t="s">
        <v>116</v>
      </c>
      <c r="S129" s="2"/>
      <c r="T129" s="49" t="s">
        <v>116</v>
      </c>
      <c r="U129" s="49" t="s">
        <v>116</v>
      </c>
      <c r="V129" s="2"/>
      <c r="W129" s="49" t="s">
        <v>116</v>
      </c>
      <c r="X129" s="49" t="s">
        <v>116</v>
      </c>
      <c r="Y129" s="2"/>
      <c r="Z129" s="77">
        <v>19986.8266959999</v>
      </c>
      <c r="AA129" s="42">
        <v>373.0</v>
      </c>
      <c r="AB129" s="2"/>
      <c r="AC129" s="49" t="s">
        <v>116</v>
      </c>
      <c r="AD129" s="49" t="s">
        <v>116</v>
      </c>
      <c r="AE129" s="2"/>
      <c r="AF129" s="2"/>
      <c r="AG129" s="2"/>
      <c r="AH129" s="2"/>
      <c r="AI129" s="2"/>
      <c r="AJ129" s="2"/>
      <c r="AK129" s="2"/>
      <c r="AL129" s="2"/>
      <c r="AM129" s="2"/>
      <c r="AN129" s="2"/>
    </row>
    <row r="130" ht="12.0" customHeight="1">
      <c r="A130" s="2"/>
      <c r="B130" s="4" t="s">
        <v>66</v>
      </c>
      <c r="C130" s="74">
        <v>6867.269143</v>
      </c>
      <c r="D130" s="74">
        <v>168305.199648999</v>
      </c>
      <c r="E130" s="76">
        <f t="shared" si="2"/>
        <v>175172.4688</v>
      </c>
      <c r="F130" s="2"/>
      <c r="G130" s="74">
        <v>655.994612</v>
      </c>
      <c r="H130" s="74">
        <v>6885.983148</v>
      </c>
      <c r="I130" s="76">
        <f t="shared" si="3"/>
        <v>7541.97776</v>
      </c>
      <c r="J130" s="2"/>
      <c r="K130" s="76">
        <f t="shared" ref="K130:L130" si="128">SUM(C130,G130)</f>
        <v>7523.263755</v>
      </c>
      <c r="L130" s="76">
        <f t="shared" si="128"/>
        <v>175191.1828</v>
      </c>
      <c r="M130" s="2"/>
      <c r="N130" s="76">
        <f t="shared" si="129"/>
        <v>182714.4466</v>
      </c>
      <c r="O130" s="42">
        <v>9787.0</v>
      </c>
      <c r="P130" s="2"/>
      <c r="Q130" s="49" t="s">
        <v>116</v>
      </c>
      <c r="R130" s="49" t="s">
        <v>116</v>
      </c>
      <c r="S130" s="2"/>
      <c r="T130" s="49" t="s">
        <v>116</v>
      </c>
      <c r="U130" s="49" t="s">
        <v>116</v>
      </c>
      <c r="V130" s="2"/>
      <c r="W130" s="49" t="s">
        <v>116</v>
      </c>
      <c r="X130" s="49" t="s">
        <v>116</v>
      </c>
      <c r="Y130" s="2"/>
      <c r="Z130" s="77">
        <v>26325.6551039999</v>
      </c>
      <c r="AA130" s="42">
        <v>442.0</v>
      </c>
      <c r="AB130" s="2"/>
      <c r="AC130" s="49" t="s">
        <v>116</v>
      </c>
      <c r="AD130" s="49" t="s">
        <v>116</v>
      </c>
      <c r="AE130" s="2"/>
      <c r="AF130" s="2"/>
      <c r="AG130" s="2"/>
      <c r="AH130" s="2"/>
      <c r="AI130" s="2"/>
      <c r="AJ130" s="2"/>
      <c r="AK130" s="2"/>
      <c r="AL130" s="2"/>
      <c r="AM130" s="2"/>
      <c r="AN130" s="2"/>
    </row>
    <row r="131" ht="12.0" customHeight="1">
      <c r="A131" s="2"/>
      <c r="B131" s="4" t="s">
        <v>74</v>
      </c>
      <c r="C131" s="74">
        <v>6587.409069</v>
      </c>
      <c r="D131" s="74">
        <v>223270.668596</v>
      </c>
      <c r="E131" s="76">
        <f t="shared" si="2"/>
        <v>229858.0777</v>
      </c>
      <c r="F131" s="2"/>
      <c r="G131" s="74">
        <v>973.207651999999</v>
      </c>
      <c r="H131" s="74">
        <v>8630.85813099999</v>
      </c>
      <c r="I131" s="76">
        <f t="shared" si="3"/>
        <v>9604.065783</v>
      </c>
      <c r="J131" s="2"/>
      <c r="K131" s="76">
        <f t="shared" ref="K131:L131" si="130">SUM(C131,G131)</f>
        <v>7560.616721</v>
      </c>
      <c r="L131" s="76">
        <f t="shared" si="130"/>
        <v>231901.5267</v>
      </c>
      <c r="M131" s="2"/>
      <c r="N131" s="76">
        <f t="shared" si="129"/>
        <v>239462.1434</v>
      </c>
      <c r="O131" s="42">
        <v>11876.0</v>
      </c>
      <c r="P131" s="2"/>
      <c r="Q131" s="49" t="s">
        <v>116</v>
      </c>
      <c r="R131" s="49" t="s">
        <v>116</v>
      </c>
      <c r="S131" s="2"/>
      <c r="T131" s="49" t="s">
        <v>116</v>
      </c>
      <c r="U131" s="49" t="s">
        <v>116</v>
      </c>
      <c r="V131" s="2"/>
      <c r="W131" s="49" t="s">
        <v>116</v>
      </c>
      <c r="X131" s="49" t="s">
        <v>116</v>
      </c>
      <c r="Y131" s="2"/>
      <c r="Z131" s="77">
        <v>39044.9917459999</v>
      </c>
      <c r="AA131" s="42">
        <v>519.0</v>
      </c>
      <c r="AB131" s="2"/>
      <c r="AC131" s="49" t="s">
        <v>116</v>
      </c>
      <c r="AD131" s="49" t="s">
        <v>116</v>
      </c>
      <c r="AE131" s="2"/>
      <c r="AF131" s="2"/>
      <c r="AG131" s="2"/>
      <c r="AH131" s="2"/>
      <c r="AI131" s="2"/>
      <c r="AJ131" s="2"/>
      <c r="AK131" s="2"/>
      <c r="AL131" s="2"/>
      <c r="AM131" s="2"/>
      <c r="AN131" s="2"/>
    </row>
    <row r="132" ht="12.0" customHeight="1">
      <c r="A132" s="102"/>
      <c r="B132" s="4" t="s">
        <v>75</v>
      </c>
      <c r="C132" s="74">
        <v>4898.29743</v>
      </c>
      <c r="D132" s="74">
        <v>221539.324444999</v>
      </c>
      <c r="E132" s="76">
        <f t="shared" si="2"/>
        <v>226437.6219</v>
      </c>
      <c r="F132" s="2"/>
      <c r="G132" s="74">
        <v>1822.365998</v>
      </c>
      <c r="H132" s="74">
        <v>9946.12351199998</v>
      </c>
      <c r="I132" s="76">
        <f t="shared" si="3"/>
        <v>11768.48951</v>
      </c>
      <c r="J132" s="2"/>
      <c r="K132" s="76">
        <f t="shared" ref="K132:L132" si="131">SUM(C132,G132)</f>
        <v>6720.663428</v>
      </c>
      <c r="L132" s="76">
        <f t="shared" si="131"/>
        <v>231485.448</v>
      </c>
      <c r="M132" s="2"/>
      <c r="N132" s="76">
        <f t="shared" si="129"/>
        <v>238206.1114</v>
      </c>
      <c r="O132" s="42">
        <v>12288.0</v>
      </c>
      <c r="P132" s="2"/>
      <c r="Q132" s="49" t="s">
        <v>116</v>
      </c>
      <c r="R132" s="49" t="s">
        <v>116</v>
      </c>
      <c r="S132" s="2"/>
      <c r="T132" s="49" t="s">
        <v>116</v>
      </c>
      <c r="U132" s="49" t="s">
        <v>116</v>
      </c>
      <c r="V132" s="2"/>
      <c r="W132" s="49" t="s">
        <v>116</v>
      </c>
      <c r="X132" s="49" t="s">
        <v>116</v>
      </c>
      <c r="Y132" s="2"/>
      <c r="Z132" s="77">
        <v>38176.6474119999</v>
      </c>
      <c r="AA132" s="42">
        <v>460.0</v>
      </c>
      <c r="AB132" s="2"/>
      <c r="AC132" s="49" t="s">
        <v>116</v>
      </c>
      <c r="AD132" s="49" t="s">
        <v>116</v>
      </c>
      <c r="AE132" s="2"/>
      <c r="AF132" s="2"/>
      <c r="AG132" s="2"/>
      <c r="AH132" s="2"/>
      <c r="AI132" s="2"/>
      <c r="AJ132" s="2"/>
      <c r="AK132" s="2"/>
      <c r="AL132" s="2"/>
      <c r="AM132" s="2"/>
      <c r="AN132" s="2"/>
    </row>
    <row r="133" ht="12.0" customHeight="1">
      <c r="A133" s="40">
        <v>2013.0</v>
      </c>
      <c r="B133" s="4" t="s">
        <v>58</v>
      </c>
      <c r="C133" s="74">
        <v>3850.513891</v>
      </c>
      <c r="D133" s="74">
        <v>218222.940617</v>
      </c>
      <c r="E133" s="76">
        <f t="shared" si="2"/>
        <v>222073.4545</v>
      </c>
      <c r="F133" s="2"/>
      <c r="G133" s="74">
        <v>1484.536815</v>
      </c>
      <c r="H133" s="74">
        <v>7574.511882</v>
      </c>
      <c r="I133" s="76">
        <f t="shared" si="3"/>
        <v>9059.048697</v>
      </c>
      <c r="J133" s="2"/>
      <c r="K133" s="76">
        <f t="shared" ref="K133:L133" si="132">SUM(C133,G133)</f>
        <v>5335.050706</v>
      </c>
      <c r="L133" s="76">
        <f t="shared" si="132"/>
        <v>225797.4525</v>
      </c>
      <c r="M133" s="2"/>
      <c r="N133" s="76">
        <f t="shared" si="129"/>
        <v>231132.5032</v>
      </c>
      <c r="O133" s="42">
        <v>11212.0</v>
      </c>
      <c r="P133" s="2"/>
      <c r="Q133" s="49" t="s">
        <v>116</v>
      </c>
      <c r="R133" s="49" t="s">
        <v>116</v>
      </c>
      <c r="S133" s="2"/>
      <c r="T133" s="49" t="s">
        <v>116</v>
      </c>
      <c r="U133" s="49" t="s">
        <v>116</v>
      </c>
      <c r="V133" s="2"/>
      <c r="W133" s="49" t="s">
        <v>116</v>
      </c>
      <c r="X133" s="49" t="s">
        <v>116</v>
      </c>
      <c r="Y133" s="2"/>
      <c r="Z133" s="47">
        <v>26685.725309</v>
      </c>
      <c r="AA133" s="105">
        <v>427.0</v>
      </c>
      <c r="AB133" s="2"/>
      <c r="AC133" s="49" t="s">
        <v>116</v>
      </c>
      <c r="AD133" s="49" t="s">
        <v>116</v>
      </c>
      <c r="AE133" s="2"/>
      <c r="AF133" s="2"/>
      <c r="AG133" s="2"/>
      <c r="AH133" s="2"/>
      <c r="AI133" s="2"/>
      <c r="AJ133" s="2"/>
      <c r="AK133" s="2"/>
      <c r="AL133" s="2"/>
      <c r="AM133" s="2"/>
      <c r="AN133" s="2"/>
    </row>
    <row r="134" ht="12.0" customHeight="1">
      <c r="A134" s="2"/>
      <c r="B134" s="4" t="s">
        <v>66</v>
      </c>
      <c r="C134" s="74">
        <v>4417.271367</v>
      </c>
      <c r="D134" s="74">
        <v>202681.192002</v>
      </c>
      <c r="E134" s="76">
        <f t="shared" si="2"/>
        <v>207098.4634</v>
      </c>
      <c r="F134" s="2"/>
      <c r="G134" s="74">
        <v>1048.488005</v>
      </c>
      <c r="H134" s="74">
        <v>7113.89647099999</v>
      </c>
      <c r="I134" s="76">
        <f t="shared" si="3"/>
        <v>8162.384476</v>
      </c>
      <c r="J134" s="2"/>
      <c r="K134" s="76">
        <f t="shared" ref="K134:L134" si="133">SUM(C134,G134)</f>
        <v>5465.759372</v>
      </c>
      <c r="L134" s="76">
        <f t="shared" si="133"/>
        <v>209795.0885</v>
      </c>
      <c r="M134" s="2"/>
      <c r="N134" s="76">
        <f t="shared" si="129"/>
        <v>215260.8478</v>
      </c>
      <c r="O134" s="42">
        <v>10288.0</v>
      </c>
      <c r="P134" s="2"/>
      <c r="Q134" s="49" t="s">
        <v>116</v>
      </c>
      <c r="R134" s="49" t="s">
        <v>116</v>
      </c>
      <c r="S134" s="2"/>
      <c r="T134" s="49" t="s">
        <v>116</v>
      </c>
      <c r="U134" s="49" t="s">
        <v>116</v>
      </c>
      <c r="V134" s="2"/>
      <c r="W134" s="49" t="s">
        <v>116</v>
      </c>
      <c r="X134" s="49" t="s">
        <v>116</v>
      </c>
      <c r="Y134" s="2"/>
      <c r="Z134" s="47">
        <v>24125.709912</v>
      </c>
      <c r="AA134" s="105">
        <v>440.0</v>
      </c>
      <c r="AB134" s="2"/>
      <c r="AC134" s="49" t="s">
        <v>116</v>
      </c>
      <c r="AD134" s="49" t="s">
        <v>116</v>
      </c>
      <c r="AE134" s="2"/>
      <c r="AF134" s="2"/>
      <c r="AG134" s="2"/>
      <c r="AH134" s="2"/>
      <c r="AI134" s="2"/>
      <c r="AJ134" s="2"/>
      <c r="AK134" s="2"/>
      <c r="AL134" s="2"/>
      <c r="AM134" s="2"/>
      <c r="AN134" s="2"/>
    </row>
    <row r="135" ht="12.0" customHeight="1">
      <c r="A135" s="2"/>
      <c r="B135" s="4" t="s">
        <v>74</v>
      </c>
      <c r="C135" s="74">
        <v>5777.30299</v>
      </c>
      <c r="D135" s="74">
        <v>181119.962627</v>
      </c>
      <c r="E135" s="76">
        <f t="shared" si="2"/>
        <v>186897.2656</v>
      </c>
      <c r="F135" s="2"/>
      <c r="G135" s="74">
        <v>983.227248</v>
      </c>
      <c r="H135" s="74">
        <v>5390.025983</v>
      </c>
      <c r="I135" s="76">
        <f t="shared" si="3"/>
        <v>6373.253231</v>
      </c>
      <c r="J135" s="2"/>
      <c r="K135" s="76">
        <f t="shared" ref="K135:L135" si="134">SUM(C135,G135)</f>
        <v>6760.530238</v>
      </c>
      <c r="L135" s="76">
        <f t="shared" si="134"/>
        <v>186509.9886</v>
      </c>
      <c r="M135" s="2"/>
      <c r="N135" s="76">
        <f t="shared" si="129"/>
        <v>193270.5188</v>
      </c>
      <c r="O135" s="42">
        <v>8784.0</v>
      </c>
      <c r="P135" s="2"/>
      <c r="Q135" s="49" t="s">
        <v>116</v>
      </c>
      <c r="R135" s="49" t="s">
        <v>116</v>
      </c>
      <c r="S135" s="2"/>
      <c r="T135" s="49" t="s">
        <v>116</v>
      </c>
      <c r="U135" s="49" t="s">
        <v>116</v>
      </c>
      <c r="V135" s="2"/>
      <c r="W135" s="49" t="s">
        <v>116</v>
      </c>
      <c r="X135" s="49" t="s">
        <v>116</v>
      </c>
      <c r="Y135" s="2"/>
      <c r="Z135" s="47">
        <v>24388.8472529999</v>
      </c>
      <c r="AA135" s="105">
        <v>459.0</v>
      </c>
      <c r="AB135" s="2"/>
      <c r="AC135" s="49" t="s">
        <v>116</v>
      </c>
      <c r="AD135" s="49" t="s">
        <v>116</v>
      </c>
      <c r="AE135" s="2"/>
      <c r="AF135" s="2"/>
      <c r="AG135" s="2"/>
      <c r="AH135" s="2"/>
      <c r="AI135" s="2"/>
      <c r="AJ135" s="2"/>
      <c r="AK135" s="2"/>
      <c r="AL135" s="2"/>
      <c r="AM135" s="2"/>
      <c r="AN135" s="2"/>
    </row>
    <row r="136" ht="12.0" customHeight="1">
      <c r="A136" s="2"/>
      <c r="B136" s="4" t="s">
        <v>75</v>
      </c>
      <c r="C136" s="74">
        <v>3708.221217</v>
      </c>
      <c r="D136" s="74">
        <v>114386.780188</v>
      </c>
      <c r="E136" s="76">
        <f t="shared" si="2"/>
        <v>118095.0014</v>
      </c>
      <c r="F136" s="2"/>
      <c r="G136" s="74">
        <v>1534.349119</v>
      </c>
      <c r="H136" s="74">
        <v>6220.75601</v>
      </c>
      <c r="I136" s="76">
        <f t="shared" si="3"/>
        <v>7755.105129</v>
      </c>
      <c r="J136" s="2"/>
      <c r="K136" s="76">
        <f t="shared" ref="K136:L136" si="135">SUM(C136,G136)</f>
        <v>5242.570336</v>
      </c>
      <c r="L136" s="76">
        <f t="shared" si="135"/>
        <v>120607.5362</v>
      </c>
      <c r="M136" s="2"/>
      <c r="N136" s="76">
        <f t="shared" si="129"/>
        <v>125850.1065</v>
      </c>
      <c r="O136" s="42">
        <v>7742.0</v>
      </c>
      <c r="P136" s="2"/>
      <c r="Q136" s="49" t="s">
        <v>116</v>
      </c>
      <c r="R136" s="49" t="s">
        <v>116</v>
      </c>
      <c r="S136" s="2"/>
      <c r="T136" s="49" t="s">
        <v>116</v>
      </c>
      <c r="U136" s="49" t="s">
        <v>116</v>
      </c>
      <c r="V136" s="2"/>
      <c r="W136" s="49" t="s">
        <v>116</v>
      </c>
      <c r="X136" s="49" t="s">
        <v>116</v>
      </c>
      <c r="Y136" s="2"/>
      <c r="Z136" s="47">
        <v>20488.6926409999</v>
      </c>
      <c r="AA136" s="105">
        <v>419.0</v>
      </c>
      <c r="AB136" s="2"/>
      <c r="AC136" s="49" t="s">
        <v>116</v>
      </c>
      <c r="AD136" s="49" t="s">
        <v>116</v>
      </c>
      <c r="AE136" s="2"/>
      <c r="AF136" s="2"/>
      <c r="AG136" s="2"/>
      <c r="AH136" s="2"/>
      <c r="AI136" s="2"/>
      <c r="AJ136" s="2"/>
      <c r="AK136" s="2"/>
      <c r="AL136" s="2"/>
      <c r="AM136" s="2"/>
      <c r="AN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79" t="s">
        <v>118</v>
      </c>
      <c r="AA139" s="2"/>
      <c r="AB139" s="2"/>
      <c r="AC139" s="2"/>
      <c r="AD139" s="2"/>
      <c r="AE139" s="2"/>
      <c r="AF139" s="2"/>
      <c r="AG139" s="2"/>
      <c r="AH139" s="2"/>
      <c r="AI139" s="2"/>
      <c r="AJ139" s="2"/>
      <c r="AK139" s="2"/>
      <c r="AL139" s="2"/>
      <c r="AM139" s="2"/>
      <c r="AN139" s="2"/>
    </row>
    <row r="140" ht="12.0" customHeight="1">
      <c r="A140" s="2"/>
      <c r="B140" s="2"/>
      <c r="C140" s="102" t="s">
        <v>119</v>
      </c>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ht="12.0" customHeight="1">
      <c r="A141" s="2"/>
      <c r="B141" s="2"/>
      <c r="C141" s="103" t="s">
        <v>120</v>
      </c>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ht="12.0" customHeight="1">
      <c r="A142" s="2"/>
      <c r="B142" s="2"/>
      <c r="C142" s="103" t="s">
        <v>121</v>
      </c>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ht="12.0" customHeight="1">
      <c r="A143" s="2"/>
      <c r="B143" s="2"/>
      <c r="C143" s="103" t="s">
        <v>122</v>
      </c>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ht="12.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ht="12.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ht="12.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ht="12.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ht="12.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ht="12.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ht="12.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ht="12.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ht="12.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ht="12.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ht="12.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ht="12.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ht="12.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ht="12.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ht="12.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ht="12.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ht="12.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ht="12.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ht="12.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ht="12.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ht="12.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ht="12.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ht="12.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ht="12.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ht="12.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ht="12.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ht="12.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ht="12.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ht="12.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ht="12.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ht="12.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ht="12.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ht="12.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ht="12.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ht="12.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ht="12.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ht="12.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ht="12.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ht="12.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ht="12.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ht="12.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ht="12.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ht="12.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ht="12.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ht="12.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ht="12.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ht="12.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ht="12.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ht="12.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ht="12.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ht="12.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ht="12.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ht="12.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ht="12.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ht="12.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ht="12.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ht="12.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ht="12.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ht="12.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ht="12.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ht="12.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ht="12.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ht="12.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ht="12.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ht="12.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ht="12.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ht="12.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ht="12.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ht="12.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ht="12.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ht="12.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ht="12.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ht="12.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ht="12.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ht="12.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ht="12.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ht="12.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ht="12.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ht="12.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ht="12.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ht="12.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ht="12.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ht="13.5" customHeight="1">
      <c r="A248" s="4" t="s">
        <v>123</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ht="13.5" customHeight="1">
      <c r="A249" s="4" t="s">
        <v>124</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ht="13.5" customHeight="1">
      <c r="A250" s="4" t="s">
        <v>125</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ht="13.5" customHeight="1">
      <c r="A251" s="4" t="s">
        <v>126</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ht="12.0" customHeight="1">
      <c r="A252" s="4" t="s">
        <v>127</v>
      </c>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sheetData>
  <mergeCells count="9">
    <mergeCell ref="N5:O5"/>
    <mergeCell ref="K5:L5"/>
    <mergeCell ref="C5:E5"/>
    <mergeCell ref="G5:I5"/>
    <mergeCell ref="Q5:R5"/>
    <mergeCell ref="AC5:AD5"/>
    <mergeCell ref="T5:U5"/>
    <mergeCell ref="W5:X5"/>
    <mergeCell ref="Z5:AA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7.29" defaultRowHeight="15.75"/>
  <cols>
    <col customWidth="1" min="1" max="1" width="9.14"/>
    <col customWidth="1" min="2" max="2" width="4.86"/>
    <col customWidth="1" min="3" max="6" width="10.71"/>
    <col customWidth="1" min="7" max="7" width="2.71"/>
    <col customWidth="1" min="8" max="8" width="10.71"/>
    <col customWidth="1" min="9" max="9" width="2.71"/>
    <col customWidth="1" min="10" max="11" width="10.71"/>
    <col customWidth="1" min="12" max="12" width="2.71"/>
    <col customWidth="1" min="13" max="15" width="10.71"/>
    <col customWidth="1" min="16" max="16" width="2.71"/>
    <col customWidth="1" min="17" max="18" width="10.71"/>
    <col customWidth="1" min="19" max="19" width="2.71"/>
    <col customWidth="1" min="20" max="23" width="10.71"/>
    <col customWidth="1" min="24" max="24" width="2.71"/>
    <col customWidth="1" min="25" max="36" width="9.14"/>
  </cols>
  <sheetData>
    <row r="1" ht="30.0" customHeight="1">
      <c r="A1" s="3" t="s">
        <v>77</v>
      </c>
      <c r="B1" s="60"/>
      <c r="C1" s="65"/>
      <c r="D1" s="61"/>
      <c r="E1" s="61"/>
      <c r="F1" s="61"/>
      <c r="G1" s="61"/>
      <c r="H1" s="65"/>
      <c r="I1" s="65"/>
      <c r="J1" s="65"/>
      <c r="K1" s="66"/>
      <c r="L1" s="59"/>
      <c r="M1" s="65"/>
      <c r="N1" s="65"/>
      <c r="O1" s="65"/>
      <c r="P1" s="59"/>
      <c r="Q1" s="67"/>
      <c r="R1" s="67"/>
      <c r="S1" s="59"/>
      <c r="T1" s="65"/>
      <c r="U1" s="69"/>
      <c r="V1" s="69"/>
      <c r="W1" s="69"/>
      <c r="X1" s="59"/>
      <c r="Y1" s="65"/>
      <c r="Z1" s="66"/>
      <c r="AA1" s="59"/>
      <c r="AB1" s="59"/>
      <c r="AC1" s="59"/>
      <c r="AD1" s="59"/>
      <c r="AE1" s="59"/>
      <c r="AF1" s="59"/>
      <c r="AG1" s="59"/>
      <c r="AH1" s="59"/>
      <c r="AI1" s="59"/>
      <c r="AJ1" s="59"/>
    </row>
    <row r="2" ht="30.0" customHeight="1">
      <c r="A2" s="3" t="s">
        <v>3</v>
      </c>
      <c r="B2" s="60"/>
      <c r="C2" s="65"/>
      <c r="D2" s="61"/>
      <c r="E2" s="61"/>
      <c r="F2" s="61"/>
      <c r="G2" s="61"/>
      <c r="H2" s="65"/>
      <c r="I2" s="65"/>
      <c r="J2" s="65"/>
      <c r="K2" s="66"/>
      <c r="L2" s="59"/>
      <c r="M2" s="65"/>
      <c r="N2" s="65"/>
      <c r="O2" s="65"/>
      <c r="P2" s="59"/>
      <c r="Q2" s="67"/>
      <c r="R2" s="67"/>
      <c r="S2" s="59"/>
      <c r="T2" s="65"/>
      <c r="U2" s="69"/>
      <c r="V2" s="69"/>
      <c r="W2" s="69"/>
      <c r="X2" s="59"/>
      <c r="Y2" s="65"/>
      <c r="Z2" s="66"/>
      <c r="AA2" s="59"/>
      <c r="AB2" s="59"/>
      <c r="AC2" s="59"/>
      <c r="AD2" s="59"/>
      <c r="AE2" s="59"/>
      <c r="AF2" s="59"/>
      <c r="AG2" s="59"/>
      <c r="AH2" s="59"/>
      <c r="AI2" s="59"/>
      <c r="AJ2" s="59"/>
    </row>
    <row r="3" ht="19.5" customHeight="1">
      <c r="A3" s="3"/>
      <c r="B3" s="60"/>
      <c r="C3" s="65"/>
      <c r="D3" s="61"/>
      <c r="E3" s="61"/>
      <c r="F3" s="61"/>
      <c r="G3" s="61"/>
      <c r="H3" s="65"/>
      <c r="I3" s="65"/>
      <c r="J3" s="65"/>
      <c r="K3" s="66"/>
      <c r="L3" s="59"/>
      <c r="M3" s="65"/>
      <c r="N3" s="65"/>
      <c r="O3" s="65"/>
      <c r="P3" s="59"/>
      <c r="Q3" s="67"/>
      <c r="R3" s="67"/>
      <c r="S3" s="59"/>
      <c r="T3" s="65"/>
      <c r="U3" s="69"/>
      <c r="V3" s="69"/>
      <c r="W3" s="69"/>
      <c r="X3" s="59"/>
      <c r="Y3" s="65"/>
      <c r="Z3" s="66"/>
      <c r="AA3" s="59"/>
      <c r="AB3" s="59"/>
      <c r="AC3" s="59"/>
      <c r="AD3" s="59"/>
      <c r="AE3" s="59"/>
      <c r="AF3" s="59"/>
      <c r="AG3" s="59"/>
      <c r="AH3" s="59"/>
      <c r="AI3" s="59"/>
      <c r="AJ3" s="59"/>
    </row>
    <row r="4" ht="30.0" customHeight="1">
      <c r="A4" s="2"/>
      <c r="B4" s="2"/>
      <c r="C4" s="23" t="s">
        <v>91</v>
      </c>
      <c r="D4" s="14"/>
      <c r="E4" s="14"/>
      <c r="F4" s="14"/>
      <c r="G4" s="14"/>
      <c r="H4" s="21"/>
      <c r="I4" s="73"/>
      <c r="J4" s="23" t="s">
        <v>94</v>
      </c>
      <c r="K4" s="21"/>
      <c r="L4" s="2"/>
      <c r="M4" s="28" t="s">
        <v>95</v>
      </c>
      <c r="N4" s="14"/>
      <c r="O4" s="21"/>
      <c r="P4" s="2"/>
      <c r="Q4" s="75" t="s">
        <v>96</v>
      </c>
      <c r="R4" s="21"/>
      <c r="S4" s="2"/>
      <c r="T4" s="80" t="s">
        <v>97</v>
      </c>
      <c r="U4" s="81" t="s">
        <v>98</v>
      </c>
      <c r="V4" s="81" t="s">
        <v>99</v>
      </c>
      <c r="W4" s="81" t="s">
        <v>100</v>
      </c>
      <c r="X4" s="2"/>
      <c r="Y4" s="23" t="s">
        <v>101</v>
      </c>
      <c r="Z4" s="21"/>
      <c r="AA4" s="2"/>
      <c r="AB4" s="2"/>
      <c r="AC4" s="2"/>
      <c r="AD4" s="2"/>
      <c r="AE4" s="2"/>
      <c r="AF4" s="2"/>
      <c r="AG4" s="2"/>
      <c r="AH4" s="2"/>
      <c r="AI4" s="2"/>
      <c r="AJ4" s="2"/>
    </row>
    <row r="5" ht="36.75" customHeight="1">
      <c r="A5" s="16" t="s">
        <v>53</v>
      </c>
      <c r="B5" s="16" t="s">
        <v>23</v>
      </c>
      <c r="C5" s="25" t="s">
        <v>102</v>
      </c>
      <c r="D5" s="25" t="s">
        <v>87</v>
      </c>
      <c r="E5" s="25" t="s">
        <v>103</v>
      </c>
      <c r="F5" s="30" t="s">
        <v>104</v>
      </c>
      <c r="G5" s="25"/>
      <c r="H5" s="25" t="s">
        <v>105</v>
      </c>
      <c r="I5" s="25"/>
      <c r="J5" s="25" t="s">
        <v>89</v>
      </c>
      <c r="K5" s="36" t="s">
        <v>106</v>
      </c>
      <c r="L5" s="2"/>
      <c r="M5" s="25" t="s">
        <v>107</v>
      </c>
      <c r="N5" s="25" t="s">
        <v>108</v>
      </c>
      <c r="O5" s="25" t="s">
        <v>25</v>
      </c>
      <c r="P5" s="2"/>
      <c r="Q5" s="82" t="s">
        <v>87</v>
      </c>
      <c r="R5" s="82" t="s">
        <v>103</v>
      </c>
      <c r="S5" s="2"/>
      <c r="T5" s="83"/>
      <c r="U5" s="83"/>
      <c r="V5" s="83"/>
      <c r="W5" s="83"/>
      <c r="X5" s="2"/>
      <c r="Y5" s="25" t="s">
        <v>89</v>
      </c>
      <c r="Z5" s="36" t="s">
        <v>106</v>
      </c>
      <c r="AA5" s="2"/>
      <c r="AB5" s="2"/>
      <c r="AC5" s="2"/>
      <c r="AD5" s="2"/>
      <c r="AE5" s="2"/>
      <c r="AF5" s="2"/>
      <c r="AG5" s="2"/>
      <c r="AH5" s="2"/>
      <c r="AI5" s="2"/>
      <c r="AJ5" s="2"/>
    </row>
    <row r="6" ht="12.0" customHeight="1">
      <c r="A6" s="40">
        <v>1971.0</v>
      </c>
      <c r="B6" s="16"/>
      <c r="C6" s="84" t="s">
        <v>109</v>
      </c>
      <c r="D6" s="84" t="s">
        <v>109</v>
      </c>
      <c r="E6" s="84" t="s">
        <v>109</v>
      </c>
      <c r="F6" s="84" t="s">
        <v>109</v>
      </c>
      <c r="G6" s="79"/>
      <c r="H6" s="84" t="s">
        <v>109</v>
      </c>
      <c r="I6" s="25"/>
      <c r="J6" s="84" t="s">
        <v>109</v>
      </c>
      <c r="K6" s="85" t="s">
        <v>109</v>
      </c>
      <c r="L6" s="2"/>
      <c r="M6" s="76" t="s">
        <v>109</v>
      </c>
      <c r="N6" s="76" t="s">
        <v>109</v>
      </c>
      <c r="O6" s="74">
        <v>65.0</v>
      </c>
      <c r="P6" s="2"/>
      <c r="Q6" s="86" t="s">
        <v>109</v>
      </c>
      <c r="R6" s="86" t="s">
        <v>109</v>
      </c>
      <c r="S6" s="2"/>
      <c r="T6" s="84" t="s">
        <v>109</v>
      </c>
      <c r="U6" s="87" t="s">
        <v>109</v>
      </c>
      <c r="V6" s="88" t="s">
        <v>109</v>
      </c>
      <c r="W6" s="88" t="s">
        <v>109</v>
      </c>
      <c r="X6" s="2"/>
      <c r="Y6" s="84" t="s">
        <v>109</v>
      </c>
      <c r="Z6" s="85" t="s">
        <v>109</v>
      </c>
      <c r="AA6" s="2"/>
      <c r="AB6" s="2"/>
      <c r="AC6" s="2"/>
      <c r="AD6" s="2"/>
      <c r="AE6" s="2"/>
      <c r="AF6" s="2"/>
      <c r="AG6" s="2"/>
      <c r="AH6" s="2"/>
      <c r="AI6" s="2"/>
      <c r="AJ6" s="2"/>
    </row>
    <row r="7" ht="12.0" customHeight="1">
      <c r="A7" s="40">
        <v>1972.0</v>
      </c>
      <c r="B7" s="16"/>
      <c r="C7" s="84" t="s">
        <v>109</v>
      </c>
      <c r="D7" s="84" t="s">
        <v>109</v>
      </c>
      <c r="E7" s="84" t="s">
        <v>109</v>
      </c>
      <c r="F7" s="84" t="s">
        <v>109</v>
      </c>
      <c r="G7" s="79"/>
      <c r="H7" s="84" t="s">
        <v>109</v>
      </c>
      <c r="I7" s="25"/>
      <c r="J7" s="84" t="s">
        <v>109</v>
      </c>
      <c r="K7" s="85" t="s">
        <v>109</v>
      </c>
      <c r="L7" s="2"/>
      <c r="M7" s="76" t="s">
        <v>109</v>
      </c>
      <c r="N7" s="76" t="s">
        <v>109</v>
      </c>
      <c r="O7" s="74">
        <v>494.0</v>
      </c>
      <c r="P7" s="2"/>
      <c r="Q7" s="86" t="s">
        <v>109</v>
      </c>
      <c r="R7" s="86" t="s">
        <v>109</v>
      </c>
      <c r="S7" s="2"/>
      <c r="T7" s="84" t="s">
        <v>109</v>
      </c>
      <c r="U7" s="87" t="s">
        <v>109</v>
      </c>
      <c r="V7" s="88" t="s">
        <v>109</v>
      </c>
      <c r="W7" s="88" t="s">
        <v>109</v>
      </c>
      <c r="X7" s="2"/>
      <c r="Y7" s="84" t="s">
        <v>109</v>
      </c>
      <c r="Z7" s="85" t="s">
        <v>109</v>
      </c>
      <c r="AA7" s="2"/>
      <c r="AB7" s="2"/>
      <c r="AC7" s="2"/>
      <c r="AD7" s="2"/>
      <c r="AE7" s="2"/>
      <c r="AF7" s="2"/>
      <c r="AG7" s="2"/>
      <c r="AH7" s="2"/>
      <c r="AI7" s="2"/>
      <c r="AJ7" s="2"/>
    </row>
    <row r="8" ht="12.0" customHeight="1">
      <c r="A8" s="40">
        <v>1973.0</v>
      </c>
      <c r="B8" s="16"/>
      <c r="C8" s="84" t="s">
        <v>109</v>
      </c>
      <c r="D8" s="84" t="s">
        <v>109</v>
      </c>
      <c r="E8" s="84" t="s">
        <v>109</v>
      </c>
      <c r="F8" s="84" t="s">
        <v>109</v>
      </c>
      <c r="G8" s="79"/>
      <c r="H8" s="84" t="s">
        <v>109</v>
      </c>
      <c r="I8" s="25"/>
      <c r="J8" s="84" t="s">
        <v>109</v>
      </c>
      <c r="K8" s="85" t="s">
        <v>109</v>
      </c>
      <c r="L8" s="2"/>
      <c r="M8" s="76" t="s">
        <v>109</v>
      </c>
      <c r="N8" s="76" t="s">
        <v>109</v>
      </c>
      <c r="O8" s="74">
        <v>323.0</v>
      </c>
      <c r="P8" s="2"/>
      <c r="Q8" s="86" t="s">
        <v>109</v>
      </c>
      <c r="R8" s="86" t="s">
        <v>109</v>
      </c>
      <c r="S8" s="2"/>
      <c r="T8" s="84" t="s">
        <v>109</v>
      </c>
      <c r="U8" s="87" t="s">
        <v>109</v>
      </c>
      <c r="V8" s="88" t="s">
        <v>109</v>
      </c>
      <c r="W8" s="88" t="s">
        <v>109</v>
      </c>
      <c r="X8" s="2"/>
      <c r="Y8" s="84" t="s">
        <v>109</v>
      </c>
      <c r="Z8" s="85" t="s">
        <v>109</v>
      </c>
      <c r="AA8" s="2"/>
      <c r="AB8" s="2"/>
      <c r="AC8" s="2"/>
      <c r="AD8" s="2"/>
      <c r="AE8" s="2"/>
      <c r="AF8" s="2"/>
      <c r="AG8" s="2"/>
      <c r="AH8" s="2"/>
      <c r="AI8" s="2"/>
      <c r="AJ8" s="2"/>
    </row>
    <row r="9" ht="12.0" customHeight="1">
      <c r="A9" s="40">
        <v>1974.0</v>
      </c>
      <c r="B9" s="16"/>
      <c r="C9" s="84" t="s">
        <v>109</v>
      </c>
      <c r="D9" s="84" t="s">
        <v>109</v>
      </c>
      <c r="E9" s="84" t="s">
        <v>109</v>
      </c>
      <c r="F9" s="84" t="s">
        <v>109</v>
      </c>
      <c r="G9" s="79"/>
      <c r="H9" s="84" t="s">
        <v>109</v>
      </c>
      <c r="I9" s="25"/>
      <c r="J9" s="84" t="s">
        <v>109</v>
      </c>
      <c r="K9" s="85" t="s">
        <v>109</v>
      </c>
      <c r="L9" s="2"/>
      <c r="M9" s="76" t="s">
        <v>109</v>
      </c>
      <c r="N9" s="76" t="s">
        <v>109</v>
      </c>
      <c r="O9" s="74">
        <v>46.0</v>
      </c>
      <c r="P9" s="2"/>
      <c r="Q9" s="86" t="s">
        <v>109</v>
      </c>
      <c r="R9" s="86" t="s">
        <v>109</v>
      </c>
      <c r="S9" s="2"/>
      <c r="T9" s="84" t="s">
        <v>109</v>
      </c>
      <c r="U9" s="87" t="s">
        <v>109</v>
      </c>
      <c r="V9" s="88" t="s">
        <v>109</v>
      </c>
      <c r="W9" s="88" t="s">
        <v>109</v>
      </c>
      <c r="X9" s="2"/>
      <c r="Y9" s="84" t="s">
        <v>109</v>
      </c>
      <c r="Z9" s="85" t="s">
        <v>109</v>
      </c>
      <c r="AA9" s="2"/>
      <c r="AB9" s="2"/>
      <c r="AC9" s="2"/>
      <c r="AD9" s="2"/>
      <c r="AE9" s="2"/>
      <c r="AF9" s="2"/>
      <c r="AG9" s="2"/>
      <c r="AH9" s="2"/>
      <c r="AI9" s="2"/>
      <c r="AJ9" s="2"/>
    </row>
    <row r="10" ht="12.0" customHeight="1">
      <c r="A10" s="40">
        <v>1975.0</v>
      </c>
      <c r="B10" s="16"/>
      <c r="C10" s="84" t="s">
        <v>109</v>
      </c>
      <c r="D10" s="84" t="s">
        <v>109</v>
      </c>
      <c r="E10" s="84" t="s">
        <v>109</v>
      </c>
      <c r="F10" s="84" t="s">
        <v>109</v>
      </c>
      <c r="G10" s="79"/>
      <c r="H10" s="84" t="s">
        <v>109</v>
      </c>
      <c r="I10" s="25"/>
      <c r="J10" s="84" t="s">
        <v>109</v>
      </c>
      <c r="K10" s="85" t="s">
        <v>109</v>
      </c>
      <c r="L10" s="2"/>
      <c r="M10" s="76" t="s">
        <v>109</v>
      </c>
      <c r="N10" s="76" t="s">
        <v>109</v>
      </c>
      <c r="O10" s="74">
        <v>950.0</v>
      </c>
      <c r="P10" s="2"/>
      <c r="Q10" s="86" t="s">
        <v>109</v>
      </c>
      <c r="R10" s="86" t="s">
        <v>109</v>
      </c>
      <c r="S10" s="2"/>
      <c r="T10" s="84" t="s">
        <v>109</v>
      </c>
      <c r="U10" s="87" t="s">
        <v>109</v>
      </c>
      <c r="V10" s="88" t="s">
        <v>109</v>
      </c>
      <c r="W10" s="88" t="s">
        <v>109</v>
      </c>
      <c r="X10" s="2"/>
      <c r="Y10" s="84" t="s">
        <v>109</v>
      </c>
      <c r="Z10" s="85" t="s">
        <v>109</v>
      </c>
      <c r="AA10" s="2"/>
      <c r="AB10" s="2"/>
      <c r="AC10" s="2"/>
      <c r="AD10" s="2"/>
      <c r="AE10" s="2"/>
      <c r="AF10" s="2"/>
      <c r="AG10" s="2"/>
      <c r="AH10" s="2"/>
      <c r="AI10" s="2"/>
      <c r="AJ10" s="2"/>
    </row>
    <row r="11" ht="12.0" customHeight="1">
      <c r="A11" s="40">
        <v>1976.0</v>
      </c>
      <c r="B11" s="16"/>
      <c r="C11" s="84" t="s">
        <v>109</v>
      </c>
      <c r="D11" s="84" t="s">
        <v>109</v>
      </c>
      <c r="E11" s="84" t="s">
        <v>109</v>
      </c>
      <c r="F11" s="84" t="s">
        <v>109</v>
      </c>
      <c r="G11" s="79"/>
      <c r="H11" s="84" t="s">
        <v>109</v>
      </c>
      <c r="I11" s="25"/>
      <c r="J11" s="84" t="s">
        <v>109</v>
      </c>
      <c r="K11" s="85" t="s">
        <v>109</v>
      </c>
      <c r="L11" s="2"/>
      <c r="M11" s="76" t="s">
        <v>109</v>
      </c>
      <c r="N11" s="76" t="s">
        <v>109</v>
      </c>
      <c r="O11" s="74">
        <v>1360.0</v>
      </c>
      <c r="P11" s="2"/>
      <c r="Q11" s="86" t="s">
        <v>109</v>
      </c>
      <c r="R11" s="86" t="s">
        <v>109</v>
      </c>
      <c r="S11" s="2"/>
      <c r="T11" s="84" t="s">
        <v>109</v>
      </c>
      <c r="U11" s="87" t="s">
        <v>109</v>
      </c>
      <c r="V11" s="88" t="s">
        <v>109</v>
      </c>
      <c r="W11" s="88" t="s">
        <v>109</v>
      </c>
      <c r="X11" s="2"/>
      <c r="Y11" s="84" t="s">
        <v>109</v>
      </c>
      <c r="Z11" s="85" t="s">
        <v>109</v>
      </c>
      <c r="AA11" s="2"/>
      <c r="AB11" s="2"/>
      <c r="AC11" s="2"/>
      <c r="AD11" s="2"/>
      <c r="AE11" s="2"/>
      <c r="AF11" s="2"/>
      <c r="AG11" s="2"/>
      <c r="AH11" s="2"/>
      <c r="AI11" s="2"/>
      <c r="AJ11" s="2"/>
    </row>
    <row r="12" ht="12.0" customHeight="1">
      <c r="A12" s="40">
        <v>1977.0</v>
      </c>
      <c r="B12" s="16"/>
      <c r="C12" s="84" t="s">
        <v>109</v>
      </c>
      <c r="D12" s="84" t="s">
        <v>109</v>
      </c>
      <c r="E12" s="84" t="s">
        <v>109</v>
      </c>
      <c r="F12" s="84" t="s">
        <v>109</v>
      </c>
      <c r="G12" s="79"/>
      <c r="H12" s="84" t="s">
        <v>109</v>
      </c>
      <c r="I12" s="25"/>
      <c r="J12" s="84" t="s">
        <v>109</v>
      </c>
      <c r="K12" s="85" t="s">
        <v>109</v>
      </c>
      <c r="L12" s="2"/>
      <c r="M12" s="76" t="s">
        <v>109</v>
      </c>
      <c r="N12" s="76" t="s">
        <v>109</v>
      </c>
      <c r="O12" s="74">
        <v>4657.0</v>
      </c>
      <c r="P12" s="2"/>
      <c r="Q12" s="86" t="s">
        <v>109</v>
      </c>
      <c r="R12" s="86" t="s">
        <v>109</v>
      </c>
      <c r="S12" s="2"/>
      <c r="T12" s="84" t="s">
        <v>109</v>
      </c>
      <c r="U12" s="87" t="s">
        <v>109</v>
      </c>
      <c r="V12" s="88" t="s">
        <v>109</v>
      </c>
      <c r="W12" s="88" t="s">
        <v>109</v>
      </c>
      <c r="X12" s="2"/>
      <c r="Y12" s="84" t="s">
        <v>109</v>
      </c>
      <c r="Z12" s="85" t="s">
        <v>109</v>
      </c>
      <c r="AA12" s="2"/>
      <c r="AB12" s="2"/>
      <c r="AC12" s="2"/>
      <c r="AD12" s="2"/>
      <c r="AE12" s="2"/>
      <c r="AF12" s="2"/>
      <c r="AG12" s="2"/>
      <c r="AH12" s="2"/>
      <c r="AI12" s="2"/>
      <c r="AJ12" s="2"/>
    </row>
    <row r="13" ht="12.0" customHeight="1">
      <c r="A13" s="40">
        <v>1978.0</v>
      </c>
      <c r="B13" s="16"/>
      <c r="C13" s="84" t="s">
        <v>109</v>
      </c>
      <c r="D13" s="84" t="s">
        <v>109</v>
      </c>
      <c r="E13" s="84" t="s">
        <v>109</v>
      </c>
      <c r="F13" s="84" t="s">
        <v>109</v>
      </c>
      <c r="G13" s="79"/>
      <c r="H13" s="84" t="s">
        <v>109</v>
      </c>
      <c r="I13" s="25"/>
      <c r="J13" s="84" t="s">
        <v>109</v>
      </c>
      <c r="K13" s="85" t="s">
        <v>109</v>
      </c>
      <c r="L13" s="2"/>
      <c r="M13" s="76" t="s">
        <v>109</v>
      </c>
      <c r="N13" s="76" t="s">
        <v>109</v>
      </c>
      <c r="O13" s="74">
        <v>6412.0</v>
      </c>
      <c r="P13" s="2"/>
      <c r="Q13" s="86" t="s">
        <v>109</v>
      </c>
      <c r="R13" s="86" t="s">
        <v>109</v>
      </c>
      <c r="S13" s="2"/>
      <c r="T13" s="84" t="s">
        <v>109</v>
      </c>
      <c r="U13" s="87" t="s">
        <v>109</v>
      </c>
      <c r="V13" s="88" t="s">
        <v>109</v>
      </c>
      <c r="W13" s="88" t="s">
        <v>109</v>
      </c>
      <c r="X13" s="2"/>
      <c r="Y13" s="84" t="s">
        <v>109</v>
      </c>
      <c r="Z13" s="85" t="s">
        <v>109</v>
      </c>
      <c r="AA13" s="2"/>
      <c r="AB13" s="2"/>
      <c r="AC13" s="2"/>
      <c r="AD13" s="2"/>
      <c r="AE13" s="2"/>
      <c r="AF13" s="2"/>
      <c r="AG13" s="2"/>
      <c r="AH13" s="2"/>
      <c r="AI13" s="2"/>
      <c r="AJ13" s="2"/>
    </row>
    <row r="14" ht="12.0" customHeight="1">
      <c r="A14" s="40">
        <v>1979.0</v>
      </c>
      <c r="B14" s="16"/>
      <c r="C14" s="84" t="s">
        <v>109</v>
      </c>
      <c r="D14" s="84" t="s">
        <v>109</v>
      </c>
      <c r="E14" s="84" t="s">
        <v>109</v>
      </c>
      <c r="F14" s="84" t="s">
        <v>109</v>
      </c>
      <c r="G14" s="79"/>
      <c r="H14" s="84" t="s">
        <v>109</v>
      </c>
      <c r="I14" s="25"/>
      <c r="J14" s="84" t="s">
        <v>109</v>
      </c>
      <c r="K14" s="85" t="s">
        <v>109</v>
      </c>
      <c r="L14" s="2"/>
      <c r="M14" s="76" t="s">
        <v>109</v>
      </c>
      <c r="N14" s="76" t="s">
        <v>109</v>
      </c>
      <c r="O14" s="74">
        <v>4546.0</v>
      </c>
      <c r="P14" s="2"/>
      <c r="Q14" s="86" t="s">
        <v>109</v>
      </c>
      <c r="R14" s="86" t="s">
        <v>109</v>
      </c>
      <c r="S14" s="2"/>
      <c r="T14" s="84" t="s">
        <v>109</v>
      </c>
      <c r="U14" s="87" t="s">
        <v>109</v>
      </c>
      <c r="V14" s="88" t="s">
        <v>109</v>
      </c>
      <c r="W14" s="88" t="s">
        <v>109</v>
      </c>
      <c r="X14" s="2"/>
      <c r="Y14" s="84" t="s">
        <v>109</v>
      </c>
      <c r="Z14" s="85" t="s">
        <v>109</v>
      </c>
      <c r="AA14" s="2"/>
      <c r="AB14" s="2"/>
      <c r="AC14" s="2"/>
      <c r="AD14" s="2"/>
      <c r="AE14" s="2"/>
      <c r="AF14" s="2"/>
      <c r="AG14" s="2"/>
      <c r="AH14" s="2"/>
      <c r="AI14" s="2"/>
      <c r="AJ14" s="2"/>
    </row>
    <row r="15" ht="12.0" customHeight="1">
      <c r="A15" s="40">
        <v>1980.0</v>
      </c>
      <c r="B15" s="16"/>
      <c r="C15" s="84" t="s">
        <v>109</v>
      </c>
      <c r="D15" s="84" t="s">
        <v>109</v>
      </c>
      <c r="E15" s="84" t="s">
        <v>109</v>
      </c>
      <c r="F15" s="84" t="s">
        <v>109</v>
      </c>
      <c r="G15" s="79"/>
      <c r="H15" s="84" t="s">
        <v>109</v>
      </c>
      <c r="I15" s="25"/>
      <c r="J15" s="84" t="s">
        <v>109</v>
      </c>
      <c r="K15" s="85" t="s">
        <v>109</v>
      </c>
      <c r="L15" s="2"/>
      <c r="M15" s="76" t="s">
        <v>109</v>
      </c>
      <c r="N15" s="76" t="s">
        <v>109</v>
      </c>
      <c r="O15" s="74">
        <v>2526.0</v>
      </c>
      <c r="P15" s="2"/>
      <c r="Q15" s="86" t="s">
        <v>109</v>
      </c>
      <c r="R15" s="86" t="s">
        <v>109</v>
      </c>
      <c r="S15" s="2"/>
      <c r="T15" s="84" t="s">
        <v>109</v>
      </c>
      <c r="U15" s="87" t="s">
        <v>109</v>
      </c>
      <c r="V15" s="88" t="s">
        <v>109</v>
      </c>
      <c r="W15" s="88" t="s">
        <v>109</v>
      </c>
      <c r="X15" s="2"/>
      <c r="Y15" s="84" t="s">
        <v>109</v>
      </c>
      <c r="Z15" s="85" t="s">
        <v>109</v>
      </c>
      <c r="AA15" s="2"/>
      <c r="AB15" s="2"/>
      <c r="AC15" s="2"/>
      <c r="AD15" s="2"/>
      <c r="AE15" s="2"/>
      <c r="AF15" s="2"/>
      <c r="AG15" s="2"/>
      <c r="AH15" s="2"/>
      <c r="AI15" s="2"/>
      <c r="AJ15" s="2"/>
    </row>
    <row r="16" ht="12.0" customHeight="1">
      <c r="A16" s="40">
        <v>1981.0</v>
      </c>
      <c r="B16" s="16"/>
      <c r="C16" s="84" t="s">
        <v>109</v>
      </c>
      <c r="D16" s="84" t="s">
        <v>109</v>
      </c>
      <c r="E16" s="84" t="s">
        <v>109</v>
      </c>
      <c r="F16" s="84" t="s">
        <v>109</v>
      </c>
      <c r="G16" s="79"/>
      <c r="H16" s="84" t="s">
        <v>109</v>
      </c>
      <c r="I16" s="25"/>
      <c r="J16" s="84" t="s">
        <v>109</v>
      </c>
      <c r="K16" s="85" t="s">
        <v>109</v>
      </c>
      <c r="L16" s="2"/>
      <c r="M16" s="76" t="s">
        <v>109</v>
      </c>
      <c r="N16" s="76" t="s">
        <v>109</v>
      </c>
      <c r="O16" s="74">
        <v>3526.0</v>
      </c>
      <c r="P16" s="2"/>
      <c r="Q16" s="86" t="s">
        <v>109</v>
      </c>
      <c r="R16" s="86" t="s">
        <v>109</v>
      </c>
      <c r="S16" s="2"/>
      <c r="T16" s="84" t="s">
        <v>109</v>
      </c>
      <c r="U16" s="87" t="s">
        <v>109</v>
      </c>
      <c r="V16" s="88" t="s">
        <v>109</v>
      </c>
      <c r="W16" s="88" t="s">
        <v>109</v>
      </c>
      <c r="X16" s="2"/>
      <c r="Y16" s="84" t="s">
        <v>109</v>
      </c>
      <c r="Z16" s="85" t="s">
        <v>109</v>
      </c>
      <c r="AA16" s="2"/>
      <c r="AB16" s="2"/>
      <c r="AC16" s="2"/>
      <c r="AD16" s="2"/>
      <c r="AE16" s="2"/>
      <c r="AF16" s="2"/>
      <c r="AG16" s="2"/>
      <c r="AH16" s="2"/>
      <c r="AI16" s="2"/>
      <c r="AJ16" s="2"/>
    </row>
    <row r="17" ht="12.0" customHeight="1">
      <c r="A17" s="40">
        <v>1982.0</v>
      </c>
      <c r="B17" s="16"/>
      <c r="C17" s="84" t="s">
        <v>109</v>
      </c>
      <c r="D17" s="84" t="s">
        <v>109</v>
      </c>
      <c r="E17" s="84" t="s">
        <v>109</v>
      </c>
      <c r="F17" s="84" t="s">
        <v>109</v>
      </c>
      <c r="G17" s="79"/>
      <c r="H17" s="84" t="s">
        <v>109</v>
      </c>
      <c r="I17" s="25"/>
      <c r="J17" s="84" t="s">
        <v>109</v>
      </c>
      <c r="K17" s="85" t="s">
        <v>109</v>
      </c>
      <c r="L17" s="2"/>
      <c r="M17" s="76" t="s">
        <v>109</v>
      </c>
      <c r="N17" s="76" t="s">
        <v>109</v>
      </c>
      <c r="O17" s="74">
        <v>24169.0</v>
      </c>
      <c r="P17" s="2"/>
      <c r="Q17" s="86" t="s">
        <v>109</v>
      </c>
      <c r="R17" s="86" t="s">
        <v>109</v>
      </c>
      <c r="S17" s="2"/>
      <c r="T17" s="84" t="s">
        <v>109</v>
      </c>
      <c r="U17" s="87" t="s">
        <v>109</v>
      </c>
      <c r="V17" s="88" t="s">
        <v>109</v>
      </c>
      <c r="W17" s="88" t="s">
        <v>109</v>
      </c>
      <c r="X17" s="2"/>
      <c r="Y17" s="84" t="s">
        <v>109</v>
      </c>
      <c r="Z17" s="85" t="s">
        <v>109</v>
      </c>
      <c r="AA17" s="2"/>
      <c r="AB17" s="2"/>
      <c r="AC17" s="2"/>
      <c r="AD17" s="2"/>
      <c r="AE17" s="2"/>
      <c r="AF17" s="2"/>
      <c r="AG17" s="2"/>
      <c r="AH17" s="2"/>
      <c r="AI17" s="2"/>
      <c r="AJ17" s="2"/>
    </row>
    <row r="18" ht="12.0" customHeight="1">
      <c r="A18" s="40">
        <v>1983.0</v>
      </c>
      <c r="B18" s="16"/>
      <c r="C18" s="84" t="s">
        <v>109</v>
      </c>
      <c r="D18" s="84" t="s">
        <v>109</v>
      </c>
      <c r="E18" s="84" t="s">
        <v>109</v>
      </c>
      <c r="F18" s="84" t="s">
        <v>109</v>
      </c>
      <c r="G18" s="79"/>
      <c r="H18" s="84" t="s">
        <v>109</v>
      </c>
      <c r="I18" s="25"/>
      <c r="J18" s="84" t="s">
        <v>109</v>
      </c>
      <c r="K18" s="85" t="s">
        <v>109</v>
      </c>
      <c r="L18" s="2"/>
      <c r="M18" s="76" t="s">
        <v>109</v>
      </c>
      <c r="N18" s="76" t="s">
        <v>109</v>
      </c>
      <c r="O18" s="74">
        <v>19691.0</v>
      </c>
      <c r="P18" s="2"/>
      <c r="Q18" s="86" t="s">
        <v>109</v>
      </c>
      <c r="R18" s="86" t="s">
        <v>109</v>
      </c>
      <c r="S18" s="2"/>
      <c r="T18" s="84" t="s">
        <v>109</v>
      </c>
      <c r="U18" s="87" t="s">
        <v>109</v>
      </c>
      <c r="V18" s="88" t="s">
        <v>109</v>
      </c>
      <c r="W18" s="88" t="s">
        <v>109</v>
      </c>
      <c r="X18" s="2"/>
      <c r="Y18" s="84" t="s">
        <v>109</v>
      </c>
      <c r="Z18" s="85" t="s">
        <v>109</v>
      </c>
      <c r="AA18" s="2"/>
      <c r="AB18" s="2"/>
      <c r="AC18" s="2"/>
      <c r="AD18" s="2"/>
      <c r="AE18" s="2"/>
      <c r="AF18" s="2"/>
      <c r="AG18" s="2"/>
      <c r="AH18" s="2"/>
      <c r="AI18" s="2"/>
      <c r="AJ18" s="2"/>
    </row>
    <row r="19" ht="12.0" customHeight="1">
      <c r="A19" s="40">
        <v>1984.0</v>
      </c>
      <c r="B19" s="16"/>
      <c r="C19" s="84" t="s">
        <v>109</v>
      </c>
      <c r="D19" s="84" t="s">
        <v>109</v>
      </c>
      <c r="E19" s="84" t="s">
        <v>109</v>
      </c>
      <c r="F19" s="84" t="s">
        <v>109</v>
      </c>
      <c r="G19" s="79"/>
      <c r="H19" s="84" t="s">
        <v>109</v>
      </c>
      <c r="I19" s="25"/>
      <c r="J19" s="84" t="s">
        <v>109</v>
      </c>
      <c r="K19" s="85" t="s">
        <v>109</v>
      </c>
      <c r="L19" s="2"/>
      <c r="M19" s="76" t="s">
        <v>109</v>
      </c>
      <c r="N19" s="76" t="s">
        <v>109</v>
      </c>
      <c r="O19" s="74">
        <v>18864.0</v>
      </c>
      <c r="P19" s="2"/>
      <c r="Q19" s="86" t="s">
        <v>109</v>
      </c>
      <c r="R19" s="86" t="s">
        <v>109</v>
      </c>
      <c r="S19" s="2"/>
      <c r="T19" s="84" t="s">
        <v>109</v>
      </c>
      <c r="U19" s="87" t="s">
        <v>109</v>
      </c>
      <c r="V19" s="88" t="s">
        <v>109</v>
      </c>
      <c r="W19" s="88" t="s">
        <v>109</v>
      </c>
      <c r="X19" s="2"/>
      <c r="Y19" s="84" t="s">
        <v>109</v>
      </c>
      <c r="Z19" s="85" t="s">
        <v>109</v>
      </c>
      <c r="AA19" s="2"/>
      <c r="AB19" s="2"/>
      <c r="AC19" s="2"/>
      <c r="AD19" s="2"/>
      <c r="AE19" s="2"/>
      <c r="AF19" s="2"/>
      <c r="AG19" s="2"/>
      <c r="AH19" s="2"/>
      <c r="AI19" s="2"/>
      <c r="AJ19" s="2"/>
    </row>
    <row r="20" ht="12.0" customHeight="1">
      <c r="A20" s="40">
        <v>1985.0</v>
      </c>
      <c r="B20" s="16"/>
      <c r="C20" s="84" t="s">
        <v>109</v>
      </c>
      <c r="D20" s="84" t="s">
        <v>109</v>
      </c>
      <c r="E20" s="84" t="s">
        <v>109</v>
      </c>
      <c r="F20" s="84" t="s">
        <v>109</v>
      </c>
      <c r="G20" s="79"/>
      <c r="H20" s="84" t="s">
        <v>109</v>
      </c>
      <c r="I20" s="25"/>
      <c r="J20" s="84" t="s">
        <v>109</v>
      </c>
      <c r="K20" s="85" t="s">
        <v>109</v>
      </c>
      <c r="L20" s="2"/>
      <c r="M20" s="74">
        <v>37583.0</v>
      </c>
      <c r="N20" s="74">
        <v>1245.0</v>
      </c>
      <c r="O20" s="76">
        <f t="shared" ref="O20:O47" si="1">SUM(M20:N20)</f>
        <v>38828</v>
      </c>
      <c r="P20" s="2"/>
      <c r="Q20" s="86" t="s">
        <v>109</v>
      </c>
      <c r="R20" s="86" t="s">
        <v>109</v>
      </c>
      <c r="S20" s="2"/>
      <c r="T20" s="84" t="s">
        <v>109</v>
      </c>
      <c r="U20" s="87" t="s">
        <v>109</v>
      </c>
      <c r="V20" s="88" t="s">
        <v>109</v>
      </c>
      <c r="W20" s="88" t="s">
        <v>109</v>
      </c>
      <c r="X20" s="2"/>
      <c r="Y20" s="84" t="s">
        <v>109</v>
      </c>
      <c r="Z20" s="85" t="s">
        <v>109</v>
      </c>
      <c r="AA20" s="2"/>
      <c r="AB20" s="2"/>
      <c r="AC20" s="2"/>
      <c r="AD20" s="2"/>
      <c r="AE20" s="2"/>
      <c r="AF20" s="2"/>
      <c r="AG20" s="2"/>
      <c r="AH20" s="2"/>
      <c r="AI20" s="2"/>
      <c r="AJ20" s="2"/>
    </row>
    <row r="21" ht="12.0" customHeight="1">
      <c r="A21" s="40">
        <v>1986.0</v>
      </c>
      <c r="B21" s="16"/>
      <c r="C21" s="84" t="s">
        <v>109</v>
      </c>
      <c r="D21" s="84" t="s">
        <v>109</v>
      </c>
      <c r="E21" s="84" t="s">
        <v>109</v>
      </c>
      <c r="F21" s="84" t="s">
        <v>109</v>
      </c>
      <c r="G21" s="79"/>
      <c r="H21" s="84" t="s">
        <v>109</v>
      </c>
      <c r="I21" s="25"/>
      <c r="J21" s="84" t="s">
        <v>109</v>
      </c>
      <c r="K21" s="85" t="s">
        <v>109</v>
      </c>
      <c r="L21" s="2"/>
      <c r="M21" s="74">
        <v>96798.0</v>
      </c>
      <c r="N21" s="74">
        <v>3400.0</v>
      </c>
      <c r="O21" s="76">
        <f t="shared" si="1"/>
        <v>100198</v>
      </c>
      <c r="P21" s="2"/>
      <c r="Q21" s="86" t="s">
        <v>109</v>
      </c>
      <c r="R21" s="86" t="s">
        <v>109</v>
      </c>
      <c r="S21" s="2"/>
      <c r="T21" s="84" t="s">
        <v>109</v>
      </c>
      <c r="U21" s="87" t="s">
        <v>109</v>
      </c>
      <c r="V21" s="88" t="s">
        <v>109</v>
      </c>
      <c r="W21" s="88" t="s">
        <v>109</v>
      </c>
      <c r="X21" s="2"/>
      <c r="Y21" s="84" t="s">
        <v>109</v>
      </c>
      <c r="Z21" s="85" t="s">
        <v>109</v>
      </c>
      <c r="AA21" s="2"/>
      <c r="AB21" s="2"/>
      <c r="AC21" s="2"/>
      <c r="AD21" s="2"/>
      <c r="AE21" s="2"/>
      <c r="AF21" s="2"/>
      <c r="AG21" s="2"/>
      <c r="AH21" s="2"/>
      <c r="AI21" s="2"/>
      <c r="AJ21" s="2"/>
    </row>
    <row r="22" ht="12.0" customHeight="1">
      <c r="A22" s="40">
        <v>1987.0</v>
      </c>
      <c r="B22" s="16"/>
      <c r="C22" s="84" t="s">
        <v>109</v>
      </c>
      <c r="D22" s="84" t="s">
        <v>109</v>
      </c>
      <c r="E22" s="84" t="s">
        <v>109</v>
      </c>
      <c r="F22" s="84" t="s">
        <v>109</v>
      </c>
      <c r="G22" s="79"/>
      <c r="H22" s="84" t="s">
        <v>109</v>
      </c>
      <c r="I22" s="25"/>
      <c r="J22" s="84" t="s">
        <v>109</v>
      </c>
      <c r="K22" s="85" t="s">
        <v>109</v>
      </c>
      <c r="L22" s="2"/>
      <c r="M22" s="74">
        <v>72866.0</v>
      </c>
      <c r="N22" s="74">
        <v>2152.0</v>
      </c>
      <c r="O22" s="76">
        <f t="shared" si="1"/>
        <v>75018</v>
      </c>
      <c r="P22" s="2"/>
      <c r="Q22" s="86" t="s">
        <v>109</v>
      </c>
      <c r="R22" s="86" t="s">
        <v>109</v>
      </c>
      <c r="S22" s="2"/>
      <c r="T22" s="84" t="s">
        <v>109</v>
      </c>
      <c r="U22" s="87" t="s">
        <v>109</v>
      </c>
      <c r="V22" s="88" t="s">
        <v>109</v>
      </c>
      <c r="W22" s="88" t="s">
        <v>109</v>
      </c>
      <c r="X22" s="2"/>
      <c r="Y22" s="84" t="s">
        <v>109</v>
      </c>
      <c r="Z22" s="85" t="s">
        <v>109</v>
      </c>
      <c r="AA22" s="2"/>
      <c r="AB22" s="2"/>
      <c r="AC22" s="2"/>
      <c r="AD22" s="2"/>
      <c r="AE22" s="2"/>
      <c r="AF22" s="2"/>
      <c r="AG22" s="2"/>
      <c r="AH22" s="2"/>
      <c r="AI22" s="2"/>
      <c r="AJ22" s="2"/>
    </row>
    <row r="23" ht="12.0" customHeight="1">
      <c r="A23" s="40">
        <v>1988.0</v>
      </c>
      <c r="B23" s="16"/>
      <c r="C23" s="84" t="s">
        <v>109</v>
      </c>
      <c r="D23" s="84" t="s">
        <v>109</v>
      </c>
      <c r="E23" s="84" t="s">
        <v>109</v>
      </c>
      <c r="F23" s="84" t="s">
        <v>109</v>
      </c>
      <c r="G23" s="79"/>
      <c r="H23" s="84" t="s">
        <v>109</v>
      </c>
      <c r="I23" s="25"/>
      <c r="J23" s="84" t="s">
        <v>109</v>
      </c>
      <c r="K23" s="85" t="s">
        <v>109</v>
      </c>
      <c r="L23" s="2"/>
      <c r="M23" s="74">
        <v>39490.0</v>
      </c>
      <c r="N23" s="74">
        <v>287.0</v>
      </c>
      <c r="O23" s="76">
        <f t="shared" si="1"/>
        <v>39777</v>
      </c>
      <c r="P23" s="2"/>
      <c r="Q23" s="86" t="s">
        <v>109</v>
      </c>
      <c r="R23" s="86" t="s">
        <v>109</v>
      </c>
      <c r="S23" s="2"/>
      <c r="T23" s="84" t="s">
        <v>109</v>
      </c>
      <c r="U23" s="87" t="s">
        <v>109</v>
      </c>
      <c r="V23" s="88" t="s">
        <v>109</v>
      </c>
      <c r="W23" s="88" t="s">
        <v>109</v>
      </c>
      <c r="X23" s="2"/>
      <c r="Y23" s="84" t="s">
        <v>109</v>
      </c>
      <c r="Z23" s="85" t="s">
        <v>109</v>
      </c>
      <c r="AA23" s="2"/>
      <c r="AB23" s="2"/>
      <c r="AC23" s="2"/>
      <c r="AD23" s="2"/>
      <c r="AE23" s="2"/>
      <c r="AF23" s="2"/>
      <c r="AG23" s="2"/>
      <c r="AH23" s="2"/>
      <c r="AI23" s="2"/>
      <c r="AJ23" s="2"/>
    </row>
    <row r="24" ht="12.0" customHeight="1">
      <c r="A24" s="40">
        <v>1989.0</v>
      </c>
      <c r="B24" s="16"/>
      <c r="C24" s="84" t="s">
        <v>109</v>
      </c>
      <c r="D24" s="84" t="s">
        <v>109</v>
      </c>
      <c r="E24" s="84" t="s">
        <v>109</v>
      </c>
      <c r="F24" s="84" t="s">
        <v>109</v>
      </c>
      <c r="G24" s="79"/>
      <c r="H24" s="84" t="s">
        <v>109</v>
      </c>
      <c r="I24" s="25"/>
      <c r="J24" s="84" t="s">
        <v>109</v>
      </c>
      <c r="K24" s="85" t="s">
        <v>109</v>
      </c>
      <c r="L24" s="2"/>
      <c r="M24" s="74">
        <v>72931.0</v>
      </c>
      <c r="N24" s="74">
        <v>587.0</v>
      </c>
      <c r="O24" s="76">
        <f t="shared" si="1"/>
        <v>73518</v>
      </c>
      <c r="P24" s="2"/>
      <c r="Q24" s="86" t="s">
        <v>109</v>
      </c>
      <c r="R24" s="86" t="s">
        <v>109</v>
      </c>
      <c r="S24" s="2"/>
      <c r="T24" s="84" t="s">
        <v>109</v>
      </c>
      <c r="U24" s="87" t="s">
        <v>109</v>
      </c>
      <c r="V24" s="88" t="s">
        <v>109</v>
      </c>
      <c r="W24" s="88" t="s">
        <v>109</v>
      </c>
      <c r="X24" s="2"/>
      <c r="Y24" s="84" t="s">
        <v>109</v>
      </c>
      <c r="Z24" s="85" t="s">
        <v>109</v>
      </c>
      <c r="AA24" s="2"/>
      <c r="AB24" s="2"/>
      <c r="AC24" s="2"/>
      <c r="AD24" s="2"/>
      <c r="AE24" s="2"/>
      <c r="AF24" s="2"/>
      <c r="AG24" s="2"/>
      <c r="AH24" s="2"/>
      <c r="AI24" s="2"/>
      <c r="AJ24" s="2"/>
    </row>
    <row r="25" ht="12.0" customHeight="1">
      <c r="A25" s="40">
        <v>1990.0</v>
      </c>
      <c r="B25" s="16"/>
      <c r="C25" s="84" t="s">
        <v>109</v>
      </c>
      <c r="D25" s="84" t="s">
        <v>109</v>
      </c>
      <c r="E25" s="84" t="s">
        <v>109</v>
      </c>
      <c r="F25" s="84" t="s">
        <v>109</v>
      </c>
      <c r="G25" s="79"/>
      <c r="H25" s="84" t="s">
        <v>109</v>
      </c>
      <c r="I25" s="25"/>
      <c r="J25" s="84" t="s">
        <v>109</v>
      </c>
      <c r="K25" s="85" t="s">
        <v>109</v>
      </c>
      <c r="L25" s="2"/>
      <c r="M25" s="74">
        <v>71998.0</v>
      </c>
      <c r="N25" s="74">
        <v>1817.0</v>
      </c>
      <c r="O25" s="76">
        <f t="shared" si="1"/>
        <v>73815</v>
      </c>
      <c r="P25" s="2"/>
      <c r="Q25" s="86" t="s">
        <v>109</v>
      </c>
      <c r="R25" s="86" t="s">
        <v>109</v>
      </c>
      <c r="S25" s="2"/>
      <c r="T25" s="84" t="s">
        <v>109</v>
      </c>
      <c r="U25" s="87" t="s">
        <v>109</v>
      </c>
      <c r="V25" s="88" t="s">
        <v>109</v>
      </c>
      <c r="W25" s="88" t="s">
        <v>109</v>
      </c>
      <c r="X25" s="2"/>
      <c r="Y25" s="84" t="s">
        <v>109</v>
      </c>
      <c r="Z25" s="85" t="s">
        <v>109</v>
      </c>
      <c r="AA25" s="2"/>
      <c r="AB25" s="2"/>
      <c r="AC25" s="2"/>
      <c r="AD25" s="2"/>
      <c r="AE25" s="2"/>
      <c r="AF25" s="2"/>
      <c r="AG25" s="2"/>
      <c r="AH25" s="2"/>
      <c r="AI25" s="2"/>
      <c r="AJ25" s="2"/>
    </row>
    <row r="26" ht="12.0" customHeight="1">
      <c r="A26" s="40">
        <v>1991.0</v>
      </c>
      <c r="B26" s="16"/>
      <c r="C26" s="84" t="s">
        <v>109</v>
      </c>
      <c r="D26" s="84" t="s">
        <v>109</v>
      </c>
      <c r="E26" s="84" t="s">
        <v>109</v>
      </c>
      <c r="F26" s="84" t="s">
        <v>109</v>
      </c>
      <c r="G26" s="79"/>
      <c r="H26" s="84" t="s">
        <v>109</v>
      </c>
      <c r="I26" s="25"/>
      <c r="J26" s="84" t="s">
        <v>109</v>
      </c>
      <c r="K26" s="85" t="s">
        <v>109</v>
      </c>
      <c r="L26" s="2"/>
      <c r="M26" s="74">
        <v>92479.0</v>
      </c>
      <c r="N26" s="74">
        <v>0.0</v>
      </c>
      <c r="O26" s="76">
        <f t="shared" si="1"/>
        <v>92479</v>
      </c>
      <c r="P26" s="2"/>
      <c r="Q26" s="86" t="s">
        <v>109</v>
      </c>
      <c r="R26" s="86" t="s">
        <v>109</v>
      </c>
      <c r="S26" s="2"/>
      <c r="T26" s="84" t="s">
        <v>109</v>
      </c>
      <c r="U26" s="87" t="s">
        <v>109</v>
      </c>
      <c r="V26" s="88" t="s">
        <v>109</v>
      </c>
      <c r="W26" s="88" t="s">
        <v>109</v>
      </c>
      <c r="X26" s="2"/>
      <c r="Y26" s="84" t="s">
        <v>109</v>
      </c>
      <c r="Z26" s="85" t="s">
        <v>109</v>
      </c>
      <c r="AA26" s="2"/>
      <c r="AB26" s="2"/>
      <c r="AC26" s="2"/>
      <c r="AD26" s="2"/>
      <c r="AE26" s="2"/>
      <c r="AF26" s="2"/>
      <c r="AG26" s="2"/>
      <c r="AH26" s="2"/>
      <c r="AI26" s="2"/>
      <c r="AJ26" s="2"/>
    </row>
    <row r="27" ht="12.0" customHeight="1">
      <c r="A27" s="40">
        <v>1992.0</v>
      </c>
      <c r="B27" s="16"/>
      <c r="C27" s="84" t="s">
        <v>109</v>
      </c>
      <c r="D27" s="84" t="s">
        <v>109</v>
      </c>
      <c r="E27" s="84" t="s">
        <v>109</v>
      </c>
      <c r="F27" s="84" t="s">
        <v>109</v>
      </c>
      <c r="G27" s="79"/>
      <c r="H27" s="84" t="s">
        <v>109</v>
      </c>
      <c r="I27" s="25"/>
      <c r="J27" s="84" t="s">
        <v>109</v>
      </c>
      <c r="K27" s="85" t="s">
        <v>109</v>
      </c>
      <c r="L27" s="2"/>
      <c r="M27" s="74">
        <v>179202.0</v>
      </c>
      <c r="N27" s="74">
        <v>5.0</v>
      </c>
      <c r="O27" s="76">
        <f t="shared" si="1"/>
        <v>179207</v>
      </c>
      <c r="P27" s="2"/>
      <c r="Q27" s="86" t="s">
        <v>109</v>
      </c>
      <c r="R27" s="86" t="s">
        <v>109</v>
      </c>
      <c r="S27" s="2"/>
      <c r="T27" s="84" t="s">
        <v>109</v>
      </c>
      <c r="U27" s="87" t="s">
        <v>109</v>
      </c>
      <c r="V27" s="88" t="s">
        <v>109</v>
      </c>
      <c r="W27" s="88" t="s">
        <v>109</v>
      </c>
      <c r="X27" s="2"/>
      <c r="Y27" s="84" t="s">
        <v>109</v>
      </c>
      <c r="Z27" s="85" t="s">
        <v>109</v>
      </c>
      <c r="AA27" s="2"/>
      <c r="AB27" s="2"/>
      <c r="AC27" s="2"/>
      <c r="AD27" s="2"/>
      <c r="AE27" s="2"/>
      <c r="AF27" s="2"/>
      <c r="AG27" s="2"/>
      <c r="AH27" s="2"/>
      <c r="AI27" s="2"/>
      <c r="AJ27" s="2"/>
    </row>
    <row r="28" ht="12.0" customHeight="1">
      <c r="A28" s="40">
        <v>1993.0</v>
      </c>
      <c r="B28" s="16"/>
      <c r="C28" s="84" t="s">
        <v>109</v>
      </c>
      <c r="D28" s="84" t="s">
        <v>109</v>
      </c>
      <c r="E28" s="84" t="s">
        <v>109</v>
      </c>
      <c r="F28" s="84" t="s">
        <v>109</v>
      </c>
      <c r="G28" s="79"/>
      <c r="H28" s="84" t="s">
        <v>109</v>
      </c>
      <c r="I28" s="25"/>
      <c r="J28" s="84" t="s">
        <v>109</v>
      </c>
      <c r="K28" s="85" t="s">
        <v>109</v>
      </c>
      <c r="L28" s="2"/>
      <c r="M28" s="74">
        <v>208724.0</v>
      </c>
      <c r="N28" s="74">
        <v>0.0</v>
      </c>
      <c r="O28" s="76">
        <f t="shared" si="1"/>
        <v>208724</v>
      </c>
      <c r="P28" s="2"/>
      <c r="Q28" s="86" t="s">
        <v>109</v>
      </c>
      <c r="R28" s="86" t="s">
        <v>109</v>
      </c>
      <c r="S28" s="2"/>
      <c r="T28" s="84" t="s">
        <v>109</v>
      </c>
      <c r="U28" s="87" t="s">
        <v>109</v>
      </c>
      <c r="V28" s="88" t="s">
        <v>109</v>
      </c>
      <c r="W28" s="88" t="s">
        <v>109</v>
      </c>
      <c r="X28" s="2"/>
      <c r="Y28" s="84" t="s">
        <v>109</v>
      </c>
      <c r="Z28" s="85" t="s">
        <v>109</v>
      </c>
      <c r="AA28" s="2"/>
      <c r="AB28" s="2"/>
      <c r="AC28" s="2"/>
      <c r="AD28" s="2"/>
      <c r="AE28" s="2"/>
      <c r="AF28" s="2"/>
      <c r="AG28" s="2"/>
      <c r="AH28" s="2"/>
      <c r="AI28" s="2"/>
      <c r="AJ28" s="2"/>
    </row>
    <row r="29" ht="12.0" customHeight="1">
      <c r="A29" s="40">
        <v>1994.0</v>
      </c>
      <c r="B29" s="16"/>
      <c r="C29" s="84" t="s">
        <v>109</v>
      </c>
      <c r="D29" s="84" t="s">
        <v>109</v>
      </c>
      <c r="E29" s="84" t="s">
        <v>109</v>
      </c>
      <c r="F29" s="84" t="s">
        <v>109</v>
      </c>
      <c r="G29" s="79"/>
      <c r="H29" s="84" t="s">
        <v>109</v>
      </c>
      <c r="I29" s="25"/>
      <c r="J29" s="84" t="s">
        <v>109</v>
      </c>
      <c r="K29" s="85" t="s">
        <v>109</v>
      </c>
      <c r="L29" s="2"/>
      <c r="M29" s="74">
        <v>116901.0</v>
      </c>
      <c r="N29" s="74">
        <v>209.0</v>
      </c>
      <c r="O29" s="76">
        <f t="shared" si="1"/>
        <v>117110</v>
      </c>
      <c r="P29" s="2"/>
      <c r="Q29" s="86" t="s">
        <v>109</v>
      </c>
      <c r="R29" s="86" t="s">
        <v>109</v>
      </c>
      <c r="S29" s="2"/>
      <c r="T29" s="84" t="s">
        <v>109</v>
      </c>
      <c r="U29" s="87" t="s">
        <v>109</v>
      </c>
      <c r="V29" s="88" t="s">
        <v>109</v>
      </c>
      <c r="W29" s="88" t="s">
        <v>109</v>
      </c>
      <c r="X29" s="2"/>
      <c r="Y29" s="84" t="s">
        <v>109</v>
      </c>
      <c r="Z29" s="85" t="s">
        <v>109</v>
      </c>
      <c r="AA29" s="2"/>
      <c r="AB29" s="2"/>
      <c r="AC29" s="2"/>
      <c r="AD29" s="2"/>
      <c r="AE29" s="2"/>
      <c r="AF29" s="2"/>
      <c r="AG29" s="2"/>
      <c r="AH29" s="2"/>
      <c r="AI29" s="2"/>
      <c r="AJ29" s="2"/>
    </row>
    <row r="30" ht="12.0" customHeight="1">
      <c r="A30" s="40">
        <v>1995.0</v>
      </c>
      <c r="B30" s="16"/>
      <c r="C30" s="84" t="s">
        <v>109</v>
      </c>
      <c r="D30" s="84" t="s">
        <v>109</v>
      </c>
      <c r="E30" s="84" t="s">
        <v>109</v>
      </c>
      <c r="F30" s="84" t="s">
        <v>109</v>
      </c>
      <c r="G30" s="79"/>
      <c r="H30" s="84" t="s">
        <v>109</v>
      </c>
      <c r="I30" s="25"/>
      <c r="J30" s="84" t="s">
        <v>109</v>
      </c>
      <c r="K30" s="85" t="s">
        <v>109</v>
      </c>
      <c r="L30" s="2"/>
      <c r="M30" s="74">
        <v>85522.0</v>
      </c>
      <c r="N30" s="74">
        <v>355.0</v>
      </c>
      <c r="O30" s="76">
        <f t="shared" si="1"/>
        <v>85877</v>
      </c>
      <c r="P30" s="2"/>
      <c r="Q30" s="86" t="s">
        <v>109</v>
      </c>
      <c r="R30" s="86" t="s">
        <v>109</v>
      </c>
      <c r="S30" s="2"/>
      <c r="T30" s="84" t="s">
        <v>109</v>
      </c>
      <c r="U30" s="87" t="s">
        <v>109</v>
      </c>
      <c r="V30" s="88" t="s">
        <v>109</v>
      </c>
      <c r="W30" s="88" t="s">
        <v>109</v>
      </c>
      <c r="X30" s="2"/>
      <c r="Y30" s="84" t="s">
        <v>109</v>
      </c>
      <c r="Z30" s="85" t="s">
        <v>109</v>
      </c>
      <c r="AA30" s="2"/>
      <c r="AB30" s="2"/>
      <c r="AC30" s="2"/>
      <c r="AD30" s="2"/>
      <c r="AE30" s="2"/>
      <c r="AF30" s="2"/>
      <c r="AG30" s="2"/>
      <c r="AH30" s="2"/>
      <c r="AI30" s="2"/>
      <c r="AJ30" s="2"/>
    </row>
    <row r="31" ht="12.0" customHeight="1">
      <c r="A31" s="40">
        <v>1996.0</v>
      </c>
      <c r="B31" s="16"/>
      <c r="C31" s="84" t="s">
        <v>109</v>
      </c>
      <c r="D31" s="84" t="s">
        <v>109</v>
      </c>
      <c r="E31" s="84" t="s">
        <v>109</v>
      </c>
      <c r="F31" s="84" t="s">
        <v>109</v>
      </c>
      <c r="G31" s="79"/>
      <c r="H31" s="84" t="s">
        <v>109</v>
      </c>
      <c r="I31" s="25"/>
      <c r="J31" s="84" t="s">
        <v>109</v>
      </c>
      <c r="K31" s="85" t="s">
        <v>109</v>
      </c>
      <c r="L31" s="2"/>
      <c r="M31" s="74">
        <v>118932.0</v>
      </c>
      <c r="N31" s="74">
        <v>770.0</v>
      </c>
      <c r="O31" s="76">
        <f t="shared" si="1"/>
        <v>119702</v>
      </c>
      <c r="P31" s="2"/>
      <c r="Q31" s="86" t="s">
        <v>109</v>
      </c>
      <c r="R31" s="86" t="s">
        <v>109</v>
      </c>
      <c r="S31" s="2"/>
      <c r="T31" s="84" t="s">
        <v>109</v>
      </c>
      <c r="U31" s="87" t="s">
        <v>109</v>
      </c>
      <c r="V31" s="88" t="s">
        <v>109</v>
      </c>
      <c r="W31" s="88" t="s">
        <v>109</v>
      </c>
      <c r="X31" s="2"/>
      <c r="Y31" s="84" t="s">
        <v>109</v>
      </c>
      <c r="Z31" s="85" t="s">
        <v>109</v>
      </c>
      <c r="AA31" s="2"/>
      <c r="AB31" s="2"/>
      <c r="AC31" s="2"/>
      <c r="AD31" s="2"/>
      <c r="AE31" s="2"/>
      <c r="AF31" s="2"/>
      <c r="AG31" s="2"/>
      <c r="AH31" s="2"/>
      <c r="AI31" s="2"/>
      <c r="AJ31" s="2"/>
    </row>
    <row r="32" ht="12.0" customHeight="1">
      <c r="A32" s="40">
        <v>1997.0</v>
      </c>
      <c r="B32" s="2"/>
      <c r="C32" s="92">
        <v>14.9123</v>
      </c>
      <c r="D32" s="92">
        <v>7020.353</v>
      </c>
      <c r="E32" s="92">
        <v>104121.9209</v>
      </c>
      <c r="F32" s="84">
        <f t="shared" ref="F32:F48" si="2">SUM(D32:E32)</f>
        <v>111142.2739</v>
      </c>
      <c r="G32" s="79"/>
      <c r="H32" s="92">
        <v>451.1917</v>
      </c>
      <c r="I32" s="2"/>
      <c r="J32" s="76">
        <f t="shared" ref="J32:J48" si="3">SUM(F32:H32)</f>
        <v>111593.4656</v>
      </c>
      <c r="K32" s="93">
        <v>12610.0</v>
      </c>
      <c r="L32" s="2"/>
      <c r="M32" s="74">
        <v>113758.0</v>
      </c>
      <c r="N32" s="74">
        <v>500.0</v>
      </c>
      <c r="O32" s="76">
        <f t="shared" si="1"/>
        <v>114258</v>
      </c>
      <c r="P32" s="2"/>
      <c r="Q32" s="96">
        <v>6.784</v>
      </c>
      <c r="R32" s="96">
        <v>7.1652</v>
      </c>
      <c r="S32" s="2"/>
      <c r="T32" s="74">
        <v>4886.4079</v>
      </c>
      <c r="U32" s="88" t="s">
        <v>109</v>
      </c>
      <c r="V32" s="88" t="s">
        <v>109</v>
      </c>
      <c r="W32" s="88" t="s">
        <v>109</v>
      </c>
      <c r="X32" s="2"/>
      <c r="Y32" s="92">
        <v>56435.5494999999</v>
      </c>
      <c r="Z32" s="93">
        <v>610.0</v>
      </c>
      <c r="AA32" s="2"/>
      <c r="AB32" s="2"/>
      <c r="AC32" s="2"/>
      <c r="AD32" s="2"/>
      <c r="AE32" s="2"/>
      <c r="AF32" s="2"/>
      <c r="AG32" s="2"/>
      <c r="AH32" s="2"/>
      <c r="AI32" s="2"/>
      <c r="AJ32" s="2"/>
    </row>
    <row r="33" ht="12.0" customHeight="1">
      <c r="A33" s="40">
        <v>1998.0</v>
      </c>
      <c r="B33" s="2"/>
      <c r="C33" s="84"/>
      <c r="D33" s="92">
        <v>7457.1053</v>
      </c>
      <c r="E33" s="92">
        <v>242972.3603</v>
      </c>
      <c r="F33" s="84">
        <f t="shared" si="2"/>
        <v>250429.4656</v>
      </c>
      <c r="G33" s="79"/>
      <c r="H33" s="92">
        <v>477.6704</v>
      </c>
      <c r="I33" s="2"/>
      <c r="J33" s="76">
        <f t="shared" si="3"/>
        <v>250907.136</v>
      </c>
      <c r="K33" s="93">
        <v>21225.0</v>
      </c>
      <c r="L33" s="2"/>
      <c r="M33" s="74">
        <v>249627.0</v>
      </c>
      <c r="N33" s="74">
        <v>937.0</v>
      </c>
      <c r="O33" s="76">
        <f t="shared" si="1"/>
        <v>250564</v>
      </c>
      <c r="P33" s="2"/>
      <c r="Q33" s="96">
        <v>6.786</v>
      </c>
      <c r="R33" s="96">
        <v>6.4276</v>
      </c>
      <c r="S33" s="2"/>
      <c r="T33" s="74">
        <v>3361.25579999999</v>
      </c>
      <c r="U33" s="88" t="s">
        <v>109</v>
      </c>
      <c r="V33" s="88" t="s">
        <v>109</v>
      </c>
      <c r="W33" s="88" t="s">
        <v>109</v>
      </c>
      <c r="X33" s="2"/>
      <c r="Y33" s="92">
        <v>62353.5424</v>
      </c>
      <c r="Z33" s="93">
        <v>427.0</v>
      </c>
      <c r="AA33" s="2"/>
      <c r="AB33" s="2"/>
      <c r="AC33" s="2"/>
      <c r="AD33" s="2"/>
      <c r="AE33" s="2"/>
      <c r="AF33" s="2"/>
      <c r="AG33" s="2"/>
      <c r="AH33" s="2"/>
      <c r="AI33" s="2"/>
      <c r="AJ33" s="2"/>
    </row>
    <row r="34" ht="12.0" customHeight="1">
      <c r="A34" s="40">
        <v>1999.0</v>
      </c>
      <c r="B34" s="2"/>
      <c r="C34" s="84"/>
      <c r="D34" s="92">
        <v>8694.0207</v>
      </c>
      <c r="E34" s="92">
        <v>219226.594200002</v>
      </c>
      <c r="F34" s="84">
        <f t="shared" si="2"/>
        <v>227920.6149</v>
      </c>
      <c r="G34" s="79"/>
      <c r="H34" s="92">
        <v>781.598</v>
      </c>
      <c r="I34" s="2"/>
      <c r="J34" s="76">
        <f t="shared" si="3"/>
        <v>228702.2129</v>
      </c>
      <c r="K34" s="93">
        <v>21114.0</v>
      </c>
      <c r="L34" s="2"/>
      <c r="M34" s="74">
        <v>230986.0</v>
      </c>
      <c r="N34" s="74">
        <v>2045.0</v>
      </c>
      <c r="O34" s="76">
        <f t="shared" si="1"/>
        <v>233031</v>
      </c>
      <c r="P34" s="2"/>
      <c r="Q34" s="96">
        <v>6.6319</v>
      </c>
      <c r="R34" s="96">
        <v>6.5259</v>
      </c>
      <c r="S34" s="2"/>
      <c r="T34" s="74">
        <v>2068.93459999999</v>
      </c>
      <c r="U34" s="88" t="s">
        <v>109</v>
      </c>
      <c r="V34" s="88" t="s">
        <v>109</v>
      </c>
      <c r="W34" s="88" t="s">
        <v>109</v>
      </c>
      <c r="X34" s="2"/>
      <c r="Y34" s="92">
        <v>22796.8701999999</v>
      </c>
      <c r="Z34" s="93">
        <v>316.0</v>
      </c>
      <c r="AA34" s="2"/>
      <c r="AB34" s="2"/>
      <c r="AC34" s="2"/>
      <c r="AD34" s="2"/>
      <c r="AE34" s="2"/>
      <c r="AF34" s="2"/>
      <c r="AG34" s="2"/>
      <c r="AH34" s="2"/>
      <c r="AI34" s="2"/>
      <c r="AJ34" s="2"/>
    </row>
    <row r="35" ht="12.0" customHeight="1">
      <c r="A35" s="40">
        <v>2000.0</v>
      </c>
      <c r="B35" s="2"/>
      <c r="C35" s="84"/>
      <c r="D35" s="92">
        <v>19854.7128999999</v>
      </c>
      <c r="E35" s="92">
        <v>139678.060999999</v>
      </c>
      <c r="F35" s="84">
        <f t="shared" si="2"/>
        <v>159532.7739</v>
      </c>
      <c r="G35" s="79"/>
      <c r="H35" s="92">
        <v>492.04</v>
      </c>
      <c r="I35" s="2"/>
      <c r="J35" s="76">
        <f t="shared" si="3"/>
        <v>160024.8139</v>
      </c>
      <c r="K35" s="93">
        <v>14733.0</v>
      </c>
      <c r="L35" s="2"/>
      <c r="M35" s="74">
        <v>165115.0</v>
      </c>
      <c r="N35" s="74">
        <v>1786.0</v>
      </c>
      <c r="O35" s="76">
        <f t="shared" si="1"/>
        <v>166901</v>
      </c>
      <c r="P35" s="2"/>
      <c r="Q35" s="96">
        <v>7.1003</v>
      </c>
      <c r="R35" s="96">
        <v>7.4042</v>
      </c>
      <c r="S35" s="2"/>
      <c r="T35" s="74">
        <v>16020.3484</v>
      </c>
      <c r="U35" s="88" t="s">
        <v>109</v>
      </c>
      <c r="V35" s="88" t="s">
        <v>109</v>
      </c>
      <c r="W35" s="88" t="s">
        <v>109</v>
      </c>
      <c r="X35" s="2"/>
      <c r="Y35" s="92">
        <v>20531.6301</v>
      </c>
      <c r="Z35" s="93">
        <v>326.0</v>
      </c>
      <c r="AA35" s="2"/>
      <c r="AB35" s="2"/>
      <c r="AC35" s="2"/>
      <c r="AD35" s="2"/>
      <c r="AE35" s="2"/>
      <c r="AF35" s="2"/>
      <c r="AG35" s="2"/>
      <c r="AH35" s="2"/>
      <c r="AI35" s="2"/>
      <c r="AJ35" s="2"/>
    </row>
    <row r="36" ht="12.0" customHeight="1">
      <c r="A36" s="40">
        <v>2001.0</v>
      </c>
      <c r="B36" s="2"/>
      <c r="C36" s="84"/>
      <c r="D36" s="92">
        <v>22814.9758999999</v>
      </c>
      <c r="E36" s="92">
        <v>356641.214100001</v>
      </c>
      <c r="F36" s="84">
        <f t="shared" si="2"/>
        <v>379456.19</v>
      </c>
      <c r="G36" s="79"/>
      <c r="H36" s="92">
        <v>1503.46549999999</v>
      </c>
      <c r="I36" s="2"/>
      <c r="J36" s="76">
        <f t="shared" si="3"/>
        <v>380959.6555</v>
      </c>
      <c r="K36" s="93">
        <v>22047.0</v>
      </c>
      <c r="L36" s="2"/>
      <c r="M36" s="74">
        <v>387234.0</v>
      </c>
      <c r="N36" s="74">
        <v>2357.0</v>
      </c>
      <c r="O36" s="76">
        <f t="shared" si="1"/>
        <v>389591</v>
      </c>
      <c r="P36" s="2"/>
      <c r="Q36" s="96">
        <v>6.4035</v>
      </c>
      <c r="R36" s="96">
        <v>6.4227</v>
      </c>
      <c r="S36" s="2"/>
      <c r="T36" s="74">
        <v>12907.1471999999</v>
      </c>
      <c r="U36" s="88" t="s">
        <v>109</v>
      </c>
      <c r="V36" s="88" t="s">
        <v>109</v>
      </c>
      <c r="W36" s="88" t="s">
        <v>109</v>
      </c>
      <c r="X36" s="2"/>
      <c r="Y36" s="92">
        <v>110420.572</v>
      </c>
      <c r="Z36" s="93">
        <v>519.0</v>
      </c>
      <c r="AA36" s="2"/>
      <c r="AB36" s="2"/>
      <c r="AC36" s="2"/>
      <c r="AD36" s="2"/>
      <c r="AE36" s="2"/>
      <c r="AF36" s="2"/>
      <c r="AG36" s="2"/>
      <c r="AH36" s="2"/>
      <c r="AI36" s="2"/>
      <c r="AJ36" s="2"/>
    </row>
    <row r="37" ht="12.0" customHeight="1">
      <c r="A37" s="40">
        <v>2002.0</v>
      </c>
      <c r="B37" s="2"/>
      <c r="C37" s="84"/>
      <c r="D37" s="92">
        <v>45480.2998</v>
      </c>
      <c r="E37" s="92">
        <v>485779.2</v>
      </c>
      <c r="F37" s="84">
        <f t="shared" si="2"/>
        <v>531259.4998</v>
      </c>
      <c r="G37" s="79"/>
      <c r="H37" s="92">
        <v>1858.9673</v>
      </c>
      <c r="I37" s="2"/>
      <c r="J37" s="76">
        <f t="shared" si="3"/>
        <v>533118.4671</v>
      </c>
      <c r="K37" s="93">
        <v>22278.0</v>
      </c>
      <c r="L37" s="2"/>
      <c r="M37" s="74">
        <v>543716.0</v>
      </c>
      <c r="N37" s="74">
        <v>3596.0</v>
      </c>
      <c r="O37" s="76">
        <f t="shared" si="1"/>
        <v>547312</v>
      </c>
      <c r="P37" s="2"/>
      <c r="Q37" s="96">
        <v>5.191</v>
      </c>
      <c r="R37" s="96">
        <v>5.9001</v>
      </c>
      <c r="S37" s="2"/>
      <c r="T37" s="74">
        <v>5645.64119999999</v>
      </c>
      <c r="U37" s="88" t="s">
        <v>109</v>
      </c>
      <c r="V37" s="88" t="s">
        <v>109</v>
      </c>
      <c r="W37" s="88" t="s">
        <v>109</v>
      </c>
      <c r="X37" s="2"/>
      <c r="Y37" s="92">
        <v>93306.4138999999</v>
      </c>
      <c r="Z37" s="93">
        <v>417.0</v>
      </c>
      <c r="AA37" s="2"/>
      <c r="AB37" s="2"/>
      <c r="AC37" s="2"/>
      <c r="AD37" s="2"/>
      <c r="AE37" s="2"/>
      <c r="AF37" s="2"/>
      <c r="AG37" s="2"/>
      <c r="AH37" s="2"/>
      <c r="AI37" s="2"/>
      <c r="AJ37" s="2"/>
    </row>
    <row r="38" ht="12.0" customHeight="1">
      <c r="A38" s="40">
        <v>2003.0</v>
      </c>
      <c r="B38" s="2"/>
      <c r="C38" s="84"/>
      <c r="D38" s="92">
        <v>54021.3517999999</v>
      </c>
      <c r="E38" s="92">
        <v>646514.347399996</v>
      </c>
      <c r="F38" s="84">
        <f t="shared" si="2"/>
        <v>700535.6992</v>
      </c>
      <c r="G38" s="79"/>
      <c r="H38" s="92">
        <v>7792.2193</v>
      </c>
      <c r="I38" s="2"/>
      <c r="J38" s="76">
        <f t="shared" si="3"/>
        <v>708327.9185</v>
      </c>
      <c r="K38" s="93">
        <v>22810.0</v>
      </c>
      <c r="L38" s="2"/>
      <c r="M38" s="74">
        <v>705450.0</v>
      </c>
      <c r="N38" s="74">
        <v>8337.0</v>
      </c>
      <c r="O38" s="76">
        <f t="shared" si="1"/>
        <v>713787</v>
      </c>
      <c r="P38" s="2"/>
      <c r="Q38" s="96">
        <v>4.0607</v>
      </c>
      <c r="R38" s="96">
        <v>5.0048</v>
      </c>
      <c r="S38" s="2"/>
      <c r="T38" s="74">
        <v>12421.8862999999</v>
      </c>
      <c r="U38" s="88" t="s">
        <v>109</v>
      </c>
      <c r="V38" s="88" t="s">
        <v>109</v>
      </c>
      <c r="W38" s="88" t="s">
        <v>109</v>
      </c>
      <c r="X38" s="2"/>
      <c r="Y38" s="92">
        <v>64062.5925999999</v>
      </c>
      <c r="Z38" s="93">
        <v>421.0</v>
      </c>
      <c r="AA38" s="2"/>
      <c r="AB38" s="2"/>
      <c r="AC38" s="2"/>
      <c r="AD38" s="2"/>
      <c r="AE38" s="2"/>
      <c r="AF38" s="2"/>
      <c r="AG38" s="2"/>
      <c r="AH38" s="2"/>
      <c r="AI38" s="2"/>
      <c r="AJ38" s="2"/>
    </row>
    <row r="39" ht="12.0" customHeight="1">
      <c r="A39" s="40">
        <v>2004.0</v>
      </c>
      <c r="B39" s="2"/>
      <c r="C39" s="84"/>
      <c r="D39" s="92">
        <v>51710.3456</v>
      </c>
      <c r="E39" s="92">
        <v>303259.415700001</v>
      </c>
      <c r="F39" s="84">
        <f t="shared" si="2"/>
        <v>354969.7613</v>
      </c>
      <c r="G39" s="79"/>
      <c r="H39" s="92">
        <v>2853.0428</v>
      </c>
      <c r="I39" s="2"/>
      <c r="J39" s="76">
        <f t="shared" si="3"/>
        <v>357822.8041</v>
      </c>
      <c r="K39" s="93">
        <v>20640.0</v>
      </c>
      <c r="L39" s="2"/>
      <c r="M39" s="74">
        <v>360933.0</v>
      </c>
      <c r="N39" s="74">
        <v>4175.0</v>
      </c>
      <c r="O39" s="76">
        <f t="shared" si="1"/>
        <v>365108</v>
      </c>
      <c r="P39" s="2"/>
      <c r="Q39" s="96">
        <v>4.2602</v>
      </c>
      <c r="R39" s="96">
        <v>5.188</v>
      </c>
      <c r="S39" s="2"/>
      <c r="T39" s="92">
        <v>4588.36409999999</v>
      </c>
      <c r="U39" s="97">
        <v>706.0</v>
      </c>
      <c r="V39" s="97">
        <v>70.7496</v>
      </c>
      <c r="W39" s="88" t="s">
        <v>109</v>
      </c>
      <c r="X39" s="2"/>
      <c r="Y39" s="92">
        <v>77100.8934</v>
      </c>
      <c r="Z39" s="93">
        <v>468.0</v>
      </c>
      <c r="AA39" s="2"/>
      <c r="AB39" s="2"/>
      <c r="AC39" s="2"/>
      <c r="AD39" s="2"/>
      <c r="AE39" s="2"/>
      <c r="AF39" s="2"/>
      <c r="AG39" s="2"/>
      <c r="AH39" s="2"/>
      <c r="AI39" s="2"/>
      <c r="AJ39" s="2"/>
    </row>
    <row r="40" ht="12.0" customHeight="1">
      <c r="A40" s="40">
        <v>2005.0</v>
      </c>
      <c r="B40" s="2"/>
      <c r="C40" s="84"/>
      <c r="D40" s="92">
        <v>61886.8757000001</v>
      </c>
      <c r="E40" s="92">
        <v>318180.000399998</v>
      </c>
      <c r="F40" s="84">
        <f t="shared" si="2"/>
        <v>380066.8761</v>
      </c>
      <c r="G40" s="79"/>
      <c r="H40" s="84"/>
      <c r="I40" s="2"/>
      <c r="J40" s="76">
        <f t="shared" si="3"/>
        <v>380066.8761</v>
      </c>
      <c r="K40" s="93">
        <v>20890.0</v>
      </c>
      <c r="L40" s="2"/>
      <c r="M40" s="74">
        <v>396213.0</v>
      </c>
      <c r="N40" s="74">
        <v>1654.0</v>
      </c>
      <c r="O40" s="76">
        <f t="shared" si="1"/>
        <v>397867</v>
      </c>
      <c r="P40" s="2"/>
      <c r="Q40" s="96">
        <v>4.8522</v>
      </c>
      <c r="R40" s="96">
        <v>5.2043</v>
      </c>
      <c r="S40" s="2"/>
      <c r="T40" s="92">
        <v>9786.02869999999</v>
      </c>
      <c r="U40" s="97">
        <v>721.556</v>
      </c>
      <c r="V40" s="97">
        <v>70.87</v>
      </c>
      <c r="W40" s="88" t="s">
        <v>109</v>
      </c>
      <c r="X40" s="2"/>
      <c r="Y40" s="92">
        <v>222097.248799999</v>
      </c>
      <c r="Z40" s="93">
        <v>768.0</v>
      </c>
      <c r="AA40" s="2"/>
      <c r="AB40" s="2"/>
      <c r="AC40" s="2"/>
      <c r="AD40" s="2"/>
      <c r="AE40" s="2"/>
      <c r="AF40" s="2"/>
      <c r="AG40" s="2"/>
      <c r="AH40" s="2"/>
      <c r="AI40" s="2"/>
      <c r="AJ40" s="2"/>
    </row>
    <row r="41" ht="12.0" customHeight="1">
      <c r="A41" s="40">
        <v>2006.0</v>
      </c>
      <c r="B41" s="2"/>
      <c r="C41" s="84"/>
      <c r="D41" s="92">
        <v>70844.6974000002</v>
      </c>
      <c r="E41" s="92">
        <v>281889.5813</v>
      </c>
      <c r="F41" s="84">
        <f t="shared" si="2"/>
        <v>352734.2787</v>
      </c>
      <c r="G41" s="79"/>
      <c r="H41" s="84"/>
      <c r="I41" s="2"/>
      <c r="J41" s="76">
        <f t="shared" si="3"/>
        <v>352734.2787</v>
      </c>
      <c r="K41" s="93">
        <v>18226.0</v>
      </c>
      <c r="L41" s="2"/>
      <c r="M41" s="74">
        <v>358184.0</v>
      </c>
      <c r="N41" s="74">
        <v>1839.0</v>
      </c>
      <c r="O41" s="76">
        <f t="shared" si="1"/>
        <v>360023</v>
      </c>
      <c r="P41" s="2"/>
      <c r="Q41" s="96">
        <v>5.7731</v>
      </c>
      <c r="R41" s="96">
        <v>5.8469</v>
      </c>
      <c r="S41" s="2"/>
      <c r="T41" s="92">
        <v>7722.22219999999</v>
      </c>
      <c r="U41" s="97">
        <v>723.2015</v>
      </c>
      <c r="V41" s="97">
        <v>72.02</v>
      </c>
      <c r="W41" s="88" t="s">
        <v>109</v>
      </c>
      <c r="X41" s="2"/>
      <c r="Y41" s="92">
        <v>240891.3194</v>
      </c>
      <c r="Z41" s="93">
        <v>1677.0</v>
      </c>
      <c r="AA41" s="2"/>
      <c r="AB41" s="2"/>
      <c r="AC41" s="2"/>
      <c r="AD41" s="2"/>
      <c r="AE41" s="2"/>
      <c r="AF41" s="2"/>
      <c r="AG41" s="2"/>
      <c r="AH41" s="2"/>
      <c r="AI41" s="2"/>
      <c r="AJ41" s="2"/>
    </row>
    <row r="42" ht="12.0" customHeight="1">
      <c r="A42" s="40">
        <v>2007.0</v>
      </c>
      <c r="B42" s="2"/>
      <c r="C42" s="84"/>
      <c r="D42" s="92">
        <v>78113.8924</v>
      </c>
      <c r="E42" s="92">
        <v>355151.6074</v>
      </c>
      <c r="F42" s="84">
        <f t="shared" si="2"/>
        <v>433265.4998</v>
      </c>
      <c r="G42" s="79"/>
      <c r="H42" s="84"/>
      <c r="I42" s="2"/>
      <c r="J42" s="76">
        <f t="shared" si="3"/>
        <v>433265.4998</v>
      </c>
      <c r="K42" s="93">
        <v>24099.0</v>
      </c>
      <c r="L42" s="2"/>
      <c r="M42" s="74">
        <v>467342.0</v>
      </c>
      <c r="N42" s="74">
        <v>3634.0</v>
      </c>
      <c r="O42" s="76">
        <f t="shared" si="1"/>
        <v>470976</v>
      </c>
      <c r="P42" s="2"/>
      <c r="Q42" s="96">
        <v>5.7719</v>
      </c>
      <c r="R42" s="96">
        <v>5.8041</v>
      </c>
      <c r="S42" s="2"/>
      <c r="T42" s="92">
        <v>11735.8522999999</v>
      </c>
      <c r="U42" s="97">
        <v>722.8876</v>
      </c>
      <c r="V42" s="97">
        <v>73.5099999999999</v>
      </c>
      <c r="W42" s="88" t="s">
        <v>109</v>
      </c>
      <c r="X42" s="2"/>
      <c r="Y42" s="92">
        <v>333624.362699999</v>
      </c>
      <c r="Z42" s="93">
        <v>2290.0</v>
      </c>
      <c r="AA42" s="2"/>
      <c r="AB42" s="2"/>
      <c r="AC42" s="2"/>
      <c r="AD42" s="2"/>
      <c r="AE42" s="2"/>
      <c r="AF42" s="2"/>
      <c r="AG42" s="2"/>
      <c r="AH42" s="2"/>
      <c r="AI42" s="2"/>
      <c r="AJ42" s="2"/>
    </row>
    <row r="43" ht="12.0" customHeight="1">
      <c r="A43" s="40">
        <v>2008.0</v>
      </c>
      <c r="B43" s="2"/>
      <c r="C43" s="84"/>
      <c r="D43" s="92">
        <v>31062.1692999999</v>
      </c>
      <c r="E43" s="92">
        <v>317603.422600002</v>
      </c>
      <c r="F43" s="84">
        <f t="shared" si="2"/>
        <v>348665.5919</v>
      </c>
      <c r="G43" s="79"/>
      <c r="H43" s="84"/>
      <c r="I43" s="2"/>
      <c r="J43" s="76">
        <f t="shared" si="3"/>
        <v>348665.5919</v>
      </c>
      <c r="K43" s="93">
        <v>18439.0</v>
      </c>
      <c r="L43" s="2"/>
      <c r="M43" s="74">
        <v>352776.0</v>
      </c>
      <c r="N43" s="74">
        <v>5085.0</v>
      </c>
      <c r="O43" s="76">
        <f t="shared" si="1"/>
        <v>357861</v>
      </c>
      <c r="P43" s="2"/>
      <c r="Q43" s="96">
        <v>4.913</v>
      </c>
      <c r="R43" s="96">
        <v>5.4813</v>
      </c>
      <c r="S43" s="2"/>
      <c r="T43" s="92">
        <v>24107.4387999999</v>
      </c>
      <c r="U43" s="97">
        <v>738.6996</v>
      </c>
      <c r="V43" s="97">
        <v>70.5099999999999</v>
      </c>
      <c r="W43" s="88" t="s">
        <v>109</v>
      </c>
      <c r="X43" s="2"/>
      <c r="Y43" s="92">
        <v>440551.189199999</v>
      </c>
      <c r="Z43" s="93">
        <v>2435.0</v>
      </c>
      <c r="AA43" s="2"/>
      <c r="AB43" s="2"/>
      <c r="AC43" s="2"/>
      <c r="AD43" s="2"/>
      <c r="AE43" s="2"/>
      <c r="AF43" s="2"/>
      <c r="AG43" s="2"/>
      <c r="AH43" s="2"/>
      <c r="AI43" s="2"/>
      <c r="AJ43" s="2"/>
    </row>
    <row r="44" ht="12.0" customHeight="1">
      <c r="A44" s="40">
        <v>2009.0</v>
      </c>
      <c r="B44" s="2"/>
      <c r="C44" s="84"/>
      <c r="D44" s="92">
        <v>3519.1204</v>
      </c>
      <c r="E44" s="92">
        <v>459324.3175</v>
      </c>
      <c r="F44" s="84">
        <f t="shared" si="2"/>
        <v>462843.4379</v>
      </c>
      <c r="G44" s="79"/>
      <c r="H44" s="84"/>
      <c r="I44" s="2"/>
      <c r="J44" s="76">
        <f t="shared" si="3"/>
        <v>462843.4379</v>
      </c>
      <c r="K44" s="93">
        <v>9099.0</v>
      </c>
      <c r="L44" s="2"/>
      <c r="M44" s="74">
        <v>472461.0</v>
      </c>
      <c r="N44" s="74">
        <v>2951.0</v>
      </c>
      <c r="O44" s="76">
        <f t="shared" si="1"/>
        <v>475412</v>
      </c>
      <c r="P44" s="2"/>
      <c r="Q44" s="96">
        <v>4.0806</v>
      </c>
      <c r="R44" s="96">
        <v>4.5218</v>
      </c>
      <c r="S44" s="2"/>
      <c r="T44" s="92">
        <v>4964.58449999999</v>
      </c>
      <c r="U44" s="97">
        <v>761.1147</v>
      </c>
      <c r="V44" s="97">
        <v>66.55</v>
      </c>
      <c r="W44" s="97">
        <v>66.55</v>
      </c>
      <c r="X44" s="2"/>
      <c r="Y44" s="92">
        <v>289176.38</v>
      </c>
      <c r="Z44" s="93">
        <v>1544.0</v>
      </c>
      <c r="AA44" s="2"/>
      <c r="AB44" s="2"/>
      <c r="AC44" s="2"/>
      <c r="AD44" s="2"/>
      <c r="AE44" s="2"/>
      <c r="AF44" s="2"/>
      <c r="AG44" s="2"/>
      <c r="AH44" s="2"/>
      <c r="AI44" s="2"/>
      <c r="AJ44" s="2"/>
    </row>
    <row r="45" ht="12.0" customHeight="1">
      <c r="A45" s="40">
        <v>2010.0</v>
      </c>
      <c r="B45" s="2"/>
      <c r="C45" s="84"/>
      <c r="D45" s="92">
        <v>16621.6763999999</v>
      </c>
      <c r="E45" s="92">
        <v>359687.217000001</v>
      </c>
      <c r="F45" s="84">
        <f t="shared" si="2"/>
        <v>376308.8934</v>
      </c>
      <c r="G45" s="79"/>
      <c r="H45" s="84"/>
      <c r="I45" s="2"/>
      <c r="J45" s="76">
        <f t="shared" si="3"/>
        <v>376308.8934</v>
      </c>
      <c r="K45" s="93">
        <v>9534.0</v>
      </c>
      <c r="L45" s="2"/>
      <c r="M45" s="74">
        <v>384719.0</v>
      </c>
      <c r="N45" s="74">
        <v>8318.0</v>
      </c>
      <c r="O45" s="76">
        <f t="shared" si="1"/>
        <v>393037</v>
      </c>
      <c r="P45" s="2"/>
      <c r="Q45" s="96">
        <v>3.3679</v>
      </c>
      <c r="R45" s="96">
        <v>4.3264</v>
      </c>
      <c r="S45" s="2"/>
      <c r="T45" s="92">
        <v>3876.2657</v>
      </c>
      <c r="U45" s="97">
        <v>759.8237</v>
      </c>
      <c r="V45" s="97">
        <v>68.34</v>
      </c>
      <c r="W45" s="97">
        <v>68.34</v>
      </c>
      <c r="X45" s="2"/>
      <c r="Y45" s="92">
        <v>106249.870399999</v>
      </c>
      <c r="Z45" s="93">
        <v>1241.0</v>
      </c>
      <c r="AA45" s="2"/>
      <c r="AB45" s="2"/>
      <c r="AC45" s="2"/>
      <c r="AD45" s="2"/>
      <c r="AE45" s="2"/>
      <c r="AF45" s="2"/>
      <c r="AG45" s="2"/>
      <c r="AH45" s="2"/>
      <c r="AI45" s="2"/>
      <c r="AJ45" s="2"/>
    </row>
    <row r="46" ht="12.0" customHeight="1">
      <c r="A46" s="40">
        <v>2011.0</v>
      </c>
      <c r="B46" s="2"/>
      <c r="C46" s="2"/>
      <c r="D46" s="74">
        <v>25785.6336</v>
      </c>
      <c r="E46" s="74">
        <v>275388.113399999</v>
      </c>
      <c r="F46" s="84">
        <f t="shared" si="2"/>
        <v>301173.747</v>
      </c>
      <c r="G46" s="2"/>
      <c r="H46" s="2"/>
      <c r="I46" s="2"/>
      <c r="J46" s="76">
        <f t="shared" si="3"/>
        <v>301173.747</v>
      </c>
      <c r="K46" s="98">
        <v>12818.0</v>
      </c>
      <c r="L46" s="2"/>
      <c r="M46" s="74">
        <v>304629.0</v>
      </c>
      <c r="N46" s="74">
        <v>12632.0</v>
      </c>
      <c r="O46" s="76">
        <f t="shared" si="1"/>
        <v>317261</v>
      </c>
      <c r="P46" s="2"/>
      <c r="Q46" s="99">
        <v>2.9332</v>
      </c>
      <c r="R46" s="99">
        <v>4.014</v>
      </c>
      <c r="S46" s="2"/>
      <c r="T46" s="74">
        <v>4002.86969999999</v>
      </c>
      <c r="U46" s="100">
        <v>760.8212</v>
      </c>
      <c r="V46" s="100">
        <v>68.16</v>
      </c>
      <c r="W46" s="100">
        <v>68.16</v>
      </c>
      <c r="X46" s="2"/>
      <c r="Y46" s="74">
        <v>433153.196899999</v>
      </c>
      <c r="Z46" s="98">
        <v>1568.0</v>
      </c>
      <c r="AA46" s="2"/>
      <c r="AB46" s="2"/>
      <c r="AC46" s="2"/>
      <c r="AD46" s="2"/>
      <c r="AE46" s="2"/>
      <c r="AF46" s="2"/>
      <c r="AG46" s="2"/>
      <c r="AH46" s="2"/>
      <c r="AI46" s="2"/>
      <c r="AJ46" s="2"/>
    </row>
    <row r="47" ht="12.0" customHeight="1">
      <c r="A47" s="40">
        <v>2012.0</v>
      </c>
      <c r="B47" s="2"/>
      <c r="C47" s="2"/>
      <c r="D47" s="74">
        <v>18514.5077999999</v>
      </c>
      <c r="E47" s="74">
        <v>416979.7037</v>
      </c>
      <c r="F47" s="84">
        <f t="shared" si="2"/>
        <v>435494.2115</v>
      </c>
      <c r="G47" s="2"/>
      <c r="H47" s="2"/>
      <c r="I47" s="2"/>
      <c r="J47" s="76">
        <f t="shared" si="3"/>
        <v>435494.2115</v>
      </c>
      <c r="K47" s="98">
        <v>17748.0</v>
      </c>
      <c r="L47" s="2"/>
      <c r="M47" s="74">
        <v>446162.0</v>
      </c>
      <c r="N47" s="74">
        <v>20317.0</v>
      </c>
      <c r="O47" s="76">
        <f t="shared" si="1"/>
        <v>466479</v>
      </c>
      <c r="P47" s="2"/>
      <c r="Q47" s="99">
        <v>2.43667700364143</v>
      </c>
      <c r="R47" s="99">
        <v>3.31622985747735</v>
      </c>
      <c r="S47" s="2"/>
      <c r="T47" s="74">
        <v>7875.2027</v>
      </c>
      <c r="U47" s="100">
        <v>760.994756643049</v>
      </c>
      <c r="V47" s="100">
        <v>76.4480375223073</v>
      </c>
      <c r="W47" s="100">
        <v>75.0628531954665</v>
      </c>
      <c r="X47" s="2"/>
      <c r="Y47" s="74">
        <v>110560.1543</v>
      </c>
      <c r="Z47" s="98">
        <v>1301.0</v>
      </c>
      <c r="AA47" s="2"/>
      <c r="AB47" s="2"/>
      <c r="AC47" s="2"/>
      <c r="AD47" s="2"/>
      <c r="AE47" s="2"/>
      <c r="AF47" s="2"/>
      <c r="AG47" s="2"/>
      <c r="AH47" s="2"/>
      <c r="AI47" s="2"/>
      <c r="AJ47" s="2"/>
    </row>
    <row r="48" ht="12.0" customHeight="1">
      <c r="A48" s="40">
        <v>2013.0</v>
      </c>
      <c r="B48" s="2"/>
      <c r="C48" s="2"/>
      <c r="D48" s="74">
        <v>23091.6975639999</v>
      </c>
      <c r="E48" s="74">
        <v>392743.924072873</v>
      </c>
      <c r="F48" s="84">
        <f t="shared" si="2"/>
        <v>415835.6216</v>
      </c>
      <c r="G48" s="2"/>
      <c r="H48" s="2"/>
      <c r="I48" s="2"/>
      <c r="J48" s="76">
        <f t="shared" si="3"/>
        <v>415835.6216</v>
      </c>
      <c r="K48" s="98">
        <v>20250.0</v>
      </c>
      <c r="L48" s="2"/>
      <c r="M48" s="76" t="s">
        <v>109</v>
      </c>
      <c r="N48" s="76" t="s">
        <v>109</v>
      </c>
      <c r="O48" s="76" t="s">
        <v>109</v>
      </c>
      <c r="P48" s="2"/>
      <c r="Q48" s="76" t="s">
        <v>109</v>
      </c>
      <c r="R48" s="76" t="s">
        <v>109</v>
      </c>
      <c r="S48" s="2"/>
      <c r="T48" s="76" t="s">
        <v>109</v>
      </c>
      <c r="U48" s="76" t="s">
        <v>109</v>
      </c>
      <c r="V48" s="76" t="s">
        <v>109</v>
      </c>
      <c r="W48" s="76" t="s">
        <v>109</v>
      </c>
      <c r="X48" s="2"/>
      <c r="Y48" s="74">
        <v>165475.667289999</v>
      </c>
      <c r="Z48" s="98">
        <v>958.0</v>
      </c>
      <c r="AA48" s="2"/>
      <c r="AB48" s="2"/>
      <c r="AC48" s="2"/>
      <c r="AD48" s="2"/>
      <c r="AE48" s="2"/>
      <c r="AF48" s="2"/>
      <c r="AG48" s="2"/>
      <c r="AH48" s="2"/>
      <c r="AI48" s="2"/>
      <c r="AJ48" s="2"/>
    </row>
    <row r="49" ht="12.0" customHeight="1">
      <c r="A49" s="2"/>
      <c r="B49" s="2"/>
      <c r="C49" s="2"/>
      <c r="D49" s="2"/>
      <c r="E49" s="2"/>
      <c r="F49" s="2"/>
      <c r="G49" s="2"/>
      <c r="H49" s="2"/>
      <c r="I49" s="2"/>
      <c r="J49" s="2"/>
      <c r="K49" s="2"/>
      <c r="L49" s="2"/>
      <c r="M49" s="2"/>
      <c r="N49" s="2"/>
      <c r="O49" s="2"/>
      <c r="P49" s="2"/>
      <c r="Q49" s="27"/>
      <c r="R49" s="27"/>
      <c r="S49" s="2"/>
      <c r="T49" s="2"/>
      <c r="U49" s="32"/>
      <c r="V49" s="32"/>
      <c r="W49" s="32"/>
      <c r="X49" s="2"/>
      <c r="Y49" s="2"/>
      <c r="Z49" s="2"/>
      <c r="AA49" s="2"/>
      <c r="AB49" s="2"/>
      <c r="AC49" s="2"/>
      <c r="AD49" s="2"/>
      <c r="AE49" s="2"/>
      <c r="AF49" s="2"/>
      <c r="AG49" s="2"/>
      <c r="AH49" s="2"/>
      <c r="AI49" s="2"/>
      <c r="AJ49" s="2"/>
    </row>
    <row r="50" ht="12.0" customHeight="1">
      <c r="A50" s="2"/>
      <c r="B50" s="2"/>
      <c r="C50" s="2"/>
      <c r="D50" s="2"/>
      <c r="E50" s="2"/>
      <c r="F50" s="2"/>
      <c r="G50" s="2"/>
      <c r="H50" s="2"/>
      <c r="I50" s="2"/>
      <c r="J50" s="2"/>
      <c r="K50" s="2"/>
      <c r="L50" s="2"/>
      <c r="M50" s="2"/>
      <c r="N50" s="2"/>
      <c r="O50" s="2"/>
      <c r="P50" s="2"/>
      <c r="Q50" s="27"/>
      <c r="R50" s="27"/>
      <c r="S50" s="2"/>
      <c r="T50" s="2"/>
      <c r="U50" s="32"/>
      <c r="V50" s="32"/>
      <c r="W50" s="32"/>
      <c r="X50" s="2"/>
      <c r="Y50" s="2"/>
      <c r="Z50" s="2"/>
      <c r="AA50" s="2"/>
      <c r="AB50" s="2"/>
      <c r="AC50" s="2"/>
      <c r="AD50" s="2"/>
      <c r="AE50" s="2"/>
      <c r="AF50" s="2"/>
      <c r="AG50" s="2"/>
      <c r="AH50" s="2"/>
      <c r="AI50" s="2"/>
      <c r="AJ50" s="2"/>
    </row>
    <row r="51" ht="12.0" customHeight="1">
      <c r="A51" s="40">
        <v>1996.0</v>
      </c>
      <c r="B51" s="4" t="s">
        <v>75</v>
      </c>
      <c r="C51" s="2"/>
      <c r="D51" s="74">
        <v>1605.26719999999</v>
      </c>
      <c r="E51" s="74">
        <v>23614.4732999999</v>
      </c>
      <c r="F51" s="76">
        <f t="shared" ref="F51:F119" si="4">SUM(C51:E51)</f>
        <v>25219.7405</v>
      </c>
      <c r="G51" s="2"/>
      <c r="H51" s="74">
        <v>756.129899999999</v>
      </c>
      <c r="I51" s="2"/>
      <c r="J51" s="76">
        <f t="shared" ref="J51:J119" si="5">SUM(F51:H51)</f>
        <v>25975.8704</v>
      </c>
      <c r="K51" s="98">
        <v>3723.0</v>
      </c>
      <c r="L51" s="2"/>
      <c r="M51" s="2"/>
      <c r="N51" s="2"/>
      <c r="O51" s="2"/>
      <c r="P51" s="2"/>
      <c r="Q51" s="99">
        <v>6.4292</v>
      </c>
      <c r="R51" s="99">
        <v>7.5266</v>
      </c>
      <c r="S51" s="2"/>
      <c r="T51" s="2"/>
      <c r="U51" s="88" t="s">
        <v>109</v>
      </c>
      <c r="V51" s="88" t="s">
        <v>109</v>
      </c>
      <c r="W51" s="88" t="s">
        <v>109</v>
      </c>
      <c r="X51" s="2"/>
      <c r="Y51" s="74">
        <v>12080.7496</v>
      </c>
      <c r="Z51" s="98">
        <v>192.0</v>
      </c>
      <c r="AA51" s="2"/>
      <c r="AB51" s="2"/>
      <c r="AC51" s="2"/>
      <c r="AD51" s="2"/>
      <c r="AE51" s="2"/>
      <c r="AF51" s="2"/>
      <c r="AG51" s="2"/>
      <c r="AH51" s="2"/>
      <c r="AI51" s="2"/>
      <c r="AJ51" s="2"/>
    </row>
    <row r="52" ht="12.0" customHeight="1">
      <c r="A52" s="40">
        <v>1997.0</v>
      </c>
      <c r="B52" s="4" t="s">
        <v>58</v>
      </c>
      <c r="C52" s="2"/>
      <c r="D52" s="74">
        <v>987.0948</v>
      </c>
      <c r="E52" s="74">
        <v>25505.5659999999</v>
      </c>
      <c r="F52" s="76">
        <f t="shared" si="4"/>
        <v>26492.6608</v>
      </c>
      <c r="G52" s="2"/>
      <c r="H52" s="2"/>
      <c r="I52" s="2"/>
      <c r="J52" s="76">
        <f t="shared" si="5"/>
        <v>26492.6608</v>
      </c>
      <c r="K52" s="98">
        <v>3337.0</v>
      </c>
      <c r="L52" s="2"/>
      <c r="M52" s="2"/>
      <c r="N52" s="2"/>
      <c r="O52" s="2"/>
      <c r="P52" s="2"/>
      <c r="Q52" s="99">
        <v>6.3474</v>
      </c>
      <c r="R52" s="99">
        <v>7.2153</v>
      </c>
      <c r="S52" s="2"/>
      <c r="T52" s="74">
        <v>2959.2173</v>
      </c>
      <c r="U52" s="88" t="s">
        <v>109</v>
      </c>
      <c r="V52" s="88" t="s">
        <v>109</v>
      </c>
      <c r="W52" s="88" t="s">
        <v>109</v>
      </c>
      <c r="X52" s="2"/>
      <c r="Y52" s="74">
        <v>13956.5091</v>
      </c>
      <c r="Z52" s="98">
        <v>219.0</v>
      </c>
      <c r="AA52" s="2"/>
      <c r="AB52" s="2"/>
      <c r="AC52" s="2"/>
      <c r="AD52" s="2"/>
      <c r="AE52" s="2"/>
      <c r="AF52" s="2"/>
      <c r="AG52" s="2"/>
      <c r="AH52" s="2"/>
      <c r="AI52" s="2"/>
      <c r="AJ52" s="2"/>
    </row>
    <row r="53" ht="12.0" customHeight="1">
      <c r="A53" s="2"/>
      <c r="B53" s="4" t="s">
        <v>66</v>
      </c>
      <c r="C53" s="2"/>
      <c r="D53" s="74">
        <v>1381.7976</v>
      </c>
      <c r="E53" s="74">
        <v>19929.3792999999</v>
      </c>
      <c r="F53" s="76">
        <f t="shared" si="4"/>
        <v>21311.1769</v>
      </c>
      <c r="G53" s="2"/>
      <c r="H53" s="74">
        <v>359.6729</v>
      </c>
      <c r="I53" s="2"/>
      <c r="J53" s="76">
        <f t="shared" si="5"/>
        <v>21670.8498</v>
      </c>
      <c r="K53" s="98">
        <v>2653.0</v>
      </c>
      <c r="L53" s="2"/>
      <c r="M53" s="2"/>
      <c r="N53" s="2"/>
      <c r="O53" s="2"/>
      <c r="P53" s="2"/>
      <c r="Q53" s="99">
        <v>6.7652</v>
      </c>
      <c r="R53" s="99">
        <v>7.4337</v>
      </c>
      <c r="S53" s="2"/>
      <c r="T53" s="74">
        <v>482.150299999999</v>
      </c>
      <c r="U53" s="88" t="s">
        <v>109</v>
      </c>
      <c r="V53" s="88" t="s">
        <v>109</v>
      </c>
      <c r="W53" s="88" t="s">
        <v>109</v>
      </c>
      <c r="X53" s="2"/>
      <c r="Y53" s="74">
        <v>10802.7126</v>
      </c>
      <c r="Z53" s="98">
        <v>118.0</v>
      </c>
      <c r="AA53" s="2"/>
      <c r="AB53" s="2"/>
      <c r="AC53" s="2"/>
      <c r="AD53" s="2"/>
      <c r="AE53" s="2"/>
      <c r="AF53" s="2"/>
      <c r="AG53" s="2"/>
      <c r="AH53" s="2"/>
      <c r="AI53" s="2"/>
      <c r="AJ53" s="2"/>
    </row>
    <row r="54" ht="12.0" customHeight="1">
      <c r="A54" s="2"/>
      <c r="B54" s="4" t="s">
        <v>74</v>
      </c>
      <c r="C54" s="2"/>
      <c r="D54" s="74">
        <v>2020.1978</v>
      </c>
      <c r="E54" s="74">
        <v>24672.9637</v>
      </c>
      <c r="F54" s="76">
        <f t="shared" si="4"/>
        <v>26693.1615</v>
      </c>
      <c r="G54" s="2"/>
      <c r="H54" s="2"/>
      <c r="I54" s="2"/>
      <c r="J54" s="76">
        <f t="shared" si="5"/>
        <v>26693.1615</v>
      </c>
      <c r="K54" s="98">
        <v>2925.0</v>
      </c>
      <c r="L54" s="2"/>
      <c r="M54" s="2"/>
      <c r="N54" s="2"/>
      <c r="O54" s="2"/>
      <c r="P54" s="2"/>
      <c r="Q54" s="99">
        <v>6.8753</v>
      </c>
      <c r="R54" s="99">
        <v>7.2368</v>
      </c>
      <c r="S54" s="2"/>
      <c r="T54" s="74">
        <v>517.525199999999</v>
      </c>
      <c r="U54" s="88" t="s">
        <v>109</v>
      </c>
      <c r="V54" s="88" t="s">
        <v>109</v>
      </c>
      <c r="W54" s="88" t="s">
        <v>109</v>
      </c>
      <c r="X54" s="2"/>
      <c r="Y54" s="74">
        <v>14418.9656</v>
      </c>
      <c r="Z54" s="98">
        <v>140.0</v>
      </c>
      <c r="AA54" s="2"/>
      <c r="AB54" s="2"/>
      <c r="AC54" s="2"/>
      <c r="AD54" s="2"/>
      <c r="AE54" s="2"/>
      <c r="AF54" s="2"/>
      <c r="AG54" s="2"/>
      <c r="AH54" s="2"/>
      <c r="AI54" s="2"/>
      <c r="AJ54" s="2"/>
    </row>
    <row r="55" ht="12.0" customHeight="1">
      <c r="A55" s="2"/>
      <c r="B55" s="4" t="s">
        <v>75</v>
      </c>
      <c r="C55" s="74">
        <v>14.9123</v>
      </c>
      <c r="D55" s="74">
        <v>2631.26279999999</v>
      </c>
      <c r="E55" s="74">
        <v>34014.0119</v>
      </c>
      <c r="F55" s="76">
        <f t="shared" si="4"/>
        <v>36660.187</v>
      </c>
      <c r="G55" s="2"/>
      <c r="H55" s="74">
        <v>91.5188</v>
      </c>
      <c r="I55" s="2"/>
      <c r="J55" s="76">
        <f t="shared" si="5"/>
        <v>36751.7058</v>
      </c>
      <c r="K55" s="98">
        <v>3695.0</v>
      </c>
      <c r="L55" s="2"/>
      <c r="M55" s="2"/>
      <c r="N55" s="2"/>
      <c r="O55" s="2"/>
      <c r="P55" s="2"/>
      <c r="Q55" s="99">
        <v>6.8876</v>
      </c>
      <c r="R55" s="99">
        <v>6.9182</v>
      </c>
      <c r="S55" s="2"/>
      <c r="T55" s="74">
        <v>927.515099999999</v>
      </c>
      <c r="U55" s="88" t="s">
        <v>109</v>
      </c>
      <c r="V55" s="88" t="s">
        <v>109</v>
      </c>
      <c r="W55" s="88" t="s">
        <v>109</v>
      </c>
      <c r="X55" s="2"/>
      <c r="Y55" s="74">
        <v>17257.3622</v>
      </c>
      <c r="Z55" s="98">
        <v>133.0</v>
      </c>
      <c r="AA55" s="2"/>
      <c r="AB55" s="2"/>
      <c r="AC55" s="2"/>
      <c r="AD55" s="2"/>
      <c r="AE55" s="2"/>
      <c r="AF55" s="2"/>
      <c r="AG55" s="2"/>
      <c r="AH55" s="2"/>
      <c r="AI55" s="2"/>
      <c r="AJ55" s="2"/>
    </row>
    <row r="56" ht="12.0" customHeight="1">
      <c r="A56" s="40">
        <v>1998.0</v>
      </c>
      <c r="B56" s="4" t="s">
        <v>58</v>
      </c>
      <c r="C56" s="2"/>
      <c r="D56" s="74">
        <v>2669.51379999999</v>
      </c>
      <c r="E56" s="74">
        <v>42124.9849999999</v>
      </c>
      <c r="F56" s="76">
        <f t="shared" si="4"/>
        <v>44794.4988</v>
      </c>
      <c r="G56" s="2"/>
      <c r="H56" s="2"/>
      <c r="I56" s="2"/>
      <c r="J56" s="76">
        <f t="shared" si="5"/>
        <v>44794.4988</v>
      </c>
      <c r="K56" s="98">
        <v>4196.0</v>
      </c>
      <c r="L56" s="2"/>
      <c r="M56" s="2"/>
      <c r="N56" s="2"/>
      <c r="O56" s="2"/>
      <c r="P56" s="2"/>
      <c r="Q56" s="99">
        <v>7.0493</v>
      </c>
      <c r="R56" s="99">
        <v>6.6085</v>
      </c>
      <c r="S56" s="2"/>
      <c r="T56" s="74">
        <v>765.059299999999</v>
      </c>
      <c r="U56" s="88" t="s">
        <v>109</v>
      </c>
      <c r="V56" s="88" t="s">
        <v>109</v>
      </c>
      <c r="W56" s="88" t="s">
        <v>109</v>
      </c>
      <c r="X56" s="2"/>
      <c r="Y56" s="74">
        <v>14806.1599999999</v>
      </c>
      <c r="Z56" s="98">
        <v>144.0</v>
      </c>
      <c r="AA56" s="2"/>
      <c r="AB56" s="2"/>
      <c r="AC56" s="2"/>
      <c r="AD56" s="2"/>
      <c r="AE56" s="2"/>
      <c r="AF56" s="2"/>
      <c r="AG56" s="2"/>
      <c r="AH56" s="2"/>
      <c r="AI56" s="2"/>
      <c r="AJ56" s="2"/>
    </row>
    <row r="57" ht="12.0" customHeight="1">
      <c r="A57" s="2"/>
      <c r="B57" s="4" t="s">
        <v>66</v>
      </c>
      <c r="C57" s="2"/>
      <c r="D57" s="74">
        <v>2393.00689999999</v>
      </c>
      <c r="E57" s="74">
        <v>66784.6072999999</v>
      </c>
      <c r="F57" s="76">
        <f t="shared" si="4"/>
        <v>69177.6142</v>
      </c>
      <c r="G57" s="2"/>
      <c r="H57" s="2"/>
      <c r="I57" s="2"/>
      <c r="J57" s="76">
        <f t="shared" si="5"/>
        <v>69177.6142</v>
      </c>
      <c r="K57" s="98">
        <v>5449.0</v>
      </c>
      <c r="L57" s="2"/>
      <c r="M57" s="2"/>
      <c r="N57" s="2"/>
      <c r="O57" s="2"/>
      <c r="P57" s="2"/>
      <c r="Q57" s="99">
        <v>6.8673</v>
      </c>
      <c r="R57" s="99">
        <v>6.4814</v>
      </c>
      <c r="S57" s="2"/>
      <c r="T57" s="74">
        <v>906.972199999999</v>
      </c>
      <c r="U57" s="88" t="s">
        <v>109</v>
      </c>
      <c r="V57" s="88" t="s">
        <v>109</v>
      </c>
      <c r="W57" s="88" t="s">
        <v>109</v>
      </c>
      <c r="X57" s="2"/>
      <c r="Y57" s="74">
        <v>21491.1144</v>
      </c>
      <c r="Z57" s="98">
        <v>96.0</v>
      </c>
      <c r="AA57" s="2"/>
      <c r="AB57" s="2"/>
      <c r="AC57" s="2"/>
      <c r="AD57" s="2"/>
      <c r="AE57" s="2"/>
      <c r="AF57" s="2"/>
      <c r="AG57" s="2"/>
      <c r="AH57" s="2"/>
      <c r="AI57" s="2"/>
      <c r="AJ57" s="2"/>
    </row>
    <row r="58" ht="12.0" customHeight="1">
      <c r="A58" s="2"/>
      <c r="B58" s="4" t="s">
        <v>74</v>
      </c>
      <c r="C58" s="2"/>
      <c r="D58" s="74">
        <v>1750.44809999999</v>
      </c>
      <c r="E58" s="74">
        <v>64565.6259</v>
      </c>
      <c r="F58" s="76">
        <f t="shared" si="4"/>
        <v>66316.074</v>
      </c>
      <c r="G58" s="2"/>
      <c r="H58" s="74">
        <v>415.325</v>
      </c>
      <c r="I58" s="2"/>
      <c r="J58" s="76">
        <f t="shared" si="5"/>
        <v>66731.399</v>
      </c>
      <c r="K58" s="98">
        <v>5477.0</v>
      </c>
      <c r="L58" s="2"/>
      <c r="M58" s="2"/>
      <c r="N58" s="2"/>
      <c r="O58" s="2"/>
      <c r="P58" s="2"/>
      <c r="Q58" s="99">
        <v>6.4932</v>
      </c>
      <c r="R58" s="99">
        <v>6.4854</v>
      </c>
      <c r="S58" s="2"/>
      <c r="T58" s="74">
        <v>895.6027</v>
      </c>
      <c r="U58" s="88" t="s">
        <v>109</v>
      </c>
      <c r="V58" s="88" t="s">
        <v>109</v>
      </c>
      <c r="W58" s="88" t="s">
        <v>109</v>
      </c>
      <c r="X58" s="2"/>
      <c r="Y58" s="74">
        <v>15230.6070999999</v>
      </c>
      <c r="Z58" s="98">
        <v>73.0</v>
      </c>
      <c r="AA58" s="2"/>
      <c r="AB58" s="2"/>
      <c r="AC58" s="2"/>
      <c r="AD58" s="2"/>
      <c r="AE58" s="2"/>
      <c r="AF58" s="2"/>
      <c r="AG58" s="2"/>
      <c r="AH58" s="2"/>
      <c r="AI58" s="2"/>
      <c r="AJ58" s="2"/>
    </row>
    <row r="59" ht="12.0" customHeight="1">
      <c r="A59" s="2"/>
      <c r="B59" s="4" t="s">
        <v>75</v>
      </c>
      <c r="C59" s="2"/>
      <c r="D59" s="74">
        <v>644.1365</v>
      </c>
      <c r="E59" s="74">
        <v>69497.1421000001</v>
      </c>
      <c r="F59" s="76">
        <f t="shared" si="4"/>
        <v>70141.2786</v>
      </c>
      <c r="G59" s="2"/>
      <c r="H59" s="74">
        <v>62.3454</v>
      </c>
      <c r="I59" s="2"/>
      <c r="J59" s="76">
        <f t="shared" si="5"/>
        <v>70203.624</v>
      </c>
      <c r="K59" s="98">
        <v>6103.0</v>
      </c>
      <c r="L59" s="2"/>
      <c r="M59" s="2"/>
      <c r="N59" s="2"/>
      <c r="O59" s="2"/>
      <c r="P59" s="2"/>
      <c r="Q59" s="99">
        <v>6.1884</v>
      </c>
      <c r="R59" s="99">
        <v>6.2127</v>
      </c>
      <c r="S59" s="2"/>
      <c r="T59" s="74">
        <v>793.6216</v>
      </c>
      <c r="U59" s="88" t="s">
        <v>109</v>
      </c>
      <c r="V59" s="88" t="s">
        <v>109</v>
      </c>
      <c r="W59" s="88" t="s">
        <v>109</v>
      </c>
      <c r="X59" s="2"/>
      <c r="Y59" s="74">
        <v>10825.6608999999</v>
      </c>
      <c r="Z59" s="98">
        <v>114.0</v>
      </c>
      <c r="AA59" s="2"/>
      <c r="AB59" s="2"/>
      <c r="AC59" s="2"/>
      <c r="AD59" s="2"/>
      <c r="AE59" s="2"/>
      <c r="AF59" s="2"/>
      <c r="AG59" s="2"/>
      <c r="AH59" s="2"/>
      <c r="AI59" s="2"/>
      <c r="AJ59" s="2"/>
    </row>
    <row r="60" ht="12.0" customHeight="1">
      <c r="A60" s="40">
        <v>1999.0</v>
      </c>
      <c r="B60" s="4" t="s">
        <v>58</v>
      </c>
      <c r="C60" s="2"/>
      <c r="D60" s="74">
        <v>1759.2389</v>
      </c>
      <c r="E60" s="74">
        <v>82518.548</v>
      </c>
      <c r="F60" s="76">
        <f t="shared" si="4"/>
        <v>84277.7869</v>
      </c>
      <c r="G60" s="2"/>
      <c r="H60" s="2"/>
      <c r="I60" s="2"/>
      <c r="J60" s="76">
        <f t="shared" si="5"/>
        <v>84277.7869</v>
      </c>
      <c r="K60" s="98">
        <v>6713.0</v>
      </c>
      <c r="L60" s="2"/>
      <c r="M60" s="2"/>
      <c r="N60" s="2"/>
      <c r="O60" s="2"/>
      <c r="P60" s="2"/>
      <c r="Q60" s="99">
        <v>6.9447</v>
      </c>
      <c r="R60" s="99">
        <v>6.2294</v>
      </c>
      <c r="S60" s="2"/>
      <c r="T60" s="74">
        <v>210.2986</v>
      </c>
      <c r="U60" s="88" t="s">
        <v>109</v>
      </c>
      <c r="V60" s="88" t="s">
        <v>109</v>
      </c>
      <c r="W60" s="88" t="s">
        <v>109</v>
      </c>
      <c r="X60" s="2"/>
      <c r="Y60" s="74">
        <v>7436.629</v>
      </c>
      <c r="Z60" s="98">
        <v>71.0</v>
      </c>
      <c r="AA60" s="2"/>
      <c r="AB60" s="2"/>
      <c r="AC60" s="2"/>
      <c r="AD60" s="2"/>
      <c r="AE60" s="2"/>
      <c r="AF60" s="2"/>
      <c r="AG60" s="2"/>
      <c r="AH60" s="2"/>
      <c r="AI60" s="2"/>
      <c r="AJ60" s="2"/>
    </row>
    <row r="61" ht="12.0" customHeight="1">
      <c r="A61" s="2"/>
      <c r="B61" s="4" t="s">
        <v>66</v>
      </c>
      <c r="C61" s="2"/>
      <c r="D61" s="74">
        <v>1384.6844</v>
      </c>
      <c r="E61" s="74">
        <v>65720.9810999997</v>
      </c>
      <c r="F61" s="76">
        <f t="shared" si="4"/>
        <v>67105.6655</v>
      </c>
      <c r="G61" s="2"/>
      <c r="H61" s="74">
        <v>277.885</v>
      </c>
      <c r="I61" s="2"/>
      <c r="J61" s="76">
        <f t="shared" si="5"/>
        <v>67383.5505</v>
      </c>
      <c r="K61" s="98">
        <v>6444.0</v>
      </c>
      <c r="L61" s="2"/>
      <c r="M61" s="2"/>
      <c r="N61" s="2"/>
      <c r="O61" s="2"/>
      <c r="P61" s="2"/>
      <c r="Q61" s="99">
        <v>6.5361</v>
      </c>
      <c r="R61" s="99">
        <v>6.3841</v>
      </c>
      <c r="S61" s="2"/>
      <c r="T61" s="74">
        <v>316.182</v>
      </c>
      <c r="U61" s="88" t="s">
        <v>109</v>
      </c>
      <c r="V61" s="88" t="s">
        <v>109</v>
      </c>
      <c r="W61" s="88" t="s">
        <v>109</v>
      </c>
      <c r="X61" s="2"/>
      <c r="Y61" s="74">
        <v>6676.73579999999</v>
      </c>
      <c r="Z61" s="98">
        <v>73.0</v>
      </c>
      <c r="AA61" s="2"/>
      <c r="AB61" s="2"/>
      <c r="AC61" s="2"/>
      <c r="AD61" s="2"/>
      <c r="AE61" s="2"/>
      <c r="AF61" s="2"/>
      <c r="AG61" s="2"/>
      <c r="AH61" s="2"/>
      <c r="AI61" s="2"/>
      <c r="AJ61" s="2"/>
    </row>
    <row r="62" ht="12.0" customHeight="1">
      <c r="A62" s="2"/>
      <c r="B62" s="4" t="s">
        <v>74</v>
      </c>
      <c r="C62" s="2"/>
      <c r="D62" s="74">
        <v>2015.62279999999</v>
      </c>
      <c r="E62" s="74">
        <v>45169.0344999999</v>
      </c>
      <c r="F62" s="76">
        <f t="shared" si="4"/>
        <v>47184.6573</v>
      </c>
      <c r="G62" s="2"/>
      <c r="H62" s="2"/>
      <c r="I62" s="2"/>
      <c r="J62" s="76">
        <f t="shared" si="5"/>
        <v>47184.6573</v>
      </c>
      <c r="K62" s="98">
        <v>4767.0</v>
      </c>
      <c r="L62" s="2"/>
      <c r="M62" s="2"/>
      <c r="N62" s="2"/>
      <c r="O62" s="2"/>
      <c r="P62" s="2"/>
      <c r="Q62" s="99">
        <v>6.519</v>
      </c>
      <c r="R62" s="99">
        <v>6.8334</v>
      </c>
      <c r="S62" s="2"/>
      <c r="T62" s="74">
        <v>1029.0081</v>
      </c>
      <c r="U62" s="88" t="s">
        <v>109</v>
      </c>
      <c r="V62" s="88" t="s">
        <v>109</v>
      </c>
      <c r="W62" s="88" t="s">
        <v>109</v>
      </c>
      <c r="X62" s="2"/>
      <c r="Y62" s="74">
        <v>3948.3282</v>
      </c>
      <c r="Z62" s="98">
        <v>84.0</v>
      </c>
      <c r="AA62" s="2"/>
      <c r="AB62" s="2"/>
      <c r="AC62" s="2"/>
      <c r="AD62" s="2"/>
      <c r="AE62" s="2"/>
      <c r="AF62" s="2"/>
      <c r="AG62" s="2"/>
      <c r="AH62" s="2"/>
      <c r="AI62" s="2"/>
      <c r="AJ62" s="2"/>
    </row>
    <row r="63" ht="12.0" customHeight="1">
      <c r="A63" s="2"/>
      <c r="B63" s="4" t="s">
        <v>75</v>
      </c>
      <c r="C63" s="2"/>
      <c r="D63" s="74">
        <v>3534.47459999999</v>
      </c>
      <c r="E63" s="74">
        <v>25818.0305999999</v>
      </c>
      <c r="F63" s="76">
        <f t="shared" si="4"/>
        <v>29352.5052</v>
      </c>
      <c r="G63" s="2"/>
      <c r="H63" s="74">
        <v>503.713</v>
      </c>
      <c r="I63" s="2"/>
      <c r="J63" s="76">
        <f t="shared" si="5"/>
        <v>29856.2182</v>
      </c>
      <c r="K63" s="98">
        <v>3190.0</v>
      </c>
      <c r="L63" s="2"/>
      <c r="M63" s="2"/>
      <c r="N63" s="2"/>
      <c r="O63" s="2"/>
      <c r="P63" s="2"/>
      <c r="Q63" s="99">
        <v>6.5781</v>
      </c>
      <c r="R63" s="99">
        <v>7.2966</v>
      </c>
      <c r="S63" s="2"/>
      <c r="T63" s="74">
        <v>513.445899999999</v>
      </c>
      <c r="U63" s="88" t="s">
        <v>109</v>
      </c>
      <c r="V63" s="88" t="s">
        <v>109</v>
      </c>
      <c r="W63" s="88" t="s">
        <v>109</v>
      </c>
      <c r="X63" s="2"/>
      <c r="Y63" s="74">
        <v>4735.1772</v>
      </c>
      <c r="Z63" s="98">
        <v>88.0</v>
      </c>
      <c r="AA63" s="2"/>
      <c r="AB63" s="2"/>
      <c r="AC63" s="2"/>
      <c r="AD63" s="2"/>
      <c r="AE63" s="2"/>
      <c r="AF63" s="2"/>
      <c r="AG63" s="2"/>
      <c r="AH63" s="2"/>
      <c r="AI63" s="2"/>
      <c r="AJ63" s="2"/>
    </row>
    <row r="64" ht="12.0" customHeight="1">
      <c r="A64" s="40">
        <v>2000.0</v>
      </c>
      <c r="B64" s="4" t="s">
        <v>58</v>
      </c>
      <c r="C64" s="2"/>
      <c r="D64" s="74">
        <v>1396.2015</v>
      </c>
      <c r="E64" s="74">
        <v>25636.2554</v>
      </c>
      <c r="F64" s="76">
        <f t="shared" si="4"/>
        <v>27032.4569</v>
      </c>
      <c r="G64" s="2"/>
      <c r="H64" s="2"/>
      <c r="I64" s="2"/>
      <c r="J64" s="76">
        <f t="shared" si="5"/>
        <v>27032.4569</v>
      </c>
      <c r="K64" s="98">
        <v>3120.0</v>
      </c>
      <c r="L64" s="2"/>
      <c r="M64" s="2"/>
      <c r="N64" s="2"/>
      <c r="O64" s="2"/>
      <c r="P64" s="2"/>
      <c r="Q64" s="99">
        <v>6.8243</v>
      </c>
      <c r="R64" s="99">
        <v>7.3949</v>
      </c>
      <c r="S64" s="2"/>
      <c r="T64" s="74">
        <v>623.6652</v>
      </c>
      <c r="U64" s="88" t="s">
        <v>109</v>
      </c>
      <c r="V64" s="88" t="s">
        <v>109</v>
      </c>
      <c r="W64" s="88" t="s">
        <v>109</v>
      </c>
      <c r="X64" s="2"/>
      <c r="Y64" s="74">
        <v>2776.9801</v>
      </c>
      <c r="Z64" s="98">
        <v>69.0</v>
      </c>
      <c r="AA64" s="2"/>
      <c r="AB64" s="2"/>
      <c r="AC64" s="2"/>
      <c r="AD64" s="2"/>
      <c r="AE64" s="2"/>
      <c r="AF64" s="2"/>
      <c r="AG64" s="2"/>
      <c r="AH64" s="2"/>
      <c r="AI64" s="2"/>
      <c r="AJ64" s="2"/>
    </row>
    <row r="65" ht="12.0" customHeight="1">
      <c r="A65" s="2"/>
      <c r="B65" s="4" t="s">
        <v>66</v>
      </c>
      <c r="C65" s="2"/>
      <c r="D65" s="74">
        <v>2334.11939999999</v>
      </c>
      <c r="E65" s="74">
        <v>29774.1934</v>
      </c>
      <c r="F65" s="76">
        <f t="shared" si="4"/>
        <v>32108.3128</v>
      </c>
      <c r="G65" s="2"/>
      <c r="H65" s="74">
        <v>171.5</v>
      </c>
      <c r="I65" s="2"/>
      <c r="J65" s="76">
        <f t="shared" si="5"/>
        <v>32279.8128</v>
      </c>
      <c r="K65" s="98">
        <v>3248.0</v>
      </c>
      <c r="L65" s="2"/>
      <c r="M65" s="2"/>
      <c r="N65" s="2"/>
      <c r="O65" s="2"/>
      <c r="P65" s="2"/>
      <c r="Q65" s="99">
        <v>7.1331</v>
      </c>
      <c r="R65" s="99">
        <v>7.5021</v>
      </c>
      <c r="S65" s="2"/>
      <c r="T65" s="74">
        <v>2499.9653</v>
      </c>
      <c r="U65" s="88" t="s">
        <v>109</v>
      </c>
      <c r="V65" s="88" t="s">
        <v>109</v>
      </c>
      <c r="W65" s="88" t="s">
        <v>109</v>
      </c>
      <c r="X65" s="2"/>
      <c r="Y65" s="74">
        <v>4156.1595</v>
      </c>
      <c r="Z65" s="98">
        <v>79.0</v>
      </c>
      <c r="AA65" s="2"/>
      <c r="AB65" s="2"/>
      <c r="AC65" s="2"/>
      <c r="AD65" s="2"/>
      <c r="AE65" s="2"/>
      <c r="AF65" s="2"/>
      <c r="AG65" s="2"/>
      <c r="AH65" s="2"/>
      <c r="AI65" s="2"/>
      <c r="AJ65" s="2"/>
    </row>
    <row r="66" ht="12.0" customHeight="1">
      <c r="A66" s="2"/>
      <c r="B66" s="4" t="s">
        <v>74</v>
      </c>
      <c r="C66" s="2"/>
      <c r="D66" s="74">
        <v>4162.3332</v>
      </c>
      <c r="E66" s="74">
        <v>40577.4704999999</v>
      </c>
      <c r="F66" s="76">
        <f t="shared" si="4"/>
        <v>44739.8037</v>
      </c>
      <c r="G66" s="2"/>
      <c r="H66" s="74">
        <v>89.54</v>
      </c>
      <c r="I66" s="2"/>
      <c r="J66" s="76">
        <f t="shared" si="5"/>
        <v>44829.3437</v>
      </c>
      <c r="K66" s="98">
        <v>4124.0</v>
      </c>
      <c r="L66" s="2"/>
      <c r="M66" s="2"/>
      <c r="N66" s="2"/>
      <c r="O66" s="2"/>
      <c r="P66" s="2"/>
      <c r="Q66" s="99">
        <v>7.4827</v>
      </c>
      <c r="R66" s="99">
        <v>7.4723</v>
      </c>
      <c r="S66" s="2"/>
      <c r="T66" s="74">
        <v>6737.8556</v>
      </c>
      <c r="U66" s="88" t="s">
        <v>109</v>
      </c>
      <c r="V66" s="88" t="s">
        <v>109</v>
      </c>
      <c r="W66" s="88" t="s">
        <v>109</v>
      </c>
      <c r="X66" s="2"/>
      <c r="Y66" s="74">
        <v>6552.60359999999</v>
      </c>
      <c r="Z66" s="98">
        <v>81.0</v>
      </c>
      <c r="AA66" s="2"/>
      <c r="AB66" s="2"/>
      <c r="AC66" s="2"/>
      <c r="AD66" s="2"/>
      <c r="AE66" s="2"/>
      <c r="AF66" s="2"/>
      <c r="AG66" s="2"/>
      <c r="AH66" s="2"/>
      <c r="AI66" s="2"/>
      <c r="AJ66" s="2"/>
    </row>
    <row r="67" ht="12.0" customHeight="1">
      <c r="A67" s="2"/>
      <c r="B67" s="4" t="s">
        <v>75</v>
      </c>
      <c r="C67" s="2"/>
      <c r="D67" s="74">
        <v>11962.0587999999</v>
      </c>
      <c r="E67" s="74">
        <v>43690.1416999999</v>
      </c>
      <c r="F67" s="76">
        <f t="shared" si="4"/>
        <v>55652.2005</v>
      </c>
      <c r="G67" s="2"/>
      <c r="H67" s="74">
        <v>231.0</v>
      </c>
      <c r="I67" s="2"/>
      <c r="J67" s="76">
        <f t="shared" si="5"/>
        <v>55883.2005</v>
      </c>
      <c r="K67" s="98">
        <v>4241.0</v>
      </c>
      <c r="L67" s="2"/>
      <c r="M67" s="2"/>
      <c r="N67" s="2"/>
      <c r="O67" s="2"/>
      <c r="P67" s="2"/>
      <c r="Q67" s="99">
        <v>6.993</v>
      </c>
      <c r="R67" s="99">
        <v>7.2795</v>
      </c>
      <c r="S67" s="2"/>
      <c r="T67" s="74">
        <v>6158.8623</v>
      </c>
      <c r="U67" s="88" t="s">
        <v>109</v>
      </c>
      <c r="V67" s="88" t="s">
        <v>109</v>
      </c>
      <c r="W67" s="88" t="s">
        <v>109</v>
      </c>
      <c r="X67" s="2"/>
      <c r="Y67" s="74">
        <v>7045.8869</v>
      </c>
      <c r="Z67" s="98">
        <v>97.0</v>
      </c>
      <c r="AA67" s="2"/>
      <c r="AB67" s="2"/>
      <c r="AC67" s="2"/>
      <c r="AD67" s="2"/>
      <c r="AE67" s="2"/>
      <c r="AF67" s="2"/>
      <c r="AG67" s="2"/>
      <c r="AH67" s="2"/>
      <c r="AI67" s="2"/>
      <c r="AJ67" s="2"/>
    </row>
    <row r="68" ht="12.0" customHeight="1">
      <c r="A68" s="40">
        <v>2001.0</v>
      </c>
      <c r="B68" s="4" t="s">
        <v>58</v>
      </c>
      <c r="C68" s="2"/>
      <c r="D68" s="74">
        <v>3220.4555</v>
      </c>
      <c r="E68" s="74">
        <v>49487.3733</v>
      </c>
      <c r="F68" s="76">
        <f t="shared" si="4"/>
        <v>52707.8288</v>
      </c>
      <c r="G68" s="2"/>
      <c r="H68" s="74">
        <v>143.8</v>
      </c>
      <c r="I68" s="2"/>
      <c r="J68" s="76">
        <f t="shared" si="5"/>
        <v>52851.6288</v>
      </c>
      <c r="K68" s="98">
        <v>4213.0</v>
      </c>
      <c r="L68" s="2"/>
      <c r="M68" s="2"/>
      <c r="N68" s="2"/>
      <c r="O68" s="2"/>
      <c r="P68" s="2"/>
      <c r="Q68" s="99">
        <v>7.0958</v>
      </c>
      <c r="R68" s="99">
        <v>6.7251</v>
      </c>
      <c r="S68" s="2"/>
      <c r="T68" s="74">
        <v>3274.73669999999</v>
      </c>
      <c r="U68" s="88" t="s">
        <v>109</v>
      </c>
      <c r="V68" s="88" t="s">
        <v>109</v>
      </c>
      <c r="W68" s="88" t="s">
        <v>109</v>
      </c>
      <c r="X68" s="2"/>
      <c r="Y68" s="74">
        <v>39125.2073</v>
      </c>
      <c r="Z68" s="98">
        <v>155.0</v>
      </c>
      <c r="AA68" s="2"/>
      <c r="AB68" s="2"/>
      <c r="AC68" s="2"/>
      <c r="AD68" s="2"/>
      <c r="AE68" s="2"/>
      <c r="AF68" s="2"/>
      <c r="AG68" s="2"/>
      <c r="AH68" s="2"/>
      <c r="AI68" s="2"/>
      <c r="AJ68" s="2"/>
    </row>
    <row r="69" ht="12.0" customHeight="1">
      <c r="A69" s="2"/>
      <c r="B69" s="4" t="s">
        <v>66</v>
      </c>
      <c r="C69" s="2"/>
      <c r="D69" s="74">
        <v>3548.7651</v>
      </c>
      <c r="E69" s="74">
        <v>98164.8727000002</v>
      </c>
      <c r="F69" s="76">
        <f t="shared" si="4"/>
        <v>101713.6378</v>
      </c>
      <c r="G69" s="2"/>
      <c r="H69" s="2"/>
      <c r="I69" s="2"/>
      <c r="J69" s="76">
        <f t="shared" si="5"/>
        <v>101713.6378</v>
      </c>
      <c r="K69" s="98">
        <v>6191.0</v>
      </c>
      <c r="L69" s="2"/>
      <c r="M69" s="2"/>
      <c r="N69" s="2"/>
      <c r="O69" s="2"/>
      <c r="P69" s="2"/>
      <c r="Q69" s="99">
        <v>6.6329</v>
      </c>
      <c r="R69" s="99">
        <v>6.4446</v>
      </c>
      <c r="S69" s="2"/>
      <c r="T69" s="74">
        <v>2694.4336</v>
      </c>
      <c r="U69" s="88" t="s">
        <v>109</v>
      </c>
      <c r="V69" s="88" t="s">
        <v>109</v>
      </c>
      <c r="W69" s="88" t="s">
        <v>109</v>
      </c>
      <c r="X69" s="2"/>
      <c r="Y69" s="74">
        <v>29971.7734999999</v>
      </c>
      <c r="Z69" s="98">
        <v>167.0</v>
      </c>
      <c r="AA69" s="2"/>
      <c r="AB69" s="2"/>
      <c r="AC69" s="2"/>
      <c r="AD69" s="2"/>
      <c r="AE69" s="2"/>
      <c r="AF69" s="2"/>
      <c r="AG69" s="2"/>
      <c r="AH69" s="2"/>
      <c r="AI69" s="2"/>
      <c r="AJ69" s="2"/>
    </row>
    <row r="70" ht="12.0" customHeight="1">
      <c r="A70" s="2"/>
      <c r="B70" s="4" t="s">
        <v>74</v>
      </c>
      <c r="C70" s="2"/>
      <c r="D70" s="74">
        <v>8868.82399999999</v>
      </c>
      <c r="E70" s="74">
        <v>99715.6789000002</v>
      </c>
      <c r="F70" s="76">
        <f t="shared" si="4"/>
        <v>108584.5029</v>
      </c>
      <c r="G70" s="2"/>
      <c r="H70" s="2"/>
      <c r="I70" s="2"/>
      <c r="J70" s="76">
        <f t="shared" si="5"/>
        <v>108584.5029</v>
      </c>
      <c r="K70" s="98">
        <v>5873.0</v>
      </c>
      <c r="L70" s="2"/>
      <c r="M70" s="2"/>
      <c r="N70" s="2"/>
      <c r="O70" s="2"/>
      <c r="P70" s="2"/>
      <c r="Q70" s="99">
        <v>6.5677</v>
      </c>
      <c r="R70" s="99">
        <v>6.5304</v>
      </c>
      <c r="S70" s="2"/>
      <c r="T70" s="74">
        <v>3756.59749999999</v>
      </c>
      <c r="U70" s="88" t="s">
        <v>109</v>
      </c>
      <c r="V70" s="88" t="s">
        <v>109</v>
      </c>
      <c r="W70" s="88" t="s">
        <v>109</v>
      </c>
      <c r="X70" s="2"/>
      <c r="Y70" s="74">
        <v>24231.7224</v>
      </c>
      <c r="Z70" s="98">
        <v>94.0</v>
      </c>
      <c r="AA70" s="2"/>
      <c r="AB70" s="2"/>
      <c r="AC70" s="2"/>
      <c r="AD70" s="2"/>
      <c r="AE70" s="2"/>
      <c r="AF70" s="2"/>
      <c r="AG70" s="2"/>
      <c r="AH70" s="2"/>
      <c r="AI70" s="2"/>
      <c r="AJ70" s="2"/>
    </row>
    <row r="71" ht="12.0" customHeight="1">
      <c r="A71" s="2"/>
      <c r="B71" s="4" t="s">
        <v>75</v>
      </c>
      <c r="C71" s="2"/>
      <c r="D71" s="74">
        <v>7176.9313</v>
      </c>
      <c r="E71" s="74">
        <v>109273.289199999</v>
      </c>
      <c r="F71" s="76">
        <f t="shared" si="4"/>
        <v>116450.2205</v>
      </c>
      <c r="G71" s="2"/>
      <c r="H71" s="74">
        <v>1359.66549999999</v>
      </c>
      <c r="I71" s="2"/>
      <c r="J71" s="76">
        <f t="shared" si="5"/>
        <v>117809.886</v>
      </c>
      <c r="K71" s="98">
        <v>5770.0</v>
      </c>
      <c r="L71" s="2"/>
      <c r="M71" s="2"/>
      <c r="N71" s="2"/>
      <c r="O71" s="2"/>
      <c r="P71" s="2"/>
      <c r="Q71" s="99">
        <v>5.7766</v>
      </c>
      <c r="R71" s="99">
        <v>6.1678</v>
      </c>
      <c r="S71" s="2"/>
      <c r="T71" s="74">
        <v>3181.3794</v>
      </c>
      <c r="U71" s="88" t="s">
        <v>109</v>
      </c>
      <c r="V71" s="88" t="s">
        <v>109</v>
      </c>
      <c r="W71" s="88" t="s">
        <v>109</v>
      </c>
      <c r="X71" s="2"/>
      <c r="Y71" s="74">
        <v>17091.8688</v>
      </c>
      <c r="Z71" s="98">
        <v>103.0</v>
      </c>
      <c r="AA71" s="2"/>
      <c r="AB71" s="2"/>
      <c r="AC71" s="2"/>
      <c r="AD71" s="2"/>
      <c r="AE71" s="2"/>
      <c r="AF71" s="2"/>
      <c r="AG71" s="2"/>
      <c r="AH71" s="2"/>
      <c r="AI71" s="2"/>
      <c r="AJ71" s="2"/>
    </row>
    <row r="72" ht="12.0" customHeight="1">
      <c r="A72" s="40">
        <v>2002.0</v>
      </c>
      <c r="B72" s="4" t="s">
        <v>58</v>
      </c>
      <c r="C72" s="2"/>
      <c r="D72" s="74">
        <v>9748.46370000001</v>
      </c>
      <c r="E72" s="74">
        <v>127204.396799999</v>
      </c>
      <c r="F72" s="76">
        <f t="shared" si="4"/>
        <v>136952.8605</v>
      </c>
      <c r="G72" s="2"/>
      <c r="H72" s="2"/>
      <c r="I72" s="2"/>
      <c r="J72" s="76">
        <f t="shared" si="5"/>
        <v>136952.8605</v>
      </c>
      <c r="K72" s="98">
        <v>5660.0</v>
      </c>
      <c r="L72" s="2"/>
      <c r="M72" s="2"/>
      <c r="N72" s="2"/>
      <c r="O72" s="2"/>
      <c r="P72" s="2"/>
      <c r="Q72" s="99">
        <v>5.5524</v>
      </c>
      <c r="R72" s="99">
        <v>6.1075</v>
      </c>
      <c r="S72" s="2"/>
      <c r="T72" s="74">
        <v>1031.7318</v>
      </c>
      <c r="U72" s="88" t="s">
        <v>109</v>
      </c>
      <c r="V72" s="88" t="s">
        <v>109</v>
      </c>
      <c r="W72" s="88" t="s">
        <v>109</v>
      </c>
      <c r="X72" s="2"/>
      <c r="Y72" s="74">
        <v>30834.7415999999</v>
      </c>
      <c r="Z72" s="98">
        <v>105.0</v>
      </c>
      <c r="AA72" s="2"/>
      <c r="AB72" s="2"/>
      <c r="AC72" s="2"/>
      <c r="AD72" s="2"/>
      <c r="AE72" s="2"/>
      <c r="AF72" s="2"/>
      <c r="AG72" s="2"/>
      <c r="AH72" s="2"/>
      <c r="AI72" s="2"/>
      <c r="AJ72" s="2"/>
    </row>
    <row r="73" ht="12.0" customHeight="1">
      <c r="A73" s="2"/>
      <c r="B73" s="4" t="s">
        <v>66</v>
      </c>
      <c r="C73" s="2"/>
      <c r="D73" s="74">
        <v>10001.0412999999</v>
      </c>
      <c r="E73" s="74">
        <v>89531.7440999999</v>
      </c>
      <c r="F73" s="76">
        <f t="shared" si="4"/>
        <v>99532.7854</v>
      </c>
      <c r="G73" s="2"/>
      <c r="H73" s="2"/>
      <c r="I73" s="2"/>
      <c r="J73" s="76">
        <f t="shared" si="5"/>
        <v>99532.7854</v>
      </c>
      <c r="K73" s="98">
        <v>5267.0</v>
      </c>
      <c r="L73" s="2"/>
      <c r="M73" s="2"/>
      <c r="N73" s="2"/>
      <c r="O73" s="2"/>
      <c r="P73" s="2"/>
      <c r="Q73" s="99">
        <v>5.5161</v>
      </c>
      <c r="R73" s="99">
        <v>6.3228</v>
      </c>
      <c r="S73" s="2"/>
      <c r="T73" s="74">
        <v>1209.5698</v>
      </c>
      <c r="U73" s="88" t="s">
        <v>109</v>
      </c>
      <c r="V73" s="88" t="s">
        <v>109</v>
      </c>
      <c r="W73" s="88" t="s">
        <v>109</v>
      </c>
      <c r="X73" s="2"/>
      <c r="Y73" s="74">
        <v>26931.4867</v>
      </c>
      <c r="Z73" s="98">
        <v>105.0</v>
      </c>
      <c r="AA73" s="2"/>
      <c r="AB73" s="2"/>
      <c r="AC73" s="2"/>
      <c r="AD73" s="2"/>
      <c r="AE73" s="2"/>
      <c r="AF73" s="2"/>
      <c r="AG73" s="2"/>
      <c r="AH73" s="2"/>
      <c r="AI73" s="2"/>
      <c r="AJ73" s="2"/>
    </row>
    <row r="74" ht="12.0" customHeight="1">
      <c r="A74" s="2"/>
      <c r="B74" s="4" t="s">
        <v>74</v>
      </c>
      <c r="C74" s="2"/>
      <c r="D74" s="74">
        <v>12360.0491999999</v>
      </c>
      <c r="E74" s="74">
        <v>93618.3376</v>
      </c>
      <c r="F74" s="76">
        <f t="shared" si="4"/>
        <v>105978.3868</v>
      </c>
      <c r="G74" s="2"/>
      <c r="H74" s="2"/>
      <c r="I74" s="2"/>
      <c r="J74" s="76">
        <f t="shared" si="5"/>
        <v>105978.3868</v>
      </c>
      <c r="K74" s="98">
        <v>4887.0</v>
      </c>
      <c r="L74" s="2"/>
      <c r="M74" s="2"/>
      <c r="N74" s="2"/>
      <c r="O74" s="2"/>
      <c r="P74" s="2"/>
      <c r="Q74" s="99">
        <v>5.1277</v>
      </c>
      <c r="R74" s="99">
        <v>5.9814</v>
      </c>
      <c r="S74" s="2"/>
      <c r="T74" s="74">
        <v>577.5902</v>
      </c>
      <c r="U74" s="88" t="s">
        <v>109</v>
      </c>
      <c r="V74" s="88" t="s">
        <v>109</v>
      </c>
      <c r="W74" s="88" t="s">
        <v>109</v>
      </c>
      <c r="X74" s="2"/>
      <c r="Y74" s="74">
        <v>20373.0211</v>
      </c>
      <c r="Z74" s="98">
        <v>89.0</v>
      </c>
      <c r="AA74" s="2"/>
      <c r="AB74" s="2"/>
      <c r="AC74" s="2"/>
      <c r="AD74" s="2"/>
      <c r="AE74" s="2"/>
      <c r="AF74" s="2"/>
      <c r="AG74" s="2"/>
      <c r="AH74" s="2"/>
      <c r="AI74" s="2"/>
      <c r="AJ74" s="2"/>
    </row>
    <row r="75" ht="12.0" customHeight="1">
      <c r="A75" s="2"/>
      <c r="B75" s="4" t="s">
        <v>75</v>
      </c>
      <c r="C75" s="2"/>
      <c r="D75" s="74">
        <v>13370.7456</v>
      </c>
      <c r="E75" s="74">
        <v>175424.721499999</v>
      </c>
      <c r="F75" s="76">
        <f t="shared" si="4"/>
        <v>188795.4671</v>
      </c>
      <c r="G75" s="2"/>
      <c r="H75" s="74">
        <v>1858.9673</v>
      </c>
      <c r="I75" s="2"/>
      <c r="J75" s="76">
        <f t="shared" si="5"/>
        <v>190654.4344</v>
      </c>
      <c r="K75" s="98">
        <v>6464.0</v>
      </c>
      <c r="L75" s="2"/>
      <c r="M75" s="2"/>
      <c r="N75" s="2"/>
      <c r="O75" s="2"/>
      <c r="P75" s="2"/>
      <c r="Q75" s="99">
        <v>4.7428</v>
      </c>
      <c r="R75" s="99">
        <v>5.4905</v>
      </c>
      <c r="S75" s="2"/>
      <c r="T75" s="74">
        <v>2826.7494</v>
      </c>
      <c r="U75" s="88" t="s">
        <v>109</v>
      </c>
      <c r="V75" s="88" t="s">
        <v>109</v>
      </c>
      <c r="W75" s="88" t="s">
        <v>109</v>
      </c>
      <c r="X75" s="2"/>
      <c r="Y75" s="74">
        <v>15167.1645</v>
      </c>
      <c r="Z75" s="98">
        <v>118.0</v>
      </c>
      <c r="AA75" s="2"/>
      <c r="AB75" s="2"/>
      <c r="AC75" s="2"/>
      <c r="AD75" s="2"/>
      <c r="AE75" s="2"/>
      <c r="AF75" s="2"/>
      <c r="AG75" s="2"/>
      <c r="AH75" s="2"/>
      <c r="AI75" s="2"/>
      <c r="AJ75" s="2"/>
    </row>
    <row r="76" ht="12.0" customHeight="1">
      <c r="A76" s="40">
        <v>2003.0</v>
      </c>
      <c r="B76" s="4" t="s">
        <v>58</v>
      </c>
      <c r="C76" s="2"/>
      <c r="D76" s="74">
        <v>11643.0207</v>
      </c>
      <c r="E76" s="74">
        <v>136325.510199999</v>
      </c>
      <c r="F76" s="76">
        <f t="shared" si="4"/>
        <v>147968.5309</v>
      </c>
      <c r="G76" s="2"/>
      <c r="H76" s="2"/>
      <c r="I76" s="2"/>
      <c r="J76" s="76">
        <f t="shared" si="5"/>
        <v>147968.5309</v>
      </c>
      <c r="K76" s="98">
        <v>5183.0</v>
      </c>
      <c r="L76" s="2"/>
      <c r="M76" s="2"/>
      <c r="N76" s="2"/>
      <c r="O76" s="2"/>
      <c r="P76" s="2"/>
      <c r="Q76" s="99">
        <v>4.2107</v>
      </c>
      <c r="R76" s="99">
        <v>5.3038</v>
      </c>
      <c r="S76" s="2"/>
      <c r="T76" s="74">
        <v>1410.8733</v>
      </c>
      <c r="U76" s="88" t="s">
        <v>109</v>
      </c>
      <c r="V76" s="88" t="s">
        <v>109</v>
      </c>
      <c r="W76" s="88" t="s">
        <v>109</v>
      </c>
      <c r="X76" s="2"/>
      <c r="Y76" s="74">
        <v>18917.0925</v>
      </c>
      <c r="Z76" s="98">
        <v>99.0</v>
      </c>
      <c r="AA76" s="2"/>
      <c r="AB76" s="2"/>
      <c r="AC76" s="2"/>
      <c r="AD76" s="2"/>
      <c r="AE76" s="2"/>
      <c r="AF76" s="2"/>
      <c r="AG76" s="2"/>
      <c r="AH76" s="2"/>
      <c r="AI76" s="2"/>
      <c r="AJ76" s="2"/>
    </row>
    <row r="77" ht="12.0" customHeight="1">
      <c r="A77" s="2"/>
      <c r="B77" s="4" t="s">
        <v>66</v>
      </c>
      <c r="C77" s="2"/>
      <c r="D77" s="74">
        <v>14045.9698999999</v>
      </c>
      <c r="E77" s="74">
        <v>161000.501899999</v>
      </c>
      <c r="F77" s="76">
        <f t="shared" si="4"/>
        <v>175046.4718</v>
      </c>
      <c r="G77" s="2"/>
      <c r="H77" s="2"/>
      <c r="I77" s="2"/>
      <c r="J77" s="76">
        <f t="shared" si="5"/>
        <v>175046.4718</v>
      </c>
      <c r="K77" s="98">
        <v>5353.0</v>
      </c>
      <c r="L77" s="2"/>
      <c r="M77" s="2"/>
      <c r="N77" s="2"/>
      <c r="O77" s="2"/>
      <c r="P77" s="2"/>
      <c r="Q77" s="99">
        <v>4.1246</v>
      </c>
      <c r="R77" s="99">
        <v>4.9853</v>
      </c>
      <c r="S77" s="2"/>
      <c r="T77" s="74">
        <v>911.945199999999</v>
      </c>
      <c r="U77" s="88" t="s">
        <v>109</v>
      </c>
      <c r="V77" s="88" t="s">
        <v>109</v>
      </c>
      <c r="W77" s="88" t="s">
        <v>109</v>
      </c>
      <c r="X77" s="2"/>
      <c r="Y77" s="74">
        <v>22277.8133</v>
      </c>
      <c r="Z77" s="98">
        <v>118.0</v>
      </c>
      <c r="AA77" s="2"/>
      <c r="AB77" s="2"/>
      <c r="AC77" s="2"/>
      <c r="AD77" s="2"/>
      <c r="AE77" s="2"/>
      <c r="AF77" s="2"/>
      <c r="AG77" s="2"/>
      <c r="AH77" s="2"/>
      <c r="AI77" s="2"/>
      <c r="AJ77" s="2"/>
    </row>
    <row r="78" ht="12.0" customHeight="1">
      <c r="A78" s="2"/>
      <c r="B78" s="4" t="s">
        <v>74</v>
      </c>
      <c r="C78" s="2"/>
      <c r="D78" s="74">
        <v>16110.1525</v>
      </c>
      <c r="E78" s="74">
        <v>225577.064199999</v>
      </c>
      <c r="F78" s="76">
        <f t="shared" si="4"/>
        <v>241687.2167</v>
      </c>
      <c r="G78" s="2"/>
      <c r="H78" s="74">
        <v>3277.4823</v>
      </c>
      <c r="I78" s="2"/>
      <c r="J78" s="76">
        <f t="shared" si="5"/>
        <v>244964.699</v>
      </c>
      <c r="K78" s="98">
        <v>6747.0</v>
      </c>
      <c r="L78" s="2"/>
      <c r="M78" s="2"/>
      <c r="N78" s="2"/>
      <c r="O78" s="2"/>
      <c r="P78" s="2"/>
      <c r="Q78" s="99">
        <v>3.8408</v>
      </c>
      <c r="R78" s="99">
        <v>4.7664</v>
      </c>
      <c r="S78" s="2"/>
      <c r="T78" s="74">
        <v>3974.1673</v>
      </c>
      <c r="U78" s="100">
        <v>726.0</v>
      </c>
      <c r="V78" s="100">
        <v>66.9672</v>
      </c>
      <c r="W78" s="88" t="s">
        <v>109</v>
      </c>
      <c r="X78" s="2"/>
      <c r="Y78" s="74">
        <v>11916.4531</v>
      </c>
      <c r="Z78" s="98">
        <v>90.0</v>
      </c>
      <c r="AA78" s="2"/>
      <c r="AB78" s="2"/>
      <c r="AC78" s="2"/>
      <c r="AD78" s="2"/>
      <c r="AE78" s="2"/>
      <c r="AF78" s="2"/>
      <c r="AG78" s="2"/>
      <c r="AH78" s="2"/>
      <c r="AI78" s="2"/>
      <c r="AJ78" s="2"/>
    </row>
    <row r="79" ht="12.0" customHeight="1">
      <c r="A79" s="2"/>
      <c r="B79" s="4" t="s">
        <v>75</v>
      </c>
      <c r="C79" s="2"/>
      <c r="D79" s="74">
        <v>12222.2087</v>
      </c>
      <c r="E79" s="74">
        <v>123611.2711</v>
      </c>
      <c r="F79" s="76">
        <f t="shared" si="4"/>
        <v>135833.4798</v>
      </c>
      <c r="G79" s="2"/>
      <c r="H79" s="74">
        <v>4514.737</v>
      </c>
      <c r="I79" s="2"/>
      <c r="J79" s="76">
        <f t="shared" si="5"/>
        <v>140348.2168</v>
      </c>
      <c r="K79" s="98">
        <v>5527.0</v>
      </c>
      <c r="L79" s="2"/>
      <c r="M79" s="2"/>
      <c r="N79" s="2"/>
      <c r="O79" s="2"/>
      <c r="P79" s="2"/>
      <c r="Q79" s="99">
        <v>4.1341</v>
      </c>
      <c r="R79" s="99">
        <v>5.1352</v>
      </c>
      <c r="S79" s="2"/>
      <c r="T79" s="74">
        <v>6124.90049999999</v>
      </c>
      <c r="U79" s="100">
        <v>714.0</v>
      </c>
      <c r="V79" s="100">
        <v>69.2098</v>
      </c>
      <c r="W79" s="88" t="s">
        <v>109</v>
      </c>
      <c r="X79" s="2"/>
      <c r="Y79" s="74">
        <v>10951.2336999999</v>
      </c>
      <c r="Z79" s="98">
        <v>114.0</v>
      </c>
      <c r="AA79" s="2"/>
      <c r="AB79" s="2"/>
      <c r="AC79" s="2"/>
      <c r="AD79" s="2"/>
      <c r="AE79" s="2"/>
      <c r="AF79" s="2"/>
      <c r="AG79" s="2"/>
      <c r="AH79" s="2"/>
      <c r="AI79" s="2"/>
      <c r="AJ79" s="2"/>
    </row>
    <row r="80" ht="12.0" customHeight="1">
      <c r="A80" s="40">
        <v>2004.0</v>
      </c>
      <c r="B80" s="4" t="s">
        <v>58</v>
      </c>
      <c r="C80" s="2"/>
      <c r="D80" s="74">
        <v>9679.09329999999</v>
      </c>
      <c r="E80" s="74">
        <v>77473.1189999998</v>
      </c>
      <c r="F80" s="76">
        <f t="shared" si="4"/>
        <v>87152.2123</v>
      </c>
      <c r="G80" s="2"/>
      <c r="H80" s="74">
        <v>2763.0146</v>
      </c>
      <c r="I80" s="2"/>
      <c r="J80" s="76">
        <f t="shared" si="5"/>
        <v>89915.2269</v>
      </c>
      <c r="K80" s="98">
        <v>4832.0</v>
      </c>
      <c r="L80" s="2"/>
      <c r="M80" s="2"/>
      <c r="N80" s="2"/>
      <c r="O80" s="2"/>
      <c r="P80" s="2"/>
      <c r="Q80" s="99">
        <v>4.048</v>
      </c>
      <c r="R80" s="99">
        <v>5.145</v>
      </c>
      <c r="S80" s="2"/>
      <c r="T80" s="74">
        <v>2864.3613</v>
      </c>
      <c r="U80" s="100">
        <v>714.0</v>
      </c>
      <c r="V80" s="100">
        <v>70.1916</v>
      </c>
      <c r="W80" s="88" t="s">
        <v>109</v>
      </c>
      <c r="X80" s="2"/>
      <c r="Y80" s="74">
        <v>15388.0923</v>
      </c>
      <c r="Z80" s="98">
        <v>106.0</v>
      </c>
      <c r="AA80" s="2"/>
      <c r="AB80" s="2"/>
      <c r="AC80" s="2"/>
      <c r="AD80" s="2"/>
      <c r="AE80" s="2"/>
      <c r="AF80" s="2"/>
      <c r="AG80" s="2"/>
      <c r="AH80" s="2"/>
      <c r="AI80" s="2"/>
      <c r="AJ80" s="2"/>
    </row>
    <row r="81" ht="12.0" customHeight="1">
      <c r="A81" s="2"/>
      <c r="B81" s="4" t="s">
        <v>66</v>
      </c>
      <c r="C81" s="2"/>
      <c r="D81" s="74">
        <v>12826.6854999999</v>
      </c>
      <c r="E81" s="74">
        <v>103543.306099999</v>
      </c>
      <c r="F81" s="76">
        <f t="shared" si="4"/>
        <v>116369.9916</v>
      </c>
      <c r="G81" s="2"/>
      <c r="H81" s="2"/>
      <c r="I81" s="2"/>
      <c r="J81" s="76">
        <f t="shared" si="5"/>
        <v>116369.9916</v>
      </c>
      <c r="K81" s="98">
        <v>5568.0</v>
      </c>
      <c r="L81" s="2"/>
      <c r="M81" s="2"/>
      <c r="N81" s="2"/>
      <c r="O81" s="2"/>
      <c r="P81" s="2"/>
      <c r="Q81" s="99">
        <v>3.8674</v>
      </c>
      <c r="R81" s="99">
        <v>4.9716</v>
      </c>
      <c r="S81" s="2"/>
      <c r="T81" s="74">
        <v>520.343599999999</v>
      </c>
      <c r="U81" s="100">
        <v>678.0</v>
      </c>
      <c r="V81" s="100">
        <v>68.9592</v>
      </c>
      <c r="W81" s="88" t="s">
        <v>109</v>
      </c>
      <c r="X81" s="2"/>
      <c r="Y81" s="74">
        <v>5486.7935</v>
      </c>
      <c r="Z81" s="98">
        <v>103.0</v>
      </c>
      <c r="AA81" s="2"/>
      <c r="AB81" s="2"/>
      <c r="AC81" s="2"/>
      <c r="AD81" s="2"/>
      <c r="AE81" s="2"/>
      <c r="AF81" s="2"/>
      <c r="AG81" s="2"/>
      <c r="AH81" s="2"/>
      <c r="AI81" s="2"/>
      <c r="AJ81" s="2"/>
    </row>
    <row r="82" ht="12.0" customHeight="1">
      <c r="A82" s="2"/>
      <c r="B82" s="4" t="s">
        <v>74</v>
      </c>
      <c r="C82" s="2"/>
      <c r="D82" s="74">
        <v>16072.1554</v>
      </c>
      <c r="E82" s="74">
        <v>61633.6038</v>
      </c>
      <c r="F82" s="76">
        <f t="shared" si="4"/>
        <v>77705.7592</v>
      </c>
      <c r="G82" s="2"/>
      <c r="H82" s="74">
        <v>38.3696</v>
      </c>
      <c r="I82" s="2"/>
      <c r="J82" s="76">
        <f t="shared" si="5"/>
        <v>77744.1288</v>
      </c>
      <c r="K82" s="98">
        <v>5337.0</v>
      </c>
      <c r="L82" s="2"/>
      <c r="M82" s="2"/>
      <c r="N82" s="2"/>
      <c r="O82" s="2"/>
      <c r="P82" s="2"/>
      <c r="Q82" s="99">
        <v>4.4818</v>
      </c>
      <c r="R82" s="99">
        <v>5.5214</v>
      </c>
      <c r="S82" s="2"/>
      <c r="T82" s="74">
        <v>602.351</v>
      </c>
      <c r="U82" s="100">
        <v>718.0</v>
      </c>
      <c r="V82" s="100">
        <v>72.0736</v>
      </c>
      <c r="W82" s="88" t="s">
        <v>109</v>
      </c>
      <c r="X82" s="2"/>
      <c r="Y82" s="74">
        <v>15952.6375</v>
      </c>
      <c r="Z82" s="98">
        <v>118.0</v>
      </c>
      <c r="AA82" s="2"/>
      <c r="AB82" s="2"/>
      <c r="AC82" s="2"/>
      <c r="AD82" s="2"/>
      <c r="AE82" s="2"/>
      <c r="AF82" s="2"/>
      <c r="AG82" s="2"/>
      <c r="AH82" s="2"/>
      <c r="AI82" s="2"/>
      <c r="AJ82" s="2"/>
    </row>
    <row r="83" ht="12.0" customHeight="1">
      <c r="A83" s="2"/>
      <c r="B83" s="4" t="s">
        <v>75</v>
      </c>
      <c r="C83" s="2"/>
      <c r="D83" s="74">
        <v>13132.4114</v>
      </c>
      <c r="E83" s="74">
        <v>60609.3867999999</v>
      </c>
      <c r="F83" s="76">
        <f t="shared" si="4"/>
        <v>73741.7982</v>
      </c>
      <c r="G83" s="2"/>
      <c r="H83" s="74">
        <v>51.6586</v>
      </c>
      <c r="I83" s="2"/>
      <c r="J83" s="76">
        <f t="shared" si="5"/>
        <v>73793.4568</v>
      </c>
      <c r="K83" s="98">
        <v>4903.0</v>
      </c>
      <c r="L83" s="2"/>
      <c r="M83" s="2"/>
      <c r="N83" s="2"/>
      <c r="O83" s="2"/>
      <c r="P83" s="2"/>
      <c r="Q83" s="99">
        <v>4.5289</v>
      </c>
      <c r="R83" s="99">
        <v>5.2736</v>
      </c>
      <c r="S83" s="2"/>
      <c r="T83" s="74">
        <v>601.308199999999</v>
      </c>
      <c r="U83" s="100">
        <v>718.0</v>
      </c>
      <c r="V83" s="100">
        <v>72.1793</v>
      </c>
      <c r="W83" s="88" t="s">
        <v>109</v>
      </c>
      <c r="X83" s="2"/>
      <c r="Y83" s="74">
        <v>40273.3701</v>
      </c>
      <c r="Z83" s="98">
        <v>141.0</v>
      </c>
      <c r="AA83" s="2"/>
      <c r="AB83" s="2"/>
      <c r="AC83" s="2"/>
      <c r="AD83" s="2"/>
      <c r="AE83" s="2"/>
      <c r="AF83" s="2"/>
      <c r="AG83" s="2"/>
      <c r="AH83" s="2"/>
      <c r="AI83" s="2"/>
      <c r="AJ83" s="2"/>
    </row>
    <row r="84" ht="12.0" customHeight="1">
      <c r="A84" s="40">
        <v>2005.0</v>
      </c>
      <c r="B84" s="4" t="s">
        <v>58</v>
      </c>
      <c r="C84" s="2"/>
      <c r="D84" s="74">
        <v>12862.4995999999</v>
      </c>
      <c r="E84" s="74">
        <v>59520.8157999998</v>
      </c>
      <c r="F84" s="76">
        <f t="shared" si="4"/>
        <v>72383.3154</v>
      </c>
      <c r="G84" s="2"/>
      <c r="H84" s="2"/>
      <c r="I84" s="2"/>
      <c r="J84" s="76">
        <f t="shared" si="5"/>
        <v>72383.3154</v>
      </c>
      <c r="K84" s="98">
        <v>4788.0</v>
      </c>
      <c r="L84" s="2"/>
      <c r="M84" s="2"/>
      <c r="N84" s="2"/>
      <c r="O84" s="2"/>
      <c r="P84" s="2"/>
      <c r="Q84" s="99">
        <v>4.5947</v>
      </c>
      <c r="R84" s="99">
        <v>5.1903</v>
      </c>
      <c r="S84" s="2"/>
      <c r="T84" s="74">
        <v>1034.67749999999</v>
      </c>
      <c r="U84" s="100">
        <v>716.1359</v>
      </c>
      <c r="V84" s="100">
        <v>70.99</v>
      </c>
      <c r="W84" s="88" t="s">
        <v>109</v>
      </c>
      <c r="X84" s="2"/>
      <c r="Y84" s="74">
        <v>52480.4529999999</v>
      </c>
      <c r="Z84" s="98">
        <v>154.0</v>
      </c>
      <c r="AA84" s="2"/>
      <c r="AB84" s="2"/>
      <c r="AC84" s="2"/>
      <c r="AD84" s="2"/>
      <c r="AE84" s="2"/>
      <c r="AF84" s="2"/>
      <c r="AG84" s="2"/>
      <c r="AH84" s="2"/>
      <c r="AI84" s="2"/>
      <c r="AJ84" s="2"/>
    </row>
    <row r="85" ht="12.0" customHeight="1">
      <c r="A85" s="2"/>
      <c r="B85" s="4" t="s">
        <v>66</v>
      </c>
      <c r="C85" s="2"/>
      <c r="D85" s="74">
        <v>14934.0899999999</v>
      </c>
      <c r="E85" s="74">
        <v>76736.5242000001</v>
      </c>
      <c r="F85" s="76">
        <f t="shared" si="4"/>
        <v>91670.6142</v>
      </c>
      <c r="G85" s="2"/>
      <c r="H85" s="2"/>
      <c r="I85" s="2"/>
      <c r="J85" s="76">
        <f t="shared" si="5"/>
        <v>91670.6142</v>
      </c>
      <c r="K85" s="98">
        <v>5376.0</v>
      </c>
      <c r="L85" s="2"/>
      <c r="M85" s="2"/>
      <c r="N85" s="2"/>
      <c r="O85" s="2"/>
      <c r="P85" s="2"/>
      <c r="Q85" s="99">
        <v>4.8013</v>
      </c>
      <c r="R85" s="99">
        <v>5.2277</v>
      </c>
      <c r="S85" s="2"/>
      <c r="T85" s="74">
        <v>1525.64109999999</v>
      </c>
      <c r="U85" s="100">
        <v>719.9922</v>
      </c>
      <c r="V85" s="100">
        <v>70.93</v>
      </c>
      <c r="W85" s="88" t="s">
        <v>109</v>
      </c>
      <c r="X85" s="2"/>
      <c r="Y85" s="74">
        <v>73761.1074</v>
      </c>
      <c r="Z85" s="98">
        <v>159.0</v>
      </c>
      <c r="AA85" s="2"/>
      <c r="AB85" s="2"/>
      <c r="AC85" s="2"/>
      <c r="AD85" s="2"/>
      <c r="AE85" s="2"/>
      <c r="AF85" s="2"/>
      <c r="AG85" s="2"/>
      <c r="AH85" s="2"/>
      <c r="AI85" s="2"/>
      <c r="AJ85" s="2"/>
    </row>
    <row r="86" ht="12.0" customHeight="1">
      <c r="A86" s="2"/>
      <c r="B86" s="4" t="s">
        <v>74</v>
      </c>
      <c r="C86" s="2"/>
      <c r="D86" s="74">
        <v>16753.4021</v>
      </c>
      <c r="E86" s="74">
        <v>91718.4851</v>
      </c>
      <c r="F86" s="76">
        <f t="shared" si="4"/>
        <v>108471.8872</v>
      </c>
      <c r="G86" s="2"/>
      <c r="H86" s="2"/>
      <c r="I86" s="2"/>
      <c r="J86" s="76">
        <f t="shared" si="5"/>
        <v>108471.8872</v>
      </c>
      <c r="K86" s="98">
        <v>5117.0</v>
      </c>
      <c r="L86" s="2"/>
      <c r="M86" s="2"/>
      <c r="N86" s="2"/>
      <c r="O86" s="2"/>
      <c r="P86" s="2"/>
      <c r="Q86" s="99">
        <v>4.8462</v>
      </c>
      <c r="R86" s="99">
        <v>5.0947</v>
      </c>
      <c r="S86" s="2"/>
      <c r="T86" s="74">
        <v>1300.43969999999</v>
      </c>
      <c r="U86" s="100">
        <v>725.1448</v>
      </c>
      <c r="V86" s="100">
        <v>70.71</v>
      </c>
      <c r="W86" s="88" t="s">
        <v>109</v>
      </c>
      <c r="X86" s="2"/>
      <c r="Y86" s="74">
        <v>53287.9763</v>
      </c>
      <c r="Z86" s="98">
        <v>189.0</v>
      </c>
      <c r="AA86" s="2"/>
      <c r="AB86" s="2"/>
      <c r="AC86" s="2"/>
      <c r="AD86" s="2"/>
      <c r="AE86" s="2"/>
      <c r="AF86" s="2"/>
      <c r="AG86" s="2"/>
      <c r="AH86" s="2"/>
      <c r="AI86" s="2"/>
      <c r="AJ86" s="2"/>
    </row>
    <row r="87" ht="12.0" customHeight="1">
      <c r="A87" s="2"/>
      <c r="B87" s="4" t="s">
        <v>75</v>
      </c>
      <c r="C87" s="2"/>
      <c r="D87" s="74">
        <v>17336.8839999999</v>
      </c>
      <c r="E87" s="74">
        <v>90204.1753000002</v>
      </c>
      <c r="F87" s="76">
        <f t="shared" si="4"/>
        <v>107541.0593</v>
      </c>
      <c r="G87" s="2"/>
      <c r="H87" s="2"/>
      <c r="I87" s="2"/>
      <c r="J87" s="76">
        <f t="shared" si="5"/>
        <v>107541.0593</v>
      </c>
      <c r="K87" s="98">
        <v>5609.0</v>
      </c>
      <c r="L87" s="2"/>
      <c r="M87" s="2"/>
      <c r="N87" s="2"/>
      <c r="O87" s="2"/>
      <c r="P87" s="2"/>
      <c r="Q87" s="99">
        <v>5.0928</v>
      </c>
      <c r="R87" s="99">
        <v>5.3052</v>
      </c>
      <c r="S87" s="2"/>
      <c r="T87" s="74">
        <v>5925.27039999999</v>
      </c>
      <c r="U87" s="100">
        <v>722.9175</v>
      </c>
      <c r="V87" s="100">
        <v>70.91</v>
      </c>
      <c r="W87" s="88" t="s">
        <v>109</v>
      </c>
      <c r="X87" s="2"/>
      <c r="Y87" s="74">
        <v>42567.7121</v>
      </c>
      <c r="Z87" s="98">
        <v>266.0</v>
      </c>
      <c r="AA87" s="2"/>
      <c r="AB87" s="2"/>
      <c r="AC87" s="2"/>
      <c r="AD87" s="2"/>
      <c r="AE87" s="2"/>
      <c r="AF87" s="2"/>
      <c r="AG87" s="2"/>
      <c r="AH87" s="2"/>
      <c r="AI87" s="2"/>
      <c r="AJ87" s="2"/>
    </row>
    <row r="88" ht="12.0" customHeight="1">
      <c r="A88" s="40">
        <v>2006.0</v>
      </c>
      <c r="B88" s="4" t="s">
        <v>58</v>
      </c>
      <c r="C88" s="2"/>
      <c r="D88" s="74">
        <v>18115.0579999999</v>
      </c>
      <c r="E88" s="74">
        <v>71043.7152999997</v>
      </c>
      <c r="F88" s="76">
        <f t="shared" si="4"/>
        <v>89158.7733</v>
      </c>
      <c r="G88" s="2"/>
      <c r="H88" s="2"/>
      <c r="I88" s="2"/>
      <c r="J88" s="76">
        <f t="shared" si="5"/>
        <v>89158.7733</v>
      </c>
      <c r="K88" s="98">
        <v>4958.0</v>
      </c>
      <c r="L88" s="2"/>
      <c r="M88" s="2"/>
      <c r="N88" s="2"/>
      <c r="O88" s="2"/>
      <c r="P88" s="2"/>
      <c r="Q88" s="99">
        <v>5.379</v>
      </c>
      <c r="R88" s="99">
        <v>5.6119</v>
      </c>
      <c r="S88" s="2"/>
      <c r="T88" s="74">
        <v>2355.51979999999</v>
      </c>
      <c r="U88" s="100">
        <v>724.3084</v>
      </c>
      <c r="V88" s="100">
        <v>71.32</v>
      </c>
      <c r="W88" s="88" t="s">
        <v>109</v>
      </c>
      <c r="X88" s="2"/>
      <c r="Y88" s="74">
        <v>50974.2551</v>
      </c>
      <c r="Z88" s="98">
        <v>399.0</v>
      </c>
      <c r="AA88" s="2"/>
      <c r="AB88" s="2"/>
      <c r="AC88" s="2"/>
      <c r="AD88" s="2"/>
      <c r="AE88" s="2"/>
      <c r="AF88" s="2"/>
      <c r="AG88" s="2"/>
      <c r="AH88" s="2"/>
      <c r="AI88" s="2"/>
      <c r="AJ88" s="2"/>
    </row>
    <row r="89" ht="12.0" customHeight="1">
      <c r="A89" s="2"/>
      <c r="B89" s="4" t="s">
        <v>66</v>
      </c>
      <c r="C89" s="2"/>
      <c r="D89" s="74">
        <v>13088.0744999999</v>
      </c>
      <c r="E89" s="74">
        <v>66978.2957999999</v>
      </c>
      <c r="F89" s="76">
        <f t="shared" si="4"/>
        <v>80066.3703</v>
      </c>
      <c r="G89" s="2"/>
      <c r="H89" s="2"/>
      <c r="I89" s="2"/>
      <c r="J89" s="76">
        <f t="shared" si="5"/>
        <v>80066.3703</v>
      </c>
      <c r="K89" s="98">
        <v>4162.0</v>
      </c>
      <c r="L89" s="2"/>
      <c r="M89" s="2"/>
      <c r="N89" s="2"/>
      <c r="O89" s="2"/>
      <c r="P89" s="2"/>
      <c r="Q89" s="99">
        <v>5.6202</v>
      </c>
      <c r="R89" s="99">
        <v>5.8651</v>
      </c>
      <c r="S89" s="2"/>
      <c r="T89" s="74">
        <v>1000.1232</v>
      </c>
      <c r="U89" s="100">
        <v>725.3624</v>
      </c>
      <c r="V89" s="100">
        <v>71.57</v>
      </c>
      <c r="W89" s="88" t="s">
        <v>109</v>
      </c>
      <c r="X89" s="2"/>
      <c r="Y89" s="74">
        <v>53276.3604</v>
      </c>
      <c r="Z89" s="98">
        <v>450.0</v>
      </c>
      <c r="AA89" s="2"/>
      <c r="AB89" s="2"/>
      <c r="AC89" s="2"/>
      <c r="AD89" s="2"/>
      <c r="AE89" s="2"/>
      <c r="AF89" s="2"/>
      <c r="AG89" s="2"/>
      <c r="AH89" s="2"/>
      <c r="AI89" s="2"/>
      <c r="AJ89" s="2"/>
    </row>
    <row r="90" ht="12.0" customHeight="1">
      <c r="A90" s="2"/>
      <c r="B90" s="4" t="s">
        <v>74</v>
      </c>
      <c r="C90" s="2"/>
      <c r="D90" s="74">
        <v>18250.5759999999</v>
      </c>
      <c r="E90" s="74">
        <v>73698.8038999997</v>
      </c>
      <c r="F90" s="76">
        <f t="shared" si="4"/>
        <v>91949.3799</v>
      </c>
      <c r="G90" s="2"/>
      <c r="H90" s="2"/>
      <c r="I90" s="2"/>
      <c r="J90" s="76">
        <f t="shared" si="5"/>
        <v>91949.3799</v>
      </c>
      <c r="K90" s="98">
        <v>4415.0</v>
      </c>
      <c r="L90" s="2"/>
      <c r="M90" s="2"/>
      <c r="N90" s="2"/>
      <c r="O90" s="2"/>
      <c r="P90" s="2"/>
      <c r="Q90" s="99">
        <v>6.0446</v>
      </c>
      <c r="R90" s="99">
        <v>6.1009</v>
      </c>
      <c r="S90" s="2"/>
      <c r="T90" s="74">
        <v>1850.3206</v>
      </c>
      <c r="U90" s="100">
        <v>721.7012</v>
      </c>
      <c r="V90" s="100">
        <v>72.7</v>
      </c>
      <c r="W90" s="88" t="s">
        <v>109</v>
      </c>
      <c r="X90" s="2"/>
      <c r="Y90" s="74">
        <v>63327.8202999999</v>
      </c>
      <c r="Z90" s="98">
        <v>385.0</v>
      </c>
      <c r="AA90" s="2"/>
      <c r="AB90" s="2"/>
      <c r="AC90" s="2"/>
      <c r="AD90" s="2"/>
      <c r="AE90" s="2"/>
      <c r="AF90" s="2"/>
      <c r="AG90" s="2"/>
      <c r="AH90" s="2"/>
      <c r="AI90" s="2"/>
      <c r="AJ90" s="2"/>
    </row>
    <row r="91" ht="12.0" customHeight="1">
      <c r="A91" s="2"/>
      <c r="B91" s="4" t="s">
        <v>75</v>
      </c>
      <c r="C91" s="2"/>
      <c r="D91" s="74">
        <v>21390.9888999999</v>
      </c>
      <c r="E91" s="74">
        <v>70168.7663000001</v>
      </c>
      <c r="F91" s="76">
        <f t="shared" si="4"/>
        <v>91559.7552</v>
      </c>
      <c r="G91" s="2"/>
      <c r="H91" s="2"/>
      <c r="I91" s="2"/>
      <c r="J91" s="76">
        <f t="shared" si="5"/>
        <v>91559.7552</v>
      </c>
      <c r="K91" s="98">
        <v>4691.0</v>
      </c>
      <c r="L91" s="2"/>
      <c r="M91" s="2"/>
      <c r="N91" s="2"/>
      <c r="O91" s="2"/>
      <c r="P91" s="2"/>
      <c r="Q91" s="99">
        <v>5.9686</v>
      </c>
      <c r="R91" s="99">
        <v>5.8008</v>
      </c>
      <c r="S91" s="2"/>
      <c r="T91" s="74">
        <v>2516.2586</v>
      </c>
      <c r="U91" s="100">
        <v>721.7407</v>
      </c>
      <c r="V91" s="100">
        <v>72.45</v>
      </c>
      <c r="W91" s="88" t="s">
        <v>109</v>
      </c>
      <c r="X91" s="2"/>
      <c r="Y91" s="74">
        <v>73312.8835999999</v>
      </c>
      <c r="Z91" s="98">
        <v>443.0</v>
      </c>
      <c r="AA91" s="2"/>
      <c r="AB91" s="2"/>
      <c r="AC91" s="2"/>
      <c r="AD91" s="2"/>
      <c r="AE91" s="2"/>
      <c r="AF91" s="2"/>
      <c r="AG91" s="2"/>
      <c r="AH91" s="2"/>
      <c r="AI91" s="2"/>
      <c r="AJ91" s="2"/>
    </row>
    <row r="92" ht="12.0" customHeight="1">
      <c r="A92" s="40">
        <v>2007.0</v>
      </c>
      <c r="B92" s="4" t="s">
        <v>58</v>
      </c>
      <c r="C92" s="2"/>
      <c r="D92" s="74">
        <v>28716.3558</v>
      </c>
      <c r="E92" s="74">
        <v>83946.0458</v>
      </c>
      <c r="F92" s="76">
        <f t="shared" si="4"/>
        <v>112662.4016</v>
      </c>
      <c r="G92" s="2"/>
      <c r="H92" s="2"/>
      <c r="I92" s="2"/>
      <c r="J92" s="76">
        <f t="shared" si="5"/>
        <v>112662.4016</v>
      </c>
      <c r="K92" s="98">
        <v>5214.0</v>
      </c>
      <c r="L92" s="2"/>
      <c r="M92" s="2"/>
      <c r="N92" s="2"/>
      <c r="O92" s="2"/>
      <c r="P92" s="2"/>
      <c r="Q92" s="99">
        <v>5.8137</v>
      </c>
      <c r="R92" s="99">
        <v>5.626</v>
      </c>
      <c r="S92" s="2"/>
      <c r="T92" s="74">
        <v>1435.1555</v>
      </c>
      <c r="U92" s="100">
        <v>724.7425</v>
      </c>
      <c r="V92" s="100">
        <v>71.8</v>
      </c>
      <c r="W92" s="88" t="s">
        <v>109</v>
      </c>
      <c r="X92" s="2"/>
      <c r="Y92" s="74">
        <v>65699.9075</v>
      </c>
      <c r="Z92" s="98">
        <v>511.0</v>
      </c>
      <c r="AA92" s="2"/>
      <c r="AB92" s="2"/>
      <c r="AC92" s="2"/>
      <c r="AD92" s="2"/>
      <c r="AE92" s="2"/>
      <c r="AF92" s="2"/>
      <c r="AG92" s="2"/>
      <c r="AH92" s="2"/>
      <c r="AI92" s="2"/>
      <c r="AJ92" s="2"/>
    </row>
    <row r="93" ht="12.0" customHeight="1">
      <c r="A93" s="2"/>
      <c r="B93" s="4" t="s">
        <v>66</v>
      </c>
      <c r="C93" s="2"/>
      <c r="D93" s="74">
        <v>25137.9611</v>
      </c>
      <c r="E93" s="74">
        <v>91986.4344999998</v>
      </c>
      <c r="F93" s="76">
        <f t="shared" si="4"/>
        <v>117124.3956</v>
      </c>
      <c r="G93" s="2"/>
      <c r="H93" s="2"/>
      <c r="I93" s="2"/>
      <c r="J93" s="76">
        <f t="shared" si="5"/>
        <v>117124.3956</v>
      </c>
      <c r="K93" s="98">
        <v>6036.0</v>
      </c>
      <c r="L93" s="2"/>
      <c r="M93" s="2"/>
      <c r="N93" s="2"/>
      <c r="O93" s="2"/>
      <c r="P93" s="2"/>
      <c r="Q93" s="99">
        <v>5.6423</v>
      </c>
      <c r="R93" s="99">
        <v>5.6724</v>
      </c>
      <c r="S93" s="2"/>
      <c r="T93" s="74">
        <v>5909.1516</v>
      </c>
      <c r="U93" s="100">
        <v>723.573</v>
      </c>
      <c r="V93" s="100">
        <v>73.21</v>
      </c>
      <c r="W93" s="88" t="s">
        <v>109</v>
      </c>
      <c r="X93" s="2"/>
      <c r="Y93" s="74">
        <v>80066.7430999999</v>
      </c>
      <c r="Z93" s="98">
        <v>530.0</v>
      </c>
      <c r="AA93" s="2"/>
      <c r="AB93" s="2"/>
      <c r="AC93" s="2"/>
      <c r="AD93" s="2"/>
      <c r="AE93" s="2"/>
      <c r="AF93" s="2"/>
      <c r="AG93" s="2"/>
      <c r="AH93" s="2"/>
      <c r="AI93" s="2"/>
      <c r="AJ93" s="2"/>
    </row>
    <row r="94" ht="12.0" customHeight="1">
      <c r="A94" s="2"/>
      <c r="B94" s="4" t="s">
        <v>74</v>
      </c>
      <c r="C94" s="2"/>
      <c r="D94" s="74">
        <v>14339.3403999999</v>
      </c>
      <c r="E94" s="74">
        <v>91713.2778999995</v>
      </c>
      <c r="F94" s="76">
        <f t="shared" si="4"/>
        <v>106052.6183</v>
      </c>
      <c r="G94" s="2"/>
      <c r="H94" s="2"/>
      <c r="I94" s="2"/>
      <c r="J94" s="76">
        <f t="shared" si="5"/>
        <v>106052.6183</v>
      </c>
      <c r="K94" s="98">
        <v>6213.0</v>
      </c>
      <c r="L94" s="2"/>
      <c r="M94" s="2"/>
      <c r="N94" s="2"/>
      <c r="O94" s="2"/>
      <c r="P94" s="2"/>
      <c r="Q94" s="99">
        <v>5.9065</v>
      </c>
      <c r="R94" s="99">
        <v>5.9689</v>
      </c>
      <c r="S94" s="2"/>
      <c r="T94" s="74">
        <v>1326.988</v>
      </c>
      <c r="U94" s="100">
        <v>722.6675</v>
      </c>
      <c r="V94" s="100">
        <v>74.4</v>
      </c>
      <c r="W94" s="88" t="s">
        <v>109</v>
      </c>
      <c r="X94" s="2"/>
      <c r="Y94" s="74">
        <v>83425.4239999999</v>
      </c>
      <c r="Z94" s="98">
        <v>595.0</v>
      </c>
      <c r="AA94" s="2"/>
      <c r="AB94" s="2"/>
      <c r="AC94" s="2"/>
      <c r="AD94" s="2"/>
      <c r="AE94" s="2"/>
      <c r="AF94" s="2"/>
      <c r="AG94" s="2"/>
      <c r="AH94" s="2"/>
      <c r="AI94" s="2"/>
      <c r="AJ94" s="2"/>
    </row>
    <row r="95" ht="12.0" customHeight="1">
      <c r="A95" s="2"/>
      <c r="B95" s="4" t="s">
        <v>75</v>
      </c>
      <c r="C95" s="2"/>
      <c r="D95" s="74">
        <v>9920.23510000001</v>
      </c>
      <c r="E95" s="74">
        <v>87505.8491999998</v>
      </c>
      <c r="F95" s="76">
        <f t="shared" si="4"/>
        <v>97426.0843</v>
      </c>
      <c r="G95" s="2"/>
      <c r="H95" s="2"/>
      <c r="I95" s="2"/>
      <c r="J95" s="76">
        <f t="shared" si="5"/>
        <v>97426.0843</v>
      </c>
      <c r="K95" s="98">
        <v>6636.0</v>
      </c>
      <c r="L95" s="2"/>
      <c r="M95" s="2"/>
      <c r="N95" s="2"/>
      <c r="O95" s="2"/>
      <c r="P95" s="2"/>
      <c r="Q95" s="99">
        <v>5.7849</v>
      </c>
      <c r="R95" s="99">
        <v>5.9407</v>
      </c>
      <c r="S95" s="2"/>
      <c r="T95" s="74">
        <v>3064.5572</v>
      </c>
      <c r="U95" s="100">
        <v>720.1582</v>
      </c>
      <c r="V95" s="100">
        <v>74.97</v>
      </c>
      <c r="W95" s="88" t="s">
        <v>109</v>
      </c>
      <c r="X95" s="2"/>
      <c r="Y95" s="74">
        <v>104432.2881</v>
      </c>
      <c r="Z95" s="98">
        <v>654.0</v>
      </c>
      <c r="AA95" s="2"/>
      <c r="AB95" s="2"/>
      <c r="AC95" s="2"/>
      <c r="AD95" s="2"/>
      <c r="AE95" s="2"/>
      <c r="AF95" s="2"/>
      <c r="AG95" s="2"/>
      <c r="AH95" s="2"/>
      <c r="AI95" s="2"/>
      <c r="AJ95" s="2"/>
    </row>
    <row r="96" ht="12.0" customHeight="1">
      <c r="A96" s="40">
        <v>2008.0</v>
      </c>
      <c r="B96" s="4" t="s">
        <v>58</v>
      </c>
      <c r="C96" s="2"/>
      <c r="D96" s="74">
        <v>9354.10119999999</v>
      </c>
      <c r="E96" s="74">
        <v>105255.854299999</v>
      </c>
      <c r="F96" s="76">
        <f t="shared" si="4"/>
        <v>114609.9555</v>
      </c>
      <c r="G96" s="2"/>
      <c r="H96" s="2"/>
      <c r="I96" s="2"/>
      <c r="J96" s="76">
        <f t="shared" si="5"/>
        <v>114609.9555</v>
      </c>
      <c r="K96" s="98">
        <v>6487.0</v>
      </c>
      <c r="L96" s="2"/>
      <c r="M96" s="2"/>
      <c r="N96" s="2"/>
      <c r="O96" s="2"/>
      <c r="P96" s="2"/>
      <c r="Q96" s="99">
        <v>4.9975</v>
      </c>
      <c r="R96" s="99">
        <v>5.4222</v>
      </c>
      <c r="S96" s="2"/>
      <c r="T96" s="74">
        <v>6099.9149</v>
      </c>
      <c r="U96" s="100">
        <v>734.3694</v>
      </c>
      <c r="V96" s="100">
        <v>71.74</v>
      </c>
      <c r="W96" s="88" t="s">
        <v>109</v>
      </c>
      <c r="X96" s="2"/>
      <c r="Y96" s="74">
        <v>107484.064</v>
      </c>
      <c r="Z96" s="98">
        <v>729.0</v>
      </c>
      <c r="AA96" s="2"/>
      <c r="AB96" s="2"/>
      <c r="AC96" s="2"/>
      <c r="AD96" s="2"/>
      <c r="AE96" s="2"/>
      <c r="AF96" s="2"/>
      <c r="AG96" s="2"/>
      <c r="AH96" s="2"/>
      <c r="AI96" s="2"/>
      <c r="AJ96" s="2"/>
    </row>
    <row r="97" ht="12.0" customHeight="1">
      <c r="A97" s="2"/>
      <c r="B97" s="4" t="s">
        <v>66</v>
      </c>
      <c r="C97" s="2"/>
      <c r="D97" s="74">
        <v>12284.7645</v>
      </c>
      <c r="E97" s="74">
        <v>112688.632399999</v>
      </c>
      <c r="F97" s="76">
        <f t="shared" si="4"/>
        <v>124973.3969</v>
      </c>
      <c r="G97" s="2"/>
      <c r="H97" s="2"/>
      <c r="I97" s="2"/>
      <c r="J97" s="76">
        <f t="shared" si="5"/>
        <v>124973.3969</v>
      </c>
      <c r="K97" s="98">
        <v>6042.0</v>
      </c>
      <c r="L97" s="2"/>
      <c r="M97" s="2"/>
      <c r="N97" s="2"/>
      <c r="O97" s="2"/>
      <c r="P97" s="2"/>
      <c r="Q97" s="99">
        <v>4.6613</v>
      </c>
      <c r="R97" s="99">
        <v>5.3701</v>
      </c>
      <c r="S97" s="2"/>
      <c r="T97" s="74">
        <v>14637.7734</v>
      </c>
      <c r="U97" s="100">
        <v>740.8137</v>
      </c>
      <c r="V97" s="100">
        <v>69.45</v>
      </c>
      <c r="W97" s="88" t="s">
        <v>109</v>
      </c>
      <c r="X97" s="2"/>
      <c r="Y97" s="74">
        <v>97599.7805999999</v>
      </c>
      <c r="Z97" s="98">
        <v>606.0</v>
      </c>
      <c r="AA97" s="2"/>
      <c r="AB97" s="2"/>
      <c r="AC97" s="2"/>
      <c r="AD97" s="2"/>
      <c r="AE97" s="2"/>
      <c r="AF97" s="2"/>
      <c r="AG97" s="2"/>
      <c r="AH97" s="2"/>
      <c r="AI97" s="2"/>
      <c r="AJ97" s="2"/>
    </row>
    <row r="98" ht="12.0" customHeight="1">
      <c r="A98" s="2"/>
      <c r="B98" s="4" t="s">
        <v>74</v>
      </c>
      <c r="C98" s="2"/>
      <c r="D98" s="74">
        <v>7551.79629999999</v>
      </c>
      <c r="E98" s="74">
        <v>56821.1684999999</v>
      </c>
      <c r="F98" s="76">
        <f t="shared" si="4"/>
        <v>64372.9648</v>
      </c>
      <c r="G98" s="2"/>
      <c r="H98" s="2"/>
      <c r="I98" s="2"/>
      <c r="J98" s="76">
        <f t="shared" si="5"/>
        <v>64372.9648</v>
      </c>
      <c r="K98" s="98">
        <v>3597.0</v>
      </c>
      <c r="L98" s="2"/>
      <c r="M98" s="2"/>
      <c r="N98" s="2"/>
      <c r="O98" s="2"/>
      <c r="P98" s="2"/>
      <c r="Q98" s="99">
        <v>5.1355</v>
      </c>
      <c r="R98" s="99">
        <v>5.7835</v>
      </c>
      <c r="S98" s="2"/>
      <c r="T98" s="74">
        <v>1557.753</v>
      </c>
      <c r="U98" s="100">
        <v>744.3956</v>
      </c>
      <c r="V98" s="100">
        <v>70.69</v>
      </c>
      <c r="W98" s="100">
        <v>72.57</v>
      </c>
      <c r="X98" s="2"/>
      <c r="Y98" s="74">
        <v>103582.1032</v>
      </c>
      <c r="Z98" s="98">
        <v>482.0</v>
      </c>
      <c r="AA98" s="2"/>
      <c r="AB98" s="2"/>
      <c r="AC98" s="2"/>
      <c r="AD98" s="2"/>
      <c r="AE98" s="2"/>
      <c r="AF98" s="2"/>
      <c r="AG98" s="2"/>
      <c r="AH98" s="2"/>
      <c r="AI98" s="2"/>
      <c r="AJ98" s="2"/>
    </row>
    <row r="99" ht="12.0" customHeight="1">
      <c r="A99" s="2"/>
      <c r="B99" s="4" t="s">
        <v>75</v>
      </c>
      <c r="C99" s="2"/>
      <c r="D99" s="74">
        <v>1871.50729999999</v>
      </c>
      <c r="E99" s="74">
        <v>42837.7674</v>
      </c>
      <c r="F99" s="76">
        <f t="shared" si="4"/>
        <v>44709.2747</v>
      </c>
      <c r="G99" s="2"/>
      <c r="H99" s="2"/>
      <c r="I99" s="2"/>
      <c r="J99" s="76">
        <f t="shared" si="5"/>
        <v>44709.2747</v>
      </c>
      <c r="K99" s="98">
        <v>2313.0</v>
      </c>
      <c r="L99" s="2"/>
      <c r="M99" s="2"/>
      <c r="N99" s="2"/>
      <c r="O99" s="2"/>
      <c r="P99" s="2"/>
      <c r="Q99" s="99">
        <v>5.2445</v>
      </c>
      <c r="R99" s="99">
        <v>5.5181</v>
      </c>
      <c r="S99" s="2"/>
      <c r="T99" s="74">
        <v>1811.99749999999</v>
      </c>
      <c r="U99" s="100">
        <v>735.689</v>
      </c>
      <c r="V99" s="100">
        <v>70.13</v>
      </c>
      <c r="W99" s="100">
        <v>71.61</v>
      </c>
      <c r="X99" s="2"/>
      <c r="Y99" s="74">
        <v>131885.2414</v>
      </c>
      <c r="Z99" s="98">
        <v>618.0</v>
      </c>
      <c r="AA99" s="2"/>
      <c r="AB99" s="2"/>
      <c r="AC99" s="2"/>
      <c r="AD99" s="2"/>
      <c r="AE99" s="2"/>
      <c r="AF99" s="2"/>
      <c r="AG99" s="2"/>
      <c r="AH99" s="2"/>
      <c r="AI99" s="2"/>
      <c r="AJ99" s="2"/>
    </row>
    <row r="100" ht="12.0" customHeight="1">
      <c r="A100" s="40">
        <v>2009.0</v>
      </c>
      <c r="B100" s="4" t="s">
        <v>58</v>
      </c>
      <c r="C100" s="2"/>
      <c r="D100" s="74">
        <v>365.106</v>
      </c>
      <c r="E100" s="74">
        <v>103355.7652</v>
      </c>
      <c r="F100" s="76">
        <f t="shared" si="4"/>
        <v>103720.8712</v>
      </c>
      <c r="G100" s="2"/>
      <c r="H100" s="2"/>
      <c r="I100" s="2"/>
      <c r="J100" s="76">
        <f t="shared" si="5"/>
        <v>103720.8712</v>
      </c>
      <c r="K100" s="98">
        <v>2114.0</v>
      </c>
      <c r="L100" s="2"/>
      <c r="M100" s="2"/>
      <c r="N100" s="2"/>
      <c r="O100" s="2"/>
      <c r="P100" s="2"/>
      <c r="Q100" s="99">
        <v>5.0057</v>
      </c>
      <c r="R100" s="99">
        <v>4.549</v>
      </c>
      <c r="S100" s="2"/>
      <c r="T100" s="74">
        <v>1662.06699999999</v>
      </c>
      <c r="U100" s="100">
        <v>760.9425</v>
      </c>
      <c r="V100" s="100">
        <v>65.69</v>
      </c>
      <c r="W100" s="100">
        <v>67.51</v>
      </c>
      <c r="X100" s="2"/>
      <c r="Y100" s="74">
        <v>116954.343199999</v>
      </c>
      <c r="Z100" s="98">
        <v>524.0</v>
      </c>
      <c r="AA100" s="2"/>
      <c r="AB100" s="2"/>
      <c r="AC100" s="2"/>
      <c r="AD100" s="2"/>
      <c r="AE100" s="2"/>
      <c r="AF100" s="2"/>
      <c r="AG100" s="2"/>
      <c r="AH100" s="2"/>
      <c r="AI100" s="2"/>
      <c r="AJ100" s="2"/>
    </row>
    <row r="101" ht="12.0" customHeight="1">
      <c r="A101" s="2"/>
      <c r="B101" s="4" t="s">
        <v>66</v>
      </c>
      <c r="C101" s="2"/>
      <c r="D101" s="74">
        <v>259.7764</v>
      </c>
      <c r="E101" s="74">
        <v>150013.871</v>
      </c>
      <c r="F101" s="76">
        <f t="shared" si="4"/>
        <v>150273.6474</v>
      </c>
      <c r="G101" s="2"/>
      <c r="H101" s="2"/>
      <c r="I101" s="2"/>
      <c r="J101" s="76">
        <f t="shared" si="5"/>
        <v>150273.6474</v>
      </c>
      <c r="K101" s="98">
        <v>2290.0</v>
      </c>
      <c r="L101" s="2"/>
      <c r="M101" s="2"/>
      <c r="N101" s="2"/>
      <c r="O101" s="2"/>
      <c r="P101" s="2"/>
      <c r="Q101" s="99">
        <v>4.4288</v>
      </c>
      <c r="R101" s="99">
        <v>4.3932</v>
      </c>
      <c r="S101" s="2"/>
      <c r="T101" s="74">
        <v>916.518799999999</v>
      </c>
      <c r="U101" s="100">
        <v>763.8405</v>
      </c>
      <c r="V101" s="100">
        <v>65.19</v>
      </c>
      <c r="W101" s="100">
        <v>67.09</v>
      </c>
      <c r="X101" s="2"/>
      <c r="Y101" s="74">
        <v>61051.3917</v>
      </c>
      <c r="Z101" s="98">
        <v>341.0</v>
      </c>
      <c r="AA101" s="2"/>
      <c r="AB101" s="2"/>
      <c r="AC101" s="2"/>
      <c r="AD101" s="2"/>
      <c r="AE101" s="2"/>
      <c r="AF101" s="2"/>
      <c r="AG101" s="2"/>
      <c r="AH101" s="2"/>
      <c r="AI101" s="2"/>
      <c r="AJ101" s="2"/>
    </row>
    <row r="102" ht="12.0" customHeight="1">
      <c r="A102" s="2"/>
      <c r="B102" s="4" t="s">
        <v>74</v>
      </c>
      <c r="C102" s="2"/>
      <c r="D102" s="74">
        <v>930.0506</v>
      </c>
      <c r="E102" s="74">
        <v>120441.606099999</v>
      </c>
      <c r="F102" s="76">
        <f t="shared" si="4"/>
        <v>121371.6567</v>
      </c>
      <c r="G102" s="2"/>
      <c r="H102" s="2"/>
      <c r="I102" s="2"/>
      <c r="J102" s="76">
        <f t="shared" si="5"/>
        <v>121371.6567</v>
      </c>
      <c r="K102" s="98">
        <v>2633.0</v>
      </c>
      <c r="L102" s="2"/>
      <c r="M102" s="2"/>
      <c r="N102" s="2"/>
      <c r="O102" s="2"/>
      <c r="P102" s="2"/>
      <c r="Q102" s="99">
        <v>4.1499</v>
      </c>
      <c r="R102" s="99">
        <v>4.5762</v>
      </c>
      <c r="S102" s="2"/>
      <c r="T102" s="74">
        <v>2282.63599999999</v>
      </c>
      <c r="U102" s="100">
        <v>759.8921</v>
      </c>
      <c r="V102" s="100">
        <v>67.57</v>
      </c>
      <c r="W102" s="100">
        <v>69.77</v>
      </c>
      <c r="X102" s="2"/>
      <c r="Y102" s="74">
        <v>58010.4990999999</v>
      </c>
      <c r="Z102" s="98">
        <v>299.0</v>
      </c>
      <c r="AA102" s="2"/>
      <c r="AB102" s="2"/>
      <c r="AC102" s="2"/>
      <c r="AD102" s="2"/>
      <c r="AE102" s="2"/>
      <c r="AF102" s="2"/>
      <c r="AG102" s="2"/>
      <c r="AH102" s="2"/>
      <c r="AI102" s="2"/>
      <c r="AJ102" s="2"/>
    </row>
    <row r="103" ht="12.0" customHeight="1">
      <c r="A103" s="2"/>
      <c r="B103" s="4" t="s">
        <v>75</v>
      </c>
      <c r="C103" s="2"/>
      <c r="D103" s="74">
        <v>1964.18739999999</v>
      </c>
      <c r="E103" s="74">
        <v>85513.0752</v>
      </c>
      <c r="F103" s="76">
        <f t="shared" si="4"/>
        <v>87477.2626</v>
      </c>
      <c r="G103" s="2"/>
      <c r="H103" s="2"/>
      <c r="I103" s="2"/>
      <c r="J103" s="76">
        <f t="shared" si="5"/>
        <v>87477.2626</v>
      </c>
      <c r="K103" s="98">
        <v>2062.0</v>
      </c>
      <c r="L103" s="2"/>
      <c r="M103" s="2"/>
      <c r="N103" s="2"/>
      <c r="O103" s="2"/>
      <c r="P103" s="2"/>
      <c r="Q103" s="99">
        <v>3.8298</v>
      </c>
      <c r="R103" s="99">
        <v>4.638</v>
      </c>
      <c r="S103" s="2"/>
      <c r="T103" s="74">
        <v>103.3627</v>
      </c>
      <c r="U103" s="100">
        <v>758.3326</v>
      </c>
      <c r="V103" s="100">
        <v>68.62</v>
      </c>
      <c r="W103" s="100">
        <v>70.7</v>
      </c>
      <c r="X103" s="2"/>
      <c r="Y103" s="74">
        <v>53160.146</v>
      </c>
      <c r="Z103" s="98">
        <v>380.0</v>
      </c>
      <c r="AA103" s="2"/>
      <c r="AB103" s="2"/>
      <c r="AC103" s="2"/>
      <c r="AD103" s="2"/>
      <c r="AE103" s="2"/>
      <c r="AF103" s="2"/>
      <c r="AG103" s="2"/>
      <c r="AH103" s="2"/>
      <c r="AI103" s="2"/>
      <c r="AJ103" s="2"/>
    </row>
    <row r="104" ht="12.0" customHeight="1">
      <c r="A104" s="40">
        <v>2010.0</v>
      </c>
      <c r="B104" s="4" t="s">
        <v>58</v>
      </c>
      <c r="C104" s="2"/>
      <c r="D104" s="74">
        <v>2054.2197</v>
      </c>
      <c r="E104" s="74">
        <v>85786.1753</v>
      </c>
      <c r="F104" s="76">
        <f t="shared" si="4"/>
        <v>87840.395</v>
      </c>
      <c r="G104" s="2"/>
      <c r="H104" s="2"/>
      <c r="I104" s="2"/>
      <c r="J104" s="76">
        <f t="shared" si="5"/>
        <v>87840.395</v>
      </c>
      <c r="K104" s="98">
        <v>1874.0</v>
      </c>
      <c r="L104" s="2"/>
      <c r="M104" s="2"/>
      <c r="N104" s="2"/>
      <c r="O104" s="2"/>
      <c r="P104" s="2"/>
      <c r="Q104" s="99">
        <v>3.6752</v>
      </c>
      <c r="R104" s="99">
        <v>4.601</v>
      </c>
      <c r="S104" s="2"/>
      <c r="T104" s="74">
        <v>709.3476</v>
      </c>
      <c r="U104" s="100">
        <v>755.9943</v>
      </c>
      <c r="V104" s="100">
        <v>68.8999999999999</v>
      </c>
      <c r="W104" s="100">
        <v>71.49</v>
      </c>
      <c r="X104" s="2"/>
      <c r="Y104" s="74">
        <v>16962.9912999999</v>
      </c>
      <c r="Z104" s="98">
        <v>223.0</v>
      </c>
      <c r="AA104" s="2"/>
      <c r="AB104" s="2"/>
      <c r="AC104" s="2"/>
      <c r="AD104" s="2"/>
      <c r="AE104" s="2"/>
      <c r="AF104" s="2"/>
      <c r="AG104" s="2"/>
      <c r="AH104" s="2"/>
      <c r="AI104" s="2"/>
      <c r="AJ104" s="2"/>
    </row>
    <row r="105" ht="12.0" customHeight="1">
      <c r="A105" s="2"/>
      <c r="B105" s="4" t="s">
        <v>66</v>
      </c>
      <c r="C105" s="2"/>
      <c r="D105" s="74">
        <v>4388.2161</v>
      </c>
      <c r="E105" s="74">
        <v>71598.9502</v>
      </c>
      <c r="F105" s="76">
        <f t="shared" si="4"/>
        <v>75987.1663</v>
      </c>
      <c r="G105" s="2"/>
      <c r="H105" s="2"/>
      <c r="I105" s="2"/>
      <c r="J105" s="76">
        <f t="shared" si="5"/>
        <v>75987.1663</v>
      </c>
      <c r="K105" s="98">
        <v>2108.0</v>
      </c>
      <c r="L105" s="2"/>
      <c r="M105" s="2"/>
      <c r="N105" s="2"/>
      <c r="O105" s="2"/>
      <c r="P105" s="2"/>
      <c r="Q105" s="99">
        <v>3.5999</v>
      </c>
      <c r="R105" s="99">
        <v>4.6124</v>
      </c>
      <c r="S105" s="2"/>
      <c r="T105" s="74">
        <v>1673.20549999999</v>
      </c>
      <c r="U105" s="100">
        <v>755.2886</v>
      </c>
      <c r="V105" s="100">
        <v>69.59</v>
      </c>
      <c r="W105" s="100">
        <v>72.0099999999999</v>
      </c>
      <c r="X105" s="2"/>
      <c r="Y105" s="74">
        <v>25370.5822</v>
      </c>
      <c r="Z105" s="98">
        <v>267.0</v>
      </c>
      <c r="AA105" s="2"/>
      <c r="AB105" s="2"/>
      <c r="AC105" s="2"/>
      <c r="AD105" s="2"/>
      <c r="AE105" s="2"/>
      <c r="AF105" s="2"/>
      <c r="AG105" s="2"/>
      <c r="AH105" s="2"/>
      <c r="AI105" s="2"/>
      <c r="AJ105" s="2"/>
    </row>
    <row r="106" ht="12.0" customHeight="1">
      <c r="A106" s="2"/>
      <c r="B106" s="4" t="s">
        <v>74</v>
      </c>
      <c r="C106" s="2"/>
      <c r="D106" s="74">
        <v>4420.37429999999</v>
      </c>
      <c r="E106" s="74">
        <v>87520.9658</v>
      </c>
      <c r="F106" s="76">
        <f t="shared" si="4"/>
        <v>91941.3401</v>
      </c>
      <c r="G106" s="2"/>
      <c r="H106" s="2"/>
      <c r="I106" s="2"/>
      <c r="J106" s="76">
        <f t="shared" si="5"/>
        <v>91941.3401</v>
      </c>
      <c r="K106" s="98">
        <v>2324.0</v>
      </c>
      <c r="L106" s="2"/>
      <c r="M106" s="2"/>
      <c r="N106" s="2"/>
      <c r="O106" s="2"/>
      <c r="P106" s="2"/>
      <c r="Q106" s="99">
        <v>3.3742</v>
      </c>
      <c r="R106" s="99">
        <v>4.327</v>
      </c>
      <c r="S106" s="2"/>
      <c r="T106" s="74">
        <v>1321.0218</v>
      </c>
      <c r="U106" s="100">
        <v>760.9657</v>
      </c>
      <c r="V106" s="100">
        <v>68.64</v>
      </c>
      <c r="W106" s="100">
        <v>70.84</v>
      </c>
      <c r="X106" s="2"/>
      <c r="Y106" s="74">
        <v>24758.2408999999</v>
      </c>
      <c r="Z106" s="98">
        <v>340.0</v>
      </c>
      <c r="AA106" s="2"/>
      <c r="AB106" s="2"/>
      <c r="AC106" s="2"/>
      <c r="AD106" s="2"/>
      <c r="AE106" s="2"/>
      <c r="AF106" s="2"/>
      <c r="AG106" s="2"/>
      <c r="AH106" s="2"/>
      <c r="AI106" s="2"/>
      <c r="AJ106" s="2"/>
    </row>
    <row r="107" ht="12.0" customHeight="1">
      <c r="A107" s="2"/>
      <c r="B107" s="4" t="s">
        <v>75</v>
      </c>
      <c r="C107" s="2"/>
      <c r="D107" s="74">
        <v>5758.8663</v>
      </c>
      <c r="E107" s="74">
        <v>114781.125699999</v>
      </c>
      <c r="F107" s="76">
        <f t="shared" si="4"/>
        <v>120539.992</v>
      </c>
      <c r="G107" s="2"/>
      <c r="H107" s="2"/>
      <c r="I107" s="2"/>
      <c r="J107" s="76">
        <f t="shared" si="5"/>
        <v>120539.992</v>
      </c>
      <c r="K107" s="98">
        <v>3228.0</v>
      </c>
      <c r="L107" s="2"/>
      <c r="M107" s="2"/>
      <c r="N107" s="2"/>
      <c r="O107" s="2"/>
      <c r="P107" s="2"/>
      <c r="Q107" s="99">
        <v>3.0766</v>
      </c>
      <c r="R107" s="99">
        <v>3.9424</v>
      </c>
      <c r="S107" s="2"/>
      <c r="T107" s="74">
        <v>172.6908</v>
      </c>
      <c r="U107" s="100">
        <v>764.602</v>
      </c>
      <c r="V107" s="100">
        <v>66.95</v>
      </c>
      <c r="W107" s="100">
        <v>69.27</v>
      </c>
      <c r="X107" s="2"/>
      <c r="Y107" s="74">
        <v>39158.056</v>
      </c>
      <c r="Z107" s="98">
        <v>411.0</v>
      </c>
      <c r="AA107" s="2"/>
      <c r="AB107" s="2"/>
      <c r="AC107" s="2"/>
      <c r="AD107" s="2"/>
      <c r="AE107" s="2"/>
      <c r="AF107" s="2"/>
      <c r="AG107" s="2"/>
      <c r="AH107" s="2"/>
      <c r="AI107" s="2"/>
      <c r="AJ107" s="2"/>
    </row>
    <row r="108" ht="12.0" customHeight="1">
      <c r="A108" s="40">
        <v>2011.0</v>
      </c>
      <c r="B108" s="4" t="s">
        <v>58</v>
      </c>
      <c r="C108" s="2"/>
      <c r="D108" s="74">
        <v>5756.149</v>
      </c>
      <c r="E108" s="74">
        <v>88757.0698</v>
      </c>
      <c r="F108" s="76">
        <f t="shared" si="4"/>
        <v>94513.2188</v>
      </c>
      <c r="G108" s="2"/>
      <c r="H108" s="2"/>
      <c r="I108" s="2"/>
      <c r="J108" s="76">
        <f t="shared" si="5"/>
        <v>94513.2188</v>
      </c>
      <c r="K108" s="98">
        <v>3180.0</v>
      </c>
      <c r="L108" s="2"/>
      <c r="M108" s="2"/>
      <c r="N108" s="2"/>
      <c r="O108" s="2"/>
      <c r="P108" s="2"/>
      <c r="Q108" s="99">
        <v>3.0898</v>
      </c>
      <c r="R108" s="99">
        <v>4.0915</v>
      </c>
      <c r="S108" s="2"/>
      <c r="T108" s="74">
        <v>1526.18469999999</v>
      </c>
      <c r="U108" s="100">
        <v>759.9919</v>
      </c>
      <c r="V108" s="100">
        <v>68.39</v>
      </c>
      <c r="W108" s="100">
        <v>71.31</v>
      </c>
      <c r="X108" s="2"/>
      <c r="Y108" s="74">
        <v>43760.9996</v>
      </c>
      <c r="Z108" s="98">
        <v>430.0</v>
      </c>
      <c r="AA108" s="2"/>
      <c r="AB108" s="2"/>
      <c r="AC108" s="2"/>
      <c r="AD108" s="2"/>
      <c r="AE108" s="2"/>
      <c r="AF108" s="2"/>
      <c r="AG108" s="2"/>
      <c r="AH108" s="2"/>
      <c r="AI108" s="2"/>
      <c r="AJ108" s="2"/>
    </row>
    <row r="109" ht="12.0" customHeight="1">
      <c r="A109" s="2"/>
      <c r="B109" s="4" t="s">
        <v>66</v>
      </c>
      <c r="C109" s="2"/>
      <c r="D109" s="74">
        <v>6216.4181</v>
      </c>
      <c r="E109" s="74">
        <v>55355.0505999999</v>
      </c>
      <c r="F109" s="76">
        <f t="shared" si="4"/>
        <v>61571.4687</v>
      </c>
      <c r="G109" s="2"/>
      <c r="H109" s="2"/>
      <c r="I109" s="2"/>
      <c r="J109" s="76">
        <f t="shared" si="5"/>
        <v>61571.4687</v>
      </c>
      <c r="K109" s="98">
        <v>3379.0</v>
      </c>
      <c r="L109" s="2"/>
      <c r="M109" s="2"/>
      <c r="N109" s="2"/>
      <c r="O109" s="2"/>
      <c r="P109" s="2"/>
      <c r="Q109" s="99">
        <v>3.0462</v>
      </c>
      <c r="R109" s="99">
        <v>4.3866</v>
      </c>
      <c r="S109" s="2"/>
      <c r="T109" s="74">
        <v>729.929</v>
      </c>
      <c r="U109" s="100">
        <v>757.4836</v>
      </c>
      <c r="V109" s="100">
        <v>68.55</v>
      </c>
      <c r="W109" s="100">
        <v>71.08</v>
      </c>
      <c r="X109" s="2"/>
      <c r="Y109" s="74">
        <v>113442.5386</v>
      </c>
      <c r="Z109" s="98">
        <v>490.0</v>
      </c>
      <c r="AA109" s="2"/>
      <c r="AB109" s="2"/>
      <c r="AC109" s="2"/>
      <c r="AD109" s="2"/>
      <c r="AE109" s="2"/>
      <c r="AF109" s="2"/>
      <c r="AG109" s="2"/>
      <c r="AH109" s="2"/>
      <c r="AI109" s="2"/>
      <c r="AJ109" s="2"/>
    </row>
    <row r="110" ht="12.0" customHeight="1">
      <c r="A110" s="2"/>
      <c r="B110" s="4" t="s">
        <v>74</v>
      </c>
      <c r="C110" s="2"/>
      <c r="D110" s="74">
        <v>8178.618</v>
      </c>
      <c r="E110" s="74">
        <v>58871.7756999999</v>
      </c>
      <c r="F110" s="76">
        <f t="shared" si="4"/>
        <v>67050.3937</v>
      </c>
      <c r="G110" s="2"/>
      <c r="H110" s="2"/>
      <c r="I110" s="2"/>
      <c r="J110" s="76">
        <f t="shared" si="5"/>
        <v>67050.3937</v>
      </c>
      <c r="K110" s="98">
        <v>3280.0</v>
      </c>
      <c r="L110" s="2"/>
      <c r="M110" s="2"/>
      <c r="N110" s="2"/>
      <c r="O110" s="2"/>
      <c r="P110" s="2"/>
      <c r="Q110" s="99">
        <v>2.8724</v>
      </c>
      <c r="R110" s="99">
        <v>4.0637</v>
      </c>
      <c r="S110" s="2"/>
      <c r="T110" s="74">
        <v>650.0001</v>
      </c>
      <c r="U110" s="100">
        <v>759.5275</v>
      </c>
      <c r="V110" s="100">
        <v>69.5</v>
      </c>
      <c r="W110" s="100">
        <v>71.6199999999999</v>
      </c>
      <c r="X110" s="2"/>
      <c r="Y110" s="74">
        <v>245624.1719</v>
      </c>
      <c r="Z110" s="98">
        <v>279.0</v>
      </c>
      <c r="AA110" s="2"/>
      <c r="AB110" s="2"/>
      <c r="AC110" s="2"/>
      <c r="AD110" s="2"/>
      <c r="AE110" s="2"/>
      <c r="AF110" s="2"/>
      <c r="AG110" s="2"/>
      <c r="AH110" s="2"/>
      <c r="AI110" s="2"/>
      <c r="AJ110" s="2"/>
    </row>
    <row r="111" ht="12.0" customHeight="1">
      <c r="A111" s="2"/>
      <c r="B111" s="4" t="s">
        <v>75</v>
      </c>
      <c r="C111" s="2"/>
      <c r="D111" s="74">
        <v>5634.4485</v>
      </c>
      <c r="E111" s="74">
        <v>72404.2173</v>
      </c>
      <c r="F111" s="76">
        <f t="shared" si="4"/>
        <v>78038.6658</v>
      </c>
      <c r="G111" s="2"/>
      <c r="H111" s="2"/>
      <c r="I111" s="2"/>
      <c r="J111" s="76">
        <f t="shared" si="5"/>
        <v>78038.6658</v>
      </c>
      <c r="K111" s="98">
        <v>2979.0</v>
      </c>
      <c r="L111" s="2"/>
      <c r="M111" s="2"/>
      <c r="N111" s="2"/>
      <c r="O111" s="2"/>
      <c r="P111" s="2"/>
      <c r="Q111" s="99">
        <v>2.7368</v>
      </c>
      <c r="R111" s="99">
        <v>3.5938</v>
      </c>
      <c r="S111" s="2"/>
      <c r="T111" s="74">
        <v>1096.7559</v>
      </c>
      <c r="U111" s="100">
        <v>765.5705</v>
      </c>
      <c r="V111" s="100">
        <v>66.49</v>
      </c>
      <c r="W111" s="100">
        <v>68.71</v>
      </c>
      <c r="X111" s="2"/>
      <c r="Y111" s="74">
        <v>30325.4868</v>
      </c>
      <c r="Z111" s="98">
        <v>369.0</v>
      </c>
      <c r="AA111" s="2"/>
      <c r="AB111" s="2"/>
      <c r="AC111" s="2"/>
      <c r="AD111" s="2"/>
      <c r="AE111" s="2"/>
      <c r="AF111" s="2"/>
      <c r="AG111" s="2"/>
      <c r="AH111" s="2"/>
      <c r="AI111" s="2"/>
      <c r="AJ111" s="2"/>
    </row>
    <row r="112" ht="12.0" customHeight="1">
      <c r="A112" s="40">
        <v>2012.0</v>
      </c>
      <c r="B112" s="4" t="s">
        <v>58</v>
      </c>
      <c r="C112" s="2"/>
      <c r="D112" s="74">
        <v>5152.236</v>
      </c>
      <c r="E112" s="74">
        <v>103180.0341</v>
      </c>
      <c r="F112" s="76">
        <f t="shared" si="4"/>
        <v>108332.2701</v>
      </c>
      <c r="G112" s="2"/>
      <c r="H112" s="2"/>
      <c r="I112" s="2"/>
      <c r="J112" s="76">
        <f t="shared" si="5"/>
        <v>108332.2701</v>
      </c>
      <c r="K112" s="98">
        <v>3849.0</v>
      </c>
      <c r="L112" s="2"/>
      <c r="M112" s="2"/>
      <c r="N112" s="2"/>
      <c r="O112" s="2"/>
      <c r="P112" s="2"/>
      <c r="Q112" s="99">
        <v>2.62938776800984</v>
      </c>
      <c r="R112" s="99">
        <v>3.48739292282323</v>
      </c>
      <c r="S112" s="2"/>
      <c r="T112" s="74">
        <v>686.580199999999</v>
      </c>
      <c r="U112" s="100">
        <v>764.797003331699</v>
      </c>
      <c r="V112" s="100">
        <v>70.4707941775144</v>
      </c>
      <c r="W112" s="100">
        <v>72.920720208373</v>
      </c>
      <c r="X112" s="2"/>
      <c r="Y112" s="74">
        <v>30153.3059999999</v>
      </c>
      <c r="Z112" s="98">
        <v>266.0</v>
      </c>
      <c r="AA112" s="2"/>
      <c r="AB112" s="2"/>
      <c r="AC112" s="2"/>
      <c r="AD112" s="2"/>
      <c r="AE112" s="2"/>
      <c r="AF112" s="2"/>
      <c r="AG112" s="2"/>
      <c r="AH112" s="2"/>
      <c r="AI112" s="2"/>
      <c r="AJ112" s="2"/>
    </row>
    <row r="113" ht="12.0" customHeight="1">
      <c r="A113" s="2"/>
      <c r="B113" s="4" t="s">
        <v>66</v>
      </c>
      <c r="C113" s="2"/>
      <c r="D113" s="74">
        <v>4462.16869999999</v>
      </c>
      <c r="E113" s="74">
        <v>94033.9428999999</v>
      </c>
      <c r="F113" s="76">
        <f t="shared" si="4"/>
        <v>98496.1116</v>
      </c>
      <c r="G113" s="2"/>
      <c r="H113" s="2"/>
      <c r="I113" s="2"/>
      <c r="J113" s="76">
        <f t="shared" si="5"/>
        <v>98496.1116</v>
      </c>
      <c r="K113" s="98">
        <v>3821.0</v>
      </c>
      <c r="L113" s="2"/>
      <c r="M113" s="2"/>
      <c r="N113" s="2"/>
      <c r="O113" s="2"/>
      <c r="P113" s="2"/>
      <c r="Q113" s="99">
        <v>2.46651258812783</v>
      </c>
      <c r="R113" s="99">
        <v>3.49004693469042</v>
      </c>
      <c r="S113" s="2"/>
      <c r="T113" s="74">
        <v>2876.84039999999</v>
      </c>
      <c r="U113" s="100">
        <v>759.34727820768</v>
      </c>
      <c r="V113" s="100">
        <v>80.4316889947156</v>
      </c>
      <c r="W113" s="100">
        <v>66.9764655095276</v>
      </c>
      <c r="X113" s="2"/>
      <c r="Y113" s="74">
        <v>31753.4686</v>
      </c>
      <c r="Z113" s="98">
        <v>391.0</v>
      </c>
      <c r="AA113" s="2"/>
      <c r="AB113" s="2"/>
      <c r="AC113" s="2"/>
      <c r="AD113" s="2"/>
      <c r="AE113" s="2"/>
      <c r="AF113" s="2"/>
      <c r="AG113" s="2"/>
      <c r="AH113" s="2"/>
      <c r="AI113" s="2"/>
      <c r="AJ113" s="2"/>
    </row>
    <row r="114" ht="12.0" customHeight="1">
      <c r="A114" s="2"/>
      <c r="B114" s="4" t="s">
        <v>74</v>
      </c>
      <c r="C114" s="9"/>
      <c r="D114" s="74">
        <v>4230.4946</v>
      </c>
      <c r="E114" s="74">
        <v>102794.381499999</v>
      </c>
      <c r="F114" s="76">
        <f t="shared" si="4"/>
        <v>107024.8761</v>
      </c>
      <c r="G114" s="2"/>
      <c r="H114" s="2"/>
      <c r="I114" s="2"/>
      <c r="J114" s="76">
        <f t="shared" si="5"/>
        <v>107024.8761</v>
      </c>
      <c r="K114" s="98">
        <v>4814.0</v>
      </c>
      <c r="L114" s="2"/>
      <c r="M114" s="2"/>
      <c r="N114" s="2"/>
      <c r="O114" s="2"/>
      <c r="P114" s="2"/>
      <c r="Q114" s="99">
        <v>2.35402032677219</v>
      </c>
      <c r="R114" s="99">
        <v>3.29156096824221</v>
      </c>
      <c r="S114" s="2"/>
      <c r="T114" s="74">
        <v>3249.72339999999</v>
      </c>
      <c r="U114" s="100">
        <v>759.335812399975</v>
      </c>
      <c r="V114" s="100">
        <v>79.6021357150628</v>
      </c>
      <c r="W114" s="100">
        <v>81.5439877421172</v>
      </c>
      <c r="X114" s="2"/>
      <c r="Y114" s="74">
        <v>24471.2541999999</v>
      </c>
      <c r="Z114" s="98">
        <v>291.0</v>
      </c>
      <c r="AA114" s="2"/>
      <c r="AB114" s="2"/>
      <c r="AC114" s="2"/>
      <c r="AD114" s="2"/>
      <c r="AE114" s="2"/>
      <c r="AF114" s="2"/>
      <c r="AG114" s="2"/>
      <c r="AH114" s="2"/>
      <c r="AI114" s="2"/>
      <c r="AJ114" s="2"/>
    </row>
    <row r="115" ht="12.0" customHeight="1">
      <c r="A115" s="2"/>
      <c r="B115" s="4" t="s">
        <v>75</v>
      </c>
      <c r="C115" s="9"/>
      <c r="D115" s="74">
        <v>4669.60849999999</v>
      </c>
      <c r="E115" s="74">
        <v>116971.3452</v>
      </c>
      <c r="F115" s="76">
        <f t="shared" si="4"/>
        <v>121640.9537</v>
      </c>
      <c r="G115" s="2"/>
      <c r="H115" s="2"/>
      <c r="I115" s="2"/>
      <c r="J115" s="76">
        <f t="shared" si="5"/>
        <v>121640.9537</v>
      </c>
      <c r="K115" s="98">
        <v>5264.0</v>
      </c>
      <c r="L115" s="2"/>
      <c r="M115" s="2"/>
      <c r="N115" s="2"/>
      <c r="O115" s="2"/>
      <c r="P115" s="2"/>
      <c r="Q115" s="99">
        <v>2.27042235427231</v>
      </c>
      <c r="R115" s="99">
        <v>3.04719394301705</v>
      </c>
      <c r="S115" s="2"/>
      <c r="T115" s="74">
        <v>1062.0587</v>
      </c>
      <c r="U115" s="100">
        <v>760.402131452542</v>
      </c>
      <c r="V115" s="100">
        <v>75.7705287943662</v>
      </c>
      <c r="W115" s="100">
        <v>77.8160151962043</v>
      </c>
      <c r="X115" s="2"/>
      <c r="Y115" s="74">
        <v>24182.1254999999</v>
      </c>
      <c r="Z115" s="98">
        <v>353.0</v>
      </c>
      <c r="AA115" s="2"/>
      <c r="AB115" s="2"/>
      <c r="AC115" s="2"/>
      <c r="AD115" s="2"/>
      <c r="AE115" s="2"/>
      <c r="AF115" s="2"/>
      <c r="AG115" s="2"/>
      <c r="AH115" s="2"/>
      <c r="AI115" s="2"/>
      <c r="AJ115" s="2"/>
    </row>
    <row r="116" ht="12.0" customHeight="1">
      <c r="A116" s="40">
        <v>2013.0</v>
      </c>
      <c r="B116" s="4" t="s">
        <v>58</v>
      </c>
      <c r="C116" s="2"/>
      <c r="D116" s="74">
        <v>6133.972251</v>
      </c>
      <c r="E116" s="74">
        <v>116739.766390999</v>
      </c>
      <c r="F116" s="76">
        <f t="shared" si="4"/>
        <v>122873.7386</v>
      </c>
      <c r="G116" s="2"/>
      <c r="H116" s="2"/>
      <c r="I116" s="2"/>
      <c r="J116" s="76">
        <f t="shared" si="5"/>
        <v>122873.7386</v>
      </c>
      <c r="K116" s="98">
        <v>5768.0</v>
      </c>
      <c r="L116" s="2"/>
      <c r="M116" s="2"/>
      <c r="N116" s="2"/>
      <c r="O116" s="2"/>
      <c r="P116" s="2"/>
      <c r="Q116" s="101" t="s">
        <v>109</v>
      </c>
      <c r="R116" s="101" t="s">
        <v>109</v>
      </c>
      <c r="S116" s="2"/>
      <c r="T116" s="101" t="s">
        <v>109</v>
      </c>
      <c r="U116" s="101" t="s">
        <v>109</v>
      </c>
      <c r="V116" s="101" t="s">
        <v>109</v>
      </c>
      <c r="W116" s="101" t="s">
        <v>109</v>
      </c>
      <c r="X116" s="2"/>
      <c r="Y116" s="74">
        <v>20718.2679729999</v>
      </c>
      <c r="Z116" s="98">
        <v>201.0</v>
      </c>
      <c r="AA116" s="2"/>
      <c r="AB116" s="2"/>
      <c r="AC116" s="2"/>
      <c r="AD116" s="2"/>
      <c r="AE116" s="2"/>
      <c r="AF116" s="2"/>
      <c r="AG116" s="2"/>
      <c r="AH116" s="2"/>
      <c r="AI116" s="2"/>
      <c r="AJ116" s="2"/>
    </row>
    <row r="117" ht="12.0" customHeight="1">
      <c r="A117" s="2"/>
      <c r="B117" s="4" t="s">
        <v>66</v>
      </c>
      <c r="C117" s="2"/>
      <c r="D117" s="74">
        <v>6407.137293</v>
      </c>
      <c r="E117" s="74">
        <v>124210.104684479</v>
      </c>
      <c r="F117" s="76">
        <f t="shared" si="4"/>
        <v>130617.242</v>
      </c>
      <c r="G117" s="2"/>
      <c r="H117" s="2"/>
      <c r="I117" s="2"/>
      <c r="J117" s="76">
        <f t="shared" si="5"/>
        <v>130617.242</v>
      </c>
      <c r="K117" s="98">
        <v>5724.0</v>
      </c>
      <c r="L117" s="2"/>
      <c r="M117" s="2"/>
      <c r="N117" s="2"/>
      <c r="O117" s="2"/>
      <c r="P117" s="2"/>
      <c r="Q117" s="101" t="s">
        <v>109</v>
      </c>
      <c r="R117" s="101" t="s">
        <v>109</v>
      </c>
      <c r="S117" s="2"/>
      <c r="T117" s="101" t="s">
        <v>109</v>
      </c>
      <c r="U117" s="101" t="s">
        <v>109</v>
      </c>
      <c r="V117" s="101" t="s">
        <v>109</v>
      </c>
      <c r="W117" s="101" t="s">
        <v>109</v>
      </c>
      <c r="X117" s="2"/>
      <c r="Y117" s="74">
        <v>45330.826899</v>
      </c>
      <c r="Z117" s="98">
        <v>221.0</v>
      </c>
      <c r="AA117" s="2"/>
      <c r="AB117" s="2"/>
      <c r="AC117" s="2"/>
      <c r="AD117" s="2"/>
      <c r="AE117" s="2"/>
      <c r="AF117" s="2"/>
      <c r="AG117" s="2"/>
      <c r="AH117" s="2"/>
      <c r="AI117" s="2"/>
      <c r="AJ117" s="2"/>
    </row>
    <row r="118" ht="12.0" customHeight="1">
      <c r="A118" s="2"/>
      <c r="B118" s="4" t="s">
        <v>74</v>
      </c>
      <c r="C118" s="2"/>
      <c r="D118" s="74">
        <v>7178.77602199999</v>
      </c>
      <c r="E118" s="74">
        <v>89650.5701342397</v>
      </c>
      <c r="F118" s="76">
        <f t="shared" si="4"/>
        <v>96829.34616</v>
      </c>
      <c r="G118" s="2"/>
      <c r="H118" s="2"/>
      <c r="I118" s="2"/>
      <c r="J118" s="76">
        <f t="shared" si="5"/>
        <v>96829.34616</v>
      </c>
      <c r="K118" s="98">
        <v>4450.0</v>
      </c>
      <c r="L118" s="2"/>
      <c r="M118" s="2"/>
      <c r="N118" s="2"/>
      <c r="O118" s="2"/>
      <c r="P118" s="2"/>
      <c r="Q118" s="101" t="s">
        <v>109</v>
      </c>
      <c r="R118" s="101" t="s">
        <v>109</v>
      </c>
      <c r="S118" s="2"/>
      <c r="T118" s="101" t="s">
        <v>109</v>
      </c>
      <c r="U118" s="101" t="s">
        <v>109</v>
      </c>
      <c r="V118" s="101" t="s">
        <v>109</v>
      </c>
      <c r="W118" s="101" t="s">
        <v>109</v>
      </c>
      <c r="X118" s="2"/>
      <c r="Y118" s="74">
        <v>60654.877145</v>
      </c>
      <c r="Z118" s="98">
        <v>260.0</v>
      </c>
      <c r="AA118" s="2"/>
      <c r="AB118" s="2"/>
      <c r="AC118" s="2"/>
      <c r="AD118" s="2"/>
      <c r="AE118" s="2"/>
      <c r="AF118" s="2"/>
      <c r="AG118" s="2"/>
      <c r="AH118" s="2"/>
      <c r="AI118" s="2"/>
      <c r="AJ118" s="2"/>
    </row>
    <row r="119" ht="12.0" customHeight="1">
      <c r="A119" s="2"/>
      <c r="B119" s="4" t="s">
        <v>75</v>
      </c>
      <c r="C119" s="2"/>
      <c r="D119" s="74">
        <v>3371.81199799999</v>
      </c>
      <c r="E119" s="74">
        <v>62143.48286315</v>
      </c>
      <c r="F119" s="76">
        <f t="shared" si="4"/>
        <v>65515.29486</v>
      </c>
      <c r="G119" s="2"/>
      <c r="H119" s="2"/>
      <c r="I119" s="2"/>
      <c r="J119" s="76">
        <f t="shared" si="5"/>
        <v>65515.29486</v>
      </c>
      <c r="K119" s="98">
        <v>4308.0</v>
      </c>
      <c r="L119" s="2"/>
      <c r="M119" s="2"/>
      <c r="N119" s="2"/>
      <c r="O119" s="2"/>
      <c r="P119" s="2"/>
      <c r="Q119" s="101" t="s">
        <v>109</v>
      </c>
      <c r="R119" s="101" t="s">
        <v>109</v>
      </c>
      <c r="S119" s="2"/>
      <c r="T119" s="101" t="s">
        <v>109</v>
      </c>
      <c r="U119" s="101" t="s">
        <v>109</v>
      </c>
      <c r="V119" s="101" t="s">
        <v>109</v>
      </c>
      <c r="W119" s="101" t="s">
        <v>109</v>
      </c>
      <c r="X119" s="2"/>
      <c r="Y119" s="74">
        <v>38771.6952729999</v>
      </c>
      <c r="Z119" s="98">
        <v>276.0</v>
      </c>
      <c r="AA119" s="2"/>
      <c r="AB119" s="2"/>
      <c r="AC119" s="2"/>
      <c r="AD119" s="2"/>
      <c r="AE119" s="2"/>
      <c r="AF119" s="2"/>
      <c r="AG119" s="2"/>
      <c r="AH119" s="2"/>
      <c r="AI119" s="2"/>
      <c r="AJ119" s="2"/>
    </row>
    <row r="120" ht="12.0" customHeight="1">
      <c r="A120" s="2"/>
      <c r="B120" s="2"/>
      <c r="C120" s="2"/>
      <c r="D120" s="2"/>
      <c r="E120" s="2"/>
      <c r="F120" s="2"/>
      <c r="G120" s="2"/>
      <c r="H120" s="2"/>
      <c r="I120" s="2"/>
      <c r="J120" s="2"/>
      <c r="K120" s="2"/>
      <c r="L120" s="2"/>
      <c r="M120" s="2"/>
      <c r="N120" s="2"/>
      <c r="O120" s="2"/>
      <c r="P120" s="2"/>
      <c r="Q120" s="27"/>
      <c r="R120" s="27"/>
      <c r="S120" s="2"/>
      <c r="T120" s="2"/>
      <c r="U120" s="32"/>
      <c r="V120" s="32"/>
      <c r="W120" s="32"/>
      <c r="X120" s="2"/>
      <c r="Y120" s="2"/>
      <c r="Z120" s="2"/>
      <c r="AA120" s="2"/>
      <c r="AB120" s="2"/>
      <c r="AC120" s="2"/>
      <c r="AD120" s="2"/>
      <c r="AE120" s="2"/>
      <c r="AF120" s="2"/>
      <c r="AG120" s="2"/>
      <c r="AH120" s="2"/>
      <c r="AI120" s="2"/>
      <c r="AJ120" s="2"/>
    </row>
    <row r="121" ht="12.0" customHeight="1">
      <c r="A121" s="2"/>
      <c r="B121" s="2"/>
      <c r="C121" s="2"/>
      <c r="D121" s="2"/>
      <c r="E121" s="2"/>
      <c r="F121" s="2"/>
      <c r="G121" s="2"/>
      <c r="H121" s="2"/>
      <c r="I121" s="2"/>
      <c r="J121" s="2"/>
      <c r="K121" s="2"/>
      <c r="L121" s="2"/>
      <c r="M121" s="2"/>
      <c r="N121" s="2"/>
      <c r="O121" s="2"/>
      <c r="P121" s="2"/>
      <c r="Q121" s="27"/>
      <c r="R121" s="27"/>
      <c r="S121" s="2"/>
      <c r="T121" s="2"/>
      <c r="U121" s="32"/>
      <c r="V121" s="32"/>
      <c r="W121" s="32"/>
      <c r="X121" s="2"/>
      <c r="Y121" s="2"/>
      <c r="Z121" s="2"/>
      <c r="AA121" s="2"/>
      <c r="AB121" s="2"/>
      <c r="AC121" s="2"/>
      <c r="AD121" s="2"/>
      <c r="AE121" s="2"/>
      <c r="AF121" s="2"/>
      <c r="AG121" s="2"/>
      <c r="AH121" s="2"/>
      <c r="AI121" s="2"/>
      <c r="AJ121" s="2"/>
    </row>
    <row r="122" ht="12.0" customHeight="1">
      <c r="A122" s="2"/>
      <c r="B122" s="2"/>
      <c r="C122" s="102" t="s">
        <v>110</v>
      </c>
      <c r="D122" s="2"/>
      <c r="E122" s="2"/>
      <c r="F122" s="2"/>
      <c r="G122" s="2"/>
      <c r="H122" s="2"/>
      <c r="I122" s="2"/>
      <c r="J122" s="2"/>
      <c r="K122" s="2"/>
      <c r="L122" s="2"/>
      <c r="M122" s="2"/>
      <c r="N122" s="2"/>
      <c r="O122" s="2"/>
      <c r="P122" s="2"/>
      <c r="Q122" s="27"/>
      <c r="R122" s="27"/>
      <c r="S122" s="2"/>
      <c r="T122" s="2"/>
      <c r="U122" s="32"/>
      <c r="V122" s="32"/>
      <c r="W122" s="32"/>
      <c r="X122" s="2"/>
      <c r="Y122" s="2"/>
      <c r="Z122" s="2"/>
      <c r="AA122" s="2"/>
      <c r="AB122" s="2"/>
      <c r="AC122" s="2"/>
      <c r="AD122" s="2"/>
      <c r="AE122" s="2"/>
      <c r="AF122" s="2"/>
      <c r="AG122" s="2"/>
      <c r="AH122" s="2"/>
      <c r="AI122" s="2"/>
      <c r="AJ122" s="2"/>
    </row>
    <row r="123" ht="12.0" customHeight="1">
      <c r="A123" s="2"/>
      <c r="B123" s="2"/>
      <c r="C123" s="103" t="s">
        <v>111</v>
      </c>
      <c r="D123" s="2"/>
      <c r="E123" s="2"/>
      <c r="F123" s="2"/>
      <c r="G123" s="2"/>
      <c r="H123" s="2"/>
      <c r="I123" s="2"/>
      <c r="J123" s="2"/>
      <c r="K123" s="2"/>
      <c r="L123" s="2"/>
      <c r="M123" s="2"/>
      <c r="N123" s="2"/>
      <c r="O123" s="2"/>
      <c r="P123" s="2"/>
      <c r="Q123" s="27"/>
      <c r="R123" s="27"/>
      <c r="S123" s="2"/>
      <c r="T123" s="2"/>
      <c r="U123" s="32"/>
      <c r="V123" s="32"/>
      <c r="W123" s="32"/>
      <c r="X123" s="2"/>
      <c r="Y123" s="2"/>
      <c r="Z123" s="2"/>
      <c r="AA123" s="2"/>
      <c r="AB123" s="2"/>
      <c r="AC123" s="2"/>
      <c r="AD123" s="2"/>
      <c r="AE123" s="2"/>
      <c r="AF123" s="2"/>
      <c r="AG123" s="2"/>
      <c r="AH123" s="2"/>
      <c r="AI123" s="2"/>
      <c r="AJ123" s="2"/>
    </row>
  </sheetData>
  <mergeCells count="9">
    <mergeCell ref="Q4:R4"/>
    <mergeCell ref="M4:O4"/>
    <mergeCell ref="V4:V5"/>
    <mergeCell ref="W4:W5"/>
    <mergeCell ref="U4:U5"/>
    <mergeCell ref="T4:T5"/>
    <mergeCell ref="C4:H4"/>
    <mergeCell ref="J4:K4"/>
    <mergeCell ref="Y4:Z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7.29" defaultRowHeight="15.75"/>
  <cols>
    <col customWidth="1" min="1" max="1" width="9.14"/>
    <col customWidth="1" min="2" max="2" width="4.86"/>
    <col customWidth="1" min="3" max="3" width="9.14"/>
    <col customWidth="1" min="4" max="4" width="12.0"/>
    <col customWidth="1" min="5" max="5" width="2.71"/>
    <col customWidth="1" min="6" max="7" width="9.14"/>
    <col customWidth="1" min="8" max="8" width="2.71"/>
    <col customWidth="1" min="9" max="9" width="8.29"/>
    <col customWidth="1" min="10" max="10" width="12.0"/>
    <col customWidth="1" min="11" max="22" width="9.14"/>
  </cols>
  <sheetData>
    <row r="1" ht="30.0" customHeight="1">
      <c r="A1" s="3" t="s">
        <v>112</v>
      </c>
      <c r="B1" s="60"/>
      <c r="C1" s="65"/>
      <c r="D1" s="66"/>
      <c r="E1" s="62"/>
      <c r="F1" s="65"/>
      <c r="G1" s="66"/>
      <c r="H1" s="62"/>
      <c r="I1" s="65"/>
      <c r="J1" s="66"/>
      <c r="K1" s="59"/>
      <c r="L1" s="59"/>
      <c r="M1" s="59"/>
      <c r="N1" s="59"/>
      <c r="O1" s="59"/>
      <c r="P1" s="59"/>
      <c r="Q1" s="59"/>
      <c r="R1" s="59"/>
      <c r="S1" s="59"/>
      <c r="T1" s="59"/>
      <c r="U1" s="59"/>
      <c r="V1" s="59"/>
    </row>
    <row r="2" ht="30.0" customHeight="1">
      <c r="A2" s="3" t="s">
        <v>3</v>
      </c>
      <c r="B2" s="60"/>
      <c r="C2" s="65"/>
      <c r="D2" s="66"/>
      <c r="E2" s="62"/>
      <c r="F2" s="65"/>
      <c r="G2" s="66"/>
      <c r="H2" s="62"/>
      <c r="I2" s="65"/>
      <c r="J2" s="66"/>
      <c r="K2" s="59"/>
      <c r="L2" s="59"/>
      <c r="M2" s="59"/>
      <c r="N2" s="59"/>
      <c r="O2" s="59"/>
      <c r="P2" s="59"/>
      <c r="Q2" s="59"/>
      <c r="R2" s="59"/>
      <c r="S2" s="59"/>
      <c r="T2" s="59"/>
      <c r="U2" s="59"/>
      <c r="V2" s="59"/>
    </row>
    <row r="3" ht="30.0" customHeight="1">
      <c r="A3" s="3"/>
      <c r="B3" s="60"/>
      <c r="C3" s="65"/>
      <c r="D3" s="66"/>
      <c r="E3" s="62"/>
      <c r="F3" s="65"/>
      <c r="G3" s="66"/>
      <c r="H3" s="62"/>
      <c r="I3" s="65"/>
      <c r="J3" s="66"/>
      <c r="K3" s="59"/>
      <c r="L3" s="59"/>
      <c r="M3" s="59"/>
      <c r="N3" s="59"/>
      <c r="O3" s="59"/>
      <c r="P3" s="59"/>
      <c r="Q3" s="59"/>
      <c r="R3" s="59"/>
      <c r="S3" s="59"/>
      <c r="T3" s="59"/>
      <c r="U3" s="59"/>
      <c r="V3" s="59"/>
    </row>
    <row r="4" ht="12.0" customHeight="1">
      <c r="A4" s="2"/>
      <c r="B4" s="2"/>
      <c r="C4" s="23" t="s">
        <v>82</v>
      </c>
      <c r="D4" s="21"/>
      <c r="E4" s="2"/>
      <c r="F4" s="12" t="s">
        <v>113</v>
      </c>
      <c r="G4" s="21"/>
      <c r="H4" s="2"/>
      <c r="I4" s="12" t="s">
        <v>114</v>
      </c>
      <c r="J4" s="21"/>
      <c r="K4" s="2"/>
      <c r="L4" s="2"/>
      <c r="M4" s="2"/>
      <c r="N4" s="2"/>
      <c r="O4" s="2"/>
      <c r="P4" s="2"/>
      <c r="Q4" s="2"/>
      <c r="R4" s="2"/>
      <c r="S4" s="2"/>
      <c r="T4" s="2"/>
      <c r="U4" s="2"/>
      <c r="V4" s="2"/>
    </row>
    <row r="5" ht="12.0" customHeight="1">
      <c r="A5" s="2"/>
      <c r="B5" s="2"/>
      <c r="C5" s="25" t="s">
        <v>89</v>
      </c>
      <c r="D5" s="36" t="s">
        <v>90</v>
      </c>
      <c r="E5" s="2"/>
      <c r="F5" s="25" t="s">
        <v>89</v>
      </c>
      <c r="G5" s="36" t="s">
        <v>90</v>
      </c>
      <c r="H5" s="2"/>
      <c r="I5" s="25" t="s">
        <v>89</v>
      </c>
      <c r="J5" s="36" t="s">
        <v>90</v>
      </c>
      <c r="K5" s="2"/>
      <c r="L5" s="102" t="s">
        <v>115</v>
      </c>
      <c r="M5" s="2"/>
      <c r="N5" s="2"/>
      <c r="O5" s="2"/>
      <c r="P5" s="2"/>
      <c r="Q5" s="2"/>
      <c r="R5" s="2"/>
      <c r="S5" s="2"/>
      <c r="T5" s="2"/>
      <c r="U5" s="2"/>
      <c r="V5" s="2"/>
    </row>
    <row r="6" ht="12.0" customHeight="1">
      <c r="A6" s="16" t="s">
        <v>53</v>
      </c>
      <c r="B6" s="16" t="s">
        <v>23</v>
      </c>
      <c r="C6" s="2"/>
      <c r="D6" s="2"/>
      <c r="E6" s="2"/>
      <c r="F6" s="2"/>
      <c r="G6" s="2"/>
      <c r="H6" s="2"/>
      <c r="I6" s="2"/>
      <c r="J6" s="2"/>
      <c r="K6" s="2"/>
      <c r="L6" s="2"/>
      <c r="M6" s="2"/>
      <c r="N6" s="2"/>
      <c r="O6" s="2"/>
      <c r="P6" s="2"/>
      <c r="Q6" s="2"/>
      <c r="R6" s="2"/>
      <c r="S6" s="2"/>
      <c r="T6" s="2"/>
      <c r="U6" s="2"/>
      <c r="V6" s="2"/>
    </row>
    <row r="7" ht="12.0" customHeight="1">
      <c r="A7" s="40">
        <v>1971.0</v>
      </c>
      <c r="B7" s="2"/>
      <c r="C7" s="76" t="s">
        <v>109</v>
      </c>
      <c r="D7" s="2"/>
      <c r="E7" s="2"/>
      <c r="F7" s="2"/>
      <c r="G7" s="2"/>
      <c r="H7" s="2"/>
      <c r="I7" s="2"/>
      <c r="J7" s="2"/>
      <c r="K7" s="2"/>
      <c r="L7" s="2"/>
      <c r="M7" s="2"/>
      <c r="N7" s="2"/>
      <c r="O7" s="2"/>
      <c r="P7" s="2"/>
      <c r="Q7" s="2"/>
      <c r="R7" s="2"/>
      <c r="S7" s="2"/>
      <c r="T7" s="2"/>
      <c r="U7" s="2"/>
      <c r="V7" s="2"/>
    </row>
    <row r="8" ht="12.0" customHeight="1">
      <c r="A8" s="40">
        <v>1972.0</v>
      </c>
      <c r="B8" s="2"/>
      <c r="C8" s="76" t="s">
        <v>109</v>
      </c>
      <c r="D8" s="2"/>
      <c r="E8" s="2"/>
      <c r="F8" s="2"/>
      <c r="G8" s="2"/>
      <c r="H8" s="2"/>
      <c r="I8" s="2"/>
      <c r="J8" s="2"/>
      <c r="K8" s="2"/>
      <c r="L8" s="2"/>
      <c r="M8" s="2"/>
      <c r="N8" s="2"/>
      <c r="O8" s="2"/>
      <c r="P8" s="2"/>
      <c r="Q8" s="2"/>
      <c r="R8" s="2"/>
      <c r="S8" s="2"/>
      <c r="T8" s="2"/>
      <c r="U8" s="2"/>
      <c r="V8" s="2"/>
    </row>
    <row r="9" ht="12.0" customHeight="1">
      <c r="A9" s="40">
        <v>1973.0</v>
      </c>
      <c r="B9" s="2"/>
      <c r="C9" s="76" t="s">
        <v>109</v>
      </c>
      <c r="D9" s="2"/>
      <c r="E9" s="2"/>
      <c r="F9" s="2"/>
      <c r="G9" s="2"/>
      <c r="H9" s="2"/>
      <c r="I9" s="2"/>
      <c r="J9" s="2"/>
      <c r="K9" s="2"/>
      <c r="L9" s="2"/>
      <c r="M9" s="2"/>
      <c r="N9" s="2"/>
      <c r="O9" s="2"/>
      <c r="P9" s="2"/>
      <c r="Q9" s="2"/>
      <c r="R9" s="2"/>
      <c r="S9" s="2"/>
      <c r="T9" s="2"/>
      <c r="U9" s="2"/>
      <c r="V9" s="2"/>
    </row>
    <row r="10" ht="12.0" customHeight="1">
      <c r="A10" s="40">
        <v>1974.0</v>
      </c>
      <c r="B10" s="2"/>
      <c r="C10" s="76" t="s">
        <v>109</v>
      </c>
      <c r="D10" s="2"/>
      <c r="E10" s="2"/>
      <c r="F10" s="2"/>
      <c r="G10" s="2"/>
      <c r="H10" s="2"/>
      <c r="I10" s="2"/>
      <c r="J10" s="2"/>
      <c r="K10" s="2"/>
      <c r="L10" s="2"/>
      <c r="M10" s="2"/>
      <c r="N10" s="2"/>
      <c r="O10" s="2"/>
      <c r="P10" s="2"/>
      <c r="Q10" s="2"/>
      <c r="R10" s="2"/>
      <c r="S10" s="2"/>
      <c r="T10" s="2"/>
      <c r="U10" s="2"/>
      <c r="V10" s="2"/>
    </row>
    <row r="11" ht="12.0" customHeight="1">
      <c r="A11" s="40">
        <v>1975.0</v>
      </c>
      <c r="B11" s="2"/>
      <c r="C11" s="76" t="s">
        <v>109</v>
      </c>
      <c r="D11" s="2"/>
      <c r="E11" s="2"/>
      <c r="F11" s="2"/>
      <c r="G11" s="2"/>
      <c r="H11" s="2"/>
      <c r="I11" s="2"/>
      <c r="J11" s="2"/>
      <c r="K11" s="2"/>
      <c r="L11" s="2"/>
      <c r="M11" s="2"/>
      <c r="N11" s="2"/>
      <c r="O11" s="2"/>
      <c r="P11" s="2"/>
      <c r="Q11" s="2"/>
      <c r="R11" s="2"/>
      <c r="S11" s="2"/>
      <c r="T11" s="2"/>
      <c r="U11" s="2"/>
      <c r="V11" s="2"/>
    </row>
    <row r="12" ht="12.0" customHeight="1">
      <c r="A12" s="40">
        <v>1976.0</v>
      </c>
      <c r="B12" s="2"/>
      <c r="C12" s="76" t="s">
        <v>109</v>
      </c>
      <c r="D12" s="2"/>
      <c r="E12" s="2"/>
      <c r="F12" s="2"/>
      <c r="G12" s="2"/>
      <c r="H12" s="2"/>
      <c r="I12" s="2"/>
      <c r="J12" s="2"/>
      <c r="K12" s="2"/>
      <c r="L12" s="2"/>
      <c r="M12" s="2"/>
      <c r="N12" s="2"/>
      <c r="O12" s="2"/>
      <c r="P12" s="2"/>
      <c r="Q12" s="2"/>
      <c r="R12" s="2"/>
      <c r="S12" s="2"/>
      <c r="T12" s="2"/>
      <c r="U12" s="2"/>
      <c r="V12" s="2"/>
    </row>
    <row r="13" ht="12.0" customHeight="1">
      <c r="A13" s="40">
        <v>1977.0</v>
      </c>
      <c r="B13" s="2"/>
      <c r="C13" s="76" t="s">
        <v>109</v>
      </c>
      <c r="D13" s="2"/>
      <c r="E13" s="2"/>
      <c r="F13" s="2"/>
      <c r="G13" s="2"/>
      <c r="H13" s="2"/>
      <c r="I13" s="2"/>
      <c r="J13" s="2"/>
      <c r="K13" s="2"/>
      <c r="L13" s="2"/>
      <c r="M13" s="2"/>
      <c r="N13" s="2"/>
      <c r="O13" s="2"/>
      <c r="P13" s="2"/>
      <c r="Q13" s="2"/>
      <c r="R13" s="2"/>
      <c r="S13" s="2"/>
      <c r="T13" s="2"/>
      <c r="U13" s="2"/>
      <c r="V13" s="2"/>
    </row>
    <row r="14" ht="12.0" customHeight="1">
      <c r="A14" s="40">
        <v>1978.0</v>
      </c>
      <c r="B14" s="2"/>
      <c r="C14" s="76" t="s">
        <v>109</v>
      </c>
      <c r="D14" s="2"/>
      <c r="E14" s="2"/>
      <c r="F14" s="2"/>
      <c r="G14" s="2"/>
      <c r="H14" s="2"/>
      <c r="I14" s="2"/>
      <c r="J14" s="2"/>
      <c r="K14" s="2"/>
      <c r="L14" s="2"/>
      <c r="M14" s="2"/>
      <c r="N14" s="2"/>
      <c r="O14" s="2"/>
      <c r="P14" s="2"/>
      <c r="Q14" s="2"/>
      <c r="R14" s="2"/>
      <c r="S14" s="2"/>
      <c r="T14" s="2"/>
      <c r="U14" s="2"/>
      <c r="V14" s="2"/>
    </row>
    <row r="15" ht="12.0" customHeight="1">
      <c r="A15" s="40">
        <v>1979.0</v>
      </c>
      <c r="B15" s="2"/>
      <c r="C15" s="76" t="s">
        <v>109</v>
      </c>
      <c r="D15" s="2"/>
      <c r="E15" s="2"/>
      <c r="F15" s="2"/>
      <c r="G15" s="2"/>
      <c r="H15" s="2"/>
      <c r="I15" s="2"/>
      <c r="J15" s="2"/>
      <c r="K15" s="2"/>
      <c r="L15" s="2"/>
      <c r="M15" s="2"/>
      <c r="N15" s="2"/>
      <c r="O15" s="2"/>
      <c r="P15" s="2"/>
      <c r="Q15" s="2"/>
      <c r="R15" s="2"/>
      <c r="S15" s="2"/>
      <c r="T15" s="2"/>
      <c r="U15" s="2"/>
      <c r="V15" s="2"/>
    </row>
    <row r="16" ht="12.0" customHeight="1">
      <c r="A16" s="40">
        <v>1980.0</v>
      </c>
      <c r="B16" s="2"/>
      <c r="C16" s="76" t="s">
        <v>109</v>
      </c>
      <c r="D16" s="2"/>
      <c r="E16" s="2"/>
      <c r="F16" s="2"/>
      <c r="G16" s="2"/>
      <c r="H16" s="2"/>
      <c r="I16" s="2"/>
      <c r="J16" s="2"/>
      <c r="K16" s="2"/>
      <c r="L16" s="2"/>
      <c r="M16" s="2"/>
      <c r="N16" s="2"/>
      <c r="O16" s="2"/>
      <c r="P16" s="2"/>
      <c r="Q16" s="2"/>
      <c r="R16" s="2"/>
      <c r="S16" s="2"/>
      <c r="T16" s="2"/>
      <c r="U16" s="2"/>
      <c r="V16" s="2"/>
    </row>
    <row r="17" ht="12.0" customHeight="1">
      <c r="A17" s="40">
        <v>1981.0</v>
      </c>
      <c r="B17" s="2"/>
      <c r="C17" s="76" t="s">
        <v>109</v>
      </c>
      <c r="D17" s="2"/>
      <c r="E17" s="2"/>
      <c r="F17" s="2"/>
      <c r="G17" s="2"/>
      <c r="H17" s="2"/>
      <c r="I17" s="2"/>
      <c r="J17" s="2"/>
      <c r="K17" s="2"/>
      <c r="L17" s="2"/>
      <c r="M17" s="2"/>
      <c r="N17" s="2"/>
      <c r="O17" s="2"/>
      <c r="P17" s="2"/>
      <c r="Q17" s="2"/>
      <c r="R17" s="2"/>
      <c r="S17" s="2"/>
      <c r="T17" s="2"/>
      <c r="U17" s="2"/>
      <c r="V17" s="2"/>
    </row>
    <row r="18" ht="12.0" customHeight="1">
      <c r="A18" s="40">
        <v>1982.0</v>
      </c>
      <c r="B18" s="2"/>
      <c r="C18" s="76" t="s">
        <v>109</v>
      </c>
      <c r="D18" s="2"/>
      <c r="E18" s="2"/>
      <c r="F18" s="2"/>
      <c r="G18" s="2"/>
      <c r="H18" s="2"/>
      <c r="I18" s="2"/>
      <c r="J18" s="2"/>
      <c r="K18" s="2"/>
      <c r="L18" s="2"/>
      <c r="M18" s="2"/>
      <c r="N18" s="2"/>
      <c r="O18" s="2"/>
      <c r="P18" s="2"/>
      <c r="Q18" s="2"/>
      <c r="R18" s="2"/>
      <c r="S18" s="2"/>
      <c r="T18" s="2"/>
      <c r="U18" s="2"/>
      <c r="V18" s="2"/>
    </row>
    <row r="19" ht="12.0" customHeight="1">
      <c r="A19" s="40">
        <v>1983.0</v>
      </c>
      <c r="B19" s="2"/>
      <c r="C19" s="74">
        <v>1685.0</v>
      </c>
      <c r="D19" s="2"/>
      <c r="E19" s="2"/>
      <c r="F19" s="2"/>
      <c r="G19" s="2"/>
      <c r="H19" s="2"/>
      <c r="I19" s="2"/>
      <c r="J19" s="2"/>
      <c r="K19" s="2"/>
      <c r="L19" s="2"/>
      <c r="M19" s="2"/>
      <c r="N19" s="2"/>
      <c r="O19" s="2"/>
      <c r="P19" s="2"/>
      <c r="Q19" s="2"/>
      <c r="R19" s="2"/>
      <c r="S19" s="2"/>
      <c r="T19" s="2"/>
      <c r="U19" s="2"/>
      <c r="V19" s="2"/>
    </row>
    <row r="20" ht="12.0" customHeight="1">
      <c r="A20" s="40">
        <v>1984.0</v>
      </c>
      <c r="B20" s="2"/>
      <c r="C20" s="74">
        <v>1805.0</v>
      </c>
      <c r="D20" s="2"/>
      <c r="E20" s="2"/>
      <c r="F20" s="2"/>
      <c r="G20" s="2"/>
      <c r="H20" s="2"/>
      <c r="I20" s="2"/>
      <c r="J20" s="2"/>
      <c r="K20" s="2"/>
      <c r="L20" s="2"/>
      <c r="M20" s="2"/>
      <c r="N20" s="2"/>
      <c r="O20" s="2"/>
      <c r="P20" s="2"/>
      <c r="Q20" s="2"/>
      <c r="R20" s="2"/>
      <c r="S20" s="2"/>
      <c r="T20" s="2"/>
      <c r="U20" s="2"/>
      <c r="V20" s="2"/>
    </row>
    <row r="21" ht="12.0" customHeight="1">
      <c r="A21" s="40">
        <v>1985.0</v>
      </c>
      <c r="B21" s="2"/>
      <c r="C21" s="74">
        <v>2625.0</v>
      </c>
      <c r="D21" s="2"/>
      <c r="E21" s="9"/>
      <c r="F21" s="2"/>
      <c r="G21" s="2"/>
      <c r="H21" s="9"/>
      <c r="I21" s="2"/>
      <c r="J21" s="2"/>
      <c r="K21" s="2"/>
      <c r="L21" s="2"/>
      <c r="M21" s="2"/>
      <c r="N21" s="2"/>
      <c r="O21" s="2"/>
      <c r="P21" s="2"/>
      <c r="Q21" s="2"/>
      <c r="R21" s="2"/>
      <c r="S21" s="2"/>
      <c r="T21" s="2"/>
      <c r="U21" s="2"/>
      <c r="V21" s="2"/>
    </row>
    <row r="22" ht="12.0" customHeight="1">
      <c r="A22" s="40">
        <v>1986.0</v>
      </c>
      <c r="B22" s="2"/>
      <c r="C22" s="74">
        <v>2233.0</v>
      </c>
      <c r="D22" s="2"/>
      <c r="E22" s="2"/>
      <c r="F22" s="2"/>
      <c r="G22" s="2"/>
      <c r="H22" s="2"/>
      <c r="I22" s="2"/>
      <c r="J22" s="2"/>
      <c r="K22" s="2"/>
      <c r="L22" s="2"/>
      <c r="M22" s="2"/>
      <c r="N22" s="2"/>
      <c r="O22" s="2"/>
      <c r="P22" s="2"/>
      <c r="Q22" s="2"/>
      <c r="R22" s="2"/>
      <c r="S22" s="2"/>
      <c r="T22" s="2"/>
      <c r="U22" s="2"/>
      <c r="V22" s="2"/>
    </row>
    <row r="23" ht="12.0" customHeight="1">
      <c r="A23" s="40">
        <v>1987.0</v>
      </c>
      <c r="B23" s="2"/>
      <c r="C23" s="74">
        <v>0.0</v>
      </c>
      <c r="D23" s="2"/>
      <c r="E23" s="2"/>
      <c r="F23" s="2"/>
      <c r="G23" s="2"/>
      <c r="H23" s="2"/>
      <c r="I23" s="2"/>
      <c r="J23" s="2"/>
      <c r="K23" s="2"/>
      <c r="L23" s="2"/>
      <c r="M23" s="2"/>
      <c r="N23" s="2"/>
      <c r="O23" s="2"/>
      <c r="P23" s="2"/>
      <c r="Q23" s="2"/>
      <c r="R23" s="2"/>
      <c r="S23" s="2"/>
      <c r="T23" s="2"/>
      <c r="U23" s="2"/>
      <c r="V23" s="2"/>
    </row>
    <row r="24" ht="12.0" customHeight="1">
      <c r="A24" s="40">
        <v>1988.0</v>
      </c>
      <c r="B24" s="2"/>
      <c r="C24" s="74">
        <v>12985.0</v>
      </c>
      <c r="D24" s="2"/>
      <c r="E24" s="2"/>
      <c r="F24" s="2"/>
      <c r="G24" s="2"/>
      <c r="H24" s="2"/>
      <c r="I24" s="2"/>
      <c r="J24" s="2"/>
      <c r="K24" s="2"/>
      <c r="L24" s="2"/>
      <c r="M24" s="2"/>
      <c r="N24" s="2"/>
      <c r="O24" s="2"/>
      <c r="P24" s="2"/>
      <c r="Q24" s="2"/>
      <c r="R24" s="2"/>
      <c r="S24" s="2"/>
      <c r="T24" s="2"/>
      <c r="U24" s="2"/>
      <c r="V24" s="2"/>
    </row>
    <row r="25" ht="12.0" customHeight="1">
      <c r="A25" s="40">
        <v>1989.0</v>
      </c>
      <c r="B25" s="2"/>
      <c r="C25" s="74">
        <v>39754.0</v>
      </c>
      <c r="D25" s="2"/>
      <c r="E25" s="2"/>
      <c r="F25" s="2"/>
      <c r="G25" s="2"/>
      <c r="H25" s="2"/>
      <c r="I25" s="2"/>
      <c r="J25" s="2"/>
      <c r="K25" s="2"/>
      <c r="L25" s="2"/>
      <c r="M25" s="2"/>
      <c r="N25" s="2"/>
      <c r="O25" s="2"/>
      <c r="P25" s="2"/>
      <c r="Q25" s="2"/>
      <c r="R25" s="2"/>
      <c r="S25" s="2"/>
      <c r="T25" s="2"/>
      <c r="U25" s="2"/>
      <c r="V25" s="2"/>
    </row>
    <row r="26" ht="12.0" customHeight="1">
      <c r="A26" s="40">
        <v>1990.0</v>
      </c>
      <c r="B26" s="2"/>
      <c r="C26" s="74">
        <v>40479.0</v>
      </c>
      <c r="D26" s="2"/>
      <c r="E26" s="2"/>
      <c r="F26" s="2"/>
      <c r="G26" s="2"/>
      <c r="H26" s="2"/>
      <c r="I26" s="2"/>
      <c r="J26" s="2"/>
      <c r="K26" s="2"/>
      <c r="L26" s="2"/>
      <c r="M26" s="2"/>
      <c r="N26" s="2"/>
      <c r="O26" s="2"/>
      <c r="P26" s="2"/>
      <c r="Q26" s="2"/>
      <c r="R26" s="2"/>
      <c r="S26" s="2"/>
      <c r="T26" s="2"/>
      <c r="U26" s="2"/>
      <c r="V26" s="2"/>
    </row>
    <row r="27" ht="12.0" customHeight="1">
      <c r="A27" s="40">
        <v>1991.0</v>
      </c>
      <c r="B27" s="2"/>
      <c r="C27" s="74">
        <v>72032.0</v>
      </c>
      <c r="D27" s="2"/>
      <c r="E27" s="2"/>
      <c r="F27" s="2"/>
      <c r="G27" s="2"/>
      <c r="H27" s="2"/>
      <c r="I27" s="2"/>
      <c r="J27" s="2"/>
      <c r="K27" s="2"/>
      <c r="L27" s="2"/>
      <c r="M27" s="2"/>
      <c r="N27" s="2"/>
      <c r="O27" s="2"/>
      <c r="P27" s="2"/>
      <c r="Q27" s="2"/>
      <c r="R27" s="2"/>
      <c r="S27" s="2"/>
      <c r="T27" s="2"/>
      <c r="U27" s="2"/>
      <c r="V27" s="2"/>
    </row>
    <row r="28" ht="12.0" customHeight="1">
      <c r="A28" s="40">
        <v>1992.0</v>
      </c>
      <c r="B28" s="2"/>
      <c r="C28" s="74">
        <v>131284.0</v>
      </c>
      <c r="D28" s="2"/>
      <c r="E28" s="2"/>
      <c r="F28" s="2"/>
      <c r="G28" s="2"/>
      <c r="H28" s="2"/>
      <c r="I28" s="2"/>
      <c r="J28" s="2"/>
      <c r="K28" s="2"/>
      <c r="L28" s="2"/>
      <c r="M28" s="2"/>
      <c r="N28" s="2"/>
      <c r="O28" s="2"/>
      <c r="P28" s="2"/>
      <c r="Q28" s="2"/>
      <c r="R28" s="2"/>
      <c r="S28" s="2"/>
      <c r="T28" s="2"/>
      <c r="U28" s="2"/>
      <c r="V28" s="2"/>
    </row>
    <row r="29" ht="12.0" customHeight="1">
      <c r="A29" s="40">
        <v>1993.0</v>
      </c>
      <c r="B29" s="2"/>
      <c r="C29" s="74">
        <v>143336.0</v>
      </c>
      <c r="D29" s="2"/>
      <c r="E29" s="2"/>
      <c r="F29" s="2"/>
      <c r="G29" s="2"/>
      <c r="H29" s="2"/>
      <c r="I29" s="2"/>
      <c r="J29" s="2"/>
      <c r="K29" s="2"/>
      <c r="L29" s="2"/>
      <c r="M29" s="2"/>
      <c r="N29" s="2"/>
      <c r="O29" s="2"/>
      <c r="P29" s="2"/>
      <c r="Q29" s="2"/>
      <c r="R29" s="2"/>
      <c r="S29" s="2"/>
      <c r="T29" s="2"/>
      <c r="U29" s="2"/>
      <c r="V29" s="2"/>
    </row>
    <row r="30" ht="12.0" customHeight="1">
      <c r="A30" s="40">
        <v>1994.0</v>
      </c>
      <c r="B30" s="2"/>
      <c r="C30" s="74">
        <v>73131.0</v>
      </c>
      <c r="D30" s="2"/>
      <c r="E30" s="2"/>
      <c r="F30" s="2"/>
      <c r="G30" s="2"/>
      <c r="H30" s="2"/>
      <c r="I30" s="2"/>
      <c r="J30" s="2"/>
      <c r="K30" s="2"/>
      <c r="L30" s="2"/>
      <c r="M30" s="2"/>
      <c r="N30" s="2"/>
      <c r="O30" s="2"/>
      <c r="P30" s="2"/>
      <c r="Q30" s="2"/>
      <c r="R30" s="2"/>
      <c r="S30" s="2"/>
      <c r="T30" s="2"/>
      <c r="U30" s="2"/>
      <c r="V30" s="2"/>
    </row>
    <row r="31" ht="12.0" customHeight="1">
      <c r="A31" s="40">
        <v>1995.0</v>
      </c>
      <c r="B31" s="2"/>
      <c r="C31" s="74">
        <v>15372.0</v>
      </c>
      <c r="D31" s="2"/>
      <c r="E31" s="2"/>
      <c r="F31" s="2"/>
      <c r="G31" s="2"/>
      <c r="H31" s="2"/>
      <c r="I31" s="2"/>
      <c r="J31" s="2"/>
      <c r="K31" s="2"/>
      <c r="L31" s="2"/>
      <c r="M31" s="2"/>
      <c r="N31" s="2"/>
      <c r="O31" s="2"/>
      <c r="P31" s="2"/>
      <c r="Q31" s="2"/>
      <c r="R31" s="2"/>
      <c r="S31" s="2"/>
      <c r="T31" s="2"/>
      <c r="U31" s="2"/>
      <c r="V31" s="2"/>
    </row>
    <row r="32" ht="12.0" customHeight="1">
      <c r="A32" s="40">
        <v>1996.0</v>
      </c>
      <c r="B32" s="2"/>
      <c r="C32" s="74">
        <v>34145.0</v>
      </c>
      <c r="D32" s="2"/>
      <c r="E32" s="2"/>
      <c r="F32" s="2"/>
      <c r="G32" s="2"/>
      <c r="H32" s="2"/>
      <c r="I32" s="2"/>
      <c r="J32" s="2"/>
      <c r="K32" s="2"/>
      <c r="L32" s="2"/>
      <c r="M32" s="2"/>
      <c r="N32" s="2"/>
      <c r="O32" s="2"/>
      <c r="P32" s="2"/>
      <c r="Q32" s="2"/>
      <c r="R32" s="2"/>
      <c r="S32" s="2"/>
      <c r="T32" s="2"/>
      <c r="U32" s="2"/>
      <c r="V32" s="2"/>
    </row>
    <row r="33" ht="12.0" customHeight="1">
      <c r="A33" s="40">
        <v>1997.0</v>
      </c>
      <c r="B33" s="2"/>
      <c r="C33" s="74">
        <v>84366.0</v>
      </c>
      <c r="D33" s="2"/>
      <c r="E33" s="2"/>
      <c r="F33" s="2"/>
      <c r="G33" s="2"/>
      <c r="H33" s="2"/>
      <c r="I33" s="2"/>
      <c r="J33" s="2"/>
      <c r="K33" s="2"/>
      <c r="L33" s="2"/>
      <c r="M33" s="2"/>
      <c r="N33" s="2"/>
      <c r="O33" s="2"/>
      <c r="P33" s="2"/>
      <c r="Q33" s="2"/>
      <c r="R33" s="2"/>
      <c r="S33" s="2"/>
      <c r="T33" s="2"/>
      <c r="U33" s="2"/>
      <c r="V33" s="2"/>
    </row>
    <row r="34" ht="12.0" customHeight="1">
      <c r="A34" s="40">
        <v>1998.0</v>
      </c>
      <c r="B34" s="2"/>
      <c r="C34" s="74">
        <v>135162.0</v>
      </c>
      <c r="D34" s="2"/>
      <c r="E34" s="2"/>
      <c r="F34" s="2"/>
      <c r="G34" s="2"/>
      <c r="H34" s="2"/>
      <c r="I34" s="2"/>
      <c r="J34" s="2"/>
      <c r="K34" s="2"/>
      <c r="L34" s="2"/>
      <c r="M34" s="2"/>
      <c r="N34" s="2"/>
      <c r="O34" s="2"/>
      <c r="P34" s="2"/>
      <c r="Q34" s="2"/>
      <c r="R34" s="2"/>
      <c r="S34" s="2"/>
      <c r="T34" s="2"/>
      <c r="U34" s="2"/>
      <c r="V34" s="2"/>
    </row>
    <row r="35" ht="12.0" customHeight="1">
      <c r="A35" s="40">
        <v>1999.0</v>
      </c>
      <c r="B35" s="2"/>
      <c r="C35" s="74">
        <v>119565.0</v>
      </c>
      <c r="D35" s="2"/>
      <c r="E35" s="2"/>
      <c r="F35" s="2"/>
      <c r="G35" s="2"/>
      <c r="H35" s="2"/>
      <c r="I35" s="2"/>
      <c r="J35" s="2"/>
      <c r="K35" s="2"/>
      <c r="L35" s="2"/>
      <c r="M35" s="2"/>
      <c r="N35" s="2"/>
      <c r="O35" s="2"/>
      <c r="P35" s="2"/>
      <c r="Q35" s="2"/>
      <c r="R35" s="2"/>
      <c r="S35" s="2"/>
      <c r="T35" s="2"/>
      <c r="U35" s="2"/>
      <c r="V35" s="2"/>
    </row>
    <row r="36" ht="12.0" customHeight="1">
      <c r="A36" s="40">
        <v>2000.0</v>
      </c>
      <c r="B36" s="2"/>
      <c r="C36" s="74">
        <v>48202.0</v>
      </c>
      <c r="D36" s="2"/>
      <c r="E36" s="2"/>
      <c r="F36" s="2"/>
      <c r="G36" s="2"/>
      <c r="H36" s="2"/>
      <c r="I36" s="2"/>
      <c r="J36" s="2"/>
      <c r="K36" s="2"/>
      <c r="L36" s="2"/>
      <c r="M36" s="2"/>
      <c r="N36" s="2"/>
      <c r="O36" s="2"/>
      <c r="P36" s="2"/>
      <c r="Q36" s="2"/>
      <c r="R36" s="2"/>
      <c r="S36" s="2"/>
      <c r="T36" s="2"/>
      <c r="U36" s="2"/>
      <c r="V36" s="2"/>
    </row>
    <row r="37" ht="12.0" customHeight="1">
      <c r="A37" s="40">
        <v>2001.0</v>
      </c>
      <c r="B37" s="2"/>
      <c r="C37" s="74">
        <v>192437.0</v>
      </c>
      <c r="D37" s="2"/>
      <c r="E37" s="2"/>
      <c r="F37" s="2"/>
      <c r="G37" s="2"/>
      <c r="H37" s="2"/>
      <c r="I37" s="2"/>
      <c r="J37" s="2"/>
      <c r="K37" s="2"/>
      <c r="L37" s="2"/>
      <c r="M37" s="2"/>
      <c r="N37" s="2"/>
      <c r="O37" s="2"/>
      <c r="P37" s="2"/>
      <c r="Q37" s="2"/>
      <c r="R37" s="2"/>
      <c r="S37" s="2"/>
      <c r="T37" s="2"/>
      <c r="U37" s="2"/>
      <c r="V37" s="2"/>
    </row>
    <row r="38" ht="12.0" customHeight="1">
      <c r="A38" s="40">
        <v>2002.0</v>
      </c>
      <c r="B38" s="2"/>
      <c r="C38" s="74">
        <v>331672.0</v>
      </c>
      <c r="D38" s="2"/>
      <c r="E38" s="2"/>
      <c r="F38" s="2"/>
      <c r="G38" s="2"/>
      <c r="H38" s="2"/>
      <c r="I38" s="2"/>
      <c r="J38" s="2"/>
      <c r="K38" s="2"/>
      <c r="L38" s="2"/>
      <c r="M38" s="2"/>
      <c r="N38" s="2"/>
      <c r="O38" s="2"/>
      <c r="P38" s="2"/>
      <c r="Q38" s="2"/>
      <c r="R38" s="2"/>
      <c r="S38" s="2"/>
      <c r="T38" s="2"/>
      <c r="U38" s="2"/>
      <c r="V38" s="2"/>
    </row>
    <row r="39" ht="12.0" customHeight="1">
      <c r="A39" s="40">
        <v>2003.0</v>
      </c>
      <c r="B39" s="2"/>
      <c r="C39" s="74">
        <v>298118.0</v>
      </c>
      <c r="D39" s="2"/>
      <c r="E39" s="2"/>
      <c r="F39" s="2"/>
      <c r="G39" s="2"/>
      <c r="H39" s="2"/>
      <c r="I39" s="2"/>
      <c r="J39" s="2"/>
      <c r="K39" s="2"/>
      <c r="L39" s="2"/>
      <c r="M39" s="2"/>
      <c r="N39" s="2"/>
      <c r="O39" s="2"/>
      <c r="P39" s="2"/>
      <c r="Q39" s="2"/>
      <c r="R39" s="2"/>
      <c r="S39" s="2"/>
      <c r="T39" s="2"/>
      <c r="U39" s="2"/>
      <c r="V39" s="2"/>
    </row>
    <row r="40" ht="12.0" customHeight="1">
      <c r="A40" s="40">
        <v>2004.0</v>
      </c>
      <c r="B40" s="2"/>
      <c r="C40" s="74">
        <v>215506.0</v>
      </c>
      <c r="D40" s="2"/>
      <c r="E40" s="2"/>
      <c r="F40" s="2"/>
      <c r="G40" s="2"/>
      <c r="H40" s="2"/>
      <c r="I40" s="2"/>
      <c r="J40" s="2"/>
      <c r="K40" s="2"/>
      <c r="L40" s="2"/>
      <c r="M40" s="2"/>
      <c r="N40" s="2"/>
      <c r="O40" s="2"/>
      <c r="P40" s="2"/>
      <c r="Q40" s="2"/>
      <c r="R40" s="2"/>
      <c r="S40" s="2"/>
      <c r="T40" s="2"/>
      <c r="U40" s="2"/>
      <c r="V40" s="2"/>
    </row>
    <row r="41" ht="12.0" customHeight="1">
      <c r="A41" s="40">
        <v>2005.0</v>
      </c>
      <c r="B41" s="2"/>
      <c r="C41" s="74">
        <v>208450.0</v>
      </c>
      <c r="D41" s="2"/>
      <c r="E41" s="2"/>
      <c r="F41" s="2"/>
      <c r="G41" s="2"/>
      <c r="H41" s="2"/>
      <c r="I41" s="2"/>
      <c r="J41" s="2"/>
      <c r="K41" s="2"/>
      <c r="L41" s="2"/>
      <c r="M41" s="2"/>
      <c r="N41" s="2"/>
      <c r="O41" s="2"/>
      <c r="P41" s="2"/>
      <c r="Q41" s="2"/>
      <c r="R41" s="2"/>
      <c r="S41" s="2"/>
      <c r="T41" s="2"/>
      <c r="U41" s="2"/>
      <c r="V41" s="2"/>
    </row>
    <row r="42" ht="12.0" customHeight="1">
      <c r="A42" s="40">
        <v>2006.0</v>
      </c>
      <c r="B42" s="2"/>
      <c r="C42" s="74">
        <v>169396.0</v>
      </c>
      <c r="D42" s="2"/>
      <c r="E42" s="2"/>
      <c r="F42" s="2"/>
      <c r="G42" s="2"/>
      <c r="H42" s="2"/>
      <c r="I42" s="2"/>
      <c r="J42" s="2"/>
      <c r="K42" s="2"/>
      <c r="L42" s="2"/>
      <c r="M42" s="2"/>
      <c r="N42" s="2"/>
      <c r="O42" s="2"/>
      <c r="P42" s="2"/>
      <c r="Q42" s="2"/>
      <c r="R42" s="2"/>
      <c r="S42" s="2"/>
      <c r="T42" s="2"/>
      <c r="U42" s="2"/>
      <c r="V42" s="2"/>
    </row>
    <row r="43" ht="12.0" customHeight="1">
      <c r="A43" s="40">
        <v>2007.0</v>
      </c>
      <c r="B43" s="2"/>
      <c r="C43" s="74">
        <v>133321.0</v>
      </c>
      <c r="D43" s="104" t="s">
        <v>117</v>
      </c>
      <c r="E43" s="2"/>
      <c r="F43" s="2"/>
      <c r="G43" s="2"/>
      <c r="H43" s="2"/>
      <c r="I43" s="2"/>
      <c r="J43" s="2"/>
      <c r="K43" s="2"/>
      <c r="L43" s="2"/>
      <c r="M43" s="2"/>
      <c r="N43" s="2"/>
      <c r="O43" s="2"/>
      <c r="P43" s="2"/>
      <c r="Q43" s="2"/>
      <c r="R43" s="2"/>
      <c r="S43" s="2"/>
      <c r="T43" s="2"/>
      <c r="U43" s="2"/>
      <c r="V43" s="2"/>
    </row>
    <row r="44" ht="12.0" customHeight="1">
      <c r="A44" s="40">
        <v>2008.0</v>
      </c>
      <c r="B44" s="2"/>
      <c r="C44" s="74">
        <v>64305.0</v>
      </c>
      <c r="D44" s="2"/>
      <c r="E44" s="2"/>
      <c r="F44" s="2"/>
      <c r="G44" s="2"/>
      <c r="H44" s="2"/>
      <c r="I44" s="2"/>
      <c r="J44" s="2"/>
      <c r="K44" s="2"/>
      <c r="L44" s="2"/>
      <c r="M44" s="2"/>
      <c r="N44" s="2"/>
      <c r="O44" s="2"/>
      <c r="P44" s="2"/>
      <c r="Q44" s="2"/>
      <c r="R44" s="2"/>
      <c r="S44" s="2"/>
      <c r="T44" s="2"/>
      <c r="U44" s="2"/>
      <c r="V44" s="2"/>
    </row>
    <row r="45" ht="12.0" customHeight="1">
      <c r="A45" s="40">
        <v>2009.0</v>
      </c>
      <c r="B45" s="2"/>
      <c r="C45" s="74">
        <v>86202.0</v>
      </c>
      <c r="D45" s="2"/>
      <c r="E45" s="2"/>
      <c r="F45" s="2"/>
      <c r="G45" s="2"/>
      <c r="H45" s="2"/>
      <c r="I45" s="2"/>
      <c r="J45" s="2"/>
      <c r="K45" s="2"/>
      <c r="L45" s="2"/>
      <c r="M45" s="2"/>
      <c r="N45" s="2"/>
      <c r="O45" s="2"/>
      <c r="P45" s="2"/>
      <c r="Q45" s="2"/>
      <c r="R45" s="2"/>
      <c r="S45" s="2"/>
      <c r="T45" s="2"/>
      <c r="U45" s="2"/>
      <c r="V45" s="2"/>
    </row>
    <row r="46" ht="12.0" customHeight="1">
      <c r="A46" s="40">
        <v>2010.0</v>
      </c>
      <c r="B46" s="2"/>
      <c r="C46" s="74">
        <v>136366.0</v>
      </c>
      <c r="D46" s="2"/>
      <c r="E46" s="2"/>
      <c r="F46" s="2"/>
      <c r="G46" s="2"/>
      <c r="H46" s="2"/>
      <c r="I46" s="2"/>
      <c r="J46" s="2"/>
      <c r="K46" s="2"/>
      <c r="L46" s="2"/>
      <c r="M46" s="2"/>
      <c r="N46" s="2"/>
      <c r="O46" s="2"/>
      <c r="P46" s="2"/>
      <c r="Q46" s="2"/>
      <c r="R46" s="2"/>
      <c r="S46" s="2"/>
      <c r="T46" s="2"/>
      <c r="U46" s="2"/>
      <c r="V46" s="2"/>
    </row>
    <row r="47" ht="12.0" customHeight="1">
      <c r="A47" s="9"/>
      <c r="B47" s="9"/>
      <c r="C47" s="2"/>
      <c r="D47" s="2"/>
      <c r="E47" s="2"/>
      <c r="F47" s="2"/>
      <c r="G47" s="2"/>
      <c r="H47" s="2"/>
      <c r="I47" s="2"/>
      <c r="J47" s="2"/>
      <c r="K47" s="2"/>
      <c r="L47" s="2"/>
      <c r="M47" s="2"/>
      <c r="N47" s="2"/>
      <c r="O47" s="2"/>
      <c r="P47" s="2"/>
      <c r="Q47" s="2"/>
      <c r="R47" s="2"/>
      <c r="S47" s="2"/>
      <c r="T47" s="2"/>
      <c r="U47" s="2"/>
      <c r="V47" s="2"/>
    </row>
    <row r="48" ht="12.0" customHeight="1">
      <c r="A48" s="2"/>
      <c r="B48" s="2"/>
      <c r="C48" s="2"/>
      <c r="D48" s="2"/>
      <c r="E48" s="2"/>
      <c r="F48" s="2"/>
      <c r="G48" s="2"/>
      <c r="H48" s="2"/>
      <c r="I48" s="2"/>
      <c r="J48" s="2"/>
      <c r="K48" s="2"/>
      <c r="L48" s="2"/>
      <c r="M48" s="2"/>
      <c r="N48" s="2"/>
      <c r="O48" s="2"/>
      <c r="P48" s="2"/>
      <c r="Q48" s="2"/>
      <c r="R48" s="2"/>
      <c r="S48" s="2"/>
      <c r="T48" s="2"/>
      <c r="U48" s="2"/>
      <c r="V48" s="2"/>
    </row>
    <row r="49" ht="12.0" customHeight="1">
      <c r="A49" s="40">
        <v>1981.0</v>
      </c>
      <c r="B49" s="4" t="s">
        <v>58</v>
      </c>
      <c r="C49" s="76" t="s">
        <v>109</v>
      </c>
      <c r="D49" s="76" t="s">
        <v>109</v>
      </c>
      <c r="E49" s="2"/>
      <c r="F49" s="76" t="s">
        <v>109</v>
      </c>
      <c r="G49" s="76" t="s">
        <v>109</v>
      </c>
      <c r="H49" s="2"/>
      <c r="I49" s="76" t="s">
        <v>109</v>
      </c>
      <c r="J49" s="76" t="s">
        <v>109</v>
      </c>
      <c r="K49" s="2"/>
      <c r="L49" s="2"/>
      <c r="M49" s="2"/>
      <c r="N49" s="2"/>
      <c r="O49" s="2"/>
      <c r="P49" s="2"/>
      <c r="Q49" s="2"/>
      <c r="R49" s="2"/>
      <c r="S49" s="2"/>
      <c r="T49" s="2"/>
      <c r="U49" s="2"/>
      <c r="V49" s="2"/>
    </row>
    <row r="50" ht="12.0" customHeight="1">
      <c r="A50" s="4"/>
      <c r="B50" s="4" t="s">
        <v>66</v>
      </c>
      <c r="C50" s="76" t="s">
        <v>109</v>
      </c>
      <c r="D50" s="76" t="s">
        <v>109</v>
      </c>
      <c r="E50" s="104"/>
      <c r="F50" s="76" t="s">
        <v>109</v>
      </c>
      <c r="G50" s="76" t="s">
        <v>109</v>
      </c>
      <c r="H50" s="104"/>
      <c r="I50" s="76" t="s">
        <v>109</v>
      </c>
      <c r="J50" s="76" t="s">
        <v>109</v>
      </c>
      <c r="K50" s="4"/>
      <c r="L50" s="4"/>
      <c r="M50" s="4"/>
      <c r="N50" s="4"/>
      <c r="O50" s="4"/>
      <c r="P50" s="4"/>
      <c r="Q50" s="4"/>
      <c r="R50" s="4"/>
      <c r="S50" s="4"/>
      <c r="T50" s="4"/>
      <c r="U50" s="4"/>
      <c r="V50" s="4"/>
    </row>
    <row r="51" ht="12.0" customHeight="1">
      <c r="A51" s="2"/>
      <c r="B51" s="4" t="s">
        <v>74</v>
      </c>
      <c r="C51" s="76" t="s">
        <v>109</v>
      </c>
      <c r="D51" s="76" t="s">
        <v>109</v>
      </c>
      <c r="E51" s="2"/>
      <c r="F51" s="76" t="s">
        <v>109</v>
      </c>
      <c r="G51" s="76" t="s">
        <v>109</v>
      </c>
      <c r="H51" s="2"/>
      <c r="I51" s="76" t="s">
        <v>109</v>
      </c>
      <c r="J51" s="76" t="s">
        <v>109</v>
      </c>
      <c r="K51" s="2"/>
      <c r="L51" s="2"/>
      <c r="M51" s="2"/>
      <c r="N51" s="2"/>
      <c r="O51" s="2"/>
      <c r="P51" s="2"/>
      <c r="Q51" s="2"/>
      <c r="R51" s="2"/>
      <c r="S51" s="2"/>
      <c r="T51" s="2"/>
      <c r="U51" s="2"/>
      <c r="V51" s="2"/>
    </row>
    <row r="52" ht="12.0" customHeight="1">
      <c r="A52" s="2"/>
      <c r="B52" s="4" t="s">
        <v>75</v>
      </c>
      <c r="C52" s="76" t="s">
        <v>109</v>
      </c>
      <c r="D52" s="76" t="s">
        <v>109</v>
      </c>
      <c r="E52" s="2"/>
      <c r="F52" s="76" t="s">
        <v>109</v>
      </c>
      <c r="G52" s="76" t="s">
        <v>109</v>
      </c>
      <c r="H52" s="2"/>
      <c r="I52" s="76" t="s">
        <v>109</v>
      </c>
      <c r="J52" s="76" t="s">
        <v>109</v>
      </c>
      <c r="K52" s="2"/>
      <c r="L52" s="2"/>
      <c r="M52" s="2"/>
      <c r="N52" s="2"/>
      <c r="O52" s="2"/>
      <c r="P52" s="2"/>
      <c r="Q52" s="2"/>
      <c r="R52" s="2"/>
      <c r="S52" s="2"/>
      <c r="T52" s="2"/>
      <c r="U52" s="2"/>
      <c r="V52" s="2"/>
    </row>
    <row r="53" ht="12.0" customHeight="1">
      <c r="A53" s="40">
        <v>1981.0</v>
      </c>
      <c r="B53" s="4" t="s">
        <v>58</v>
      </c>
      <c r="C53" s="76" t="s">
        <v>109</v>
      </c>
      <c r="D53" s="76" t="s">
        <v>109</v>
      </c>
      <c r="E53" s="2"/>
      <c r="F53" s="76" t="s">
        <v>109</v>
      </c>
      <c r="G53" s="76" t="s">
        <v>109</v>
      </c>
      <c r="H53" s="2"/>
      <c r="I53" s="76" t="s">
        <v>109</v>
      </c>
      <c r="J53" s="76" t="s">
        <v>109</v>
      </c>
      <c r="K53" s="2"/>
      <c r="L53" s="2"/>
      <c r="M53" s="2"/>
      <c r="N53" s="2"/>
      <c r="O53" s="2"/>
      <c r="P53" s="2"/>
      <c r="Q53" s="2"/>
      <c r="R53" s="2"/>
      <c r="S53" s="2"/>
      <c r="T53" s="2"/>
      <c r="U53" s="2"/>
      <c r="V53" s="2"/>
    </row>
    <row r="54" ht="12.0" customHeight="1">
      <c r="A54" s="2"/>
      <c r="B54" s="4" t="s">
        <v>66</v>
      </c>
      <c r="C54" s="76" t="s">
        <v>109</v>
      </c>
      <c r="D54" s="76" t="s">
        <v>109</v>
      </c>
      <c r="E54" s="2"/>
      <c r="F54" s="76" t="s">
        <v>109</v>
      </c>
      <c r="G54" s="76" t="s">
        <v>109</v>
      </c>
      <c r="H54" s="2"/>
      <c r="I54" s="76" t="s">
        <v>109</v>
      </c>
      <c r="J54" s="76" t="s">
        <v>109</v>
      </c>
      <c r="K54" s="2"/>
      <c r="L54" s="2"/>
      <c r="M54" s="2"/>
      <c r="N54" s="2"/>
      <c r="O54" s="2"/>
      <c r="P54" s="2"/>
      <c r="Q54" s="2"/>
      <c r="R54" s="2"/>
      <c r="S54" s="2"/>
      <c r="T54" s="2"/>
      <c r="U54" s="2"/>
      <c r="V54" s="2"/>
    </row>
    <row r="55" ht="12.0" customHeight="1">
      <c r="A55" s="2"/>
      <c r="B55" s="4" t="s">
        <v>74</v>
      </c>
      <c r="C55" s="76" t="s">
        <v>109</v>
      </c>
      <c r="D55" s="76" t="s">
        <v>109</v>
      </c>
      <c r="E55" s="2"/>
      <c r="F55" s="76" t="s">
        <v>109</v>
      </c>
      <c r="G55" s="76" t="s">
        <v>109</v>
      </c>
      <c r="H55" s="2"/>
      <c r="I55" s="76" t="s">
        <v>109</v>
      </c>
      <c r="J55" s="76" t="s">
        <v>109</v>
      </c>
      <c r="K55" s="2"/>
      <c r="L55" s="2"/>
      <c r="M55" s="2"/>
      <c r="N55" s="2"/>
      <c r="O55" s="2"/>
      <c r="P55" s="2"/>
      <c r="Q55" s="2"/>
      <c r="R55" s="2"/>
      <c r="S55" s="2"/>
      <c r="T55" s="2"/>
      <c r="U55" s="2"/>
      <c r="V55" s="2"/>
    </row>
    <row r="56" ht="12.0" customHeight="1">
      <c r="A56" s="2"/>
      <c r="B56" s="4" t="s">
        <v>75</v>
      </c>
      <c r="C56" s="76" t="s">
        <v>109</v>
      </c>
      <c r="D56" s="76" t="s">
        <v>109</v>
      </c>
      <c r="E56" s="2"/>
      <c r="F56" s="76" t="s">
        <v>109</v>
      </c>
      <c r="G56" s="76" t="s">
        <v>109</v>
      </c>
      <c r="H56" s="2"/>
      <c r="I56" s="76" t="s">
        <v>109</v>
      </c>
      <c r="J56" s="76" t="s">
        <v>109</v>
      </c>
      <c r="K56" s="2"/>
      <c r="L56" s="2"/>
      <c r="M56" s="2"/>
      <c r="N56" s="2"/>
      <c r="O56" s="2"/>
      <c r="P56" s="2"/>
      <c r="Q56" s="2"/>
      <c r="R56" s="2"/>
      <c r="S56" s="2"/>
      <c r="T56" s="2"/>
      <c r="U56" s="2"/>
      <c r="V56" s="2"/>
    </row>
    <row r="57" ht="12.0" customHeight="1">
      <c r="A57" s="40">
        <v>1982.0</v>
      </c>
      <c r="B57" s="4" t="s">
        <v>58</v>
      </c>
      <c r="C57" s="76" t="s">
        <v>109</v>
      </c>
      <c r="D57" s="76" t="s">
        <v>109</v>
      </c>
      <c r="E57" s="2"/>
      <c r="F57" s="76" t="s">
        <v>109</v>
      </c>
      <c r="G57" s="76" t="s">
        <v>109</v>
      </c>
      <c r="H57" s="2"/>
      <c r="I57" s="76" t="s">
        <v>109</v>
      </c>
      <c r="J57" s="76" t="s">
        <v>109</v>
      </c>
      <c r="K57" s="2"/>
      <c r="L57" s="2"/>
      <c r="M57" s="2"/>
      <c r="N57" s="2"/>
      <c r="O57" s="2"/>
      <c r="P57" s="2"/>
      <c r="Q57" s="2"/>
      <c r="R57" s="2"/>
      <c r="S57" s="2"/>
      <c r="T57" s="2"/>
      <c r="U57" s="2"/>
      <c r="V57" s="2"/>
    </row>
    <row r="58" ht="12.0" customHeight="1">
      <c r="A58" s="2"/>
      <c r="B58" s="4" t="s">
        <v>66</v>
      </c>
      <c r="C58" s="76" t="s">
        <v>109</v>
      </c>
      <c r="D58" s="76" t="s">
        <v>109</v>
      </c>
      <c r="E58" s="2"/>
      <c r="F58" s="76" t="s">
        <v>109</v>
      </c>
      <c r="G58" s="76" t="s">
        <v>109</v>
      </c>
      <c r="H58" s="2"/>
      <c r="I58" s="76" t="s">
        <v>109</v>
      </c>
      <c r="J58" s="76" t="s">
        <v>109</v>
      </c>
      <c r="K58" s="2"/>
      <c r="L58" s="2"/>
      <c r="M58" s="2"/>
      <c r="N58" s="2"/>
      <c r="O58" s="2"/>
      <c r="P58" s="2"/>
      <c r="Q58" s="2"/>
      <c r="R58" s="2"/>
      <c r="S58" s="2"/>
      <c r="T58" s="2"/>
      <c r="U58" s="2"/>
      <c r="V58" s="2"/>
    </row>
    <row r="59" ht="12.0" customHeight="1">
      <c r="A59" s="2"/>
      <c r="B59" s="4" t="s">
        <v>74</v>
      </c>
      <c r="C59" s="76" t="s">
        <v>109</v>
      </c>
      <c r="D59" s="76" t="s">
        <v>109</v>
      </c>
      <c r="E59" s="2"/>
      <c r="F59" s="76" t="s">
        <v>109</v>
      </c>
      <c r="G59" s="76" t="s">
        <v>109</v>
      </c>
      <c r="H59" s="2"/>
      <c r="I59" s="76" t="s">
        <v>109</v>
      </c>
      <c r="J59" s="76" t="s">
        <v>109</v>
      </c>
      <c r="K59" s="2"/>
      <c r="L59" s="2"/>
      <c r="M59" s="2"/>
      <c r="N59" s="2"/>
      <c r="O59" s="2"/>
      <c r="P59" s="2"/>
      <c r="Q59" s="2"/>
      <c r="R59" s="2"/>
      <c r="S59" s="2"/>
      <c r="T59" s="2"/>
      <c r="U59" s="2"/>
      <c r="V59" s="2"/>
    </row>
    <row r="60" ht="12.0" customHeight="1">
      <c r="A60" s="2"/>
      <c r="B60" s="4" t="s">
        <v>75</v>
      </c>
      <c r="C60" s="76" t="s">
        <v>109</v>
      </c>
      <c r="D60" s="76" t="s">
        <v>109</v>
      </c>
      <c r="E60" s="2"/>
      <c r="F60" s="76" t="s">
        <v>109</v>
      </c>
      <c r="G60" s="76" t="s">
        <v>109</v>
      </c>
      <c r="H60" s="2"/>
      <c r="I60" s="76" t="s">
        <v>109</v>
      </c>
      <c r="J60" s="76" t="s">
        <v>109</v>
      </c>
      <c r="K60" s="2"/>
      <c r="L60" s="2"/>
      <c r="M60" s="2"/>
      <c r="N60" s="2"/>
      <c r="O60" s="2"/>
      <c r="P60" s="2"/>
      <c r="Q60" s="2"/>
      <c r="R60" s="2"/>
      <c r="S60" s="2"/>
      <c r="T60" s="2"/>
      <c r="U60" s="2"/>
      <c r="V60" s="2"/>
    </row>
    <row r="61" ht="12.0" customHeight="1">
      <c r="A61" s="40">
        <v>1983.0</v>
      </c>
      <c r="B61" s="4" t="s">
        <v>58</v>
      </c>
      <c r="C61" s="2"/>
      <c r="D61" s="76" t="s">
        <v>109</v>
      </c>
      <c r="E61" s="2"/>
      <c r="F61" s="76" t="s">
        <v>109</v>
      </c>
      <c r="G61" s="76" t="s">
        <v>109</v>
      </c>
      <c r="H61" s="2"/>
      <c r="I61" s="76" t="s">
        <v>109</v>
      </c>
      <c r="J61" s="76" t="s">
        <v>109</v>
      </c>
      <c r="K61" s="2"/>
      <c r="L61" s="2"/>
      <c r="M61" s="2"/>
      <c r="N61" s="2"/>
      <c r="O61" s="2"/>
      <c r="P61" s="2"/>
      <c r="Q61" s="2"/>
      <c r="R61" s="2"/>
      <c r="S61" s="2"/>
      <c r="T61" s="2"/>
      <c r="U61" s="2"/>
      <c r="V61" s="2"/>
    </row>
    <row r="62" ht="12.0" customHeight="1">
      <c r="A62" s="2"/>
      <c r="B62" s="4" t="s">
        <v>66</v>
      </c>
      <c r="C62" s="74">
        <v>1000.0</v>
      </c>
      <c r="D62" s="98">
        <v>3.0</v>
      </c>
      <c r="E62" s="2"/>
      <c r="F62" s="76" t="s">
        <v>109</v>
      </c>
      <c r="G62" s="76" t="s">
        <v>109</v>
      </c>
      <c r="H62" s="2"/>
      <c r="I62" s="76" t="s">
        <v>109</v>
      </c>
      <c r="J62" s="76" t="s">
        <v>109</v>
      </c>
      <c r="K62" s="2"/>
      <c r="L62" s="2"/>
      <c r="M62" s="2"/>
      <c r="N62" s="2"/>
      <c r="O62" s="2"/>
      <c r="P62" s="2"/>
      <c r="Q62" s="2"/>
      <c r="R62" s="2"/>
      <c r="S62" s="2"/>
      <c r="T62" s="2"/>
      <c r="U62" s="2"/>
      <c r="V62" s="2"/>
    </row>
    <row r="63" ht="12.0" customHeight="1">
      <c r="A63" s="2"/>
      <c r="B63" s="4" t="s">
        <v>74</v>
      </c>
      <c r="C63" s="74">
        <v>684.675</v>
      </c>
      <c r="D63" s="98">
        <v>3.0</v>
      </c>
      <c r="E63" s="2"/>
      <c r="F63" s="76" t="s">
        <v>109</v>
      </c>
      <c r="G63" s="76" t="s">
        <v>109</v>
      </c>
      <c r="H63" s="2"/>
      <c r="I63" s="76" t="s">
        <v>109</v>
      </c>
      <c r="J63" s="76" t="s">
        <v>109</v>
      </c>
      <c r="K63" s="2"/>
      <c r="L63" s="2"/>
      <c r="M63" s="2"/>
      <c r="N63" s="2"/>
      <c r="O63" s="2"/>
      <c r="P63" s="2"/>
      <c r="Q63" s="2"/>
      <c r="R63" s="2"/>
      <c r="S63" s="2"/>
      <c r="T63" s="2"/>
      <c r="U63" s="2"/>
      <c r="V63" s="2"/>
    </row>
    <row r="64" ht="12.0" customHeight="1">
      <c r="A64" s="2"/>
      <c r="B64" s="4" t="s">
        <v>75</v>
      </c>
      <c r="C64" s="2"/>
      <c r="D64" s="2"/>
      <c r="E64" s="2"/>
      <c r="F64" s="76" t="s">
        <v>109</v>
      </c>
      <c r="G64" s="76" t="s">
        <v>109</v>
      </c>
      <c r="H64" s="2"/>
      <c r="I64" s="76" t="s">
        <v>109</v>
      </c>
      <c r="J64" s="76" t="s">
        <v>109</v>
      </c>
      <c r="K64" s="2"/>
      <c r="L64" s="2"/>
      <c r="M64" s="2"/>
      <c r="N64" s="2"/>
      <c r="O64" s="2"/>
      <c r="P64" s="2"/>
      <c r="Q64" s="2"/>
      <c r="R64" s="2"/>
      <c r="S64" s="2"/>
      <c r="T64" s="2"/>
      <c r="U64" s="2"/>
      <c r="V64" s="2"/>
    </row>
    <row r="65" ht="12.0" customHeight="1">
      <c r="A65" s="40">
        <v>1984.0</v>
      </c>
      <c r="B65" s="4" t="s">
        <v>58</v>
      </c>
      <c r="C65" s="74">
        <v>525.0</v>
      </c>
      <c r="D65" s="98">
        <v>4.0</v>
      </c>
      <c r="E65" s="2"/>
      <c r="F65" s="76" t="s">
        <v>109</v>
      </c>
      <c r="G65" s="76" t="s">
        <v>109</v>
      </c>
      <c r="H65" s="2"/>
      <c r="I65" s="76" t="s">
        <v>109</v>
      </c>
      <c r="J65" s="76" t="s">
        <v>109</v>
      </c>
      <c r="K65" s="2"/>
      <c r="L65" s="2"/>
      <c r="M65" s="2"/>
      <c r="N65" s="2"/>
      <c r="O65" s="2"/>
      <c r="P65" s="2"/>
      <c r="Q65" s="2"/>
      <c r="R65" s="2"/>
      <c r="S65" s="2"/>
      <c r="T65" s="2"/>
      <c r="U65" s="2"/>
      <c r="V65" s="2"/>
    </row>
    <row r="66" ht="12.0" customHeight="1">
      <c r="A66" s="2"/>
      <c r="B66" s="4" t="s">
        <v>66</v>
      </c>
      <c r="C66" s="74">
        <v>724.0</v>
      </c>
      <c r="D66" s="98">
        <v>4.0</v>
      </c>
      <c r="E66" s="2"/>
      <c r="F66" s="76" t="s">
        <v>109</v>
      </c>
      <c r="G66" s="76" t="s">
        <v>109</v>
      </c>
      <c r="H66" s="2"/>
      <c r="I66" s="76" t="s">
        <v>109</v>
      </c>
      <c r="J66" s="76" t="s">
        <v>109</v>
      </c>
      <c r="K66" s="2"/>
      <c r="L66" s="2"/>
      <c r="M66" s="2"/>
      <c r="N66" s="2"/>
      <c r="O66" s="2"/>
      <c r="P66" s="2"/>
      <c r="Q66" s="2"/>
      <c r="R66" s="2"/>
      <c r="S66" s="2"/>
      <c r="T66" s="2"/>
      <c r="U66" s="2"/>
      <c r="V66" s="2"/>
    </row>
    <row r="67" ht="12.0" customHeight="1">
      <c r="A67" s="2"/>
      <c r="B67" s="4" t="s">
        <v>74</v>
      </c>
      <c r="C67" s="2"/>
      <c r="D67" s="2"/>
      <c r="E67" s="2"/>
      <c r="F67" s="76" t="s">
        <v>109</v>
      </c>
      <c r="G67" s="76" t="s">
        <v>109</v>
      </c>
      <c r="H67" s="2"/>
      <c r="I67" s="76" t="s">
        <v>109</v>
      </c>
      <c r="J67" s="76" t="s">
        <v>109</v>
      </c>
      <c r="K67" s="2"/>
      <c r="L67" s="2"/>
      <c r="M67" s="2"/>
      <c r="N67" s="2"/>
      <c r="O67" s="2"/>
      <c r="P67" s="2"/>
      <c r="Q67" s="2"/>
      <c r="R67" s="2"/>
      <c r="S67" s="2"/>
      <c r="T67" s="2"/>
      <c r="U67" s="2"/>
      <c r="V67" s="2"/>
    </row>
    <row r="68" ht="12.0" customHeight="1">
      <c r="A68" s="2"/>
      <c r="B68" s="4" t="s">
        <v>75</v>
      </c>
      <c r="C68" s="74">
        <v>556.025</v>
      </c>
      <c r="D68" s="98">
        <v>4.0</v>
      </c>
      <c r="E68" s="2"/>
      <c r="F68" s="76" t="s">
        <v>109</v>
      </c>
      <c r="G68" s="76" t="s">
        <v>109</v>
      </c>
      <c r="H68" s="2"/>
      <c r="I68" s="76" t="s">
        <v>109</v>
      </c>
      <c r="J68" s="76" t="s">
        <v>109</v>
      </c>
      <c r="K68" s="2"/>
      <c r="L68" s="2"/>
      <c r="M68" s="2"/>
      <c r="N68" s="2"/>
      <c r="O68" s="2"/>
      <c r="P68" s="2"/>
      <c r="Q68" s="2"/>
      <c r="R68" s="2"/>
      <c r="S68" s="2"/>
      <c r="T68" s="2"/>
      <c r="U68" s="2"/>
      <c r="V68" s="2"/>
    </row>
    <row r="69" ht="12.0" customHeight="1">
      <c r="A69" s="40">
        <v>1985.0</v>
      </c>
      <c r="B69" s="4" t="s">
        <v>58</v>
      </c>
      <c r="C69" s="74">
        <v>365.039999999999</v>
      </c>
      <c r="D69" s="98">
        <v>4.0</v>
      </c>
      <c r="E69" s="2"/>
      <c r="F69" s="76" t="s">
        <v>109</v>
      </c>
      <c r="G69" s="76" t="s">
        <v>109</v>
      </c>
      <c r="H69" s="2"/>
      <c r="I69" s="76" t="s">
        <v>109</v>
      </c>
      <c r="J69" s="76" t="s">
        <v>109</v>
      </c>
      <c r="K69" s="2"/>
      <c r="L69" s="2"/>
      <c r="M69" s="2"/>
      <c r="N69" s="2"/>
      <c r="O69" s="2"/>
      <c r="P69" s="2"/>
      <c r="Q69" s="2"/>
      <c r="R69" s="2"/>
      <c r="S69" s="2"/>
      <c r="T69" s="2"/>
      <c r="U69" s="2"/>
      <c r="V69" s="2"/>
    </row>
    <row r="70" ht="12.0" customHeight="1">
      <c r="A70" s="2"/>
      <c r="B70" s="4" t="s">
        <v>66</v>
      </c>
      <c r="C70" s="74">
        <v>1039.825</v>
      </c>
      <c r="D70" s="98">
        <v>4.0</v>
      </c>
      <c r="E70" s="2"/>
      <c r="F70" s="76" t="s">
        <v>109</v>
      </c>
      <c r="G70" s="76" t="s">
        <v>109</v>
      </c>
      <c r="H70" s="2"/>
      <c r="I70" s="76" t="s">
        <v>109</v>
      </c>
      <c r="J70" s="76" t="s">
        <v>109</v>
      </c>
      <c r="K70" s="2"/>
      <c r="L70" s="2"/>
      <c r="M70" s="2"/>
      <c r="N70" s="2"/>
      <c r="O70" s="2"/>
      <c r="P70" s="2"/>
      <c r="Q70" s="2"/>
      <c r="R70" s="2"/>
      <c r="S70" s="2"/>
      <c r="T70" s="2"/>
      <c r="U70" s="2"/>
      <c r="V70" s="2"/>
    </row>
    <row r="71" ht="12.0" customHeight="1">
      <c r="A71" s="2"/>
      <c r="B71" s="4" t="s">
        <v>74</v>
      </c>
      <c r="C71" s="74">
        <v>178.719999999999</v>
      </c>
      <c r="D71" s="98">
        <v>4.0</v>
      </c>
      <c r="E71" s="2"/>
      <c r="F71" s="76" t="s">
        <v>109</v>
      </c>
      <c r="G71" s="76" t="s">
        <v>109</v>
      </c>
      <c r="H71" s="2"/>
      <c r="I71" s="76" t="s">
        <v>109</v>
      </c>
      <c r="J71" s="76" t="s">
        <v>109</v>
      </c>
      <c r="K71" s="2"/>
      <c r="L71" s="2"/>
      <c r="M71" s="2"/>
      <c r="N71" s="2"/>
      <c r="O71" s="2"/>
      <c r="P71" s="2"/>
      <c r="Q71" s="2"/>
      <c r="R71" s="2"/>
      <c r="S71" s="2"/>
      <c r="T71" s="2"/>
      <c r="U71" s="2"/>
      <c r="V71" s="2"/>
    </row>
    <row r="72" ht="12.0" customHeight="1">
      <c r="A72" s="2"/>
      <c r="B72" s="4" t="s">
        <v>75</v>
      </c>
      <c r="C72" s="74">
        <v>1041.225</v>
      </c>
      <c r="D72" s="98">
        <v>8.0</v>
      </c>
      <c r="E72" s="2"/>
      <c r="F72" s="76" t="s">
        <v>109</v>
      </c>
      <c r="G72" s="76" t="s">
        <v>109</v>
      </c>
      <c r="H72" s="2"/>
      <c r="I72" s="76" t="s">
        <v>109</v>
      </c>
      <c r="J72" s="76" t="s">
        <v>109</v>
      </c>
      <c r="K72" s="2"/>
      <c r="L72" s="2"/>
      <c r="M72" s="2"/>
      <c r="N72" s="2"/>
      <c r="O72" s="2"/>
      <c r="P72" s="2"/>
      <c r="Q72" s="2"/>
      <c r="R72" s="2"/>
      <c r="S72" s="2"/>
      <c r="T72" s="2"/>
      <c r="U72" s="2"/>
      <c r="V72" s="2"/>
    </row>
    <row r="73" ht="12.0" customHeight="1">
      <c r="A73" s="40">
        <v>1986.0</v>
      </c>
      <c r="B73" s="4" t="s">
        <v>58</v>
      </c>
      <c r="C73" s="74">
        <v>279.95</v>
      </c>
      <c r="D73" s="98">
        <v>4.0</v>
      </c>
      <c r="E73" s="2"/>
      <c r="F73" s="76" t="s">
        <v>109</v>
      </c>
      <c r="G73" s="76" t="s">
        <v>109</v>
      </c>
      <c r="H73" s="2"/>
      <c r="I73" s="76" t="s">
        <v>109</v>
      </c>
      <c r="J73" s="76" t="s">
        <v>109</v>
      </c>
      <c r="K73" s="2"/>
      <c r="L73" s="2"/>
      <c r="M73" s="2"/>
      <c r="N73" s="2"/>
      <c r="O73" s="2"/>
      <c r="P73" s="2"/>
      <c r="Q73" s="2"/>
      <c r="R73" s="2"/>
      <c r="S73" s="2"/>
      <c r="T73" s="2"/>
      <c r="U73" s="2"/>
      <c r="V73" s="2"/>
    </row>
    <row r="74" ht="12.0" customHeight="1">
      <c r="A74" s="2"/>
      <c r="B74" s="4" t="s">
        <v>66</v>
      </c>
      <c r="C74" s="74">
        <v>1572.84999999999</v>
      </c>
      <c r="D74" s="98">
        <v>16.0</v>
      </c>
      <c r="E74" s="2"/>
      <c r="F74" s="76" t="s">
        <v>109</v>
      </c>
      <c r="G74" s="76" t="s">
        <v>109</v>
      </c>
      <c r="H74" s="2"/>
      <c r="I74" s="76" t="s">
        <v>109</v>
      </c>
      <c r="J74" s="76" t="s">
        <v>109</v>
      </c>
      <c r="K74" s="2"/>
      <c r="L74" s="2"/>
      <c r="M74" s="2"/>
      <c r="N74" s="2"/>
      <c r="O74" s="2"/>
      <c r="P74" s="2"/>
      <c r="Q74" s="2"/>
      <c r="R74" s="2"/>
      <c r="S74" s="2"/>
      <c r="T74" s="2"/>
      <c r="U74" s="2"/>
      <c r="V74" s="2"/>
    </row>
    <row r="75" ht="12.0" customHeight="1">
      <c r="A75" s="2"/>
      <c r="B75" s="4" t="s">
        <v>74</v>
      </c>
      <c r="C75" s="2"/>
      <c r="D75" s="2"/>
      <c r="E75" s="2"/>
      <c r="F75" s="76" t="s">
        <v>109</v>
      </c>
      <c r="G75" s="76" t="s">
        <v>109</v>
      </c>
      <c r="H75" s="2"/>
      <c r="I75" s="76" t="s">
        <v>109</v>
      </c>
      <c r="J75" s="76" t="s">
        <v>109</v>
      </c>
      <c r="K75" s="2"/>
      <c r="L75" s="2"/>
      <c r="M75" s="2"/>
      <c r="N75" s="2"/>
      <c r="O75" s="2"/>
      <c r="P75" s="2"/>
      <c r="Q75" s="2"/>
      <c r="R75" s="2"/>
      <c r="S75" s="2"/>
      <c r="T75" s="2"/>
      <c r="U75" s="2"/>
      <c r="V75" s="2"/>
    </row>
    <row r="76" ht="12.0" customHeight="1">
      <c r="A76" s="2"/>
      <c r="B76" s="4" t="s">
        <v>75</v>
      </c>
      <c r="C76" s="2"/>
      <c r="D76" s="2"/>
      <c r="E76" s="2"/>
      <c r="F76" s="76" t="s">
        <v>109</v>
      </c>
      <c r="G76" s="76" t="s">
        <v>109</v>
      </c>
      <c r="H76" s="2"/>
      <c r="I76" s="76" t="s">
        <v>109</v>
      </c>
      <c r="J76" s="76" t="s">
        <v>109</v>
      </c>
      <c r="K76" s="2"/>
      <c r="L76" s="2"/>
      <c r="M76" s="2"/>
      <c r="N76" s="2"/>
      <c r="O76" s="2"/>
      <c r="P76" s="2"/>
      <c r="Q76" s="2"/>
      <c r="R76" s="2"/>
      <c r="S76" s="2"/>
      <c r="T76" s="2"/>
      <c r="U76" s="2"/>
      <c r="V76" s="2"/>
    </row>
    <row r="77" ht="12.0" customHeight="1">
      <c r="A77" s="40">
        <v>1987.0</v>
      </c>
      <c r="B77" s="4" t="s">
        <v>58</v>
      </c>
      <c r="C77" s="2"/>
      <c r="D77" s="2"/>
      <c r="E77" s="2"/>
      <c r="F77" s="76" t="s">
        <v>109</v>
      </c>
      <c r="G77" s="76" t="s">
        <v>109</v>
      </c>
      <c r="H77" s="2"/>
      <c r="I77" s="76" t="s">
        <v>109</v>
      </c>
      <c r="J77" s="76" t="s">
        <v>109</v>
      </c>
      <c r="K77" s="2"/>
      <c r="L77" s="2"/>
      <c r="M77" s="2"/>
      <c r="N77" s="2"/>
      <c r="O77" s="2"/>
      <c r="P77" s="2"/>
      <c r="Q77" s="2"/>
      <c r="R77" s="2"/>
      <c r="S77" s="2"/>
      <c r="T77" s="2"/>
      <c r="U77" s="2"/>
      <c r="V77" s="2"/>
    </row>
    <row r="78" ht="12.0" customHeight="1">
      <c r="A78" s="2"/>
      <c r="B78" s="4" t="s">
        <v>66</v>
      </c>
      <c r="C78" s="2"/>
      <c r="D78" s="2"/>
      <c r="E78" s="2"/>
      <c r="F78" s="76" t="s">
        <v>109</v>
      </c>
      <c r="G78" s="76" t="s">
        <v>109</v>
      </c>
      <c r="H78" s="2"/>
      <c r="I78" s="76" t="s">
        <v>109</v>
      </c>
      <c r="J78" s="76" t="s">
        <v>109</v>
      </c>
      <c r="K78" s="2"/>
      <c r="L78" s="2"/>
      <c r="M78" s="2"/>
      <c r="N78" s="2"/>
      <c r="O78" s="2"/>
      <c r="P78" s="2"/>
      <c r="Q78" s="2"/>
      <c r="R78" s="2"/>
      <c r="S78" s="2"/>
      <c r="T78" s="2"/>
      <c r="U78" s="2"/>
      <c r="V78" s="2"/>
    </row>
    <row r="79" ht="12.0" customHeight="1">
      <c r="A79" s="2"/>
      <c r="B79" s="4" t="s">
        <v>74</v>
      </c>
      <c r="C79" s="2"/>
      <c r="D79" s="2"/>
      <c r="E79" s="2"/>
      <c r="F79" s="76" t="s">
        <v>109</v>
      </c>
      <c r="G79" s="76" t="s">
        <v>109</v>
      </c>
      <c r="H79" s="2"/>
      <c r="I79" s="76" t="s">
        <v>109</v>
      </c>
      <c r="J79" s="76" t="s">
        <v>109</v>
      </c>
      <c r="K79" s="2"/>
      <c r="L79" s="2"/>
      <c r="M79" s="2"/>
      <c r="N79" s="2"/>
      <c r="O79" s="2"/>
      <c r="P79" s="2"/>
      <c r="Q79" s="2"/>
      <c r="R79" s="2"/>
      <c r="S79" s="2"/>
      <c r="T79" s="2"/>
      <c r="U79" s="2"/>
      <c r="V79" s="2"/>
    </row>
    <row r="80" ht="12.0" customHeight="1">
      <c r="A80" s="2"/>
      <c r="B80" s="4" t="s">
        <v>75</v>
      </c>
      <c r="C80" s="74">
        <v>380.065</v>
      </c>
      <c r="D80" s="98">
        <v>4.0</v>
      </c>
      <c r="E80" s="2"/>
      <c r="F80" s="76" t="s">
        <v>109</v>
      </c>
      <c r="G80" s="76" t="s">
        <v>109</v>
      </c>
      <c r="H80" s="2"/>
      <c r="I80" s="76" t="s">
        <v>109</v>
      </c>
      <c r="J80" s="76" t="s">
        <v>109</v>
      </c>
      <c r="K80" s="2"/>
      <c r="L80" s="2"/>
      <c r="M80" s="2"/>
      <c r="N80" s="2"/>
      <c r="O80" s="2"/>
      <c r="P80" s="2"/>
      <c r="Q80" s="2"/>
      <c r="R80" s="2"/>
      <c r="S80" s="2"/>
      <c r="T80" s="2"/>
      <c r="U80" s="2"/>
      <c r="V80" s="2"/>
    </row>
    <row r="81" ht="12.0" customHeight="1">
      <c r="A81" s="40">
        <v>1988.0</v>
      </c>
      <c r="B81" s="4" t="s">
        <v>58</v>
      </c>
      <c r="C81" s="74">
        <v>2025.0</v>
      </c>
      <c r="D81" s="98">
        <v>27.0</v>
      </c>
      <c r="E81" s="2"/>
      <c r="F81" s="76" t="s">
        <v>109</v>
      </c>
      <c r="G81" s="76" t="s">
        <v>109</v>
      </c>
      <c r="H81" s="2"/>
      <c r="I81" s="76" t="s">
        <v>109</v>
      </c>
      <c r="J81" s="76" t="s">
        <v>109</v>
      </c>
      <c r="K81" s="2"/>
      <c r="L81" s="2"/>
      <c r="M81" s="2"/>
      <c r="N81" s="2"/>
      <c r="O81" s="2"/>
      <c r="P81" s="2"/>
      <c r="Q81" s="2"/>
      <c r="R81" s="2"/>
      <c r="S81" s="2"/>
      <c r="T81" s="2"/>
      <c r="U81" s="2"/>
      <c r="V81" s="2"/>
    </row>
    <row r="82" ht="12.0" customHeight="1">
      <c r="A82" s="2"/>
      <c r="B82" s="4" t="s">
        <v>66</v>
      </c>
      <c r="C82" s="74">
        <v>3550.2</v>
      </c>
      <c r="D82" s="98">
        <v>49.0</v>
      </c>
      <c r="E82" s="2"/>
      <c r="F82" s="76" t="s">
        <v>109</v>
      </c>
      <c r="G82" s="76" t="s">
        <v>109</v>
      </c>
      <c r="H82" s="2"/>
      <c r="I82" s="76" t="s">
        <v>109</v>
      </c>
      <c r="J82" s="76" t="s">
        <v>109</v>
      </c>
      <c r="K82" s="2"/>
      <c r="L82" s="2"/>
      <c r="M82" s="2"/>
      <c r="N82" s="2"/>
      <c r="O82" s="2"/>
      <c r="P82" s="2"/>
      <c r="Q82" s="2"/>
      <c r="R82" s="2"/>
      <c r="S82" s="2"/>
      <c r="T82" s="2"/>
      <c r="U82" s="2"/>
      <c r="V82" s="2"/>
    </row>
    <row r="83" ht="12.0" customHeight="1">
      <c r="A83" s="2"/>
      <c r="B83" s="4" t="s">
        <v>74</v>
      </c>
      <c r="C83" s="74">
        <v>3150.19999999999</v>
      </c>
      <c r="D83" s="98">
        <v>42.0</v>
      </c>
      <c r="E83" s="2"/>
      <c r="F83" s="76" t="s">
        <v>109</v>
      </c>
      <c r="G83" s="76" t="s">
        <v>109</v>
      </c>
      <c r="H83" s="2"/>
      <c r="I83" s="76" t="s">
        <v>109</v>
      </c>
      <c r="J83" s="76" t="s">
        <v>109</v>
      </c>
      <c r="K83" s="2"/>
      <c r="L83" s="2"/>
      <c r="M83" s="2"/>
      <c r="N83" s="2"/>
      <c r="O83" s="2"/>
      <c r="P83" s="2"/>
      <c r="Q83" s="2"/>
      <c r="R83" s="2"/>
      <c r="S83" s="2"/>
      <c r="T83" s="2"/>
      <c r="U83" s="2"/>
      <c r="V83" s="2"/>
    </row>
    <row r="84" ht="12.0" customHeight="1">
      <c r="A84" s="2"/>
      <c r="B84" s="4" t="s">
        <v>75</v>
      </c>
      <c r="C84" s="74">
        <v>6260.04999999999</v>
      </c>
      <c r="D84" s="98">
        <v>98.0</v>
      </c>
      <c r="E84" s="2"/>
      <c r="F84" s="76" t="s">
        <v>109</v>
      </c>
      <c r="G84" s="76" t="s">
        <v>109</v>
      </c>
      <c r="H84" s="2"/>
      <c r="I84" s="76" t="s">
        <v>109</v>
      </c>
      <c r="J84" s="76" t="s">
        <v>109</v>
      </c>
      <c r="K84" s="2"/>
      <c r="L84" s="2"/>
      <c r="M84" s="2"/>
      <c r="N84" s="2"/>
      <c r="O84" s="2"/>
      <c r="P84" s="2"/>
      <c r="Q84" s="2"/>
      <c r="R84" s="2"/>
      <c r="S84" s="2"/>
      <c r="T84" s="2"/>
      <c r="U84" s="2"/>
      <c r="V84" s="2"/>
    </row>
    <row r="85" ht="12.0" customHeight="1">
      <c r="A85" s="40">
        <v>1989.0</v>
      </c>
      <c r="B85" s="4" t="s">
        <v>58</v>
      </c>
      <c r="C85" s="74">
        <v>7585.139</v>
      </c>
      <c r="D85" s="98">
        <v>121.0</v>
      </c>
      <c r="E85" s="2"/>
      <c r="F85" s="76" t="s">
        <v>109</v>
      </c>
      <c r="G85" s="76" t="s">
        <v>109</v>
      </c>
      <c r="H85" s="2"/>
      <c r="I85" s="74">
        <v>0.1</v>
      </c>
      <c r="J85" s="98">
        <v>1.0</v>
      </c>
      <c r="K85" s="2"/>
      <c r="L85" s="2"/>
      <c r="M85" s="2"/>
      <c r="N85" s="2"/>
      <c r="O85" s="2"/>
      <c r="P85" s="2"/>
      <c r="Q85" s="2"/>
      <c r="R85" s="2"/>
      <c r="S85" s="2"/>
      <c r="T85" s="2"/>
      <c r="U85" s="2"/>
      <c r="V85" s="2"/>
    </row>
    <row r="86" ht="12.0" customHeight="1">
      <c r="A86" s="2"/>
      <c r="B86" s="4" t="s">
        <v>66</v>
      </c>
      <c r="C86" s="74">
        <v>9181.03</v>
      </c>
      <c r="D86" s="98">
        <v>242.0</v>
      </c>
      <c r="E86" s="2"/>
      <c r="F86" s="76" t="s">
        <v>109</v>
      </c>
      <c r="G86" s="76" t="s">
        <v>109</v>
      </c>
      <c r="H86" s="2"/>
      <c r="I86" s="74">
        <v>1.892</v>
      </c>
      <c r="J86" s="98">
        <v>6.0</v>
      </c>
      <c r="K86" s="2"/>
      <c r="L86" s="2"/>
      <c r="M86" s="2"/>
      <c r="N86" s="2"/>
      <c r="O86" s="2"/>
      <c r="P86" s="2"/>
      <c r="Q86" s="2"/>
      <c r="R86" s="2"/>
      <c r="S86" s="2"/>
      <c r="T86" s="2"/>
      <c r="U86" s="2"/>
      <c r="V86" s="2"/>
    </row>
    <row r="87" ht="12.0" customHeight="1">
      <c r="A87" s="2"/>
      <c r="B87" s="4" t="s">
        <v>74</v>
      </c>
      <c r="C87" s="74">
        <v>12281.796</v>
      </c>
      <c r="D87" s="98">
        <v>306.0</v>
      </c>
      <c r="E87" s="2"/>
      <c r="F87" s="76" t="s">
        <v>109</v>
      </c>
      <c r="G87" s="76" t="s">
        <v>109</v>
      </c>
      <c r="H87" s="2"/>
      <c r="I87" s="74">
        <v>5.105</v>
      </c>
      <c r="J87" s="98">
        <v>6.0</v>
      </c>
      <c r="K87" s="2"/>
      <c r="L87" s="2"/>
      <c r="M87" s="2"/>
      <c r="N87" s="2"/>
      <c r="O87" s="2"/>
      <c r="P87" s="2"/>
      <c r="Q87" s="2"/>
      <c r="R87" s="2"/>
      <c r="S87" s="2"/>
      <c r="T87" s="2"/>
      <c r="U87" s="2"/>
      <c r="V87" s="2"/>
    </row>
    <row r="88" ht="12.0" customHeight="1">
      <c r="A88" s="2"/>
      <c r="B88" s="4" t="s">
        <v>75</v>
      </c>
      <c r="C88" s="74">
        <v>11601.287</v>
      </c>
      <c r="D88" s="98">
        <v>349.0</v>
      </c>
      <c r="E88" s="2"/>
      <c r="F88" s="74">
        <v>946.304999999999</v>
      </c>
      <c r="G88" s="98">
        <v>8.0</v>
      </c>
      <c r="H88" s="2"/>
      <c r="I88" s="74">
        <v>949.821999999999</v>
      </c>
      <c r="J88" s="98">
        <v>22.0</v>
      </c>
      <c r="K88" s="2"/>
      <c r="L88" s="2"/>
      <c r="M88" s="2"/>
      <c r="N88" s="2"/>
      <c r="O88" s="2"/>
      <c r="P88" s="2"/>
      <c r="Q88" s="2"/>
      <c r="R88" s="2"/>
      <c r="S88" s="2"/>
      <c r="T88" s="2"/>
      <c r="U88" s="2"/>
      <c r="V88" s="2"/>
    </row>
    <row r="89" ht="12.0" customHeight="1">
      <c r="A89" s="40">
        <v>1990.0</v>
      </c>
      <c r="B89" s="4" t="s">
        <v>58</v>
      </c>
      <c r="C89" s="74">
        <v>11163.877</v>
      </c>
      <c r="D89" s="98">
        <v>353.0</v>
      </c>
      <c r="E89" s="2"/>
      <c r="F89" s="74">
        <v>400.0</v>
      </c>
      <c r="G89" s="98">
        <v>2.0</v>
      </c>
      <c r="H89" s="2"/>
      <c r="I89" s="74">
        <v>403.471</v>
      </c>
      <c r="J89" s="98">
        <v>16.0</v>
      </c>
      <c r="K89" s="2"/>
      <c r="L89" s="2"/>
      <c r="M89" s="2"/>
      <c r="N89" s="2"/>
      <c r="O89" s="2"/>
      <c r="P89" s="2"/>
      <c r="Q89" s="2"/>
      <c r="R89" s="2"/>
      <c r="S89" s="2"/>
      <c r="T89" s="2"/>
      <c r="U89" s="2"/>
      <c r="V89" s="2"/>
    </row>
    <row r="90" ht="12.0" customHeight="1">
      <c r="A90" s="2"/>
      <c r="B90" s="4" t="s">
        <v>66</v>
      </c>
      <c r="C90" s="74">
        <v>9003.341</v>
      </c>
      <c r="D90" s="98">
        <v>316.0</v>
      </c>
      <c r="E90" s="2"/>
      <c r="F90" s="74">
        <v>1049.67899999999</v>
      </c>
      <c r="G90" s="98">
        <v>8.0</v>
      </c>
      <c r="H90" s="2"/>
      <c r="I90" s="74">
        <v>1053.412</v>
      </c>
      <c r="J90" s="98">
        <v>27.0</v>
      </c>
      <c r="K90" s="2"/>
      <c r="L90" s="2"/>
      <c r="M90" s="2"/>
      <c r="N90" s="2"/>
      <c r="O90" s="2"/>
      <c r="P90" s="2"/>
      <c r="Q90" s="2"/>
      <c r="R90" s="2"/>
      <c r="S90" s="2"/>
      <c r="T90" s="2"/>
      <c r="U90" s="2"/>
      <c r="V90" s="2"/>
    </row>
    <row r="91" ht="12.0" customHeight="1">
      <c r="A91" s="2"/>
      <c r="B91" s="4" t="s">
        <v>74</v>
      </c>
      <c r="C91" s="74">
        <v>10532.714</v>
      </c>
      <c r="D91" s="98">
        <v>262.0</v>
      </c>
      <c r="E91" s="2"/>
      <c r="F91" s="2"/>
      <c r="G91" s="2"/>
      <c r="H91" s="2"/>
      <c r="I91" s="74">
        <v>4.297</v>
      </c>
      <c r="J91" s="98">
        <v>20.0</v>
      </c>
      <c r="K91" s="2"/>
      <c r="L91" s="2"/>
      <c r="M91" s="2"/>
      <c r="N91" s="2"/>
      <c r="O91" s="2"/>
      <c r="P91" s="2"/>
      <c r="Q91" s="2"/>
      <c r="R91" s="2"/>
      <c r="S91" s="2"/>
      <c r="T91" s="2"/>
      <c r="U91" s="2"/>
      <c r="V91" s="2"/>
    </row>
    <row r="92" ht="12.0" customHeight="1">
      <c r="A92" s="2"/>
      <c r="B92" s="4" t="s">
        <v>75</v>
      </c>
      <c r="C92" s="74">
        <v>8053.412</v>
      </c>
      <c r="D92" s="98">
        <v>305.0</v>
      </c>
      <c r="E92" s="2"/>
      <c r="F92" s="2"/>
      <c r="G92" s="2"/>
      <c r="H92" s="2"/>
      <c r="I92" s="74">
        <v>7.84499999999999</v>
      </c>
      <c r="J92" s="98">
        <v>33.0</v>
      </c>
      <c r="K92" s="2"/>
      <c r="L92" s="2"/>
      <c r="M92" s="2"/>
      <c r="N92" s="2"/>
      <c r="O92" s="2"/>
      <c r="P92" s="2"/>
      <c r="Q92" s="2"/>
      <c r="R92" s="2"/>
      <c r="S92" s="2"/>
      <c r="T92" s="2"/>
      <c r="U92" s="2"/>
      <c r="V92" s="2"/>
    </row>
    <row r="93" ht="12.0" customHeight="1">
      <c r="A93" s="40">
        <v>1991.0</v>
      </c>
      <c r="B93" s="4" t="s">
        <v>58</v>
      </c>
      <c r="C93" s="74">
        <v>15028.647</v>
      </c>
      <c r="D93" s="98">
        <v>554.0</v>
      </c>
      <c r="E93" s="2"/>
      <c r="F93" s="74">
        <v>200.0</v>
      </c>
      <c r="G93" s="98">
        <v>1.0</v>
      </c>
      <c r="H93" s="2"/>
      <c r="I93" s="74">
        <v>237.674999999999</v>
      </c>
      <c r="J93" s="98">
        <v>74.0</v>
      </c>
      <c r="K93" s="2"/>
      <c r="L93" s="2"/>
      <c r="M93" s="2"/>
      <c r="N93" s="2"/>
      <c r="O93" s="2"/>
      <c r="P93" s="2"/>
      <c r="Q93" s="2"/>
      <c r="R93" s="2"/>
      <c r="S93" s="2"/>
      <c r="T93" s="2"/>
      <c r="U93" s="2"/>
      <c r="V93" s="2"/>
    </row>
    <row r="94" ht="12.0" customHeight="1">
      <c r="A94" s="2"/>
      <c r="B94" s="4" t="s">
        <v>66</v>
      </c>
      <c r="C94" s="74">
        <v>24404.206</v>
      </c>
      <c r="D94" s="98">
        <v>891.0</v>
      </c>
      <c r="E94" s="2"/>
      <c r="F94" s="2"/>
      <c r="G94" s="2"/>
      <c r="H94" s="2"/>
      <c r="I94" s="74">
        <v>44.968</v>
      </c>
      <c r="J94" s="98">
        <v>104.0</v>
      </c>
      <c r="K94" s="2"/>
      <c r="L94" s="2"/>
      <c r="M94" s="2"/>
      <c r="N94" s="2"/>
      <c r="O94" s="2"/>
      <c r="P94" s="2"/>
      <c r="Q94" s="2"/>
      <c r="R94" s="2"/>
      <c r="S94" s="2"/>
      <c r="T94" s="2"/>
      <c r="U94" s="2"/>
      <c r="V94" s="2"/>
    </row>
    <row r="95" ht="12.0" customHeight="1">
      <c r="A95" s="2"/>
      <c r="B95" s="4" t="s">
        <v>74</v>
      </c>
      <c r="C95" s="74">
        <v>20698.486</v>
      </c>
      <c r="D95" s="98">
        <v>752.0</v>
      </c>
      <c r="E95" s="2"/>
      <c r="F95" s="74">
        <v>900.02</v>
      </c>
      <c r="G95" s="98">
        <v>1.0</v>
      </c>
      <c r="H95" s="2"/>
      <c r="I95" s="74">
        <v>919.884999999999</v>
      </c>
      <c r="J95" s="98">
        <v>96.0</v>
      </c>
      <c r="K95" s="2"/>
      <c r="L95" s="2"/>
      <c r="M95" s="2"/>
      <c r="N95" s="2"/>
      <c r="O95" s="2"/>
      <c r="P95" s="2"/>
      <c r="Q95" s="2"/>
      <c r="R95" s="2"/>
      <c r="S95" s="2"/>
      <c r="T95" s="2"/>
      <c r="U95" s="2"/>
      <c r="V95" s="2"/>
    </row>
    <row r="96" ht="12.0" customHeight="1">
      <c r="A96" s="2"/>
      <c r="B96" s="4" t="s">
        <v>75</v>
      </c>
      <c r="C96" s="74">
        <v>15818.354</v>
      </c>
      <c r="D96" s="98">
        <v>534.0</v>
      </c>
      <c r="E96" s="2"/>
      <c r="F96" s="74">
        <v>1470.01</v>
      </c>
      <c r="G96" s="98">
        <v>2.0</v>
      </c>
      <c r="H96" s="2"/>
      <c r="I96" s="74">
        <v>1639.541</v>
      </c>
      <c r="J96" s="98">
        <v>66.0</v>
      </c>
      <c r="K96" s="2"/>
      <c r="L96" s="2"/>
      <c r="M96" s="2"/>
      <c r="N96" s="2"/>
      <c r="O96" s="2"/>
      <c r="P96" s="2"/>
      <c r="Q96" s="2"/>
      <c r="R96" s="2"/>
      <c r="S96" s="2"/>
      <c r="T96" s="2"/>
      <c r="U96" s="2"/>
      <c r="V96" s="2"/>
    </row>
    <row r="97" ht="12.0" customHeight="1">
      <c r="A97" s="40">
        <v>1992.0</v>
      </c>
      <c r="B97" s="4" t="s">
        <v>58</v>
      </c>
      <c r="C97" s="74">
        <v>37723.7759999999</v>
      </c>
      <c r="D97" s="98">
        <v>1353.0</v>
      </c>
      <c r="E97" s="2"/>
      <c r="F97" s="74">
        <v>1180.0</v>
      </c>
      <c r="G97" s="98">
        <v>2.0</v>
      </c>
      <c r="H97" s="2"/>
      <c r="I97" s="74">
        <v>1418.166</v>
      </c>
      <c r="J97" s="98">
        <v>155.0</v>
      </c>
      <c r="K97" s="2"/>
      <c r="L97" s="2"/>
      <c r="M97" s="2"/>
      <c r="N97" s="2"/>
      <c r="O97" s="2"/>
      <c r="P97" s="2"/>
      <c r="Q97" s="2"/>
      <c r="R97" s="2"/>
      <c r="S97" s="2"/>
      <c r="T97" s="2"/>
      <c r="U97" s="2"/>
      <c r="V97" s="2"/>
    </row>
    <row r="98" ht="12.0" customHeight="1">
      <c r="A98" s="2"/>
      <c r="B98" s="4" t="s">
        <v>66</v>
      </c>
      <c r="C98" s="74">
        <v>32220.141</v>
      </c>
      <c r="D98" s="98">
        <v>1083.0</v>
      </c>
      <c r="E98" s="2"/>
      <c r="F98" s="74">
        <v>1294.864</v>
      </c>
      <c r="G98" s="98">
        <v>8.0</v>
      </c>
      <c r="H98" s="2"/>
      <c r="I98" s="74">
        <v>3737.055</v>
      </c>
      <c r="J98" s="98">
        <v>129.0</v>
      </c>
      <c r="K98" s="2"/>
      <c r="L98" s="2"/>
      <c r="M98" s="2"/>
      <c r="N98" s="2"/>
      <c r="O98" s="2"/>
      <c r="P98" s="2"/>
      <c r="Q98" s="2"/>
      <c r="R98" s="2"/>
      <c r="S98" s="2"/>
      <c r="T98" s="2"/>
      <c r="U98" s="2"/>
      <c r="V98" s="2"/>
    </row>
    <row r="99" ht="12.0" customHeight="1">
      <c r="A99" s="2"/>
      <c r="B99" s="4" t="s">
        <v>74</v>
      </c>
      <c r="C99" s="74">
        <v>34898.864</v>
      </c>
      <c r="D99" s="98">
        <v>1237.0</v>
      </c>
      <c r="E99" s="2"/>
      <c r="F99" s="74">
        <v>1821.22</v>
      </c>
      <c r="G99" s="98">
        <v>4.0</v>
      </c>
      <c r="H99" s="2"/>
      <c r="I99" s="74">
        <v>6895.329</v>
      </c>
      <c r="J99" s="98">
        <v>160.0</v>
      </c>
      <c r="K99" s="2"/>
      <c r="L99" s="2"/>
      <c r="M99" s="2"/>
      <c r="N99" s="2"/>
      <c r="O99" s="2"/>
      <c r="P99" s="2"/>
      <c r="Q99" s="2"/>
      <c r="R99" s="2"/>
      <c r="S99" s="2"/>
      <c r="T99" s="2"/>
      <c r="U99" s="2"/>
      <c r="V99" s="2"/>
    </row>
    <row r="100" ht="12.0" customHeight="1">
      <c r="A100" s="2"/>
      <c r="B100" s="4" t="s">
        <v>75</v>
      </c>
      <c r="C100" s="74">
        <v>26575.1309999999</v>
      </c>
      <c r="D100" s="98">
        <v>1070.0</v>
      </c>
      <c r="E100" s="2"/>
      <c r="F100" s="2"/>
      <c r="G100" s="2"/>
      <c r="H100" s="2"/>
      <c r="I100" s="74">
        <v>3358.163</v>
      </c>
      <c r="J100" s="98">
        <v>120.0</v>
      </c>
      <c r="K100" s="2"/>
      <c r="L100" s="2"/>
      <c r="M100" s="2"/>
      <c r="N100" s="2"/>
      <c r="O100" s="2"/>
      <c r="P100" s="2"/>
      <c r="Q100" s="2"/>
      <c r="R100" s="2"/>
      <c r="S100" s="2"/>
      <c r="T100" s="2"/>
      <c r="U100" s="2"/>
      <c r="V100" s="2"/>
    </row>
    <row r="101" ht="12.0" customHeight="1">
      <c r="A101" s="40">
        <v>1993.0</v>
      </c>
      <c r="B101" s="4" t="s">
        <v>58</v>
      </c>
      <c r="C101" s="74">
        <v>34207.667</v>
      </c>
      <c r="D101" s="98">
        <v>1249.0</v>
      </c>
      <c r="E101" s="2"/>
      <c r="F101" s="74">
        <v>4067.85999999999</v>
      </c>
      <c r="G101" s="98">
        <v>3.0</v>
      </c>
      <c r="H101" s="2"/>
      <c r="I101" s="74">
        <v>155084.965</v>
      </c>
      <c r="J101" s="98">
        <v>356.0</v>
      </c>
      <c r="K101" s="2"/>
      <c r="L101" s="2"/>
      <c r="M101" s="2"/>
      <c r="N101" s="2"/>
      <c r="O101" s="2"/>
      <c r="P101" s="2"/>
      <c r="Q101" s="2"/>
      <c r="R101" s="2"/>
      <c r="S101" s="2"/>
      <c r="T101" s="2"/>
      <c r="U101" s="2"/>
      <c r="V101" s="2"/>
    </row>
    <row r="102" ht="12.0" customHeight="1">
      <c r="A102" s="2"/>
      <c r="B102" s="4" t="s">
        <v>66</v>
      </c>
      <c r="C102" s="74">
        <v>39783.789</v>
      </c>
      <c r="D102" s="98">
        <v>1335.0</v>
      </c>
      <c r="E102" s="2"/>
      <c r="F102" s="74">
        <v>2260.321</v>
      </c>
      <c r="G102" s="98">
        <v>2.0</v>
      </c>
      <c r="H102" s="2"/>
      <c r="I102" s="74">
        <v>82618.3459999999</v>
      </c>
      <c r="J102" s="98">
        <v>218.0</v>
      </c>
      <c r="K102" s="2"/>
      <c r="L102" s="2"/>
      <c r="M102" s="2"/>
      <c r="N102" s="2"/>
      <c r="O102" s="2"/>
      <c r="P102" s="2"/>
      <c r="Q102" s="2"/>
      <c r="R102" s="2"/>
      <c r="S102" s="2"/>
      <c r="T102" s="2"/>
      <c r="U102" s="2"/>
      <c r="V102" s="2"/>
    </row>
    <row r="103" ht="12.0" customHeight="1">
      <c r="A103" s="2"/>
      <c r="B103" s="4" t="s">
        <v>74</v>
      </c>
      <c r="C103" s="74">
        <v>43225.3999999999</v>
      </c>
      <c r="D103" s="98">
        <v>1435.0</v>
      </c>
      <c r="E103" s="2"/>
      <c r="F103" s="74">
        <v>1955.65999999999</v>
      </c>
      <c r="G103" s="98">
        <v>4.0</v>
      </c>
      <c r="H103" s="2"/>
      <c r="I103" s="74">
        <v>55332.4229999999</v>
      </c>
      <c r="J103" s="98">
        <v>239.0</v>
      </c>
      <c r="K103" s="2"/>
      <c r="L103" s="2"/>
      <c r="M103" s="2"/>
      <c r="N103" s="2"/>
      <c r="O103" s="2"/>
      <c r="P103" s="2"/>
      <c r="Q103" s="2"/>
      <c r="R103" s="2"/>
      <c r="S103" s="2"/>
      <c r="T103" s="2"/>
      <c r="U103" s="2"/>
      <c r="V103" s="2"/>
    </row>
    <row r="104" ht="12.0" customHeight="1">
      <c r="A104" s="2"/>
      <c r="B104" s="4" t="s">
        <v>75</v>
      </c>
      <c r="C104" s="74">
        <v>31818.213</v>
      </c>
      <c r="D104" s="98">
        <v>1087.0</v>
      </c>
      <c r="E104" s="2"/>
      <c r="F104" s="74">
        <v>4476.75</v>
      </c>
      <c r="G104" s="98">
        <v>4.0</v>
      </c>
      <c r="H104" s="2"/>
      <c r="I104" s="74">
        <v>105128.578</v>
      </c>
      <c r="J104" s="98">
        <v>212.0</v>
      </c>
      <c r="K104" s="2"/>
      <c r="L104" s="2"/>
      <c r="M104" s="2"/>
      <c r="N104" s="2"/>
      <c r="O104" s="2"/>
      <c r="P104" s="2"/>
      <c r="Q104" s="2"/>
      <c r="R104" s="2"/>
      <c r="S104" s="2"/>
      <c r="T104" s="2"/>
      <c r="U104" s="2"/>
      <c r="V104" s="2"/>
    </row>
    <row r="105" ht="12.0" customHeight="1">
      <c r="A105" s="2"/>
      <c r="B105" s="2"/>
      <c r="C105" s="2"/>
      <c r="D105" s="2"/>
      <c r="E105" s="2"/>
      <c r="F105" s="2"/>
      <c r="G105" s="2"/>
      <c r="H105" s="2"/>
      <c r="I105" s="2"/>
      <c r="J105" s="2"/>
      <c r="K105" s="2"/>
      <c r="L105" s="2"/>
      <c r="M105" s="2"/>
      <c r="N105" s="2"/>
      <c r="O105" s="2"/>
      <c r="P105" s="2"/>
      <c r="Q105" s="2"/>
      <c r="R105" s="2"/>
      <c r="S105" s="2"/>
      <c r="T105" s="2"/>
      <c r="U105" s="2"/>
      <c r="V105" s="2"/>
    </row>
    <row r="106" ht="12.0" customHeight="1">
      <c r="A106" s="2"/>
      <c r="B106" s="2"/>
      <c r="C106" s="2"/>
      <c r="D106" s="2"/>
      <c r="E106" s="2"/>
      <c r="F106" s="2"/>
      <c r="G106" s="2"/>
      <c r="H106" s="2"/>
      <c r="I106" s="2"/>
      <c r="J106" s="2"/>
      <c r="K106" s="2"/>
      <c r="L106" s="2"/>
      <c r="M106" s="2"/>
      <c r="N106" s="2"/>
      <c r="O106" s="2"/>
      <c r="P106" s="2"/>
      <c r="Q106" s="2"/>
      <c r="R106" s="2"/>
      <c r="S106" s="2"/>
      <c r="T106" s="2"/>
      <c r="U106" s="2"/>
      <c r="V106" s="2"/>
    </row>
    <row r="107" ht="12.0" customHeight="1">
      <c r="A107" s="2"/>
      <c r="B107" s="2"/>
      <c r="C107" s="2"/>
      <c r="D107" s="2"/>
      <c r="E107" s="2"/>
      <c r="F107" s="2"/>
      <c r="G107" s="2"/>
      <c r="H107" s="2"/>
      <c r="I107" s="2"/>
      <c r="J107" s="2"/>
      <c r="K107" s="2"/>
      <c r="L107" s="2"/>
      <c r="M107" s="2"/>
      <c r="N107" s="2"/>
      <c r="O107" s="2"/>
      <c r="P107" s="2"/>
      <c r="Q107" s="2"/>
      <c r="R107" s="2"/>
      <c r="S107" s="2"/>
      <c r="T107" s="2"/>
      <c r="U107" s="2"/>
      <c r="V107" s="2"/>
    </row>
    <row r="108" ht="12.0" customHeight="1">
      <c r="A108" s="2"/>
      <c r="B108" s="2"/>
      <c r="C108" s="2"/>
      <c r="D108" s="2"/>
      <c r="E108" s="2"/>
      <c r="F108" s="2"/>
      <c r="G108" s="2"/>
      <c r="H108" s="2"/>
      <c r="I108" s="2"/>
      <c r="J108" s="2"/>
      <c r="K108" s="2"/>
      <c r="L108" s="2"/>
      <c r="M108" s="2"/>
      <c r="N108" s="2"/>
      <c r="O108" s="2"/>
      <c r="P108" s="2"/>
      <c r="Q108" s="2"/>
      <c r="R108" s="2"/>
      <c r="S108" s="2"/>
      <c r="T108" s="2"/>
      <c r="U108" s="2"/>
      <c r="V108" s="2"/>
    </row>
    <row r="109" ht="12.0" customHeight="1">
      <c r="A109" s="2"/>
      <c r="B109" s="2"/>
      <c r="C109" s="2"/>
      <c r="D109" s="2"/>
      <c r="E109" s="2"/>
      <c r="F109" s="2"/>
      <c r="G109" s="2"/>
      <c r="H109" s="2"/>
      <c r="I109" s="2"/>
      <c r="J109" s="2"/>
      <c r="K109" s="2"/>
      <c r="L109" s="2"/>
      <c r="M109" s="2"/>
      <c r="N109" s="2"/>
      <c r="O109" s="2"/>
      <c r="P109" s="2"/>
      <c r="Q109" s="2"/>
      <c r="R109" s="2"/>
      <c r="S109" s="2"/>
      <c r="T109" s="2"/>
      <c r="U109" s="2"/>
      <c r="V109" s="2"/>
    </row>
    <row r="110" ht="12.0" customHeight="1">
      <c r="A110" s="2"/>
      <c r="B110" s="2"/>
      <c r="C110" s="2"/>
      <c r="D110" s="2"/>
      <c r="E110" s="2"/>
      <c r="F110" s="2"/>
      <c r="G110" s="2"/>
      <c r="H110" s="2"/>
      <c r="I110" s="2"/>
      <c r="J110" s="2"/>
      <c r="K110" s="2"/>
      <c r="L110" s="2"/>
      <c r="M110" s="2"/>
      <c r="N110" s="2"/>
      <c r="O110" s="2"/>
      <c r="P110" s="2"/>
      <c r="Q110" s="2"/>
      <c r="R110" s="2"/>
      <c r="S110" s="2"/>
      <c r="T110" s="2"/>
      <c r="U110" s="2"/>
      <c r="V110" s="2"/>
    </row>
    <row r="111" ht="12.0" customHeight="1">
      <c r="A111" s="2"/>
      <c r="B111" s="2"/>
      <c r="C111" s="2"/>
      <c r="D111" s="2"/>
      <c r="E111" s="2"/>
      <c r="F111" s="2"/>
      <c r="G111" s="2"/>
      <c r="H111" s="2"/>
      <c r="I111" s="2"/>
      <c r="J111" s="2"/>
      <c r="K111" s="2"/>
      <c r="L111" s="2"/>
      <c r="M111" s="2"/>
      <c r="N111" s="2"/>
      <c r="O111" s="2"/>
      <c r="P111" s="2"/>
      <c r="Q111" s="2"/>
      <c r="R111" s="2"/>
      <c r="S111" s="2"/>
      <c r="T111" s="2"/>
      <c r="U111" s="2"/>
      <c r="V111" s="2"/>
    </row>
    <row r="112" ht="12.0" customHeight="1">
      <c r="A112" s="2"/>
      <c r="B112" s="2"/>
      <c r="C112" s="2"/>
      <c r="D112" s="2"/>
      <c r="E112" s="2"/>
      <c r="F112" s="2"/>
      <c r="G112" s="2"/>
      <c r="H112" s="2"/>
      <c r="I112" s="2"/>
      <c r="J112" s="2"/>
      <c r="K112" s="2"/>
      <c r="L112" s="2"/>
      <c r="M112" s="2"/>
      <c r="N112" s="2"/>
      <c r="O112" s="2"/>
      <c r="P112" s="2"/>
      <c r="Q112" s="2"/>
      <c r="R112" s="2"/>
      <c r="S112" s="2"/>
      <c r="T112" s="2"/>
      <c r="U112" s="2"/>
      <c r="V112" s="2"/>
    </row>
    <row r="113" ht="12.0" customHeight="1">
      <c r="A113" s="2"/>
      <c r="B113" s="2"/>
      <c r="C113" s="2"/>
      <c r="D113" s="2"/>
      <c r="E113" s="2"/>
      <c r="F113" s="2"/>
      <c r="G113" s="2"/>
      <c r="H113" s="2"/>
      <c r="I113" s="2"/>
      <c r="J113" s="2"/>
      <c r="K113" s="2"/>
      <c r="L113" s="2"/>
      <c r="M113" s="2"/>
      <c r="N113" s="2"/>
      <c r="O113" s="2"/>
      <c r="P113" s="2"/>
      <c r="Q113" s="2"/>
      <c r="R113" s="2"/>
      <c r="S113" s="2"/>
      <c r="T113" s="2"/>
      <c r="U113" s="2"/>
      <c r="V113" s="2"/>
    </row>
    <row r="114" ht="12.0" customHeight="1">
      <c r="A114" s="2"/>
      <c r="B114" s="2"/>
      <c r="C114" s="2"/>
      <c r="D114" s="2"/>
      <c r="E114" s="2"/>
      <c r="F114" s="2"/>
      <c r="G114" s="2"/>
      <c r="H114" s="2"/>
      <c r="I114" s="2"/>
      <c r="J114" s="2"/>
      <c r="K114" s="2"/>
      <c r="L114" s="2"/>
      <c r="M114" s="2"/>
      <c r="N114" s="2"/>
      <c r="O114" s="2"/>
      <c r="P114" s="2"/>
      <c r="Q114" s="2"/>
      <c r="R114" s="2"/>
      <c r="S114" s="2"/>
      <c r="T114" s="2"/>
      <c r="U114" s="2"/>
      <c r="V114" s="2"/>
    </row>
    <row r="115" ht="12.0" customHeight="1">
      <c r="A115" s="2"/>
      <c r="B115" s="2"/>
      <c r="C115" s="2"/>
      <c r="D115" s="2"/>
      <c r="E115" s="2"/>
      <c r="F115" s="2"/>
      <c r="G115" s="2"/>
      <c r="H115" s="2"/>
      <c r="I115" s="2"/>
      <c r="J115" s="2"/>
      <c r="K115" s="2"/>
      <c r="L115" s="2"/>
      <c r="M115" s="2"/>
      <c r="N115" s="2"/>
      <c r="O115" s="2"/>
      <c r="P115" s="2"/>
      <c r="Q115" s="2"/>
      <c r="R115" s="2"/>
      <c r="S115" s="2"/>
      <c r="T115" s="2"/>
      <c r="U115" s="2"/>
      <c r="V115" s="2"/>
    </row>
    <row r="116" ht="12.0" customHeight="1">
      <c r="A116" s="2"/>
      <c r="B116" s="2"/>
      <c r="C116" s="2"/>
      <c r="D116" s="2"/>
      <c r="E116" s="2"/>
      <c r="F116" s="2"/>
      <c r="G116" s="2"/>
      <c r="H116" s="2"/>
      <c r="I116" s="2"/>
      <c r="J116" s="2"/>
      <c r="K116" s="2"/>
      <c r="L116" s="2"/>
      <c r="M116" s="2"/>
      <c r="N116" s="2"/>
      <c r="O116" s="2"/>
      <c r="P116" s="2"/>
      <c r="Q116" s="2"/>
      <c r="R116" s="2"/>
      <c r="S116" s="2"/>
      <c r="T116" s="2"/>
      <c r="U116" s="2"/>
      <c r="V116" s="2"/>
    </row>
    <row r="117" ht="12.0" customHeight="1">
      <c r="A117" s="2"/>
      <c r="B117" s="2"/>
      <c r="C117" s="2"/>
      <c r="D117" s="2"/>
      <c r="E117" s="2"/>
      <c r="F117" s="2"/>
      <c r="G117" s="2"/>
      <c r="H117" s="2"/>
      <c r="I117" s="2"/>
      <c r="J117" s="2"/>
      <c r="K117" s="2"/>
      <c r="L117" s="2"/>
      <c r="M117" s="2"/>
      <c r="N117" s="2"/>
      <c r="O117" s="2"/>
      <c r="P117" s="2"/>
      <c r="Q117" s="2"/>
      <c r="R117" s="2"/>
      <c r="S117" s="2"/>
      <c r="T117" s="2"/>
      <c r="U117" s="2"/>
      <c r="V117" s="2"/>
    </row>
    <row r="118" ht="12.0" customHeight="1">
      <c r="A118" s="2"/>
      <c r="B118" s="2"/>
      <c r="C118" s="2"/>
      <c r="D118" s="2"/>
      <c r="E118" s="2"/>
      <c r="F118" s="2"/>
      <c r="G118" s="2"/>
      <c r="H118" s="2"/>
      <c r="I118" s="2"/>
      <c r="J118" s="2"/>
      <c r="K118" s="2"/>
      <c r="L118" s="2"/>
      <c r="M118" s="2"/>
      <c r="N118" s="2"/>
      <c r="O118" s="2"/>
      <c r="P118" s="2"/>
      <c r="Q118" s="2"/>
      <c r="R118" s="2"/>
      <c r="S118" s="2"/>
      <c r="T118" s="2"/>
      <c r="U118" s="2"/>
      <c r="V118" s="2"/>
    </row>
    <row r="119" ht="12.0" customHeight="1">
      <c r="A119" s="2"/>
      <c r="B119" s="2"/>
      <c r="C119" s="2"/>
      <c r="D119" s="2"/>
      <c r="E119" s="2"/>
      <c r="F119" s="2"/>
      <c r="G119" s="2"/>
      <c r="H119" s="2"/>
      <c r="I119" s="2"/>
      <c r="J119" s="2"/>
      <c r="K119" s="2"/>
      <c r="L119" s="2"/>
      <c r="M119" s="2"/>
      <c r="N119" s="2"/>
      <c r="O119" s="2"/>
      <c r="P119" s="2"/>
      <c r="Q119" s="2"/>
      <c r="R119" s="2"/>
      <c r="S119" s="2"/>
      <c r="T119" s="2"/>
      <c r="U119" s="2"/>
      <c r="V119" s="2"/>
    </row>
    <row r="120" ht="12.0" customHeight="1">
      <c r="A120" s="2"/>
      <c r="B120" s="2"/>
      <c r="C120" s="2"/>
      <c r="D120" s="2"/>
      <c r="E120" s="2"/>
      <c r="F120" s="2"/>
      <c r="G120" s="2"/>
      <c r="H120" s="2"/>
      <c r="I120" s="2"/>
      <c r="J120" s="2"/>
      <c r="K120" s="2"/>
      <c r="L120" s="2"/>
      <c r="M120" s="2"/>
      <c r="N120" s="2"/>
      <c r="O120" s="2"/>
      <c r="P120" s="2"/>
      <c r="Q120" s="2"/>
      <c r="R120" s="2"/>
      <c r="S120" s="2"/>
      <c r="T120" s="2"/>
      <c r="U120" s="2"/>
      <c r="V120" s="2"/>
    </row>
    <row r="121" ht="12.0" customHeight="1">
      <c r="A121" s="2"/>
      <c r="B121" s="2"/>
      <c r="C121" s="2"/>
      <c r="D121" s="2"/>
      <c r="E121" s="2"/>
      <c r="F121" s="2"/>
      <c r="G121" s="2"/>
      <c r="H121" s="2"/>
      <c r="I121" s="2"/>
      <c r="J121" s="2"/>
      <c r="K121" s="2"/>
      <c r="L121" s="2"/>
      <c r="M121" s="2"/>
      <c r="N121" s="2"/>
      <c r="O121" s="2"/>
      <c r="P121" s="2"/>
      <c r="Q121" s="2"/>
      <c r="R121" s="2"/>
      <c r="S121" s="2"/>
      <c r="T121" s="2"/>
      <c r="U121" s="2"/>
      <c r="V121" s="2"/>
    </row>
    <row r="122" ht="12.0" customHeight="1">
      <c r="A122" s="2"/>
      <c r="B122" s="2"/>
      <c r="C122" s="2"/>
      <c r="D122" s="2"/>
      <c r="E122" s="2"/>
      <c r="F122" s="2"/>
      <c r="G122" s="2"/>
      <c r="H122" s="2"/>
      <c r="I122" s="2"/>
      <c r="J122" s="2"/>
      <c r="K122" s="2"/>
      <c r="L122" s="2"/>
      <c r="M122" s="2"/>
      <c r="N122" s="2"/>
      <c r="O122" s="2"/>
      <c r="P122" s="2"/>
      <c r="Q122" s="2"/>
      <c r="R122" s="2"/>
      <c r="S122" s="2"/>
      <c r="T122" s="2"/>
      <c r="U122" s="2"/>
      <c r="V122" s="2"/>
    </row>
    <row r="123" ht="12.0" customHeight="1">
      <c r="A123" s="2"/>
      <c r="B123" s="2"/>
      <c r="C123" s="2"/>
      <c r="D123" s="2"/>
      <c r="E123" s="2"/>
      <c r="F123" s="2"/>
      <c r="G123" s="2"/>
      <c r="H123" s="2"/>
      <c r="I123" s="2"/>
      <c r="J123" s="2"/>
      <c r="K123" s="2"/>
      <c r="L123" s="2"/>
      <c r="M123" s="2"/>
      <c r="N123" s="2"/>
      <c r="O123" s="2"/>
      <c r="P123" s="2"/>
      <c r="Q123" s="2"/>
      <c r="R123" s="2"/>
      <c r="S123" s="2"/>
      <c r="T123" s="2"/>
      <c r="U123" s="2"/>
      <c r="V123" s="2"/>
    </row>
    <row r="124" ht="12.0" customHeight="1">
      <c r="A124" s="2"/>
      <c r="B124" s="2"/>
      <c r="C124" s="2"/>
      <c r="D124" s="2"/>
      <c r="E124" s="2"/>
      <c r="F124" s="2"/>
      <c r="G124" s="2"/>
      <c r="H124" s="2"/>
      <c r="I124" s="2"/>
      <c r="J124" s="2"/>
      <c r="K124" s="2"/>
      <c r="L124" s="2"/>
      <c r="M124" s="2"/>
      <c r="N124" s="2"/>
      <c r="O124" s="2"/>
      <c r="P124" s="2"/>
      <c r="Q124" s="2"/>
      <c r="R124" s="2"/>
      <c r="S124" s="2"/>
      <c r="T124" s="2"/>
      <c r="U124" s="2"/>
      <c r="V124" s="2"/>
    </row>
    <row r="125" ht="12.0" customHeight="1">
      <c r="A125" s="2"/>
      <c r="B125" s="2"/>
      <c r="C125" s="2"/>
      <c r="D125" s="2"/>
      <c r="E125" s="2"/>
      <c r="F125" s="2"/>
      <c r="G125" s="2"/>
      <c r="H125" s="2"/>
      <c r="I125" s="2"/>
      <c r="J125" s="2"/>
      <c r="K125" s="2"/>
      <c r="L125" s="2"/>
      <c r="M125" s="2"/>
      <c r="N125" s="2"/>
      <c r="O125" s="2"/>
      <c r="P125" s="2"/>
      <c r="Q125" s="2"/>
      <c r="R125" s="2"/>
      <c r="S125" s="2"/>
      <c r="T125" s="2"/>
      <c r="U125" s="2"/>
      <c r="V125" s="2"/>
    </row>
    <row r="126" ht="12.0" customHeight="1">
      <c r="A126" s="2"/>
      <c r="B126" s="2"/>
      <c r="C126" s="2"/>
      <c r="D126" s="2"/>
      <c r="E126" s="2"/>
      <c r="F126" s="2"/>
      <c r="G126" s="2"/>
      <c r="H126" s="2"/>
      <c r="I126" s="2"/>
      <c r="J126" s="2"/>
      <c r="K126" s="2"/>
      <c r="L126" s="2"/>
      <c r="M126" s="2"/>
      <c r="N126" s="2"/>
      <c r="O126" s="2"/>
      <c r="P126" s="2"/>
      <c r="Q126" s="2"/>
      <c r="R126" s="2"/>
      <c r="S126" s="2"/>
      <c r="T126" s="2"/>
      <c r="U126" s="2"/>
      <c r="V126" s="2"/>
    </row>
    <row r="127" ht="12.0" customHeight="1">
      <c r="A127" s="2"/>
      <c r="B127" s="2"/>
      <c r="C127" s="2"/>
      <c r="D127" s="2"/>
      <c r="E127" s="2"/>
      <c r="F127" s="2"/>
      <c r="G127" s="2"/>
      <c r="H127" s="2"/>
      <c r="I127" s="2"/>
      <c r="J127" s="2"/>
      <c r="K127" s="2"/>
      <c r="L127" s="2"/>
      <c r="M127" s="2"/>
      <c r="N127" s="2"/>
      <c r="O127" s="2"/>
      <c r="P127" s="2"/>
      <c r="Q127" s="2"/>
      <c r="R127" s="2"/>
      <c r="S127" s="2"/>
      <c r="T127" s="2"/>
      <c r="U127" s="2"/>
      <c r="V127" s="2"/>
    </row>
    <row r="128" ht="12.0" customHeight="1">
      <c r="A128" s="2"/>
      <c r="B128" s="2"/>
      <c r="C128" s="2"/>
      <c r="D128" s="2"/>
      <c r="E128" s="2"/>
      <c r="F128" s="2"/>
      <c r="G128" s="2"/>
      <c r="H128" s="2"/>
      <c r="I128" s="2"/>
      <c r="J128" s="2"/>
      <c r="K128" s="2"/>
      <c r="L128" s="2"/>
      <c r="M128" s="2"/>
      <c r="N128" s="2"/>
      <c r="O128" s="2"/>
      <c r="P128" s="2"/>
      <c r="Q128" s="2"/>
      <c r="R128" s="2"/>
      <c r="S128" s="2"/>
      <c r="T128" s="2"/>
      <c r="U128" s="2"/>
      <c r="V128" s="2"/>
    </row>
    <row r="129" ht="12.0" customHeight="1">
      <c r="A129" s="2"/>
      <c r="B129" s="2"/>
      <c r="C129" s="2"/>
      <c r="D129" s="2"/>
      <c r="E129" s="2"/>
      <c r="F129" s="2"/>
      <c r="G129" s="2"/>
      <c r="H129" s="2"/>
      <c r="I129" s="2"/>
      <c r="J129" s="2"/>
      <c r="K129" s="2"/>
      <c r="L129" s="2"/>
      <c r="M129" s="2"/>
      <c r="N129" s="2"/>
      <c r="O129" s="2"/>
      <c r="P129" s="2"/>
      <c r="Q129" s="2"/>
      <c r="R129" s="2"/>
      <c r="S129" s="2"/>
      <c r="T129" s="2"/>
      <c r="U129" s="2"/>
      <c r="V129" s="2"/>
    </row>
    <row r="130" ht="12.0" customHeight="1">
      <c r="A130" s="2"/>
      <c r="B130" s="2"/>
      <c r="C130" s="2"/>
      <c r="D130" s="2"/>
      <c r="E130" s="2"/>
      <c r="F130" s="2"/>
      <c r="G130" s="2"/>
      <c r="H130" s="2"/>
      <c r="I130" s="2"/>
      <c r="J130" s="2"/>
      <c r="K130" s="2"/>
      <c r="L130" s="2"/>
      <c r="M130" s="2"/>
      <c r="N130" s="2"/>
      <c r="O130" s="2"/>
      <c r="P130" s="2"/>
      <c r="Q130" s="2"/>
      <c r="R130" s="2"/>
      <c r="S130" s="2"/>
      <c r="T130" s="2"/>
      <c r="U130" s="2"/>
      <c r="V130" s="2"/>
    </row>
    <row r="131" ht="12.0" customHeight="1">
      <c r="A131" s="2"/>
      <c r="B131" s="2"/>
      <c r="C131" s="2"/>
      <c r="D131" s="2"/>
      <c r="E131" s="2"/>
      <c r="F131" s="2"/>
      <c r="G131" s="2"/>
      <c r="H131" s="2"/>
      <c r="I131" s="2"/>
      <c r="J131" s="2"/>
      <c r="K131" s="2"/>
      <c r="L131" s="2"/>
      <c r="M131" s="2"/>
      <c r="N131" s="2"/>
      <c r="O131" s="2"/>
      <c r="P131" s="2"/>
      <c r="Q131" s="2"/>
      <c r="R131" s="2"/>
      <c r="S131" s="2"/>
      <c r="T131" s="2"/>
      <c r="U131" s="2"/>
      <c r="V131" s="2"/>
    </row>
    <row r="132" ht="12.0" customHeight="1">
      <c r="A132" s="2"/>
      <c r="B132" s="2"/>
      <c r="C132" s="2"/>
      <c r="D132" s="2"/>
      <c r="E132" s="2"/>
      <c r="F132" s="2"/>
      <c r="G132" s="2"/>
      <c r="H132" s="2"/>
      <c r="I132" s="2"/>
      <c r="J132" s="2"/>
      <c r="K132" s="2"/>
      <c r="L132" s="2"/>
      <c r="M132" s="2"/>
      <c r="N132" s="2"/>
      <c r="O132" s="2"/>
      <c r="P132" s="2"/>
      <c r="Q132" s="2"/>
      <c r="R132" s="2"/>
      <c r="S132" s="2"/>
      <c r="T132" s="2"/>
      <c r="U132" s="2"/>
      <c r="V132" s="2"/>
    </row>
    <row r="133" ht="12.0" customHeight="1">
      <c r="A133" s="2"/>
      <c r="B133" s="2"/>
      <c r="C133" s="2"/>
      <c r="D133" s="2"/>
      <c r="E133" s="2"/>
      <c r="F133" s="2"/>
      <c r="G133" s="2"/>
      <c r="H133" s="2"/>
      <c r="I133" s="2"/>
      <c r="J133" s="2"/>
      <c r="K133" s="2"/>
      <c r="L133" s="2"/>
      <c r="M133" s="2"/>
      <c r="N133" s="2"/>
      <c r="O133" s="2"/>
      <c r="P133" s="2"/>
      <c r="Q133" s="2"/>
      <c r="R133" s="2"/>
      <c r="S133" s="2"/>
      <c r="T133" s="2"/>
      <c r="U133" s="2"/>
      <c r="V133" s="2"/>
    </row>
    <row r="134" ht="12.0" customHeight="1">
      <c r="A134" s="2"/>
      <c r="B134" s="2"/>
      <c r="C134" s="2"/>
      <c r="D134" s="2"/>
      <c r="E134" s="2"/>
      <c r="F134" s="2"/>
      <c r="G134" s="2"/>
      <c r="H134" s="2"/>
      <c r="I134" s="2"/>
      <c r="J134" s="2"/>
      <c r="K134" s="2"/>
      <c r="L134" s="2"/>
      <c r="M134" s="2"/>
      <c r="N134" s="2"/>
      <c r="O134" s="2"/>
      <c r="P134" s="2"/>
      <c r="Q134" s="2"/>
      <c r="R134" s="2"/>
      <c r="S134" s="2"/>
      <c r="T134" s="2"/>
      <c r="U134" s="2"/>
      <c r="V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row>
    <row r="136" ht="12.0" customHeight="1">
      <c r="A136" s="2"/>
      <c r="B136" s="2"/>
      <c r="C136" s="2"/>
      <c r="D136" s="2"/>
      <c r="E136" s="2"/>
      <c r="F136" s="2"/>
      <c r="G136" s="2"/>
      <c r="H136" s="2"/>
      <c r="I136" s="2"/>
      <c r="J136" s="2"/>
      <c r="K136" s="2"/>
      <c r="L136" s="2"/>
      <c r="M136" s="2"/>
      <c r="N136" s="2"/>
      <c r="O136" s="2"/>
      <c r="P136" s="2"/>
      <c r="Q136" s="2"/>
      <c r="R136" s="2"/>
      <c r="S136" s="2"/>
      <c r="T136" s="2"/>
      <c r="U136" s="2"/>
      <c r="V136" s="2"/>
    </row>
    <row r="137" ht="12.0" customHeight="1">
      <c r="A137" s="2"/>
      <c r="B137" s="2"/>
      <c r="C137" s="2"/>
      <c r="D137" s="2"/>
      <c r="E137" s="2"/>
      <c r="F137" s="2"/>
      <c r="G137" s="2"/>
      <c r="H137" s="2"/>
      <c r="I137" s="2"/>
      <c r="J137" s="2"/>
      <c r="K137" s="2"/>
      <c r="L137" s="2"/>
      <c r="M137" s="2"/>
      <c r="N137" s="2"/>
      <c r="O137" s="2"/>
      <c r="P137" s="2"/>
      <c r="Q137" s="2"/>
      <c r="R137" s="2"/>
      <c r="S137" s="2"/>
      <c r="T137" s="2"/>
      <c r="U137" s="2"/>
      <c r="V137" s="2"/>
    </row>
    <row r="138" ht="12.0" customHeight="1">
      <c r="A138" s="2"/>
      <c r="B138" s="2"/>
      <c r="C138" s="2"/>
      <c r="D138" s="2"/>
      <c r="E138" s="2"/>
      <c r="F138" s="2"/>
      <c r="G138" s="2"/>
      <c r="H138" s="2"/>
      <c r="I138" s="2"/>
      <c r="J138" s="2"/>
      <c r="K138" s="2"/>
      <c r="L138" s="2"/>
      <c r="M138" s="2"/>
      <c r="N138" s="2"/>
      <c r="O138" s="2"/>
      <c r="P138" s="2"/>
      <c r="Q138" s="2"/>
      <c r="R138" s="2"/>
      <c r="S138" s="2"/>
      <c r="T138" s="2"/>
      <c r="U138" s="2"/>
      <c r="V138" s="2"/>
    </row>
    <row r="139" ht="12.0" customHeight="1">
      <c r="A139" s="2"/>
      <c r="B139" s="2"/>
      <c r="C139" s="2"/>
      <c r="D139" s="2"/>
      <c r="E139" s="2"/>
      <c r="F139" s="2"/>
      <c r="G139" s="2"/>
      <c r="H139" s="2"/>
      <c r="I139" s="2"/>
      <c r="J139" s="2"/>
      <c r="K139" s="2"/>
      <c r="L139" s="2"/>
      <c r="M139" s="2"/>
      <c r="N139" s="2"/>
      <c r="O139" s="2"/>
      <c r="P139" s="2"/>
      <c r="Q139" s="2"/>
      <c r="R139" s="2"/>
      <c r="S139" s="2"/>
      <c r="T139" s="2"/>
      <c r="U139" s="2"/>
      <c r="V139" s="2"/>
    </row>
    <row r="140" ht="12.0" customHeight="1">
      <c r="A140" s="2"/>
      <c r="B140" s="2"/>
      <c r="C140" s="2"/>
      <c r="D140" s="2"/>
      <c r="E140" s="2"/>
      <c r="F140" s="2"/>
      <c r="G140" s="2"/>
      <c r="H140" s="2"/>
      <c r="I140" s="2"/>
      <c r="J140" s="2"/>
      <c r="K140" s="2"/>
      <c r="L140" s="2"/>
      <c r="M140" s="2"/>
      <c r="N140" s="2"/>
      <c r="O140" s="2"/>
      <c r="P140" s="2"/>
      <c r="Q140" s="2"/>
      <c r="R140" s="2"/>
      <c r="S140" s="2"/>
      <c r="T140" s="2"/>
      <c r="U140" s="2"/>
      <c r="V140" s="2"/>
    </row>
    <row r="141" ht="12.0" customHeight="1">
      <c r="A141" s="2"/>
      <c r="B141" s="2"/>
      <c r="C141" s="2"/>
      <c r="D141" s="2"/>
      <c r="E141" s="2"/>
      <c r="F141" s="2"/>
      <c r="G141" s="2"/>
      <c r="H141" s="2"/>
      <c r="I141" s="2"/>
      <c r="J141" s="2"/>
      <c r="K141" s="2"/>
      <c r="L141" s="2"/>
      <c r="M141" s="2"/>
      <c r="N141" s="2"/>
      <c r="O141" s="2"/>
      <c r="P141" s="2"/>
      <c r="Q141" s="2"/>
      <c r="R141" s="2"/>
      <c r="S141" s="2"/>
      <c r="T141" s="2"/>
      <c r="U141" s="2"/>
      <c r="V141" s="2"/>
    </row>
    <row r="142" ht="12.0" customHeight="1">
      <c r="A142" s="2"/>
      <c r="B142" s="2"/>
      <c r="C142" s="2"/>
      <c r="D142" s="2"/>
      <c r="E142" s="2"/>
      <c r="F142" s="2"/>
      <c r="G142" s="2"/>
      <c r="H142" s="2"/>
      <c r="I142" s="2"/>
      <c r="J142" s="2"/>
      <c r="K142" s="2"/>
      <c r="L142" s="2"/>
      <c r="M142" s="2"/>
      <c r="N142" s="2"/>
      <c r="O142" s="2"/>
      <c r="P142" s="2"/>
      <c r="Q142" s="2"/>
      <c r="R142" s="2"/>
      <c r="S142" s="2"/>
      <c r="T142" s="2"/>
      <c r="U142" s="2"/>
      <c r="V142" s="2"/>
    </row>
    <row r="143" ht="12.0" customHeight="1">
      <c r="A143" s="2"/>
      <c r="B143" s="2"/>
      <c r="C143" s="2"/>
      <c r="D143" s="2"/>
      <c r="E143" s="2"/>
      <c r="F143" s="2"/>
      <c r="G143" s="2"/>
      <c r="H143" s="2"/>
      <c r="I143" s="2"/>
      <c r="J143" s="2"/>
      <c r="K143" s="2"/>
      <c r="L143" s="2"/>
      <c r="M143" s="2"/>
      <c r="N143" s="2"/>
      <c r="O143" s="2"/>
      <c r="P143" s="2"/>
      <c r="Q143" s="2"/>
      <c r="R143" s="2"/>
      <c r="S143" s="2"/>
      <c r="T143" s="2"/>
      <c r="U143" s="2"/>
      <c r="V143" s="2"/>
    </row>
    <row r="144" ht="12.0" customHeight="1">
      <c r="A144" s="2"/>
      <c r="B144" s="2"/>
      <c r="C144" s="2"/>
      <c r="D144" s="2"/>
      <c r="E144" s="2"/>
      <c r="F144" s="2"/>
      <c r="G144" s="2"/>
      <c r="H144" s="2"/>
      <c r="I144" s="2"/>
      <c r="J144" s="2"/>
      <c r="K144" s="2"/>
      <c r="L144" s="2"/>
      <c r="M144" s="2"/>
      <c r="N144" s="2"/>
      <c r="O144" s="2"/>
      <c r="P144" s="2"/>
      <c r="Q144" s="2"/>
      <c r="R144" s="2"/>
      <c r="S144" s="2"/>
      <c r="T144" s="2"/>
      <c r="U144" s="2"/>
      <c r="V144" s="2"/>
    </row>
    <row r="145" ht="12.0" customHeight="1">
      <c r="A145" s="2"/>
      <c r="B145" s="2"/>
      <c r="C145" s="2"/>
      <c r="D145" s="2"/>
      <c r="E145" s="2"/>
      <c r="F145" s="2"/>
      <c r="G145" s="2"/>
      <c r="H145" s="2"/>
      <c r="I145" s="2"/>
      <c r="J145" s="2"/>
      <c r="K145" s="2"/>
      <c r="L145" s="2"/>
      <c r="M145" s="2"/>
      <c r="N145" s="2"/>
      <c r="O145" s="2"/>
      <c r="P145" s="2"/>
      <c r="Q145" s="2"/>
      <c r="R145" s="2"/>
      <c r="S145" s="2"/>
      <c r="T145" s="2"/>
      <c r="U145" s="2"/>
      <c r="V145" s="2"/>
    </row>
    <row r="146" ht="12.0" customHeight="1">
      <c r="A146" s="2"/>
      <c r="B146" s="2"/>
      <c r="C146" s="2"/>
      <c r="D146" s="2"/>
      <c r="E146" s="2"/>
      <c r="F146" s="2"/>
      <c r="G146" s="2"/>
      <c r="H146" s="2"/>
      <c r="I146" s="2"/>
      <c r="J146" s="2"/>
      <c r="K146" s="2"/>
      <c r="L146" s="2"/>
      <c r="M146" s="2"/>
      <c r="N146" s="2"/>
      <c r="O146" s="2"/>
      <c r="P146" s="2"/>
      <c r="Q146" s="2"/>
      <c r="R146" s="2"/>
      <c r="S146" s="2"/>
      <c r="T146" s="2"/>
      <c r="U146" s="2"/>
      <c r="V146" s="2"/>
    </row>
    <row r="147" ht="12.0" customHeight="1">
      <c r="A147" s="2"/>
      <c r="B147" s="2"/>
      <c r="C147" s="2"/>
      <c r="D147" s="2"/>
      <c r="E147" s="2"/>
      <c r="F147" s="2"/>
      <c r="G147" s="2"/>
      <c r="H147" s="2"/>
      <c r="I147" s="2"/>
      <c r="J147" s="2"/>
      <c r="K147" s="2"/>
      <c r="L147" s="2"/>
      <c r="M147" s="2"/>
      <c r="N147" s="2"/>
      <c r="O147" s="2"/>
      <c r="P147" s="2"/>
      <c r="Q147" s="2"/>
      <c r="R147" s="2"/>
      <c r="S147" s="2"/>
      <c r="T147" s="2"/>
      <c r="U147" s="2"/>
      <c r="V147" s="2"/>
    </row>
    <row r="148" ht="12.0" customHeight="1">
      <c r="A148" s="2"/>
      <c r="B148" s="2"/>
      <c r="C148" s="2"/>
      <c r="D148" s="2"/>
      <c r="E148" s="2"/>
      <c r="F148" s="2"/>
      <c r="G148" s="2"/>
      <c r="H148" s="2"/>
      <c r="I148" s="2"/>
      <c r="J148" s="2"/>
      <c r="K148" s="2"/>
      <c r="L148" s="2"/>
      <c r="M148" s="2"/>
      <c r="N148" s="2"/>
      <c r="O148" s="2"/>
      <c r="P148" s="2"/>
      <c r="Q148" s="2"/>
      <c r="R148" s="2"/>
      <c r="S148" s="2"/>
      <c r="T148" s="2"/>
      <c r="U148" s="2"/>
      <c r="V148" s="2"/>
    </row>
    <row r="149" ht="12.0" customHeight="1">
      <c r="A149" s="2"/>
      <c r="B149" s="2"/>
      <c r="C149" s="2"/>
      <c r="D149" s="2"/>
      <c r="E149" s="2"/>
      <c r="F149" s="2"/>
      <c r="G149" s="2"/>
      <c r="H149" s="2"/>
      <c r="I149" s="2"/>
      <c r="J149" s="2"/>
      <c r="K149" s="2"/>
      <c r="L149" s="2"/>
      <c r="M149" s="2"/>
      <c r="N149" s="2"/>
      <c r="O149" s="2"/>
      <c r="P149" s="2"/>
      <c r="Q149" s="2"/>
      <c r="R149" s="2"/>
      <c r="S149" s="2"/>
      <c r="T149" s="2"/>
      <c r="U149" s="2"/>
      <c r="V149" s="2"/>
    </row>
    <row r="150" ht="12.0" customHeight="1">
      <c r="A150" s="2"/>
      <c r="B150" s="2"/>
      <c r="C150" s="2"/>
      <c r="D150" s="2"/>
      <c r="E150" s="2"/>
      <c r="F150" s="2"/>
      <c r="G150" s="2"/>
      <c r="H150" s="2"/>
      <c r="I150" s="2"/>
      <c r="J150" s="2"/>
      <c r="K150" s="2"/>
      <c r="L150" s="2"/>
      <c r="M150" s="2"/>
      <c r="N150" s="2"/>
      <c r="O150" s="2"/>
      <c r="P150" s="2"/>
      <c r="Q150" s="2"/>
      <c r="R150" s="2"/>
      <c r="S150" s="2"/>
      <c r="T150" s="2"/>
      <c r="U150" s="2"/>
      <c r="V150" s="2"/>
    </row>
    <row r="151" ht="12.0" customHeight="1">
      <c r="A151" s="2"/>
      <c r="B151" s="2"/>
      <c r="C151" s="2"/>
      <c r="D151" s="2"/>
      <c r="E151" s="2"/>
      <c r="F151" s="2"/>
      <c r="G151" s="2"/>
      <c r="H151" s="2"/>
      <c r="I151" s="2"/>
      <c r="J151" s="2"/>
      <c r="K151" s="2"/>
      <c r="L151" s="2"/>
      <c r="M151" s="2"/>
      <c r="N151" s="2"/>
      <c r="O151" s="2"/>
      <c r="P151" s="2"/>
      <c r="Q151" s="2"/>
      <c r="R151" s="2"/>
      <c r="S151" s="2"/>
      <c r="T151" s="2"/>
      <c r="U151" s="2"/>
      <c r="V151" s="2"/>
    </row>
    <row r="152" ht="12.0" customHeight="1">
      <c r="A152" s="2"/>
      <c r="B152" s="2"/>
      <c r="C152" s="2"/>
      <c r="D152" s="2"/>
      <c r="E152" s="2"/>
      <c r="F152" s="2"/>
      <c r="G152" s="2"/>
      <c r="H152" s="2"/>
      <c r="I152" s="2"/>
      <c r="J152" s="2"/>
      <c r="K152" s="2"/>
      <c r="L152" s="2"/>
      <c r="M152" s="2"/>
      <c r="N152" s="2"/>
      <c r="O152" s="2"/>
      <c r="P152" s="2"/>
      <c r="Q152" s="2"/>
      <c r="R152" s="2"/>
      <c r="S152" s="2"/>
      <c r="T152" s="2"/>
      <c r="U152" s="2"/>
      <c r="V152" s="2"/>
    </row>
    <row r="153" ht="12.0" customHeight="1">
      <c r="A153" s="2"/>
      <c r="B153" s="2"/>
      <c r="C153" s="2"/>
      <c r="D153" s="2"/>
      <c r="E153" s="2"/>
      <c r="F153" s="2"/>
      <c r="G153" s="2"/>
      <c r="H153" s="2"/>
      <c r="I153" s="2"/>
      <c r="J153" s="2"/>
      <c r="K153" s="2"/>
      <c r="L153" s="2"/>
      <c r="M153" s="2"/>
      <c r="N153" s="2"/>
      <c r="O153" s="2"/>
      <c r="P153" s="2"/>
      <c r="Q153" s="2"/>
      <c r="R153" s="2"/>
      <c r="S153" s="2"/>
      <c r="T153" s="2"/>
      <c r="U153" s="2"/>
      <c r="V153" s="2"/>
    </row>
    <row r="154" ht="12.0" customHeight="1">
      <c r="A154" s="2"/>
      <c r="B154" s="2"/>
      <c r="C154" s="2"/>
      <c r="D154" s="2"/>
      <c r="E154" s="2"/>
      <c r="F154" s="2"/>
      <c r="G154" s="2"/>
      <c r="H154" s="2"/>
      <c r="I154" s="2"/>
      <c r="J154" s="2"/>
      <c r="K154" s="2"/>
      <c r="L154" s="2"/>
      <c r="M154" s="2"/>
      <c r="N154" s="2"/>
      <c r="O154" s="2"/>
      <c r="P154" s="2"/>
      <c r="Q154" s="2"/>
      <c r="R154" s="2"/>
      <c r="S154" s="2"/>
      <c r="T154" s="2"/>
      <c r="U154" s="2"/>
      <c r="V154" s="2"/>
    </row>
    <row r="155" ht="12.0" customHeight="1">
      <c r="A155" s="2"/>
      <c r="B155" s="2"/>
      <c r="C155" s="2"/>
      <c r="D155" s="2"/>
      <c r="E155" s="2"/>
      <c r="F155" s="2"/>
      <c r="G155" s="2"/>
      <c r="H155" s="2"/>
      <c r="I155" s="2"/>
      <c r="J155" s="2"/>
      <c r="K155" s="2"/>
      <c r="L155" s="2"/>
      <c r="M155" s="2"/>
      <c r="N155" s="2"/>
      <c r="O155" s="2"/>
      <c r="P155" s="2"/>
      <c r="Q155" s="2"/>
      <c r="R155" s="2"/>
      <c r="S155" s="2"/>
      <c r="T155" s="2"/>
      <c r="U155" s="2"/>
      <c r="V155" s="2"/>
    </row>
    <row r="156" ht="12.0" customHeight="1">
      <c r="A156" s="2"/>
      <c r="B156" s="2"/>
      <c r="C156" s="2"/>
      <c r="D156" s="2"/>
      <c r="E156" s="2"/>
      <c r="F156" s="2"/>
      <c r="G156" s="2"/>
      <c r="H156" s="2"/>
      <c r="I156" s="2"/>
      <c r="J156" s="2"/>
      <c r="K156" s="2"/>
      <c r="L156" s="2"/>
      <c r="M156" s="2"/>
      <c r="N156" s="2"/>
      <c r="O156" s="2"/>
      <c r="P156" s="2"/>
      <c r="Q156" s="2"/>
      <c r="R156" s="2"/>
      <c r="S156" s="2"/>
      <c r="T156" s="2"/>
      <c r="U156" s="2"/>
      <c r="V156" s="2"/>
    </row>
    <row r="157" ht="12.0" customHeight="1">
      <c r="A157" s="2"/>
      <c r="B157" s="2"/>
      <c r="C157" s="2"/>
      <c r="D157" s="2"/>
      <c r="E157" s="2"/>
      <c r="F157" s="2"/>
      <c r="G157" s="2"/>
      <c r="H157" s="2"/>
      <c r="I157" s="2"/>
      <c r="J157" s="2"/>
      <c r="K157" s="2"/>
      <c r="L157" s="2"/>
      <c r="M157" s="2"/>
      <c r="N157" s="2"/>
      <c r="O157" s="2"/>
      <c r="P157" s="2"/>
      <c r="Q157" s="2"/>
      <c r="R157" s="2"/>
      <c r="S157" s="2"/>
      <c r="T157" s="2"/>
      <c r="U157" s="2"/>
      <c r="V157" s="2"/>
    </row>
    <row r="158" ht="12.0" customHeight="1">
      <c r="A158" s="2"/>
      <c r="B158" s="2"/>
      <c r="C158" s="2"/>
      <c r="D158" s="2"/>
      <c r="E158" s="2"/>
      <c r="F158" s="2"/>
      <c r="G158" s="2"/>
      <c r="H158" s="2"/>
      <c r="I158" s="2"/>
      <c r="J158" s="2"/>
      <c r="K158" s="2"/>
      <c r="L158" s="2"/>
      <c r="M158" s="2"/>
      <c r="N158" s="2"/>
      <c r="O158" s="2"/>
      <c r="P158" s="2"/>
      <c r="Q158" s="2"/>
      <c r="R158" s="2"/>
      <c r="S158" s="2"/>
      <c r="T158" s="2"/>
      <c r="U158" s="2"/>
      <c r="V158" s="2"/>
    </row>
    <row r="159" ht="12.0" customHeight="1">
      <c r="A159" s="2"/>
      <c r="B159" s="2"/>
      <c r="C159" s="2"/>
      <c r="D159" s="2"/>
      <c r="E159" s="2"/>
      <c r="F159" s="2"/>
      <c r="G159" s="2"/>
      <c r="H159" s="2"/>
      <c r="I159" s="2"/>
      <c r="J159" s="2"/>
      <c r="K159" s="2"/>
      <c r="L159" s="2"/>
      <c r="M159" s="2"/>
      <c r="N159" s="2"/>
      <c r="O159" s="2"/>
      <c r="P159" s="2"/>
      <c r="Q159" s="2"/>
      <c r="R159" s="2"/>
      <c r="S159" s="2"/>
      <c r="T159" s="2"/>
      <c r="U159" s="2"/>
      <c r="V159" s="2"/>
    </row>
    <row r="160" ht="12.0" customHeight="1">
      <c r="A160" s="2"/>
      <c r="B160" s="2"/>
      <c r="C160" s="2"/>
      <c r="D160" s="2"/>
      <c r="E160" s="2"/>
      <c r="F160" s="2"/>
      <c r="G160" s="2"/>
      <c r="H160" s="2"/>
      <c r="I160" s="2"/>
      <c r="J160" s="2"/>
      <c r="K160" s="2"/>
      <c r="L160" s="2"/>
      <c r="M160" s="2"/>
      <c r="N160" s="2"/>
      <c r="O160" s="2"/>
      <c r="P160" s="2"/>
      <c r="Q160" s="2"/>
      <c r="R160" s="2"/>
      <c r="S160" s="2"/>
      <c r="T160" s="2"/>
      <c r="U160" s="2"/>
      <c r="V160" s="2"/>
    </row>
    <row r="161" ht="12.0" customHeight="1">
      <c r="A161" s="2"/>
      <c r="B161" s="2"/>
      <c r="C161" s="2"/>
      <c r="D161" s="2"/>
      <c r="E161" s="2"/>
      <c r="F161" s="2"/>
      <c r="G161" s="2"/>
      <c r="H161" s="2"/>
      <c r="I161" s="2"/>
      <c r="J161" s="2"/>
      <c r="K161" s="2"/>
      <c r="L161" s="2"/>
      <c r="M161" s="2"/>
      <c r="N161" s="2"/>
      <c r="O161" s="2"/>
      <c r="P161" s="2"/>
      <c r="Q161" s="2"/>
      <c r="R161" s="2"/>
      <c r="S161" s="2"/>
      <c r="T161" s="2"/>
      <c r="U161" s="2"/>
      <c r="V161" s="2"/>
    </row>
    <row r="162" ht="12.0" customHeight="1">
      <c r="A162" s="2"/>
      <c r="B162" s="2"/>
      <c r="C162" s="2"/>
      <c r="D162" s="2"/>
      <c r="E162" s="2"/>
      <c r="F162" s="2"/>
      <c r="G162" s="2"/>
      <c r="H162" s="2"/>
      <c r="I162" s="2"/>
      <c r="J162" s="2"/>
      <c r="K162" s="2"/>
      <c r="L162" s="2"/>
      <c r="M162" s="2"/>
      <c r="N162" s="2"/>
      <c r="O162" s="2"/>
      <c r="P162" s="2"/>
      <c r="Q162" s="2"/>
      <c r="R162" s="2"/>
      <c r="S162" s="2"/>
      <c r="T162" s="2"/>
      <c r="U162" s="2"/>
      <c r="V162" s="2"/>
    </row>
    <row r="163" ht="12.0" customHeight="1">
      <c r="A163" s="2"/>
      <c r="B163" s="2"/>
      <c r="C163" s="2"/>
      <c r="D163" s="2"/>
      <c r="E163" s="2"/>
      <c r="F163" s="2"/>
      <c r="G163" s="2"/>
      <c r="H163" s="2"/>
      <c r="I163" s="2"/>
      <c r="J163" s="2"/>
      <c r="K163" s="2"/>
      <c r="L163" s="2"/>
      <c r="M163" s="2"/>
      <c r="N163" s="2"/>
      <c r="O163" s="2"/>
      <c r="P163" s="2"/>
      <c r="Q163" s="2"/>
      <c r="R163" s="2"/>
      <c r="S163" s="2"/>
      <c r="T163" s="2"/>
      <c r="U163" s="2"/>
      <c r="V163" s="2"/>
    </row>
    <row r="164" ht="12.0" customHeight="1">
      <c r="A164" s="2"/>
      <c r="B164" s="2"/>
      <c r="C164" s="2"/>
      <c r="D164" s="2"/>
      <c r="E164" s="2"/>
      <c r="F164" s="2"/>
      <c r="G164" s="2"/>
      <c r="H164" s="2"/>
      <c r="I164" s="2"/>
      <c r="J164" s="2"/>
      <c r="K164" s="2"/>
      <c r="L164" s="2"/>
      <c r="M164" s="2"/>
      <c r="N164" s="2"/>
      <c r="O164" s="2"/>
      <c r="P164" s="2"/>
      <c r="Q164" s="2"/>
      <c r="R164" s="2"/>
      <c r="S164" s="2"/>
      <c r="T164" s="2"/>
      <c r="U164" s="2"/>
      <c r="V164" s="2"/>
    </row>
    <row r="165" ht="13.5" customHeight="1">
      <c r="A165" s="4" t="s">
        <v>123</v>
      </c>
      <c r="B165" s="4"/>
      <c r="C165" s="76"/>
      <c r="D165" s="104"/>
      <c r="E165" s="104"/>
      <c r="F165" s="76"/>
      <c r="G165" s="104"/>
      <c r="H165" s="104"/>
      <c r="I165" s="76"/>
      <c r="J165" s="104"/>
      <c r="K165" s="4"/>
      <c r="L165" s="4"/>
      <c r="M165" s="4"/>
      <c r="N165" s="4"/>
      <c r="O165" s="4"/>
      <c r="P165" s="4"/>
      <c r="Q165" s="4"/>
      <c r="R165" s="4"/>
      <c r="S165" s="4"/>
      <c r="T165" s="4"/>
      <c r="U165" s="4"/>
      <c r="V165" s="4"/>
    </row>
    <row r="166" ht="13.5" customHeight="1">
      <c r="A166" s="4" t="s">
        <v>124</v>
      </c>
      <c r="B166" s="4"/>
      <c r="C166" s="76"/>
      <c r="D166" s="104"/>
      <c r="E166" s="104"/>
      <c r="F166" s="76"/>
      <c r="G166" s="104"/>
      <c r="H166" s="104"/>
      <c r="I166" s="76"/>
      <c r="J166" s="104"/>
      <c r="K166" s="4"/>
      <c r="L166" s="4"/>
      <c r="M166" s="4"/>
      <c r="N166" s="4"/>
      <c r="O166" s="4"/>
      <c r="P166" s="4"/>
      <c r="Q166" s="4"/>
      <c r="R166" s="4"/>
      <c r="S166" s="4"/>
      <c r="T166" s="4"/>
      <c r="U166" s="4"/>
      <c r="V166" s="4"/>
    </row>
    <row r="167" ht="13.5" customHeight="1">
      <c r="A167" s="4" t="s">
        <v>125</v>
      </c>
      <c r="B167" s="4"/>
      <c r="C167" s="76"/>
      <c r="D167" s="104"/>
      <c r="E167" s="104"/>
      <c r="F167" s="76"/>
      <c r="G167" s="104"/>
      <c r="H167" s="104"/>
      <c r="I167" s="76"/>
      <c r="J167" s="104"/>
      <c r="K167" s="4"/>
      <c r="L167" s="4"/>
      <c r="M167" s="4"/>
      <c r="N167" s="4"/>
      <c r="O167" s="4"/>
      <c r="P167" s="4"/>
      <c r="Q167" s="4"/>
      <c r="R167" s="4"/>
      <c r="S167" s="4"/>
      <c r="T167" s="4"/>
      <c r="U167" s="4"/>
      <c r="V167" s="4"/>
    </row>
    <row r="168" ht="13.5" customHeight="1">
      <c r="A168" s="4" t="s">
        <v>126</v>
      </c>
      <c r="B168" s="4"/>
      <c r="C168" s="76"/>
      <c r="D168" s="104"/>
      <c r="E168" s="104"/>
      <c r="F168" s="76"/>
      <c r="G168" s="104"/>
      <c r="H168" s="104"/>
      <c r="I168" s="76"/>
      <c r="J168" s="104"/>
      <c r="K168" s="4"/>
      <c r="L168" s="4"/>
      <c r="M168" s="4"/>
      <c r="N168" s="4"/>
      <c r="O168" s="4"/>
      <c r="P168" s="4"/>
      <c r="Q168" s="4"/>
      <c r="R168" s="4"/>
      <c r="S168" s="4"/>
      <c r="T168" s="4"/>
      <c r="U168" s="4"/>
      <c r="V168" s="4"/>
    </row>
    <row r="169" ht="12.0" customHeight="1">
      <c r="A169" s="4" t="s">
        <v>127</v>
      </c>
      <c r="B169" s="4"/>
      <c r="C169" s="76"/>
      <c r="D169" s="104"/>
      <c r="E169" s="104"/>
      <c r="F169" s="76"/>
      <c r="G169" s="104"/>
      <c r="H169" s="104"/>
      <c r="I169" s="76"/>
      <c r="J169" s="104"/>
      <c r="K169" s="4"/>
      <c r="L169" s="4"/>
      <c r="M169" s="4"/>
      <c r="N169" s="4"/>
      <c r="O169" s="4"/>
      <c r="P169" s="4"/>
      <c r="Q169" s="4"/>
      <c r="R169" s="4"/>
      <c r="S169" s="4"/>
      <c r="T169" s="4"/>
      <c r="U169" s="4"/>
      <c r="V169" s="4"/>
    </row>
  </sheetData>
  <mergeCells count="3">
    <mergeCell ref="C4:D4"/>
    <mergeCell ref="I4:J4"/>
    <mergeCell ref="F4:G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7.29" defaultRowHeight="15.75"/>
  <cols>
    <col customWidth="1" min="1" max="1" width="4.71"/>
    <col customWidth="1" min="2" max="2" width="3.71"/>
    <col customWidth="1" min="3" max="5" width="10.71"/>
    <col customWidth="1" min="6" max="6" width="2.71"/>
    <col customWidth="1" min="7" max="13" width="10.71"/>
    <col customWidth="1" min="14" max="14" width="2.71"/>
    <col customWidth="1" min="15" max="17" width="10.71"/>
    <col customWidth="1" min="18" max="18" width="2.71"/>
    <col customWidth="1" min="19" max="27" width="9.14"/>
  </cols>
  <sheetData>
    <row r="1" ht="30.0" customHeight="1">
      <c r="A1" s="1" t="s">
        <v>39</v>
      </c>
      <c r="B1" s="2"/>
      <c r="C1" s="2"/>
      <c r="D1" s="2"/>
      <c r="E1" s="2"/>
      <c r="F1" s="2"/>
      <c r="G1" s="2"/>
      <c r="H1" s="2"/>
      <c r="I1" s="2"/>
      <c r="J1" s="2"/>
      <c r="K1" s="2"/>
      <c r="L1" s="2"/>
      <c r="M1" s="2"/>
      <c r="N1" s="2"/>
      <c r="O1" s="2"/>
      <c r="P1" s="2"/>
      <c r="Q1" s="2"/>
      <c r="R1" s="2"/>
      <c r="S1" s="2"/>
      <c r="T1" s="2"/>
      <c r="U1" s="2"/>
      <c r="V1" s="2"/>
      <c r="W1" s="2"/>
      <c r="X1" s="2"/>
      <c r="Y1" s="2"/>
      <c r="Z1" s="2"/>
      <c r="AA1" s="2"/>
    </row>
    <row r="2" ht="30.0" customHeight="1">
      <c r="A2" s="1" t="s">
        <v>3</v>
      </c>
      <c r="B2" s="2"/>
      <c r="C2" s="2"/>
      <c r="D2" s="2"/>
      <c r="E2" s="2"/>
      <c r="F2" s="2"/>
      <c r="G2" s="2"/>
      <c r="H2" s="2"/>
      <c r="I2" s="2"/>
      <c r="J2" s="2"/>
      <c r="K2" s="2"/>
      <c r="L2" s="2"/>
      <c r="M2" s="2"/>
      <c r="N2" s="2"/>
      <c r="O2" s="2"/>
      <c r="P2" s="2"/>
      <c r="Q2" s="2"/>
      <c r="R2" s="2"/>
      <c r="S2" s="2"/>
      <c r="T2" s="2"/>
      <c r="U2" s="2"/>
      <c r="V2" s="2"/>
      <c r="W2" s="2"/>
      <c r="X2" s="2"/>
      <c r="Y2" s="2"/>
      <c r="Z2" s="2"/>
      <c r="AA2" s="2"/>
    </row>
    <row r="3" ht="30.0" customHeight="1">
      <c r="A3" s="1"/>
      <c r="B3" s="2"/>
      <c r="C3" s="2"/>
      <c r="D3" s="2"/>
      <c r="E3" s="2"/>
      <c r="F3" s="2"/>
      <c r="G3" s="2"/>
      <c r="H3" s="2"/>
      <c r="I3" s="2"/>
      <c r="J3" s="2"/>
      <c r="K3" s="2"/>
      <c r="L3" s="2"/>
      <c r="M3" s="2"/>
      <c r="N3" s="2"/>
      <c r="O3" s="2"/>
      <c r="P3" s="2"/>
      <c r="Q3" s="2"/>
      <c r="R3" s="2"/>
      <c r="S3" s="2"/>
      <c r="T3" s="2"/>
      <c r="U3" s="2"/>
      <c r="V3" s="2"/>
      <c r="W3" s="2"/>
      <c r="X3" s="2"/>
      <c r="Y3" s="2"/>
      <c r="Z3" s="2"/>
      <c r="AA3" s="2"/>
    </row>
    <row r="4" ht="12.0" customHeight="1">
      <c r="A4" s="2"/>
      <c r="B4" s="88"/>
      <c r="C4" s="108" t="s">
        <v>128</v>
      </c>
      <c r="D4" s="14"/>
      <c r="E4" s="21"/>
      <c r="F4" s="2"/>
      <c r="G4" s="108" t="s">
        <v>129</v>
      </c>
      <c r="H4" s="14"/>
      <c r="I4" s="14"/>
      <c r="J4" s="14"/>
      <c r="K4" s="14"/>
      <c r="L4" s="14"/>
      <c r="M4" s="21"/>
      <c r="N4" s="2"/>
      <c r="O4" s="108" t="s">
        <v>130</v>
      </c>
      <c r="P4" s="14"/>
      <c r="Q4" s="21"/>
      <c r="R4" s="2"/>
      <c r="S4" s="2"/>
      <c r="T4" s="2"/>
      <c r="U4" s="2"/>
      <c r="V4" s="2"/>
      <c r="W4" s="2"/>
      <c r="X4" s="2"/>
      <c r="Y4" s="2"/>
      <c r="Z4" s="2"/>
      <c r="AA4" s="2"/>
    </row>
    <row r="5" ht="24.0" customHeight="1">
      <c r="A5" s="88" t="s">
        <v>16</v>
      </c>
      <c r="B5" s="88" t="s">
        <v>40</v>
      </c>
      <c r="C5" s="109" t="s">
        <v>131</v>
      </c>
      <c r="D5" s="109" t="s">
        <v>132</v>
      </c>
      <c r="E5" s="109" t="s">
        <v>25</v>
      </c>
      <c r="F5" s="76"/>
      <c r="G5" s="109" t="s">
        <v>131</v>
      </c>
      <c r="H5" s="109" t="s">
        <v>87</v>
      </c>
      <c r="I5" s="109" t="s">
        <v>133</v>
      </c>
      <c r="J5" s="109" t="s">
        <v>134</v>
      </c>
      <c r="K5" s="109" t="s">
        <v>135</v>
      </c>
      <c r="L5" s="84" t="s">
        <v>136</v>
      </c>
      <c r="M5" s="84" t="s">
        <v>25</v>
      </c>
      <c r="N5" s="76"/>
      <c r="O5" s="76" t="s">
        <v>137</v>
      </c>
      <c r="P5" s="76" t="s">
        <v>138</v>
      </c>
      <c r="Q5" s="76" t="s">
        <v>25</v>
      </c>
      <c r="R5" s="88"/>
      <c r="S5" s="88"/>
      <c r="T5" s="88"/>
      <c r="U5" s="88"/>
      <c r="V5" s="88"/>
      <c r="W5" s="88"/>
      <c r="X5" s="88"/>
      <c r="Y5" s="88"/>
      <c r="Z5" s="88"/>
      <c r="AA5" s="88"/>
    </row>
    <row r="6" ht="12.0" customHeight="1">
      <c r="A6" s="40">
        <v>2008.0</v>
      </c>
      <c r="B6" s="100">
        <v>1.0</v>
      </c>
      <c r="C6" s="74">
        <v>221478.0</v>
      </c>
      <c r="D6" s="74">
        <v>38954.0</v>
      </c>
      <c r="E6" s="76">
        <f t="shared" ref="E6:E7" si="1">SUM(C6:D6)</f>
        <v>260432</v>
      </c>
      <c r="F6" s="76"/>
      <c r="G6" s="76">
        <f>161539-7432</f>
        <v>154107</v>
      </c>
      <c r="H6" s="76">
        <f>19982+296</f>
        <v>20278</v>
      </c>
      <c r="I6" s="74">
        <v>0.0</v>
      </c>
      <c r="J6" s="74">
        <v>0.0</v>
      </c>
      <c r="K6" s="74">
        <v>117.0</v>
      </c>
      <c r="L6" s="92">
        <v>105.0</v>
      </c>
      <c r="M6" s="92">
        <v>189471.0</v>
      </c>
      <c r="N6" s="76"/>
      <c r="O6" s="76">
        <f t="shared" ref="O6:O7" si="2">SUM(C6,M6)</f>
        <v>410949</v>
      </c>
      <c r="P6" s="76">
        <f t="shared" ref="P6:P7" si="3">D6</f>
        <v>38954</v>
      </c>
      <c r="Q6" s="76">
        <f t="shared" ref="Q6:Q7" si="4">SUM(O6:P6)</f>
        <v>449903</v>
      </c>
      <c r="R6" s="88"/>
      <c r="S6" s="88"/>
      <c r="T6" s="88"/>
      <c r="U6" s="88"/>
      <c r="V6" s="88"/>
      <c r="W6" s="88"/>
      <c r="X6" s="88"/>
      <c r="Y6" s="88"/>
      <c r="Z6" s="88"/>
      <c r="AA6" s="88"/>
    </row>
    <row r="7" ht="12.0" customHeight="1">
      <c r="A7" s="88"/>
      <c r="B7" s="100">
        <v>2.0</v>
      </c>
      <c r="C7" s="74">
        <v>224408.0</v>
      </c>
      <c r="D7" s="74">
        <v>39050.0</v>
      </c>
      <c r="E7" s="76">
        <f t="shared" si="1"/>
        <v>263458</v>
      </c>
      <c r="F7" s="76"/>
      <c r="G7" s="76">
        <f>163168+7464</f>
        <v>170632</v>
      </c>
      <c r="H7" s="76">
        <f>19369+288</f>
        <v>19657</v>
      </c>
      <c r="I7" s="74">
        <v>1.0</v>
      </c>
      <c r="J7" s="74">
        <v>0.0</v>
      </c>
      <c r="K7" s="74">
        <v>118.0</v>
      </c>
      <c r="L7" s="92">
        <v>103.0</v>
      </c>
      <c r="M7" s="92">
        <v>190511.0</v>
      </c>
      <c r="N7" s="76"/>
      <c r="O7" s="76">
        <f t="shared" si="2"/>
        <v>414919</v>
      </c>
      <c r="P7" s="76">
        <f t="shared" si="3"/>
        <v>39050</v>
      </c>
      <c r="Q7" s="76">
        <f t="shared" si="4"/>
        <v>453969</v>
      </c>
      <c r="R7" s="88"/>
      <c r="S7" s="88"/>
      <c r="T7" s="88"/>
      <c r="U7" s="88"/>
      <c r="V7" s="88"/>
      <c r="W7" s="88"/>
      <c r="X7" s="88"/>
      <c r="Y7" s="88"/>
      <c r="Z7" s="88"/>
      <c r="AA7" s="88"/>
    </row>
    <row r="8" ht="12.0" customHeight="1">
      <c r="A8" s="88"/>
      <c r="B8" s="100">
        <v>3.0</v>
      </c>
      <c r="C8" s="76"/>
      <c r="D8" s="76"/>
      <c r="E8" s="76"/>
      <c r="F8" s="76"/>
      <c r="G8" s="76"/>
      <c r="H8" s="76"/>
      <c r="I8" s="76"/>
      <c r="J8" s="76"/>
      <c r="K8" s="76"/>
      <c r="L8" s="84"/>
      <c r="M8" s="84"/>
      <c r="N8" s="76"/>
      <c r="O8" s="76"/>
      <c r="P8" s="76"/>
      <c r="Q8" s="76"/>
      <c r="R8" s="88"/>
      <c r="S8" s="88"/>
      <c r="T8" s="88"/>
      <c r="U8" s="88"/>
      <c r="V8" s="88"/>
      <c r="W8" s="88"/>
      <c r="X8" s="88"/>
      <c r="Y8" s="88"/>
      <c r="Z8" s="88"/>
      <c r="AA8" s="88"/>
    </row>
    <row r="9" ht="12.0" customHeight="1">
      <c r="A9" s="88"/>
      <c r="B9" s="100">
        <v>4.0</v>
      </c>
      <c r="C9" s="76"/>
      <c r="D9" s="76"/>
      <c r="E9" s="76"/>
      <c r="F9" s="76"/>
      <c r="G9" s="76"/>
      <c r="H9" s="76"/>
      <c r="I9" s="76"/>
      <c r="J9" s="76"/>
      <c r="K9" s="76"/>
      <c r="L9" s="84"/>
      <c r="M9" s="84"/>
      <c r="N9" s="76"/>
      <c r="O9" s="76"/>
      <c r="P9" s="76"/>
      <c r="Q9" s="76"/>
      <c r="R9" s="88"/>
      <c r="S9" s="88"/>
      <c r="T9" s="88"/>
      <c r="U9" s="88"/>
      <c r="V9" s="88"/>
      <c r="W9" s="88"/>
      <c r="X9" s="88"/>
      <c r="Y9" s="88"/>
      <c r="Z9" s="88"/>
      <c r="AA9" s="88"/>
    </row>
    <row r="10" ht="12.0" customHeight="1">
      <c r="A10" s="2"/>
      <c r="B10" s="100">
        <v>5.0</v>
      </c>
      <c r="C10" s="74">
        <v>245947.0</v>
      </c>
      <c r="D10" s="74">
        <v>39077.0</v>
      </c>
      <c r="E10" s="76">
        <f t="shared" ref="E10:E61" si="5">SUM(C10:D10)</f>
        <v>285024</v>
      </c>
      <c r="F10" s="49"/>
      <c r="G10" s="76">
        <f>176447+7573</f>
        <v>184020</v>
      </c>
      <c r="H10" s="76">
        <f>18538+264</f>
        <v>18802</v>
      </c>
      <c r="I10" s="74">
        <v>29.0</v>
      </c>
      <c r="J10" s="74">
        <v>348.0</v>
      </c>
      <c r="K10" s="74">
        <v>356.0</v>
      </c>
      <c r="L10" s="74">
        <v>95.0</v>
      </c>
      <c r="M10" s="76">
        <f t="shared" ref="M10:M61" si="6">SUM(G10:L10)</f>
        <v>203650</v>
      </c>
      <c r="N10" s="2"/>
      <c r="O10" s="76">
        <f t="shared" ref="O10:O61" si="7">SUM(C10,M10)</f>
        <v>449597</v>
      </c>
      <c r="P10" s="76">
        <f t="shared" ref="P10:P61" si="8">D10</f>
        <v>39077</v>
      </c>
      <c r="Q10" s="76">
        <f t="shared" ref="Q10:Q61" si="9">SUM(O10:P10)</f>
        <v>488674</v>
      </c>
      <c r="R10" s="2"/>
      <c r="S10" s="2"/>
      <c r="T10" s="2"/>
      <c r="U10" s="2"/>
      <c r="V10" s="2"/>
      <c r="W10" s="2"/>
      <c r="X10" s="2"/>
      <c r="Y10" s="2"/>
      <c r="Z10" s="2"/>
      <c r="AA10" s="2"/>
    </row>
    <row r="11" ht="12.0" customHeight="1">
      <c r="A11" s="2"/>
      <c r="B11" s="100">
        <v>6.0</v>
      </c>
      <c r="C11" s="74">
        <v>257340.0</v>
      </c>
      <c r="D11" s="74">
        <v>39063.0</v>
      </c>
      <c r="E11" s="76">
        <f t="shared" si="5"/>
        <v>296403</v>
      </c>
      <c r="F11" s="49"/>
      <c r="G11" s="76">
        <f>185303+7662</f>
        <v>192965</v>
      </c>
      <c r="H11" s="76">
        <f>18273+257</f>
        <v>18530</v>
      </c>
      <c r="I11" s="74">
        <v>82.0</v>
      </c>
      <c r="J11" s="74">
        <v>1581.0</v>
      </c>
      <c r="K11" s="74">
        <v>563.0</v>
      </c>
      <c r="L11" s="74">
        <v>93.0</v>
      </c>
      <c r="M11" s="76">
        <f t="shared" si="6"/>
        <v>213814</v>
      </c>
      <c r="N11" s="2"/>
      <c r="O11" s="76">
        <f t="shared" si="7"/>
        <v>471154</v>
      </c>
      <c r="P11" s="76">
        <f t="shared" si="8"/>
        <v>39063</v>
      </c>
      <c r="Q11" s="76">
        <f t="shared" si="9"/>
        <v>510217</v>
      </c>
      <c r="R11" s="2"/>
      <c r="S11" s="2"/>
      <c r="T11" s="2"/>
      <c r="U11" s="2"/>
      <c r="V11" s="2"/>
      <c r="W11" s="2"/>
      <c r="X11" s="2"/>
      <c r="Y11" s="2"/>
      <c r="Z11" s="2"/>
      <c r="AA11" s="2"/>
    </row>
    <row r="12" ht="12.0" customHeight="1">
      <c r="A12" s="2"/>
      <c r="B12" s="100">
        <v>7.0</v>
      </c>
      <c r="C12" s="74">
        <v>266294.0</v>
      </c>
      <c r="D12" s="74">
        <v>39133.0</v>
      </c>
      <c r="E12" s="76">
        <f t="shared" si="5"/>
        <v>305427</v>
      </c>
      <c r="F12" s="49"/>
      <c r="G12" s="76">
        <f>195212+7713</f>
        <v>202925</v>
      </c>
      <c r="H12" s="76">
        <f>18477+253</f>
        <v>18730</v>
      </c>
      <c r="I12" s="74">
        <v>131.0</v>
      </c>
      <c r="J12" s="74">
        <v>3047.0</v>
      </c>
      <c r="K12" s="74">
        <v>709.0</v>
      </c>
      <c r="L12" s="74">
        <v>90.0</v>
      </c>
      <c r="M12" s="76">
        <f t="shared" si="6"/>
        <v>225632</v>
      </c>
      <c r="N12" s="2"/>
      <c r="O12" s="76">
        <f t="shared" si="7"/>
        <v>491926</v>
      </c>
      <c r="P12" s="76">
        <f t="shared" si="8"/>
        <v>39133</v>
      </c>
      <c r="Q12" s="76">
        <f t="shared" si="9"/>
        <v>531059</v>
      </c>
      <c r="R12" s="2"/>
      <c r="S12" s="2"/>
      <c r="T12" s="2"/>
      <c r="U12" s="2"/>
      <c r="V12" s="2"/>
      <c r="W12" s="2"/>
      <c r="X12" s="2"/>
      <c r="Y12" s="2"/>
      <c r="Z12" s="2"/>
      <c r="AA12" s="2"/>
    </row>
    <row r="13" ht="12.0" customHeight="1">
      <c r="A13" s="6"/>
      <c r="B13" s="100">
        <v>8.0</v>
      </c>
      <c r="C13" s="74">
        <v>276316.0</v>
      </c>
      <c r="D13" s="74">
        <v>39234.0</v>
      </c>
      <c r="E13" s="76">
        <f t="shared" si="5"/>
        <v>315550</v>
      </c>
      <c r="F13" s="49"/>
      <c r="G13" s="76">
        <f t="shared" ref="G13:G14" si="10">206659+7792</f>
        <v>214451</v>
      </c>
      <c r="H13" s="76">
        <f t="shared" ref="H13:H14" si="11">19042+247</f>
        <v>19289</v>
      </c>
      <c r="I13" s="74">
        <v>170.0</v>
      </c>
      <c r="J13" s="74">
        <v>4991.0</v>
      </c>
      <c r="K13" s="74">
        <v>920.0</v>
      </c>
      <c r="L13" s="74">
        <v>88.0</v>
      </c>
      <c r="M13" s="76">
        <f t="shared" si="6"/>
        <v>239909</v>
      </c>
      <c r="N13" s="76"/>
      <c r="O13" s="76">
        <f t="shared" si="7"/>
        <v>516225</v>
      </c>
      <c r="P13" s="76">
        <f t="shared" si="8"/>
        <v>39234</v>
      </c>
      <c r="Q13" s="76">
        <f t="shared" si="9"/>
        <v>555459</v>
      </c>
      <c r="R13" s="6"/>
      <c r="S13" s="6"/>
      <c r="T13" s="6"/>
      <c r="U13" s="6"/>
      <c r="V13" s="6"/>
      <c r="W13" s="6"/>
      <c r="X13" s="6"/>
      <c r="Y13" s="6"/>
      <c r="Z13" s="6"/>
      <c r="AA13" s="6"/>
    </row>
    <row r="14" ht="12.0" customHeight="1">
      <c r="A14" s="2"/>
      <c r="B14" s="100">
        <v>9.0</v>
      </c>
      <c r="C14" s="74">
        <v>276316.0</v>
      </c>
      <c r="D14" s="74">
        <v>39377.0</v>
      </c>
      <c r="E14" s="76">
        <f t="shared" si="5"/>
        <v>315693</v>
      </c>
      <c r="F14" s="49"/>
      <c r="G14" s="76">
        <f t="shared" si="10"/>
        <v>214451</v>
      </c>
      <c r="H14" s="76">
        <f t="shared" si="11"/>
        <v>19289</v>
      </c>
      <c r="I14" s="74">
        <v>170.0</v>
      </c>
      <c r="J14" s="74">
        <v>4991.0</v>
      </c>
      <c r="K14" s="74">
        <v>920.0</v>
      </c>
      <c r="L14" s="74">
        <v>88.0</v>
      </c>
      <c r="M14" s="76">
        <f t="shared" si="6"/>
        <v>239909</v>
      </c>
      <c r="N14" s="2"/>
      <c r="O14" s="76">
        <f t="shared" si="7"/>
        <v>516225</v>
      </c>
      <c r="P14" s="76">
        <f t="shared" si="8"/>
        <v>39377</v>
      </c>
      <c r="Q14" s="76">
        <f t="shared" si="9"/>
        <v>555602</v>
      </c>
      <c r="R14" s="2"/>
      <c r="S14" s="2"/>
      <c r="T14" s="2"/>
      <c r="U14" s="2"/>
      <c r="V14" s="2"/>
      <c r="W14" s="2"/>
      <c r="X14" s="2"/>
      <c r="Y14" s="2"/>
      <c r="Z14" s="2"/>
      <c r="AA14" s="2"/>
    </row>
    <row r="15" ht="12.0" customHeight="1">
      <c r="A15" s="2"/>
      <c r="B15" s="100">
        <v>10.0</v>
      </c>
      <c r="C15" s="74">
        <v>297880.0</v>
      </c>
      <c r="D15" s="74">
        <v>39452.0</v>
      </c>
      <c r="E15" s="76">
        <f t="shared" si="5"/>
        <v>337332</v>
      </c>
      <c r="F15" s="49"/>
      <c r="G15" s="76">
        <f>224739+7943</f>
        <v>232682</v>
      </c>
      <c r="H15" s="76">
        <f>19844+238</f>
        <v>20082</v>
      </c>
      <c r="I15" s="74">
        <v>190.0</v>
      </c>
      <c r="J15" s="74">
        <v>8464.0</v>
      </c>
      <c r="K15" s="74">
        <v>1292.0</v>
      </c>
      <c r="L15" s="74">
        <v>82.0</v>
      </c>
      <c r="M15" s="76">
        <f t="shared" si="6"/>
        <v>262792</v>
      </c>
      <c r="N15" s="2"/>
      <c r="O15" s="76">
        <f t="shared" si="7"/>
        <v>560672</v>
      </c>
      <c r="P15" s="76">
        <f t="shared" si="8"/>
        <v>39452</v>
      </c>
      <c r="Q15" s="76">
        <f t="shared" si="9"/>
        <v>600124</v>
      </c>
      <c r="R15" s="2"/>
      <c r="S15" s="2"/>
      <c r="T15" s="2"/>
      <c r="U15" s="2"/>
      <c r="V15" s="2"/>
      <c r="W15" s="2"/>
      <c r="X15" s="2"/>
      <c r="Y15" s="2"/>
      <c r="Z15" s="2"/>
      <c r="AA15" s="2"/>
    </row>
    <row r="16" ht="12.0" customHeight="1">
      <c r="A16" s="6"/>
      <c r="B16" s="100">
        <v>11.0</v>
      </c>
      <c r="C16" s="74">
        <v>311592.0</v>
      </c>
      <c r="D16" s="74">
        <v>39380.0</v>
      </c>
      <c r="E16" s="76">
        <f t="shared" si="5"/>
        <v>350972</v>
      </c>
      <c r="F16" s="49"/>
      <c r="G16" s="76">
        <f>231057+8051</f>
        <v>239108</v>
      </c>
      <c r="H16" s="76">
        <f>20638+234</f>
        <v>20872</v>
      </c>
      <c r="I16" s="74">
        <v>200.0</v>
      </c>
      <c r="J16" s="74">
        <v>9915.0</v>
      </c>
      <c r="K16" s="74">
        <v>1324.0</v>
      </c>
      <c r="L16" s="74">
        <v>86.0</v>
      </c>
      <c r="M16" s="76">
        <f t="shared" si="6"/>
        <v>271505</v>
      </c>
      <c r="N16" s="76"/>
      <c r="O16" s="76">
        <f t="shared" si="7"/>
        <v>583097</v>
      </c>
      <c r="P16" s="76">
        <f t="shared" si="8"/>
        <v>39380</v>
      </c>
      <c r="Q16" s="76">
        <f t="shared" si="9"/>
        <v>622477</v>
      </c>
      <c r="R16" s="6"/>
      <c r="S16" s="6"/>
      <c r="T16" s="6"/>
      <c r="U16" s="6"/>
      <c r="V16" s="6"/>
      <c r="W16" s="6"/>
      <c r="X16" s="6"/>
      <c r="Y16" s="6"/>
      <c r="Z16" s="6"/>
      <c r="AA16" s="6"/>
    </row>
    <row r="17" ht="12.0" customHeight="1">
      <c r="A17" s="6"/>
      <c r="B17" s="100">
        <v>12.0</v>
      </c>
      <c r="C17" s="74">
        <v>321078.0</v>
      </c>
      <c r="D17" s="74">
        <v>39406.0</v>
      </c>
      <c r="E17" s="76">
        <f t="shared" si="5"/>
        <v>360484</v>
      </c>
      <c r="F17" s="49"/>
      <c r="G17" s="76">
        <f>234166+8106</f>
        <v>242272</v>
      </c>
      <c r="H17" s="76">
        <f>20988+230</f>
        <v>21218</v>
      </c>
      <c r="I17" s="74">
        <v>209.0</v>
      </c>
      <c r="J17" s="74">
        <v>10970.0</v>
      </c>
      <c r="K17" s="74">
        <v>1367.0</v>
      </c>
      <c r="L17" s="74">
        <v>92.0</v>
      </c>
      <c r="M17" s="76">
        <f t="shared" si="6"/>
        <v>276128</v>
      </c>
      <c r="N17" s="76"/>
      <c r="O17" s="76">
        <f t="shared" si="7"/>
        <v>597206</v>
      </c>
      <c r="P17" s="76">
        <f t="shared" si="8"/>
        <v>39406</v>
      </c>
      <c r="Q17" s="76">
        <f t="shared" si="9"/>
        <v>636612</v>
      </c>
      <c r="R17" s="6"/>
      <c r="S17" s="6"/>
      <c r="T17" s="6"/>
      <c r="U17" s="6"/>
      <c r="V17" s="6"/>
      <c r="W17" s="6"/>
      <c r="X17" s="6"/>
      <c r="Y17" s="6"/>
      <c r="Z17" s="6"/>
      <c r="AA17" s="6"/>
    </row>
    <row r="18" ht="12.0" customHeight="1">
      <c r="A18" s="40">
        <v>2009.0</v>
      </c>
      <c r="B18" s="100">
        <v>1.0</v>
      </c>
      <c r="C18" s="74">
        <v>330730.0</v>
      </c>
      <c r="D18" s="74">
        <v>39655.0</v>
      </c>
      <c r="E18" s="76">
        <f t="shared" si="5"/>
        <v>370385</v>
      </c>
      <c r="F18" s="49"/>
      <c r="G18" s="76">
        <f>236401+8097</f>
        <v>244498</v>
      </c>
      <c r="H18" s="76">
        <f>20935+240</f>
        <v>21175</v>
      </c>
      <c r="I18" s="74">
        <v>211.0</v>
      </c>
      <c r="J18" s="74">
        <v>11267.0</v>
      </c>
      <c r="K18" s="74">
        <v>1509.0</v>
      </c>
      <c r="L18" s="74">
        <v>123.0</v>
      </c>
      <c r="M18" s="76">
        <f t="shared" si="6"/>
        <v>278783</v>
      </c>
      <c r="N18" s="76"/>
      <c r="O18" s="76">
        <f t="shared" si="7"/>
        <v>609513</v>
      </c>
      <c r="P18" s="76">
        <f t="shared" si="8"/>
        <v>39655</v>
      </c>
      <c r="Q18" s="76">
        <f t="shared" si="9"/>
        <v>649168</v>
      </c>
      <c r="R18" s="6"/>
      <c r="S18" s="6"/>
      <c r="T18" s="6"/>
      <c r="U18" s="6"/>
      <c r="V18" s="6"/>
      <c r="W18" s="6"/>
      <c r="X18" s="6"/>
      <c r="Y18" s="6"/>
      <c r="Z18" s="6"/>
      <c r="AA18" s="6"/>
    </row>
    <row r="19" ht="12.0" customHeight="1">
      <c r="A19" s="6"/>
      <c r="B19" s="100">
        <v>2.0</v>
      </c>
      <c r="C19" s="74">
        <v>344198.0</v>
      </c>
      <c r="D19" s="74">
        <v>39833.0</v>
      </c>
      <c r="E19" s="76">
        <f t="shared" si="5"/>
        <v>384031</v>
      </c>
      <c r="F19" s="49"/>
      <c r="G19" s="76">
        <f>235649+8062</f>
        <v>243711</v>
      </c>
      <c r="H19" s="76">
        <f>20570+237</f>
        <v>20807</v>
      </c>
      <c r="I19" s="74">
        <v>216.0</v>
      </c>
      <c r="J19" s="74">
        <v>11305.0</v>
      </c>
      <c r="K19" s="74">
        <v>1509.0</v>
      </c>
      <c r="L19" s="74">
        <v>159.0</v>
      </c>
      <c r="M19" s="76">
        <f t="shared" si="6"/>
        <v>277707</v>
      </c>
      <c r="N19" s="76"/>
      <c r="O19" s="76">
        <f t="shared" si="7"/>
        <v>621905</v>
      </c>
      <c r="P19" s="76">
        <f t="shared" si="8"/>
        <v>39833</v>
      </c>
      <c r="Q19" s="76">
        <f t="shared" si="9"/>
        <v>661738</v>
      </c>
      <c r="R19" s="6"/>
      <c r="S19" s="6"/>
      <c r="T19" s="6"/>
      <c r="U19" s="6"/>
      <c r="V19" s="6"/>
      <c r="W19" s="6"/>
      <c r="X19" s="6"/>
      <c r="Y19" s="6"/>
      <c r="Z19" s="6"/>
      <c r="AA19" s="6"/>
    </row>
    <row r="20" ht="12.0" customHeight="1">
      <c r="A20" s="6"/>
      <c r="B20" s="100">
        <v>3.0</v>
      </c>
      <c r="C20" s="74">
        <v>363688.0</v>
      </c>
      <c r="D20" s="74">
        <v>39931.0</v>
      </c>
      <c r="E20" s="76">
        <f t="shared" si="5"/>
        <v>403619</v>
      </c>
      <c r="F20" s="49"/>
      <c r="G20" s="76">
        <f>234552+8022</f>
        <v>242574</v>
      </c>
      <c r="H20" s="76">
        <f>20157+231</f>
        <v>20388</v>
      </c>
      <c r="I20" s="74">
        <v>229.0</v>
      </c>
      <c r="J20" s="74">
        <v>10832.0</v>
      </c>
      <c r="K20" s="74">
        <v>1672.0</v>
      </c>
      <c r="L20" s="74">
        <v>157.0</v>
      </c>
      <c r="M20" s="76">
        <f t="shared" si="6"/>
        <v>275852</v>
      </c>
      <c r="N20" s="76"/>
      <c r="O20" s="76">
        <f t="shared" si="7"/>
        <v>639540</v>
      </c>
      <c r="P20" s="76">
        <f t="shared" si="8"/>
        <v>39931</v>
      </c>
      <c r="Q20" s="76">
        <f t="shared" si="9"/>
        <v>679471</v>
      </c>
      <c r="R20" s="6"/>
      <c r="S20" s="6"/>
      <c r="T20" s="6"/>
      <c r="U20" s="6"/>
      <c r="V20" s="6"/>
      <c r="W20" s="6"/>
      <c r="X20" s="6"/>
      <c r="Y20" s="6"/>
      <c r="Z20" s="6"/>
      <c r="AA20" s="6"/>
    </row>
    <row r="21" ht="12.0" customHeight="1">
      <c r="A21" s="2"/>
      <c r="B21" s="100">
        <v>4.0</v>
      </c>
      <c r="C21" s="74">
        <v>381061.0</v>
      </c>
      <c r="D21" s="74">
        <v>40479.0</v>
      </c>
      <c r="E21" s="76">
        <f t="shared" si="5"/>
        <v>421540</v>
      </c>
      <c r="F21" s="49"/>
      <c r="G21" s="76">
        <f>234047+7934</f>
        <v>241981</v>
      </c>
      <c r="H21" s="76">
        <f>19777+224</f>
        <v>20001</v>
      </c>
      <c r="I21" s="74">
        <v>240.0</v>
      </c>
      <c r="J21" s="74">
        <v>9982.0</v>
      </c>
      <c r="K21" s="74">
        <v>1791.0</v>
      </c>
      <c r="L21" s="74">
        <v>165.0</v>
      </c>
      <c r="M21" s="76">
        <f t="shared" si="6"/>
        <v>274160</v>
      </c>
      <c r="N21" s="2"/>
      <c r="O21" s="76">
        <f t="shared" si="7"/>
        <v>655221</v>
      </c>
      <c r="P21" s="76">
        <f t="shared" si="8"/>
        <v>40479</v>
      </c>
      <c r="Q21" s="76">
        <f t="shared" si="9"/>
        <v>695700</v>
      </c>
      <c r="R21" s="2"/>
      <c r="S21" s="2"/>
      <c r="T21" s="2"/>
      <c r="U21" s="2"/>
      <c r="V21" s="2"/>
      <c r="W21" s="2"/>
      <c r="X21" s="2"/>
      <c r="Y21" s="2"/>
      <c r="Z21" s="2"/>
      <c r="AA21" s="2"/>
    </row>
    <row r="22" ht="12.0" customHeight="1">
      <c r="A22" s="6"/>
      <c r="B22" s="100">
        <v>5.0</v>
      </c>
      <c r="C22" s="74">
        <v>397933.0</v>
      </c>
      <c r="D22" s="74">
        <v>40600.0</v>
      </c>
      <c r="E22" s="76">
        <f t="shared" si="5"/>
        <v>438533</v>
      </c>
      <c r="F22" s="49"/>
      <c r="G22" s="76">
        <f>235995+7914</f>
        <v>243909</v>
      </c>
      <c r="H22" s="76">
        <f>19391+228</f>
        <v>19619</v>
      </c>
      <c r="I22" s="74">
        <v>269.0</v>
      </c>
      <c r="J22" s="74">
        <v>9296.0</v>
      </c>
      <c r="K22" s="74">
        <v>2050.0</v>
      </c>
      <c r="L22" s="74">
        <v>177.0</v>
      </c>
      <c r="M22" s="76">
        <f t="shared" si="6"/>
        <v>275320</v>
      </c>
      <c r="N22" s="76"/>
      <c r="O22" s="76">
        <f t="shared" si="7"/>
        <v>673253</v>
      </c>
      <c r="P22" s="76">
        <f t="shared" si="8"/>
        <v>40600</v>
      </c>
      <c r="Q22" s="76">
        <f t="shared" si="9"/>
        <v>713853</v>
      </c>
      <c r="R22" s="6"/>
      <c r="S22" s="6"/>
      <c r="T22" s="6"/>
      <c r="U22" s="6"/>
      <c r="V22" s="6"/>
      <c r="W22" s="6"/>
      <c r="X22" s="6"/>
      <c r="Y22" s="6"/>
      <c r="Z22" s="6"/>
      <c r="AA22" s="6"/>
    </row>
    <row r="23" ht="12.0" customHeight="1">
      <c r="A23" s="6"/>
      <c r="B23" s="100">
        <v>6.0</v>
      </c>
      <c r="C23" s="74">
        <v>417891.0</v>
      </c>
      <c r="D23" s="74">
        <v>40987.0</v>
      </c>
      <c r="E23" s="76">
        <f t="shared" si="5"/>
        <v>458878</v>
      </c>
      <c r="F23" s="49"/>
      <c r="G23" s="76">
        <f>242265+7851</f>
        <v>250116</v>
      </c>
      <c r="H23" s="76">
        <f>18955+220</f>
        <v>19175</v>
      </c>
      <c r="I23" s="74">
        <v>318.0</v>
      </c>
      <c r="J23" s="74">
        <v>8935.0</v>
      </c>
      <c r="K23" s="74">
        <v>2637.0</v>
      </c>
      <c r="L23" s="74">
        <v>196.0</v>
      </c>
      <c r="M23" s="76">
        <f t="shared" si="6"/>
        <v>281377</v>
      </c>
      <c r="N23" s="76"/>
      <c r="O23" s="76">
        <f t="shared" si="7"/>
        <v>699268</v>
      </c>
      <c r="P23" s="76">
        <f t="shared" si="8"/>
        <v>40987</v>
      </c>
      <c r="Q23" s="76">
        <f t="shared" si="9"/>
        <v>740255</v>
      </c>
      <c r="R23" s="6"/>
      <c r="S23" s="6"/>
      <c r="T23" s="6"/>
      <c r="U23" s="6"/>
      <c r="V23" s="6"/>
      <c r="W23" s="6"/>
      <c r="X23" s="6"/>
      <c r="Y23" s="6"/>
      <c r="Z23" s="6"/>
      <c r="AA23" s="6"/>
    </row>
    <row r="24" ht="12.0" customHeight="1">
      <c r="A24" s="6"/>
      <c r="B24" s="100">
        <v>7.0</v>
      </c>
      <c r="C24" s="74">
        <v>438272.0</v>
      </c>
      <c r="D24" s="74">
        <v>41326.0</v>
      </c>
      <c r="E24" s="76">
        <f t="shared" si="5"/>
        <v>479598</v>
      </c>
      <c r="F24" s="49"/>
      <c r="G24" s="76">
        <f>252370+7819</f>
        <v>260189</v>
      </c>
      <c r="H24" s="76">
        <f>18918+213</f>
        <v>19131</v>
      </c>
      <c r="I24" s="74">
        <v>338.0</v>
      </c>
      <c r="J24" s="74">
        <v>8821.0</v>
      </c>
      <c r="K24" s="74">
        <v>3489.0</v>
      </c>
      <c r="L24" s="74">
        <v>217.0</v>
      </c>
      <c r="M24" s="76">
        <f t="shared" si="6"/>
        <v>292185</v>
      </c>
      <c r="N24" s="76"/>
      <c r="O24" s="76">
        <f t="shared" si="7"/>
        <v>730457</v>
      </c>
      <c r="P24" s="76">
        <f t="shared" si="8"/>
        <v>41326</v>
      </c>
      <c r="Q24" s="76">
        <f t="shared" si="9"/>
        <v>771783</v>
      </c>
      <c r="R24" s="6"/>
      <c r="S24" s="6"/>
      <c r="T24" s="6"/>
      <c r="U24" s="6"/>
      <c r="V24" s="6"/>
      <c r="W24" s="6"/>
      <c r="X24" s="6"/>
      <c r="Y24" s="6"/>
      <c r="Z24" s="6"/>
      <c r="AA24" s="6"/>
    </row>
    <row r="25" ht="12.0" customHeight="1">
      <c r="A25" s="6"/>
      <c r="B25" s="100">
        <v>8.0</v>
      </c>
      <c r="C25" s="74">
        <v>456456.0</v>
      </c>
      <c r="D25" s="74">
        <v>41667.0</v>
      </c>
      <c r="E25" s="76">
        <f t="shared" si="5"/>
        <v>498123</v>
      </c>
      <c r="F25" s="49"/>
      <c r="G25" s="76">
        <f>263146+7991</f>
        <v>271137</v>
      </c>
      <c r="H25" s="76">
        <f>19199+207</f>
        <v>19406</v>
      </c>
      <c r="I25" s="74">
        <v>330.0</v>
      </c>
      <c r="J25" s="74">
        <v>8716.0</v>
      </c>
      <c r="K25" s="74">
        <v>5026.0</v>
      </c>
      <c r="L25" s="74">
        <v>220.0</v>
      </c>
      <c r="M25" s="76">
        <f t="shared" si="6"/>
        <v>304835</v>
      </c>
      <c r="N25" s="76"/>
      <c r="O25" s="76">
        <f t="shared" si="7"/>
        <v>761291</v>
      </c>
      <c r="P25" s="76">
        <f t="shared" si="8"/>
        <v>41667</v>
      </c>
      <c r="Q25" s="76">
        <f t="shared" si="9"/>
        <v>802958</v>
      </c>
      <c r="R25" s="6"/>
      <c r="S25" s="6"/>
      <c r="T25" s="6"/>
      <c r="U25" s="6"/>
      <c r="V25" s="6"/>
      <c r="W25" s="6"/>
      <c r="X25" s="6"/>
      <c r="Y25" s="6"/>
      <c r="Z25" s="6"/>
      <c r="AA25" s="6"/>
    </row>
    <row r="26" ht="12.0" customHeight="1">
      <c r="A26" s="6"/>
      <c r="B26" s="100">
        <v>9.0</v>
      </c>
      <c r="C26" s="74">
        <v>470544.0</v>
      </c>
      <c r="D26" s="74">
        <v>41763.0</v>
      </c>
      <c r="E26" s="76">
        <f t="shared" si="5"/>
        <v>512307</v>
      </c>
      <c r="F26" s="49"/>
      <c r="G26" s="76">
        <f>270832+8035</f>
        <v>278867</v>
      </c>
      <c r="H26" s="76">
        <f>19436+221</f>
        <v>19657</v>
      </c>
      <c r="I26" s="74">
        <v>323.0</v>
      </c>
      <c r="J26" s="74">
        <v>8509.0</v>
      </c>
      <c r="K26" s="74">
        <v>6127.0</v>
      </c>
      <c r="L26" s="74">
        <v>227.0</v>
      </c>
      <c r="M26" s="76">
        <f t="shared" si="6"/>
        <v>313710</v>
      </c>
      <c r="N26" s="76"/>
      <c r="O26" s="76">
        <f t="shared" si="7"/>
        <v>784254</v>
      </c>
      <c r="P26" s="76">
        <f t="shared" si="8"/>
        <v>41763</v>
      </c>
      <c r="Q26" s="76">
        <f t="shared" si="9"/>
        <v>826017</v>
      </c>
      <c r="R26" s="6"/>
      <c r="S26" s="6"/>
      <c r="T26" s="6"/>
      <c r="U26" s="6"/>
      <c r="V26" s="6"/>
      <c r="W26" s="6"/>
      <c r="X26" s="6"/>
      <c r="Y26" s="6"/>
      <c r="Z26" s="6"/>
      <c r="AA26" s="6"/>
    </row>
    <row r="27" ht="12.0" customHeight="1">
      <c r="A27" s="2"/>
      <c r="B27" s="100">
        <v>10.0</v>
      </c>
      <c r="C27" s="74">
        <v>479712.0</v>
      </c>
      <c r="D27" s="74">
        <v>42275.0</v>
      </c>
      <c r="E27" s="76">
        <f t="shared" si="5"/>
        <v>521987</v>
      </c>
      <c r="F27" s="49"/>
      <c r="G27" s="76">
        <f>280661+8016</f>
        <v>288677</v>
      </c>
      <c r="H27" s="76">
        <f>20757+225</f>
        <v>20982</v>
      </c>
      <c r="I27" s="74">
        <v>308.0</v>
      </c>
      <c r="J27" s="74">
        <v>8026.0</v>
      </c>
      <c r="K27" s="74">
        <v>7052.0</v>
      </c>
      <c r="L27" s="74">
        <v>238.0</v>
      </c>
      <c r="M27" s="76">
        <f t="shared" si="6"/>
        <v>325283</v>
      </c>
      <c r="N27" s="2"/>
      <c r="O27" s="76">
        <f t="shared" si="7"/>
        <v>804995</v>
      </c>
      <c r="P27" s="76">
        <f t="shared" si="8"/>
        <v>42275</v>
      </c>
      <c r="Q27" s="76">
        <f t="shared" si="9"/>
        <v>847270</v>
      </c>
      <c r="R27" s="2"/>
      <c r="S27" s="2"/>
      <c r="T27" s="2"/>
      <c r="U27" s="2"/>
      <c r="V27" s="2"/>
      <c r="W27" s="2"/>
      <c r="X27" s="2"/>
      <c r="Y27" s="2"/>
      <c r="Z27" s="2"/>
      <c r="AA27" s="2"/>
    </row>
    <row r="28" ht="12.0" customHeight="1">
      <c r="A28" s="6"/>
      <c r="B28" s="100">
        <v>11.0</v>
      </c>
      <c r="C28" s="74">
        <v>484916.0</v>
      </c>
      <c r="D28" s="74">
        <v>42871.0</v>
      </c>
      <c r="E28" s="76">
        <f t="shared" si="5"/>
        <v>527787</v>
      </c>
      <c r="F28" s="49"/>
      <c r="G28" s="76">
        <f>289179+8125</f>
        <v>297304</v>
      </c>
      <c r="H28" s="76">
        <f>21695+269</f>
        <v>21964</v>
      </c>
      <c r="I28" s="74">
        <v>301.0</v>
      </c>
      <c r="J28" s="74">
        <v>7575.0</v>
      </c>
      <c r="K28" s="74">
        <v>8302.0</v>
      </c>
      <c r="L28" s="74">
        <v>241.0</v>
      </c>
      <c r="M28" s="76">
        <f t="shared" si="6"/>
        <v>335687</v>
      </c>
      <c r="N28" s="76"/>
      <c r="O28" s="76">
        <f t="shared" si="7"/>
        <v>820603</v>
      </c>
      <c r="P28" s="76">
        <f t="shared" si="8"/>
        <v>42871</v>
      </c>
      <c r="Q28" s="76">
        <f t="shared" si="9"/>
        <v>863474</v>
      </c>
      <c r="R28" s="6"/>
      <c r="S28" s="6"/>
      <c r="T28" s="6"/>
      <c r="U28" s="6"/>
      <c r="V28" s="6"/>
      <c r="W28" s="6"/>
      <c r="X28" s="6"/>
      <c r="Y28" s="6"/>
      <c r="Z28" s="6"/>
      <c r="AA28" s="6"/>
    </row>
    <row r="29" ht="12.0" customHeight="1">
      <c r="A29" s="6"/>
      <c r="B29" s="100">
        <v>12.0</v>
      </c>
      <c r="C29" s="74">
        <v>488974.0</v>
      </c>
      <c r="D29" s="74">
        <v>43509.0</v>
      </c>
      <c r="E29" s="76">
        <f t="shared" si="5"/>
        <v>532483</v>
      </c>
      <c r="F29" s="49"/>
      <c r="G29" s="76">
        <f>299846+7878</f>
        <v>307724</v>
      </c>
      <c r="H29" s="76">
        <f>22165+271</f>
        <v>22436</v>
      </c>
      <c r="I29" s="74">
        <v>298.0</v>
      </c>
      <c r="J29" s="74">
        <v>7171.0</v>
      </c>
      <c r="K29" s="74">
        <v>9915.0</v>
      </c>
      <c r="L29" s="74">
        <v>243.0</v>
      </c>
      <c r="M29" s="76">
        <f t="shared" si="6"/>
        <v>347787</v>
      </c>
      <c r="N29" s="76"/>
      <c r="O29" s="76">
        <f t="shared" si="7"/>
        <v>836761</v>
      </c>
      <c r="P29" s="76">
        <f t="shared" si="8"/>
        <v>43509</v>
      </c>
      <c r="Q29" s="76">
        <f t="shared" si="9"/>
        <v>880270</v>
      </c>
      <c r="R29" s="6"/>
      <c r="S29" s="6"/>
      <c r="T29" s="6"/>
      <c r="U29" s="6"/>
      <c r="V29" s="6"/>
      <c r="W29" s="6"/>
      <c r="X29" s="6"/>
      <c r="Y29" s="6"/>
      <c r="Z29" s="6"/>
      <c r="AA29" s="6"/>
    </row>
    <row r="30" ht="12.0" customHeight="1">
      <c r="A30" s="40">
        <v>2010.0</v>
      </c>
      <c r="B30" s="100">
        <v>1.0</v>
      </c>
      <c r="C30" s="74">
        <v>497497.0</v>
      </c>
      <c r="D30" s="74">
        <v>44106.0</v>
      </c>
      <c r="E30" s="76">
        <f t="shared" si="5"/>
        <v>541603</v>
      </c>
      <c r="F30" s="49"/>
      <c r="G30" s="76">
        <f>313846+7878</f>
        <v>321724</v>
      </c>
      <c r="H30" s="76">
        <f>23937+297</f>
        <v>24234</v>
      </c>
      <c r="I30" s="74">
        <v>292.0</v>
      </c>
      <c r="J30" s="74">
        <v>7049.0</v>
      </c>
      <c r="K30" s="74">
        <v>10748.0</v>
      </c>
      <c r="L30" s="74">
        <v>241.0</v>
      </c>
      <c r="M30" s="76">
        <f t="shared" si="6"/>
        <v>364288</v>
      </c>
      <c r="N30" s="76"/>
      <c r="O30" s="76">
        <f t="shared" si="7"/>
        <v>861785</v>
      </c>
      <c r="P30" s="76">
        <f t="shared" si="8"/>
        <v>44106</v>
      </c>
      <c r="Q30" s="76">
        <f t="shared" si="9"/>
        <v>905891</v>
      </c>
      <c r="R30" s="6"/>
      <c r="S30" s="6"/>
      <c r="T30" s="6"/>
      <c r="U30" s="6"/>
      <c r="V30" s="6"/>
      <c r="W30" s="6"/>
      <c r="X30" s="6"/>
      <c r="Y30" s="6"/>
      <c r="Z30" s="6"/>
      <c r="AA30" s="6"/>
    </row>
    <row r="31" ht="12.0" customHeight="1">
      <c r="A31" s="6"/>
      <c r="B31" s="100">
        <v>2.0</v>
      </c>
      <c r="C31" s="74">
        <v>501349.0</v>
      </c>
      <c r="D31" s="74">
        <v>44456.0</v>
      </c>
      <c r="E31" s="76">
        <f t="shared" si="5"/>
        <v>545805</v>
      </c>
      <c r="F31" s="49"/>
      <c r="G31" s="76">
        <f>323419+8380</f>
        <v>331799</v>
      </c>
      <c r="H31" s="76">
        <f>24882+304</f>
        <v>25186</v>
      </c>
      <c r="I31" s="74">
        <v>289.0</v>
      </c>
      <c r="J31" s="74">
        <v>6929.0</v>
      </c>
      <c r="K31" s="74">
        <v>12223.0</v>
      </c>
      <c r="L31" s="74">
        <v>240.0</v>
      </c>
      <c r="M31" s="76">
        <f t="shared" si="6"/>
        <v>376666</v>
      </c>
      <c r="N31" s="76"/>
      <c r="O31" s="76">
        <f t="shared" si="7"/>
        <v>878015</v>
      </c>
      <c r="P31" s="76">
        <f t="shared" si="8"/>
        <v>44456</v>
      </c>
      <c r="Q31" s="76">
        <f t="shared" si="9"/>
        <v>922471</v>
      </c>
      <c r="R31" s="6"/>
      <c r="S31" s="6"/>
      <c r="T31" s="6"/>
      <c r="U31" s="6"/>
      <c r="V31" s="6"/>
      <c r="W31" s="6"/>
      <c r="X31" s="6"/>
      <c r="Y31" s="6"/>
      <c r="Z31" s="6"/>
      <c r="AA31" s="6"/>
    </row>
    <row r="32" ht="12.0" customHeight="1">
      <c r="A32" s="6"/>
      <c r="B32" s="100">
        <v>3.0</v>
      </c>
      <c r="C32" s="74">
        <v>502179.0</v>
      </c>
      <c r="D32" s="74">
        <v>44915.0</v>
      </c>
      <c r="E32" s="76">
        <f t="shared" si="5"/>
        <v>547094</v>
      </c>
      <c r="F32" s="49"/>
      <c r="G32" s="76">
        <f>331270+8843</f>
        <v>340113</v>
      </c>
      <c r="H32" s="76">
        <f>25085+301</f>
        <v>25386</v>
      </c>
      <c r="I32" s="74">
        <v>336.0</v>
      </c>
      <c r="J32" s="74">
        <v>6802.0</v>
      </c>
      <c r="K32" s="74">
        <v>12995.0</v>
      </c>
      <c r="L32" s="74">
        <v>240.0</v>
      </c>
      <c r="M32" s="76">
        <f t="shared" si="6"/>
        <v>385872</v>
      </c>
      <c r="N32" s="76"/>
      <c r="O32" s="76">
        <f t="shared" si="7"/>
        <v>888051</v>
      </c>
      <c r="P32" s="76">
        <f t="shared" si="8"/>
        <v>44915</v>
      </c>
      <c r="Q32" s="76">
        <f t="shared" si="9"/>
        <v>932966</v>
      </c>
      <c r="R32" s="6"/>
      <c r="S32" s="6"/>
      <c r="T32" s="6"/>
      <c r="U32" s="6"/>
      <c r="V32" s="6"/>
      <c r="W32" s="6"/>
      <c r="X32" s="6"/>
      <c r="Y32" s="6"/>
      <c r="Z32" s="6"/>
      <c r="AA32" s="6"/>
    </row>
    <row r="33" ht="12.0" customHeight="1">
      <c r="A33" s="2"/>
      <c r="B33" s="100">
        <v>4.0</v>
      </c>
      <c r="C33" s="74">
        <v>508837.0</v>
      </c>
      <c r="D33" s="74">
        <v>45555.0</v>
      </c>
      <c r="E33" s="76">
        <f t="shared" si="5"/>
        <v>554392</v>
      </c>
      <c r="F33" s="49"/>
      <c r="G33" s="76">
        <f>343032+9266</f>
        <v>352298</v>
      </c>
      <c r="H33" s="76">
        <f>26270+313</f>
        <v>26583</v>
      </c>
      <c r="I33" s="74">
        <v>369.0</v>
      </c>
      <c r="J33" s="74">
        <v>6727.0</v>
      </c>
      <c r="K33" s="74">
        <v>13828.0</v>
      </c>
      <c r="L33" s="74">
        <v>238.0</v>
      </c>
      <c r="M33" s="76">
        <f t="shared" si="6"/>
        <v>400043</v>
      </c>
      <c r="N33" s="2"/>
      <c r="O33" s="76">
        <f t="shared" si="7"/>
        <v>908880</v>
      </c>
      <c r="P33" s="76">
        <f t="shared" si="8"/>
        <v>45555</v>
      </c>
      <c r="Q33" s="76">
        <f t="shared" si="9"/>
        <v>954435</v>
      </c>
      <c r="R33" s="2"/>
      <c r="S33" s="2"/>
      <c r="T33" s="2"/>
      <c r="U33" s="2"/>
      <c r="V33" s="2"/>
      <c r="W33" s="2"/>
      <c r="X33" s="2"/>
      <c r="Y33" s="2"/>
      <c r="Z33" s="2"/>
      <c r="AA33" s="2"/>
    </row>
    <row r="34" ht="12.0" customHeight="1">
      <c r="A34" s="6"/>
      <c r="B34" s="100">
        <v>5.0</v>
      </c>
      <c r="C34" s="74">
        <v>515077.0</v>
      </c>
      <c r="D34" s="74">
        <v>46317.0</v>
      </c>
      <c r="E34" s="76">
        <f t="shared" si="5"/>
        <v>561394</v>
      </c>
      <c r="F34" s="49"/>
      <c r="G34" s="76">
        <f>355330+9752</f>
        <v>365082</v>
      </c>
      <c r="H34" s="76">
        <f>27332+340</f>
        <v>27672</v>
      </c>
      <c r="I34" s="74">
        <v>364.0</v>
      </c>
      <c r="J34" s="74">
        <v>6712.0</v>
      </c>
      <c r="K34" s="74">
        <v>14532.0</v>
      </c>
      <c r="L34" s="74">
        <v>234.0</v>
      </c>
      <c r="M34" s="76">
        <f t="shared" si="6"/>
        <v>414596</v>
      </c>
      <c r="N34" s="76"/>
      <c r="O34" s="76">
        <f t="shared" si="7"/>
        <v>929673</v>
      </c>
      <c r="P34" s="76">
        <f t="shared" si="8"/>
        <v>46317</v>
      </c>
      <c r="Q34" s="76">
        <f t="shared" si="9"/>
        <v>975990</v>
      </c>
      <c r="R34" s="6"/>
      <c r="S34" s="6"/>
      <c r="T34" s="6"/>
      <c r="U34" s="6"/>
      <c r="V34" s="6"/>
      <c r="W34" s="6"/>
      <c r="X34" s="6"/>
      <c r="Y34" s="6"/>
      <c r="Z34" s="6"/>
      <c r="AA34" s="6"/>
    </row>
    <row r="35" ht="12.0" customHeight="1">
      <c r="A35" s="6"/>
      <c r="B35" s="100">
        <v>6.0</v>
      </c>
      <c r="C35" s="74">
        <v>520543.0</v>
      </c>
      <c r="D35" s="74">
        <v>46973.0</v>
      </c>
      <c r="E35" s="76">
        <f t="shared" si="5"/>
        <v>567516</v>
      </c>
      <c r="F35" s="49"/>
      <c r="G35" s="76">
        <f>368290+10455</f>
        <v>378745</v>
      </c>
      <c r="H35" s="76">
        <f>27605+335</f>
        <v>27940</v>
      </c>
      <c r="I35" s="74">
        <v>364.0</v>
      </c>
      <c r="J35" s="74">
        <v>6669.0</v>
      </c>
      <c r="K35" s="74">
        <v>15338.0</v>
      </c>
      <c r="L35" s="74">
        <v>230.0</v>
      </c>
      <c r="M35" s="76">
        <f t="shared" si="6"/>
        <v>429286</v>
      </c>
      <c r="N35" s="76"/>
      <c r="O35" s="76">
        <f t="shared" si="7"/>
        <v>949829</v>
      </c>
      <c r="P35" s="76">
        <f t="shared" si="8"/>
        <v>46973</v>
      </c>
      <c r="Q35" s="76">
        <f t="shared" si="9"/>
        <v>996802</v>
      </c>
      <c r="R35" s="6"/>
      <c r="S35" s="6"/>
      <c r="T35" s="6"/>
      <c r="U35" s="6"/>
      <c r="V35" s="6"/>
      <c r="W35" s="6"/>
      <c r="X35" s="6"/>
      <c r="Y35" s="6"/>
      <c r="Z35" s="6"/>
      <c r="AA35" s="6"/>
    </row>
    <row r="36" ht="12.0" customHeight="1">
      <c r="A36" s="6"/>
      <c r="B36" s="100">
        <v>7.0</v>
      </c>
      <c r="C36" s="74">
        <v>522757.0</v>
      </c>
      <c r="D36" s="74">
        <v>47974.0</v>
      </c>
      <c r="E36" s="76">
        <f t="shared" si="5"/>
        <v>570731</v>
      </c>
      <c r="F36" s="49"/>
      <c r="G36" s="76">
        <f>380393+11962</f>
        <v>392355</v>
      </c>
      <c r="H36" s="76">
        <f>29872+492</f>
        <v>30364</v>
      </c>
      <c r="I36" s="74">
        <v>350.0</v>
      </c>
      <c r="J36" s="74">
        <v>6593.0</v>
      </c>
      <c r="K36" s="74">
        <v>16231.0</v>
      </c>
      <c r="L36" s="74">
        <v>226.0</v>
      </c>
      <c r="M36" s="76">
        <f t="shared" si="6"/>
        <v>446119</v>
      </c>
      <c r="N36" s="76"/>
      <c r="O36" s="76">
        <f t="shared" si="7"/>
        <v>968876</v>
      </c>
      <c r="P36" s="76">
        <f t="shared" si="8"/>
        <v>47974</v>
      </c>
      <c r="Q36" s="76">
        <f t="shared" si="9"/>
        <v>1016850</v>
      </c>
      <c r="R36" s="6"/>
      <c r="S36" s="6"/>
      <c r="T36" s="6"/>
      <c r="U36" s="6"/>
      <c r="V36" s="6"/>
      <c r="W36" s="6"/>
      <c r="X36" s="6"/>
      <c r="Y36" s="6"/>
      <c r="Z36" s="6"/>
      <c r="AA36" s="6"/>
    </row>
    <row r="37" ht="12.0" customHeight="1">
      <c r="A37" s="6"/>
      <c r="B37" s="100">
        <v>8.0</v>
      </c>
      <c r="C37" s="74">
        <v>522888.0</v>
      </c>
      <c r="D37" s="74">
        <v>48984.0</v>
      </c>
      <c r="E37" s="76">
        <f t="shared" si="5"/>
        <v>571872</v>
      </c>
      <c r="F37" s="49"/>
      <c r="G37" s="76">
        <f>390916+13062</f>
        <v>403978</v>
      </c>
      <c r="H37" s="76">
        <f>31035+485</f>
        <v>31520</v>
      </c>
      <c r="I37" s="74">
        <v>346.0</v>
      </c>
      <c r="J37" s="74">
        <v>6675.0</v>
      </c>
      <c r="K37" s="74">
        <v>17247.0</v>
      </c>
      <c r="L37" s="74">
        <v>222.0</v>
      </c>
      <c r="M37" s="76">
        <f t="shared" si="6"/>
        <v>459988</v>
      </c>
      <c r="N37" s="76"/>
      <c r="O37" s="76">
        <f t="shared" si="7"/>
        <v>982876</v>
      </c>
      <c r="P37" s="76">
        <f t="shared" si="8"/>
        <v>48984</v>
      </c>
      <c r="Q37" s="76">
        <f t="shared" si="9"/>
        <v>1031860</v>
      </c>
      <c r="R37" s="6"/>
      <c r="S37" s="6"/>
      <c r="T37" s="6"/>
      <c r="U37" s="6"/>
      <c r="V37" s="6"/>
      <c r="W37" s="6"/>
      <c r="X37" s="6"/>
      <c r="Y37" s="6"/>
      <c r="Z37" s="6"/>
      <c r="AA37" s="6"/>
    </row>
    <row r="38" ht="12.0" customHeight="1">
      <c r="A38" s="6"/>
      <c r="B38" s="100">
        <v>9.0</v>
      </c>
      <c r="C38" s="74">
        <v>524410.0</v>
      </c>
      <c r="D38" s="74">
        <v>49716.0</v>
      </c>
      <c r="E38" s="76">
        <f t="shared" si="5"/>
        <v>574126</v>
      </c>
      <c r="F38" s="49"/>
      <c r="G38" s="76">
        <f>400355+14186</f>
        <v>414541</v>
      </c>
      <c r="H38" s="76">
        <f>31346+483</f>
        <v>31829</v>
      </c>
      <c r="I38" s="74">
        <v>346.0</v>
      </c>
      <c r="J38" s="74">
        <v>7062.0</v>
      </c>
      <c r="K38" s="74">
        <v>18056.0</v>
      </c>
      <c r="L38" s="74">
        <v>219.0</v>
      </c>
      <c r="M38" s="76">
        <f t="shared" si="6"/>
        <v>472053</v>
      </c>
      <c r="N38" s="76"/>
      <c r="O38" s="76">
        <f t="shared" si="7"/>
        <v>996463</v>
      </c>
      <c r="P38" s="76">
        <f t="shared" si="8"/>
        <v>49716</v>
      </c>
      <c r="Q38" s="76">
        <f t="shared" si="9"/>
        <v>1046179</v>
      </c>
      <c r="R38" s="6"/>
      <c r="S38" s="6"/>
      <c r="T38" s="6"/>
      <c r="U38" s="6"/>
      <c r="V38" s="6"/>
      <c r="W38" s="6"/>
      <c r="X38" s="6"/>
      <c r="Y38" s="6"/>
      <c r="Z38" s="6"/>
      <c r="AA38" s="6"/>
    </row>
    <row r="39" ht="12.0" customHeight="1">
      <c r="A39" s="2"/>
      <c r="B39" s="100">
        <v>10.0</v>
      </c>
      <c r="C39" s="74">
        <v>528328.0</v>
      </c>
      <c r="D39" s="74">
        <v>50598.0</v>
      </c>
      <c r="E39" s="76">
        <f t="shared" si="5"/>
        <v>578926</v>
      </c>
      <c r="F39" s="49"/>
      <c r="G39" s="76">
        <f>407685+15176</f>
        <v>422861</v>
      </c>
      <c r="H39" s="76">
        <f>32830+486</f>
        <v>33316</v>
      </c>
      <c r="I39" s="74">
        <v>342.0</v>
      </c>
      <c r="J39" s="74">
        <v>7415.0</v>
      </c>
      <c r="K39" s="74">
        <v>18903.0</v>
      </c>
      <c r="L39" s="74">
        <v>216.0</v>
      </c>
      <c r="M39" s="76">
        <f t="shared" si="6"/>
        <v>483053</v>
      </c>
      <c r="N39" s="2"/>
      <c r="O39" s="76">
        <f t="shared" si="7"/>
        <v>1011381</v>
      </c>
      <c r="P39" s="76">
        <f t="shared" si="8"/>
        <v>50598</v>
      </c>
      <c r="Q39" s="76">
        <f t="shared" si="9"/>
        <v>1061979</v>
      </c>
      <c r="R39" s="2"/>
      <c r="S39" s="2"/>
      <c r="T39" s="2"/>
      <c r="U39" s="2"/>
      <c r="V39" s="2"/>
      <c r="W39" s="2"/>
      <c r="X39" s="2"/>
      <c r="Y39" s="2"/>
      <c r="Z39" s="2"/>
      <c r="AA39" s="2"/>
    </row>
    <row r="40" ht="12.0" customHeight="1">
      <c r="A40" s="6"/>
      <c r="B40" s="100">
        <v>11.0</v>
      </c>
      <c r="C40" s="74">
        <v>531470.0</v>
      </c>
      <c r="D40" s="74">
        <v>51314.0</v>
      </c>
      <c r="E40" s="76">
        <f t="shared" si="5"/>
        <v>582784</v>
      </c>
      <c r="F40" s="49"/>
      <c r="G40" s="76">
        <f>414872+16136</f>
        <v>431008</v>
      </c>
      <c r="H40" s="76">
        <f>33994+480</f>
        <v>34474</v>
      </c>
      <c r="I40" s="74">
        <v>335.0</v>
      </c>
      <c r="J40" s="74">
        <v>7739.0</v>
      </c>
      <c r="K40" s="74">
        <v>19783.0</v>
      </c>
      <c r="L40" s="74">
        <v>212.0</v>
      </c>
      <c r="M40" s="76">
        <f t="shared" si="6"/>
        <v>493551</v>
      </c>
      <c r="N40" s="76"/>
      <c r="O40" s="76">
        <f t="shared" si="7"/>
        <v>1025021</v>
      </c>
      <c r="P40" s="76">
        <f t="shared" si="8"/>
        <v>51314</v>
      </c>
      <c r="Q40" s="76">
        <f t="shared" si="9"/>
        <v>1076335</v>
      </c>
      <c r="R40" s="6"/>
      <c r="S40" s="6"/>
      <c r="T40" s="6"/>
      <c r="U40" s="6"/>
      <c r="V40" s="6"/>
      <c r="W40" s="6"/>
      <c r="X40" s="6"/>
      <c r="Y40" s="6"/>
      <c r="Z40" s="6"/>
      <c r="AA40" s="6"/>
    </row>
    <row r="41" ht="12.0" customHeight="1">
      <c r="A41" s="6"/>
      <c r="B41" s="100">
        <v>12.0</v>
      </c>
      <c r="C41" s="74">
        <v>533128.0</v>
      </c>
      <c r="D41" s="74">
        <v>52223.0</v>
      </c>
      <c r="E41" s="76">
        <f t="shared" si="5"/>
        <v>585351</v>
      </c>
      <c r="F41" s="49"/>
      <c r="G41" s="76">
        <f>422830+16785</f>
        <v>439615</v>
      </c>
      <c r="H41" s="76">
        <f>34608+474</f>
        <v>35082</v>
      </c>
      <c r="I41" s="74">
        <v>338.0</v>
      </c>
      <c r="J41" s="74">
        <v>8381.0</v>
      </c>
      <c r="K41" s="74">
        <v>20784.0</v>
      </c>
      <c r="L41" s="74">
        <v>210.0</v>
      </c>
      <c r="M41" s="76">
        <f t="shared" si="6"/>
        <v>504410</v>
      </c>
      <c r="N41" s="76"/>
      <c r="O41" s="76">
        <f t="shared" si="7"/>
        <v>1037538</v>
      </c>
      <c r="P41" s="76">
        <f t="shared" si="8"/>
        <v>52223</v>
      </c>
      <c r="Q41" s="76">
        <f t="shared" si="9"/>
        <v>1089761</v>
      </c>
      <c r="R41" s="6"/>
      <c r="S41" s="6"/>
      <c r="T41" s="6"/>
      <c r="U41" s="6"/>
      <c r="V41" s="6"/>
      <c r="W41" s="6"/>
      <c r="X41" s="6"/>
      <c r="Y41" s="6"/>
      <c r="Z41" s="6"/>
      <c r="AA41" s="6"/>
    </row>
    <row r="42" ht="12.0" customHeight="1">
      <c r="A42" s="40">
        <v>2011.0</v>
      </c>
      <c r="B42" s="100">
        <v>1.0</v>
      </c>
      <c r="C42" s="74">
        <v>538879.0</v>
      </c>
      <c r="D42" s="74">
        <v>52839.0</v>
      </c>
      <c r="E42" s="76">
        <f t="shared" si="5"/>
        <v>591718</v>
      </c>
      <c r="F42" s="49"/>
      <c r="G42" s="76">
        <f>433010+17351</f>
        <v>450361</v>
      </c>
      <c r="H42" s="76">
        <f>36748+486</f>
        <v>37234</v>
      </c>
      <c r="I42" s="74">
        <v>338.0</v>
      </c>
      <c r="J42" s="74">
        <v>9056.0</v>
      </c>
      <c r="K42" s="74">
        <v>21663.0</v>
      </c>
      <c r="L42" s="74">
        <v>207.0</v>
      </c>
      <c r="M42" s="76">
        <f t="shared" si="6"/>
        <v>518859</v>
      </c>
      <c r="N42" s="76"/>
      <c r="O42" s="76">
        <f t="shared" si="7"/>
        <v>1057738</v>
      </c>
      <c r="P42" s="76">
        <f t="shared" si="8"/>
        <v>52839</v>
      </c>
      <c r="Q42" s="76">
        <f t="shared" si="9"/>
        <v>1110577</v>
      </c>
      <c r="R42" s="6"/>
      <c r="S42" s="6"/>
      <c r="T42" s="6"/>
      <c r="U42" s="6"/>
      <c r="V42" s="6"/>
      <c r="W42" s="6"/>
      <c r="X42" s="6"/>
      <c r="Y42" s="6"/>
      <c r="Z42" s="6"/>
      <c r="AA42" s="6"/>
    </row>
    <row r="43" ht="12.0" customHeight="1">
      <c r="A43" s="6"/>
      <c r="B43" s="100">
        <v>2.0</v>
      </c>
      <c r="C43" s="74">
        <v>539757.0</v>
      </c>
      <c r="D43" s="74">
        <v>53389.0</v>
      </c>
      <c r="E43" s="76">
        <f t="shared" si="5"/>
        <v>593146</v>
      </c>
      <c r="F43" s="49"/>
      <c r="G43" s="76">
        <f>441105+18072</f>
        <v>459177</v>
      </c>
      <c r="H43" s="76">
        <f>38045+483</f>
        <v>38528</v>
      </c>
      <c r="I43" s="74">
        <v>338.0</v>
      </c>
      <c r="J43" s="74">
        <v>9525.0</v>
      </c>
      <c r="K43" s="74">
        <v>22571.0</v>
      </c>
      <c r="L43" s="74">
        <v>204.0</v>
      </c>
      <c r="M43" s="76">
        <f t="shared" si="6"/>
        <v>530343</v>
      </c>
      <c r="N43" s="76"/>
      <c r="O43" s="76">
        <f t="shared" si="7"/>
        <v>1070100</v>
      </c>
      <c r="P43" s="76">
        <f t="shared" si="8"/>
        <v>53389</v>
      </c>
      <c r="Q43" s="76">
        <f t="shared" si="9"/>
        <v>1123489</v>
      </c>
      <c r="R43" s="6"/>
      <c r="S43" s="6"/>
      <c r="T43" s="6"/>
      <c r="U43" s="6"/>
      <c r="V43" s="6"/>
      <c r="W43" s="6"/>
      <c r="X43" s="6"/>
      <c r="Y43" s="6"/>
      <c r="Z43" s="6"/>
      <c r="AA43" s="6"/>
    </row>
    <row r="44" ht="12.0" customHeight="1">
      <c r="A44" s="6"/>
      <c r="B44" s="100">
        <v>3.0</v>
      </c>
      <c r="C44" s="74">
        <v>539831.0</v>
      </c>
      <c r="D44" s="74">
        <v>53784.0</v>
      </c>
      <c r="E44" s="76">
        <f t="shared" si="5"/>
        <v>593615</v>
      </c>
      <c r="F44" s="49"/>
      <c r="G44" s="76">
        <f>449673+19052</f>
        <v>468725</v>
      </c>
      <c r="H44" s="76">
        <f>38956+481</f>
        <v>39437</v>
      </c>
      <c r="I44" s="74">
        <v>341.0</v>
      </c>
      <c r="J44" s="74">
        <v>9758.0</v>
      </c>
      <c r="K44" s="74">
        <v>23459.0</v>
      </c>
      <c r="L44" s="74">
        <v>202.0</v>
      </c>
      <c r="M44" s="76">
        <f t="shared" si="6"/>
        <v>541922</v>
      </c>
      <c r="N44" s="76"/>
      <c r="O44" s="76">
        <f t="shared" si="7"/>
        <v>1081753</v>
      </c>
      <c r="P44" s="76">
        <f t="shared" si="8"/>
        <v>53784</v>
      </c>
      <c r="Q44" s="76">
        <f t="shared" si="9"/>
        <v>1135537</v>
      </c>
      <c r="R44" s="6"/>
      <c r="S44" s="6"/>
      <c r="T44" s="6"/>
      <c r="U44" s="6"/>
      <c r="V44" s="6"/>
      <c r="W44" s="6"/>
      <c r="X44" s="6"/>
      <c r="Y44" s="6"/>
      <c r="Z44" s="6"/>
      <c r="AA44" s="6"/>
    </row>
    <row r="45" ht="12.0" customHeight="1">
      <c r="A45" s="6"/>
      <c r="B45" s="100">
        <v>4.0</v>
      </c>
      <c r="C45" s="74">
        <v>540467.0</v>
      </c>
      <c r="D45" s="74">
        <v>54431.0</v>
      </c>
      <c r="E45" s="76">
        <f t="shared" si="5"/>
        <v>594898</v>
      </c>
      <c r="F45" s="49"/>
      <c r="G45" s="76">
        <f>459236+20224</f>
        <v>479460</v>
      </c>
      <c r="H45" s="76">
        <f>40971+489</f>
        <v>41460</v>
      </c>
      <c r="I45" s="74">
        <v>348.0</v>
      </c>
      <c r="J45" s="74">
        <v>9950.0</v>
      </c>
      <c r="K45" s="74">
        <v>24486.0</v>
      </c>
      <c r="L45" s="74">
        <v>200.0</v>
      </c>
      <c r="M45" s="76">
        <f t="shared" si="6"/>
        <v>555904</v>
      </c>
      <c r="N45" s="76"/>
      <c r="O45" s="76">
        <f t="shared" si="7"/>
        <v>1096371</v>
      </c>
      <c r="P45" s="76">
        <f t="shared" si="8"/>
        <v>54431</v>
      </c>
      <c r="Q45" s="76">
        <f t="shared" si="9"/>
        <v>1150802</v>
      </c>
      <c r="R45" s="6"/>
      <c r="S45" s="6"/>
      <c r="T45" s="6"/>
      <c r="U45" s="6"/>
      <c r="V45" s="6"/>
      <c r="W45" s="6"/>
      <c r="X45" s="6"/>
      <c r="Y45" s="6"/>
      <c r="Z45" s="6"/>
      <c r="AA45" s="6"/>
    </row>
    <row r="46" ht="12.0" customHeight="1">
      <c r="A46" s="6"/>
      <c r="B46" s="100">
        <v>5.0</v>
      </c>
      <c r="C46" s="74">
        <v>541029.0</v>
      </c>
      <c r="D46" s="74">
        <v>55301.0</v>
      </c>
      <c r="E46" s="76">
        <f t="shared" si="5"/>
        <v>596330</v>
      </c>
      <c r="F46" s="49"/>
      <c r="G46" s="76">
        <f>469768+21131</f>
        <v>490899</v>
      </c>
      <c r="H46" s="76">
        <f>42431+489</f>
        <v>42920</v>
      </c>
      <c r="I46" s="74">
        <v>347.0</v>
      </c>
      <c r="J46" s="74">
        <v>10104.0</v>
      </c>
      <c r="K46" s="74">
        <v>25264.0</v>
      </c>
      <c r="L46" s="74">
        <v>204.0</v>
      </c>
      <c r="M46" s="76">
        <f t="shared" si="6"/>
        <v>569738</v>
      </c>
      <c r="N46" s="76"/>
      <c r="O46" s="76">
        <f t="shared" si="7"/>
        <v>1110767</v>
      </c>
      <c r="P46" s="76">
        <f t="shared" si="8"/>
        <v>55301</v>
      </c>
      <c r="Q46" s="76">
        <f t="shared" si="9"/>
        <v>1166068</v>
      </c>
      <c r="R46" s="6"/>
      <c r="S46" s="6"/>
      <c r="T46" s="6"/>
      <c r="U46" s="6"/>
      <c r="V46" s="6"/>
      <c r="W46" s="6"/>
      <c r="X46" s="6"/>
      <c r="Y46" s="6"/>
      <c r="Z46" s="6"/>
      <c r="AA46" s="6"/>
    </row>
    <row r="47" ht="12.0" customHeight="1">
      <c r="A47" s="2"/>
      <c r="B47" s="100">
        <v>6.0</v>
      </c>
      <c r="C47" s="74">
        <v>541947.0</v>
      </c>
      <c r="D47" s="74">
        <v>55991.0</v>
      </c>
      <c r="E47" s="76">
        <f t="shared" si="5"/>
        <v>597938</v>
      </c>
      <c r="F47" s="49"/>
      <c r="G47" s="76">
        <f>480504+21721</f>
        <v>502225</v>
      </c>
      <c r="H47" s="76">
        <f>43111+487</f>
        <v>43598</v>
      </c>
      <c r="I47" s="74">
        <v>348.0</v>
      </c>
      <c r="J47" s="74">
        <v>10223.0</v>
      </c>
      <c r="K47" s="74">
        <v>26059.0</v>
      </c>
      <c r="L47" s="74">
        <v>207.0</v>
      </c>
      <c r="M47" s="76">
        <f t="shared" si="6"/>
        <v>582660</v>
      </c>
      <c r="N47" s="2"/>
      <c r="O47" s="76">
        <f t="shared" si="7"/>
        <v>1124607</v>
      </c>
      <c r="P47" s="76">
        <f t="shared" si="8"/>
        <v>55991</v>
      </c>
      <c r="Q47" s="76">
        <f t="shared" si="9"/>
        <v>1180598</v>
      </c>
      <c r="R47" s="2"/>
      <c r="S47" s="2"/>
      <c r="T47" s="2"/>
      <c r="U47" s="2"/>
      <c r="V47" s="2"/>
      <c r="W47" s="2"/>
      <c r="X47" s="2"/>
      <c r="Y47" s="2"/>
      <c r="Z47" s="2"/>
      <c r="AA47" s="2"/>
    </row>
    <row r="48" ht="12.75" customHeight="1">
      <c r="A48" s="6"/>
      <c r="B48" s="100">
        <v>7.0</v>
      </c>
      <c r="C48" s="116">
        <v>543640.0</v>
      </c>
      <c r="D48" s="74">
        <v>56519.0</v>
      </c>
      <c r="E48" s="76">
        <f t="shared" si="5"/>
        <v>600159</v>
      </c>
      <c r="F48" s="49"/>
      <c r="G48" s="76">
        <f>491061+22195</f>
        <v>513256</v>
      </c>
      <c r="H48" s="76">
        <f>44819+489</f>
        <v>45308</v>
      </c>
      <c r="I48" s="74">
        <v>360.0</v>
      </c>
      <c r="J48" s="74">
        <v>10327.0</v>
      </c>
      <c r="K48" s="74">
        <v>27039.0</v>
      </c>
      <c r="L48" s="74">
        <v>233.0</v>
      </c>
      <c r="M48" s="76">
        <f t="shared" si="6"/>
        <v>596523</v>
      </c>
      <c r="N48" s="76"/>
      <c r="O48" s="76">
        <f t="shared" si="7"/>
        <v>1140163</v>
      </c>
      <c r="P48" s="76">
        <f t="shared" si="8"/>
        <v>56519</v>
      </c>
      <c r="Q48" s="76">
        <f t="shared" si="9"/>
        <v>1196682</v>
      </c>
      <c r="R48" s="6"/>
      <c r="S48" s="6"/>
      <c r="T48" s="6"/>
      <c r="U48" s="6"/>
      <c r="V48" s="6"/>
      <c r="W48" s="6"/>
      <c r="X48" s="6"/>
      <c r="Y48" s="6"/>
      <c r="Z48" s="6"/>
      <c r="AA48" s="6"/>
    </row>
    <row r="49" ht="12.0" customHeight="1">
      <c r="A49" s="6"/>
      <c r="B49" s="100">
        <v>8.0</v>
      </c>
      <c r="C49" s="74">
        <v>544710.0</v>
      </c>
      <c r="D49" s="74">
        <v>57154.0</v>
      </c>
      <c r="E49" s="76">
        <f t="shared" si="5"/>
        <v>601864</v>
      </c>
      <c r="F49" s="49"/>
      <c r="G49" s="76">
        <f>500552+22476</f>
        <v>523028</v>
      </c>
      <c r="H49" s="76">
        <f>46151+488</f>
        <v>46639</v>
      </c>
      <c r="I49" s="74">
        <v>374.0</v>
      </c>
      <c r="J49" s="74">
        <v>10487.0</v>
      </c>
      <c r="K49" s="74">
        <v>27834.0</v>
      </c>
      <c r="L49" s="74">
        <v>259.0</v>
      </c>
      <c r="M49" s="76">
        <f t="shared" si="6"/>
        <v>608621</v>
      </c>
      <c r="N49" s="76"/>
      <c r="O49" s="76">
        <f t="shared" si="7"/>
        <v>1153331</v>
      </c>
      <c r="P49" s="76">
        <f t="shared" si="8"/>
        <v>57154</v>
      </c>
      <c r="Q49" s="76">
        <f t="shared" si="9"/>
        <v>1210485</v>
      </c>
      <c r="R49" s="6"/>
      <c r="S49" s="6"/>
      <c r="T49" s="6"/>
      <c r="U49" s="6"/>
      <c r="V49" s="6"/>
      <c r="W49" s="6"/>
      <c r="X49" s="6"/>
      <c r="Y49" s="6"/>
      <c r="Z49" s="6"/>
      <c r="AA49" s="6"/>
    </row>
    <row r="50" ht="12.0" customHeight="1">
      <c r="A50" s="6"/>
      <c r="B50" s="100">
        <v>9.0</v>
      </c>
      <c r="C50" s="74">
        <v>543449.0</v>
      </c>
      <c r="D50" s="74">
        <v>58039.0</v>
      </c>
      <c r="E50" s="76">
        <f t="shared" si="5"/>
        <v>601488</v>
      </c>
      <c r="F50" s="49"/>
      <c r="G50" s="76">
        <f>510332+22682</f>
        <v>533014</v>
      </c>
      <c r="H50" s="76">
        <f>46743+482</f>
        <v>47225</v>
      </c>
      <c r="I50" s="74">
        <v>379.0</v>
      </c>
      <c r="J50" s="74">
        <v>10577.0</v>
      </c>
      <c r="K50" s="74">
        <v>28727.0</v>
      </c>
      <c r="L50" s="74">
        <v>275.0</v>
      </c>
      <c r="M50" s="76">
        <f t="shared" si="6"/>
        <v>620197</v>
      </c>
      <c r="N50" s="76"/>
      <c r="O50" s="76">
        <f t="shared" si="7"/>
        <v>1163646</v>
      </c>
      <c r="P50" s="76">
        <f t="shared" si="8"/>
        <v>58039</v>
      </c>
      <c r="Q50" s="76">
        <f t="shared" si="9"/>
        <v>1221685</v>
      </c>
      <c r="R50" s="6"/>
      <c r="S50" s="6"/>
      <c r="T50" s="6"/>
      <c r="U50" s="6"/>
      <c r="V50" s="6"/>
      <c r="W50" s="6"/>
      <c r="X50" s="6"/>
      <c r="Y50" s="6"/>
      <c r="Z50" s="6"/>
      <c r="AA50" s="6"/>
    </row>
    <row r="51" ht="12.0" customHeight="1">
      <c r="A51" s="6"/>
      <c r="B51" s="100">
        <v>10.0</v>
      </c>
      <c r="C51" s="74">
        <v>539553.0</v>
      </c>
      <c r="D51" s="74">
        <v>58767.0</v>
      </c>
      <c r="E51" s="76">
        <f t="shared" si="5"/>
        <v>598320</v>
      </c>
      <c r="F51" s="49"/>
      <c r="G51" s="76">
        <f>518205+23051</f>
        <v>541256</v>
      </c>
      <c r="H51" s="76">
        <f>48235+481</f>
        <v>48716</v>
      </c>
      <c r="I51" s="74">
        <v>375.0</v>
      </c>
      <c r="J51" s="74">
        <v>10707.0</v>
      </c>
      <c r="K51" s="74">
        <v>29549.0</v>
      </c>
      <c r="L51" s="74">
        <v>277.0</v>
      </c>
      <c r="M51" s="76">
        <f t="shared" si="6"/>
        <v>630880</v>
      </c>
      <c r="N51" s="76"/>
      <c r="O51" s="76">
        <f t="shared" si="7"/>
        <v>1170433</v>
      </c>
      <c r="P51" s="76">
        <f t="shared" si="8"/>
        <v>58767</v>
      </c>
      <c r="Q51" s="76">
        <f t="shared" si="9"/>
        <v>1229200</v>
      </c>
      <c r="R51" s="6"/>
      <c r="S51" s="6"/>
      <c r="T51" s="6"/>
      <c r="U51" s="6"/>
      <c r="V51" s="6"/>
      <c r="W51" s="6"/>
      <c r="X51" s="6"/>
      <c r="Y51" s="6"/>
      <c r="Z51" s="6"/>
      <c r="AA51" s="6"/>
    </row>
    <row r="52" ht="12.0" customHeight="1">
      <c r="A52" s="2"/>
      <c r="B52" s="100">
        <v>11.0</v>
      </c>
      <c r="C52" s="74">
        <v>536720.0</v>
      </c>
      <c r="D52" s="74">
        <v>59553.0</v>
      </c>
      <c r="E52" s="76">
        <f t="shared" si="5"/>
        <v>596273</v>
      </c>
      <c r="F52" s="49"/>
      <c r="G52" s="76">
        <f>527542+23334</f>
        <v>550876</v>
      </c>
      <c r="H52" s="76">
        <f>49345+475</f>
        <v>49820</v>
      </c>
      <c r="I52" s="74">
        <v>371.0</v>
      </c>
      <c r="J52" s="74">
        <v>10965.0</v>
      </c>
      <c r="K52" s="74">
        <v>30113.0</v>
      </c>
      <c r="L52" s="74">
        <v>273.0</v>
      </c>
      <c r="M52" s="76">
        <f t="shared" si="6"/>
        <v>642418</v>
      </c>
      <c r="N52" s="2"/>
      <c r="O52" s="76">
        <f t="shared" si="7"/>
        <v>1179138</v>
      </c>
      <c r="P52" s="76">
        <f t="shared" si="8"/>
        <v>59553</v>
      </c>
      <c r="Q52" s="76">
        <f t="shared" si="9"/>
        <v>1238691</v>
      </c>
      <c r="R52" s="2"/>
      <c r="S52" s="2"/>
      <c r="T52" s="2"/>
      <c r="U52" s="2"/>
      <c r="V52" s="2"/>
      <c r="W52" s="2"/>
      <c r="X52" s="2"/>
      <c r="Y52" s="2"/>
      <c r="Z52" s="2"/>
      <c r="AA52" s="2"/>
    </row>
    <row r="53" ht="12.0" customHeight="1">
      <c r="A53" s="2"/>
      <c r="B53" s="100">
        <v>12.0</v>
      </c>
      <c r="C53" s="74">
        <v>533317.0</v>
      </c>
      <c r="D53" s="74">
        <v>60486.0</v>
      </c>
      <c r="E53" s="76">
        <f t="shared" si="5"/>
        <v>593803</v>
      </c>
      <c r="F53" s="49"/>
      <c r="G53" s="76">
        <f>536733+23731</f>
        <v>560464</v>
      </c>
      <c r="H53" s="76">
        <f>49786+476</f>
        <v>50262</v>
      </c>
      <c r="I53" s="74">
        <v>364.0</v>
      </c>
      <c r="J53" s="74">
        <v>11057.0</v>
      </c>
      <c r="K53" s="74">
        <v>30695.0</v>
      </c>
      <c r="L53" s="74">
        <v>273.0</v>
      </c>
      <c r="M53" s="76">
        <f t="shared" si="6"/>
        <v>653115</v>
      </c>
      <c r="N53" s="2"/>
      <c r="O53" s="76">
        <f t="shared" si="7"/>
        <v>1186432</v>
      </c>
      <c r="P53" s="76">
        <f t="shared" si="8"/>
        <v>60486</v>
      </c>
      <c r="Q53" s="76">
        <f t="shared" si="9"/>
        <v>1246918</v>
      </c>
      <c r="R53" s="2"/>
      <c r="S53" s="2"/>
      <c r="T53" s="2"/>
      <c r="U53" s="2"/>
      <c r="V53" s="2"/>
      <c r="W53" s="2"/>
      <c r="X53" s="2"/>
      <c r="Y53" s="2"/>
      <c r="Z53" s="2"/>
      <c r="AA53" s="2"/>
    </row>
    <row r="54" ht="12.0" customHeight="1">
      <c r="A54" s="40">
        <v>2012.0</v>
      </c>
      <c r="B54" s="100">
        <v>1.0</v>
      </c>
      <c r="C54" s="74">
        <v>530765.0</v>
      </c>
      <c r="D54" s="74">
        <v>61118.0</v>
      </c>
      <c r="E54" s="76">
        <f t="shared" si="5"/>
        <v>591883</v>
      </c>
      <c r="F54" s="49"/>
      <c r="G54" s="76">
        <f>547556+24061</f>
        <v>571617</v>
      </c>
      <c r="H54" s="76">
        <f>50656+486</f>
        <v>51142</v>
      </c>
      <c r="I54" s="74">
        <v>359.0</v>
      </c>
      <c r="J54" s="74">
        <v>11248.0</v>
      </c>
      <c r="K54" s="74">
        <v>31353.0</v>
      </c>
      <c r="L54" s="74">
        <v>270.0</v>
      </c>
      <c r="M54" s="76">
        <f t="shared" si="6"/>
        <v>665989</v>
      </c>
      <c r="N54" s="2"/>
      <c r="O54" s="76">
        <f t="shared" si="7"/>
        <v>1196754</v>
      </c>
      <c r="P54" s="76">
        <f t="shared" si="8"/>
        <v>61118</v>
      </c>
      <c r="Q54" s="76">
        <f t="shared" si="9"/>
        <v>1257872</v>
      </c>
      <c r="R54" s="2"/>
      <c r="S54" s="2"/>
      <c r="T54" s="2"/>
      <c r="U54" s="2"/>
      <c r="V54" s="2"/>
      <c r="W54" s="2"/>
      <c r="X54" s="2"/>
      <c r="Y54" s="2"/>
      <c r="Z54" s="2"/>
      <c r="AA54" s="2"/>
    </row>
    <row r="55" ht="12.0" customHeight="1">
      <c r="A55" s="2"/>
      <c r="B55" s="100">
        <v>2.0</v>
      </c>
      <c r="C55" s="74">
        <v>526762.0</v>
      </c>
      <c r="D55" s="74">
        <v>61662.0</v>
      </c>
      <c r="E55" s="76">
        <f t="shared" si="5"/>
        <v>588424</v>
      </c>
      <c r="F55" s="49"/>
      <c r="G55" s="76">
        <f>555104+25410</f>
        <v>580514</v>
      </c>
      <c r="H55" s="76">
        <f>51083+545</f>
        <v>51628</v>
      </c>
      <c r="I55" s="74">
        <v>356.0</v>
      </c>
      <c r="J55" s="74">
        <v>11341.0</v>
      </c>
      <c r="K55" s="74">
        <v>32072.0</v>
      </c>
      <c r="L55" s="74">
        <v>268.0</v>
      </c>
      <c r="M55" s="76">
        <f t="shared" si="6"/>
        <v>676179</v>
      </c>
      <c r="N55" s="2"/>
      <c r="O55" s="76">
        <f t="shared" si="7"/>
        <v>1202941</v>
      </c>
      <c r="P55" s="76">
        <f t="shared" si="8"/>
        <v>61662</v>
      </c>
      <c r="Q55" s="76">
        <f t="shared" si="9"/>
        <v>1264603</v>
      </c>
      <c r="R55" s="2"/>
      <c r="S55" s="2"/>
      <c r="T55" s="2"/>
      <c r="U55" s="2"/>
      <c r="V55" s="2"/>
      <c r="W55" s="2"/>
      <c r="X55" s="2"/>
      <c r="Y55" s="2"/>
      <c r="Z55" s="2"/>
      <c r="AA55" s="2"/>
    </row>
    <row r="56" ht="12.0" customHeight="1">
      <c r="A56" s="2"/>
      <c r="B56" s="100">
        <v>3.0</v>
      </c>
      <c r="C56" s="74">
        <v>521391.0</v>
      </c>
      <c r="D56" s="74">
        <v>62257.0</v>
      </c>
      <c r="E56" s="76">
        <f t="shared" si="5"/>
        <v>583648</v>
      </c>
      <c r="F56" s="49"/>
      <c r="G56" s="76">
        <f>562588+26815</f>
        <v>589403</v>
      </c>
      <c r="H56" s="76">
        <f>51235+536</f>
        <v>51771</v>
      </c>
      <c r="I56" s="74">
        <v>352.0</v>
      </c>
      <c r="J56" s="74">
        <v>11584.0</v>
      </c>
      <c r="K56" s="74">
        <v>32921.0</v>
      </c>
      <c r="L56" s="74">
        <v>269.0</v>
      </c>
      <c r="M56" s="76">
        <f t="shared" si="6"/>
        <v>686300</v>
      </c>
      <c r="N56" s="2"/>
      <c r="O56" s="76">
        <f t="shared" si="7"/>
        <v>1207691</v>
      </c>
      <c r="P56" s="76">
        <f t="shared" si="8"/>
        <v>62257</v>
      </c>
      <c r="Q56" s="76">
        <f t="shared" si="9"/>
        <v>1269948</v>
      </c>
      <c r="R56" s="2"/>
      <c r="S56" s="2"/>
      <c r="T56" s="2"/>
      <c r="U56" s="2"/>
      <c r="V56" s="2"/>
      <c r="W56" s="2"/>
      <c r="X56" s="2"/>
      <c r="Y56" s="2"/>
      <c r="Z56" s="2"/>
      <c r="AA56" s="2"/>
    </row>
    <row r="57" ht="12.0" customHeight="1">
      <c r="A57" s="2"/>
      <c r="B57" s="100">
        <v>4.0</v>
      </c>
      <c r="C57" s="74">
        <v>516533.0</v>
      </c>
      <c r="D57" s="74">
        <v>63536.0</v>
      </c>
      <c r="E57" s="76">
        <f t="shared" si="5"/>
        <v>580069</v>
      </c>
      <c r="F57" s="49"/>
      <c r="G57" s="76">
        <f>576737+28655</f>
        <v>605392</v>
      </c>
      <c r="H57" s="76">
        <f>51695+532</f>
        <v>52227</v>
      </c>
      <c r="I57" s="74">
        <v>350.0</v>
      </c>
      <c r="J57" s="74">
        <v>12187.0</v>
      </c>
      <c r="K57" s="74">
        <v>33395.0</v>
      </c>
      <c r="L57" s="74">
        <v>269.0</v>
      </c>
      <c r="M57" s="76">
        <f t="shared" si="6"/>
        <v>703820</v>
      </c>
      <c r="N57" s="2"/>
      <c r="O57" s="76">
        <f t="shared" si="7"/>
        <v>1220353</v>
      </c>
      <c r="P57" s="76">
        <f t="shared" si="8"/>
        <v>63536</v>
      </c>
      <c r="Q57" s="76">
        <f t="shared" si="9"/>
        <v>1283889</v>
      </c>
      <c r="R57" s="2"/>
      <c r="S57" s="2"/>
      <c r="T57" s="2"/>
      <c r="U57" s="2"/>
      <c r="V57" s="2"/>
      <c r="W57" s="2"/>
      <c r="X57" s="2"/>
      <c r="Y57" s="2"/>
      <c r="Z57" s="2"/>
      <c r="AA57" s="2"/>
    </row>
    <row r="58" ht="12.0" customHeight="1">
      <c r="A58" s="2"/>
      <c r="B58" s="100">
        <v>5.0</v>
      </c>
      <c r="C58" s="74">
        <v>513728.0</v>
      </c>
      <c r="D58" s="74">
        <v>64248.0</v>
      </c>
      <c r="E58" s="76">
        <f t="shared" si="5"/>
        <v>577976</v>
      </c>
      <c r="F58" s="49"/>
      <c r="G58" s="76">
        <f>591627+30335</f>
        <v>621962</v>
      </c>
      <c r="H58" s="76">
        <f>52125+526</f>
        <v>52651</v>
      </c>
      <c r="I58" s="74">
        <v>347.0</v>
      </c>
      <c r="J58" s="74">
        <v>13056.0</v>
      </c>
      <c r="K58" s="74">
        <v>34187.0</v>
      </c>
      <c r="L58" s="74">
        <v>269.0</v>
      </c>
      <c r="M58" s="76">
        <f t="shared" si="6"/>
        <v>722472</v>
      </c>
      <c r="N58" s="2"/>
      <c r="O58" s="76">
        <f t="shared" si="7"/>
        <v>1236200</v>
      </c>
      <c r="P58" s="76">
        <f t="shared" si="8"/>
        <v>64248</v>
      </c>
      <c r="Q58" s="76">
        <f t="shared" si="9"/>
        <v>1300448</v>
      </c>
      <c r="R58" s="2"/>
      <c r="S58" s="2"/>
      <c r="T58" s="2"/>
      <c r="U58" s="2"/>
      <c r="V58" s="2"/>
      <c r="W58" s="2"/>
      <c r="X58" s="2"/>
      <c r="Y58" s="2"/>
      <c r="Z58" s="2"/>
      <c r="AA58" s="2"/>
    </row>
    <row r="59" ht="12.0" customHeight="1">
      <c r="A59" s="2"/>
      <c r="B59" s="100">
        <v>6.0</v>
      </c>
      <c r="C59" s="74">
        <v>509322.0</v>
      </c>
      <c r="D59" s="74">
        <v>65167.0</v>
      </c>
      <c r="E59" s="76">
        <f t="shared" si="5"/>
        <v>574489</v>
      </c>
      <c r="F59" s="49"/>
      <c r="G59" s="76">
        <f>604666+31539</f>
        <v>636205</v>
      </c>
      <c r="H59" s="76">
        <f>52575+520</f>
        <v>53095</v>
      </c>
      <c r="I59" s="74">
        <v>340.0</v>
      </c>
      <c r="J59" s="74">
        <v>13733.0</v>
      </c>
      <c r="K59" s="74">
        <v>34924.0</v>
      </c>
      <c r="L59" s="74">
        <v>271.0</v>
      </c>
      <c r="M59" s="76">
        <f t="shared" si="6"/>
        <v>738568</v>
      </c>
      <c r="N59" s="2"/>
      <c r="O59" s="76">
        <f t="shared" si="7"/>
        <v>1247890</v>
      </c>
      <c r="P59" s="76">
        <f t="shared" si="8"/>
        <v>65167</v>
      </c>
      <c r="Q59" s="76">
        <f t="shared" si="9"/>
        <v>1313057</v>
      </c>
      <c r="R59" s="2"/>
      <c r="S59" s="2"/>
      <c r="T59" s="2"/>
      <c r="U59" s="2"/>
      <c r="V59" s="2"/>
      <c r="W59" s="2"/>
      <c r="X59" s="2"/>
      <c r="Y59" s="2"/>
      <c r="Z59" s="2"/>
      <c r="AA59" s="2"/>
    </row>
    <row r="60" ht="12.0" customHeight="1">
      <c r="A60" s="2"/>
      <c r="B60" s="100">
        <v>7.0</v>
      </c>
      <c r="C60" s="74">
        <v>502009.0</v>
      </c>
      <c r="D60" s="74">
        <v>66009.0</v>
      </c>
      <c r="E60" s="76">
        <f t="shared" si="5"/>
        <v>568018</v>
      </c>
      <c r="F60" s="49"/>
      <c r="G60" s="76">
        <f>615340+32173</f>
        <v>647513</v>
      </c>
      <c r="H60" s="76">
        <f>53143+518</f>
        <v>53661</v>
      </c>
      <c r="I60" s="74">
        <v>336.0</v>
      </c>
      <c r="J60" s="74">
        <v>14214.0</v>
      </c>
      <c r="K60" s="74">
        <v>35586.0</v>
      </c>
      <c r="L60" s="74">
        <v>274.0</v>
      </c>
      <c r="M60" s="76">
        <f t="shared" si="6"/>
        <v>751584</v>
      </c>
      <c r="N60" s="2"/>
      <c r="O60" s="76">
        <f t="shared" si="7"/>
        <v>1253593</v>
      </c>
      <c r="P60" s="76">
        <f t="shared" si="8"/>
        <v>66009</v>
      </c>
      <c r="Q60" s="76">
        <f t="shared" si="9"/>
        <v>1319602</v>
      </c>
      <c r="R60" s="2"/>
      <c r="S60" s="2"/>
      <c r="T60" s="2"/>
      <c r="U60" s="2"/>
      <c r="V60" s="2"/>
      <c r="W60" s="2"/>
      <c r="X60" s="2"/>
      <c r="Y60" s="2"/>
      <c r="Z60" s="2"/>
      <c r="AA60" s="2"/>
    </row>
    <row r="61" ht="12.0" customHeight="1">
      <c r="A61" s="2"/>
      <c r="B61" s="100">
        <v>8.0</v>
      </c>
      <c r="C61" s="74">
        <v>492495.0</v>
      </c>
      <c r="D61" s="74">
        <v>66827.0</v>
      </c>
      <c r="E61" s="76">
        <f t="shared" si="5"/>
        <v>559322</v>
      </c>
      <c r="F61" s="49"/>
      <c r="G61" s="76">
        <f>631767+33289</f>
        <v>665056</v>
      </c>
      <c r="H61" s="76">
        <f>53236+508</f>
        <v>53744</v>
      </c>
      <c r="I61" s="74">
        <v>334.0</v>
      </c>
      <c r="J61" s="74">
        <v>14722.0</v>
      </c>
      <c r="K61" s="74">
        <v>36314.0</v>
      </c>
      <c r="L61" s="74">
        <v>275.0</v>
      </c>
      <c r="M61" s="76">
        <f t="shared" si="6"/>
        <v>770445</v>
      </c>
      <c r="N61" s="2"/>
      <c r="O61" s="76">
        <f t="shared" si="7"/>
        <v>1262940</v>
      </c>
      <c r="P61" s="76">
        <f t="shared" si="8"/>
        <v>66827</v>
      </c>
      <c r="Q61" s="76">
        <f t="shared" si="9"/>
        <v>1329767</v>
      </c>
      <c r="R61" s="2"/>
      <c r="S61" s="2"/>
      <c r="T61" s="2"/>
      <c r="U61" s="2"/>
      <c r="V61" s="2"/>
      <c r="W61" s="2"/>
      <c r="X61" s="2"/>
      <c r="Y61" s="2"/>
      <c r="Z61" s="2"/>
      <c r="AA61" s="2"/>
    </row>
    <row r="62" ht="12.0" customHeight="1">
      <c r="A62" s="2"/>
      <c r="B62" s="100">
        <v>9.0</v>
      </c>
      <c r="C62" s="74">
        <v>486539.0</v>
      </c>
      <c r="D62" s="74">
        <v>67368.0</v>
      </c>
      <c r="E62" s="74">
        <v>553907.0</v>
      </c>
      <c r="F62" s="49"/>
      <c r="G62" s="74">
        <v>681213.0</v>
      </c>
      <c r="H62" s="74">
        <v>53740.0</v>
      </c>
      <c r="I62" s="74">
        <v>328.0</v>
      </c>
      <c r="J62" s="74">
        <v>15072.0</v>
      </c>
      <c r="K62" s="74">
        <v>36869.0</v>
      </c>
      <c r="L62" s="74">
        <v>276.0</v>
      </c>
      <c r="M62" s="74">
        <v>787498.0</v>
      </c>
      <c r="N62" s="2"/>
      <c r="O62" s="74">
        <v>1274037.0</v>
      </c>
      <c r="P62" s="74">
        <v>67368.0</v>
      </c>
      <c r="Q62" s="74">
        <v>1341405.0</v>
      </c>
      <c r="R62" s="2"/>
      <c r="S62" s="2"/>
      <c r="T62" s="2"/>
      <c r="U62" s="2"/>
      <c r="V62" s="2"/>
      <c r="W62" s="2"/>
      <c r="X62" s="2"/>
      <c r="Y62" s="2"/>
      <c r="Z62" s="2"/>
      <c r="AA62" s="2"/>
    </row>
    <row r="63" ht="12.0" customHeight="1">
      <c r="A63" s="2"/>
      <c r="B63" s="100">
        <v>10.0</v>
      </c>
      <c r="C63" s="74">
        <v>476888.0</v>
      </c>
      <c r="D63" s="74">
        <v>68203.0</v>
      </c>
      <c r="E63" s="74">
        <v>545091.0</v>
      </c>
      <c r="F63" s="49"/>
      <c r="G63" s="74">
        <v>694180.0</v>
      </c>
      <c r="H63" s="74">
        <v>53688.0</v>
      </c>
      <c r="I63" s="74">
        <v>319.0</v>
      </c>
      <c r="J63" s="74">
        <v>15349.0</v>
      </c>
      <c r="K63" s="74">
        <v>37521.0</v>
      </c>
      <c r="L63" s="74">
        <v>277.0</v>
      </c>
      <c r="M63" s="74">
        <v>801334.0</v>
      </c>
      <c r="N63" s="2"/>
      <c r="O63" s="74">
        <v>1278222.0</v>
      </c>
      <c r="P63" s="74">
        <v>68203.0</v>
      </c>
      <c r="Q63" s="74">
        <v>1346425.0</v>
      </c>
      <c r="R63" s="2"/>
      <c r="S63" s="2"/>
      <c r="T63" s="2"/>
      <c r="U63" s="2"/>
      <c r="V63" s="2"/>
      <c r="W63" s="2"/>
      <c r="X63" s="2"/>
      <c r="Y63" s="2"/>
      <c r="Z63" s="2"/>
      <c r="AA63" s="2"/>
    </row>
    <row r="64" ht="12.0" customHeight="1">
      <c r="A64" s="2"/>
      <c r="B64" s="100">
        <v>11.0</v>
      </c>
      <c r="C64" s="74">
        <v>469252.0</v>
      </c>
      <c r="D64" s="74">
        <v>68875.0</v>
      </c>
      <c r="E64" s="74">
        <v>538127.0</v>
      </c>
      <c r="F64" s="49"/>
      <c r="G64" s="74">
        <v>711084.0</v>
      </c>
      <c r="H64" s="74">
        <v>53240.0</v>
      </c>
      <c r="I64" s="74">
        <v>311.0</v>
      </c>
      <c r="J64" s="74">
        <v>15516.0</v>
      </c>
      <c r="K64" s="74">
        <v>38086.0</v>
      </c>
      <c r="L64" s="74">
        <v>277.0</v>
      </c>
      <c r="M64" s="74">
        <v>818514.0</v>
      </c>
      <c r="N64" s="2"/>
      <c r="O64" s="74">
        <v>1287766.0</v>
      </c>
      <c r="P64" s="74">
        <v>68875.0</v>
      </c>
      <c r="Q64" s="74">
        <v>1356641.0</v>
      </c>
      <c r="R64" s="2"/>
      <c r="S64" s="2"/>
      <c r="T64" s="2"/>
      <c r="U64" s="2"/>
      <c r="V64" s="2"/>
      <c r="W64" s="2"/>
      <c r="X64" s="2"/>
      <c r="Y64" s="2"/>
      <c r="Z64" s="2"/>
      <c r="AA64" s="2"/>
    </row>
    <row r="65" ht="12.0" customHeight="1">
      <c r="A65" s="2"/>
      <c r="B65" s="100">
        <v>12.0</v>
      </c>
      <c r="C65" s="74">
        <v>460377.0</v>
      </c>
      <c r="D65" s="74">
        <v>70878.0</v>
      </c>
      <c r="E65" s="74">
        <v>531255.0</v>
      </c>
      <c r="F65" s="49"/>
      <c r="G65" s="74">
        <v>726894.0</v>
      </c>
      <c r="H65" s="74">
        <v>52895.0</v>
      </c>
      <c r="I65" s="74">
        <v>306.0</v>
      </c>
      <c r="J65" s="74">
        <v>15809.0</v>
      </c>
      <c r="K65" s="74">
        <v>38754.0</v>
      </c>
      <c r="L65" s="74">
        <v>280.0</v>
      </c>
      <c r="M65" s="74">
        <v>834938.0</v>
      </c>
      <c r="N65" s="2"/>
      <c r="O65" s="74">
        <v>1295315.0</v>
      </c>
      <c r="P65" s="74">
        <v>70878.0</v>
      </c>
      <c r="Q65" s="74">
        <v>1366193.0</v>
      </c>
      <c r="R65" s="2"/>
      <c r="S65" s="2"/>
      <c r="T65" s="2"/>
      <c r="U65" s="2"/>
      <c r="V65" s="2"/>
      <c r="W65" s="2"/>
      <c r="X65" s="2"/>
      <c r="Y65" s="2"/>
      <c r="Z65" s="2"/>
      <c r="AA65" s="2"/>
    </row>
    <row r="66" ht="12.0" customHeight="1">
      <c r="A66" s="40">
        <v>2013.0</v>
      </c>
      <c r="B66" s="100">
        <v>1.0</v>
      </c>
      <c r="C66" s="2"/>
      <c r="D66" s="2"/>
      <c r="E66" s="2"/>
      <c r="F66" s="49"/>
      <c r="G66" s="2"/>
      <c r="H66" s="2"/>
      <c r="I66" s="2"/>
      <c r="J66" s="2"/>
      <c r="K66" s="2"/>
      <c r="L66" s="2"/>
      <c r="M66" s="2"/>
      <c r="N66" s="2"/>
      <c r="O66" s="2"/>
      <c r="P66" s="2"/>
      <c r="Q66" s="2"/>
      <c r="R66" s="2"/>
      <c r="S66" s="2"/>
      <c r="T66" s="2"/>
      <c r="U66" s="2"/>
      <c r="V66" s="2"/>
      <c r="W66" s="2"/>
      <c r="X66" s="2"/>
      <c r="Y66" s="2"/>
      <c r="Z66" s="2"/>
      <c r="AA66" s="2"/>
    </row>
    <row r="67" ht="12.0" customHeight="1">
      <c r="A67" s="2"/>
      <c r="B67" s="100">
        <v>2.0</v>
      </c>
      <c r="C67" s="2"/>
      <c r="D67" s="2"/>
      <c r="E67" s="2"/>
      <c r="F67" s="2"/>
      <c r="G67" s="2"/>
      <c r="H67" s="2"/>
      <c r="I67" s="2"/>
      <c r="J67" s="2"/>
      <c r="K67" s="2"/>
      <c r="L67" s="2"/>
      <c r="M67" s="2"/>
      <c r="N67" s="2"/>
      <c r="O67" s="2"/>
      <c r="P67" s="2"/>
      <c r="Q67" s="2"/>
      <c r="R67" s="2"/>
      <c r="S67" s="2"/>
      <c r="T67" s="2"/>
      <c r="U67" s="2"/>
      <c r="V67" s="2"/>
      <c r="W67" s="2"/>
      <c r="X67" s="2"/>
      <c r="Y67" s="2"/>
      <c r="Z67" s="2"/>
      <c r="AA67" s="2"/>
    </row>
    <row r="68" ht="12.0" customHeight="1">
      <c r="A68" s="2"/>
      <c r="B68" s="100">
        <v>3.0</v>
      </c>
      <c r="C68" s="2"/>
      <c r="D68" s="2"/>
      <c r="E68" s="2"/>
      <c r="F68" s="2"/>
      <c r="G68" s="2"/>
      <c r="H68" s="2"/>
      <c r="I68" s="2"/>
      <c r="J68" s="2"/>
      <c r="K68" s="2"/>
      <c r="L68" s="2"/>
      <c r="M68" s="2"/>
      <c r="N68" s="2"/>
      <c r="O68" s="2"/>
      <c r="P68" s="2"/>
      <c r="Q68" s="2"/>
      <c r="R68" s="2"/>
      <c r="S68" s="2"/>
      <c r="T68" s="2"/>
      <c r="U68" s="2"/>
      <c r="V68" s="2"/>
      <c r="W68" s="2"/>
      <c r="X68" s="2"/>
      <c r="Y68" s="2"/>
      <c r="Z68" s="2"/>
      <c r="AA68" s="2"/>
    </row>
    <row r="69" ht="12.0" customHeight="1">
      <c r="A69" s="102"/>
      <c r="B69" s="100">
        <v>4.0</v>
      </c>
      <c r="C69" s="2"/>
      <c r="D69" s="2"/>
      <c r="E69" s="2"/>
      <c r="F69" s="2"/>
      <c r="G69" s="2"/>
      <c r="H69" s="2"/>
      <c r="I69" s="2"/>
      <c r="J69" s="2"/>
      <c r="K69" s="2"/>
      <c r="L69" s="2"/>
      <c r="M69" s="2"/>
      <c r="N69" s="2"/>
      <c r="O69" s="2"/>
      <c r="P69" s="2"/>
      <c r="Q69" s="2"/>
      <c r="R69" s="2"/>
      <c r="S69" s="2"/>
      <c r="T69" s="2"/>
      <c r="U69" s="2"/>
      <c r="V69" s="2"/>
      <c r="W69" s="2"/>
      <c r="X69" s="2"/>
      <c r="Y69" s="2"/>
      <c r="Z69" s="2"/>
      <c r="AA69" s="2"/>
    </row>
    <row r="70" ht="12.0" customHeight="1">
      <c r="A70" s="2"/>
      <c r="B70" s="100">
        <v>5.0</v>
      </c>
      <c r="C70" s="2"/>
      <c r="D70" s="2"/>
      <c r="E70" s="2"/>
      <c r="F70" s="2"/>
      <c r="G70" s="2"/>
      <c r="H70" s="2"/>
      <c r="I70" s="2"/>
      <c r="J70" s="2"/>
      <c r="K70" s="2"/>
      <c r="L70" s="2"/>
      <c r="M70" s="2"/>
      <c r="N70" s="2"/>
      <c r="O70" s="2"/>
      <c r="P70" s="2"/>
      <c r="Q70" s="2"/>
      <c r="R70" s="2"/>
      <c r="S70" s="2"/>
      <c r="T70" s="2"/>
      <c r="U70" s="2"/>
      <c r="V70" s="2"/>
      <c r="W70" s="2"/>
      <c r="X70" s="2"/>
      <c r="Y70" s="2"/>
      <c r="Z70" s="2"/>
      <c r="AA70" s="2"/>
    </row>
    <row r="71" ht="12.0" customHeight="1">
      <c r="A71" s="2"/>
      <c r="B71" s="100">
        <v>6.0</v>
      </c>
      <c r="C71" s="2"/>
      <c r="D71" s="2"/>
      <c r="E71" s="2"/>
      <c r="F71" s="2"/>
      <c r="G71" s="2"/>
      <c r="H71" s="2"/>
      <c r="I71" s="2"/>
      <c r="J71" s="2"/>
      <c r="K71" s="2"/>
      <c r="L71" s="2"/>
      <c r="M71" s="2"/>
      <c r="N71" s="2"/>
      <c r="O71" s="2"/>
      <c r="P71" s="2"/>
      <c r="Q71" s="2"/>
      <c r="R71" s="2"/>
      <c r="S71" s="2"/>
      <c r="T71" s="2"/>
      <c r="U71" s="2"/>
      <c r="V71" s="2"/>
      <c r="W71" s="2"/>
      <c r="X71" s="2"/>
      <c r="Y71" s="2"/>
      <c r="Z71" s="2"/>
      <c r="AA71" s="2"/>
    </row>
    <row r="72" ht="12.0" customHeight="1">
      <c r="A72" s="2"/>
      <c r="B72" s="100">
        <v>7.0</v>
      </c>
      <c r="C72" s="2"/>
      <c r="D72" s="2"/>
      <c r="E72" s="2"/>
      <c r="F72" s="2"/>
      <c r="G72" s="2"/>
      <c r="H72" s="2"/>
      <c r="I72" s="2"/>
      <c r="J72" s="2"/>
      <c r="K72" s="2"/>
      <c r="L72" s="2"/>
      <c r="M72" s="2"/>
      <c r="N72" s="2"/>
      <c r="O72" s="2"/>
      <c r="P72" s="2"/>
      <c r="Q72" s="2"/>
      <c r="R72" s="2"/>
      <c r="S72" s="2"/>
      <c r="T72" s="2"/>
      <c r="U72" s="2"/>
      <c r="V72" s="2"/>
      <c r="W72" s="2"/>
      <c r="X72" s="2"/>
      <c r="Y72" s="2"/>
      <c r="Z72" s="2"/>
      <c r="AA72" s="2"/>
    </row>
    <row r="73" ht="12.0" customHeight="1">
      <c r="A73" s="2"/>
      <c r="B73" s="100">
        <v>8.0</v>
      </c>
      <c r="C73" s="2"/>
      <c r="D73" s="2"/>
      <c r="E73" s="2"/>
      <c r="F73" s="2"/>
      <c r="G73" s="2"/>
      <c r="H73" s="2"/>
      <c r="I73" s="2"/>
      <c r="J73" s="2"/>
      <c r="K73" s="2"/>
      <c r="L73" s="2"/>
      <c r="M73" s="2"/>
      <c r="N73" s="2"/>
      <c r="O73" s="2"/>
      <c r="P73" s="2"/>
      <c r="Q73" s="2"/>
      <c r="R73" s="2"/>
      <c r="S73" s="2"/>
      <c r="T73" s="2"/>
      <c r="U73" s="2"/>
      <c r="V73" s="2"/>
      <c r="W73" s="2"/>
      <c r="X73" s="2"/>
      <c r="Y73" s="2"/>
      <c r="Z73" s="2"/>
      <c r="AA73" s="2"/>
    </row>
    <row r="74" ht="12.0" customHeight="1">
      <c r="A74" s="2"/>
      <c r="B74" s="100">
        <v>9.0</v>
      </c>
      <c r="C74" s="2"/>
      <c r="D74" s="2"/>
      <c r="E74" s="2"/>
      <c r="F74" s="2"/>
      <c r="G74" s="2"/>
      <c r="H74" s="2"/>
      <c r="I74" s="2"/>
      <c r="J74" s="2"/>
      <c r="K74" s="2"/>
      <c r="L74" s="2"/>
      <c r="M74" s="2"/>
      <c r="N74" s="2"/>
      <c r="O74" s="2"/>
      <c r="P74" s="2"/>
      <c r="Q74" s="2"/>
      <c r="R74" s="2"/>
      <c r="S74" s="2"/>
      <c r="T74" s="2"/>
      <c r="U74" s="2"/>
      <c r="V74" s="2"/>
      <c r="W74" s="2"/>
      <c r="X74" s="2"/>
      <c r="Y74" s="2"/>
      <c r="Z74" s="2"/>
      <c r="AA74" s="2"/>
    </row>
    <row r="75" ht="12.0" customHeight="1">
      <c r="A75" s="2"/>
      <c r="B75" s="100">
        <v>10.0</v>
      </c>
      <c r="C75" s="2"/>
      <c r="D75" s="2"/>
      <c r="E75" s="2"/>
      <c r="F75" s="2"/>
      <c r="G75" s="2"/>
      <c r="H75" s="2"/>
      <c r="I75" s="2"/>
      <c r="J75" s="2"/>
      <c r="K75" s="2"/>
      <c r="L75" s="2"/>
      <c r="M75" s="2"/>
      <c r="N75" s="2"/>
      <c r="O75" s="2"/>
      <c r="P75" s="2"/>
      <c r="Q75" s="2"/>
      <c r="R75" s="2"/>
      <c r="S75" s="2"/>
      <c r="T75" s="2"/>
      <c r="U75" s="2"/>
      <c r="V75" s="2"/>
      <c r="W75" s="2"/>
      <c r="X75" s="2"/>
      <c r="Y75" s="2"/>
      <c r="Z75" s="2"/>
      <c r="AA75" s="2"/>
    </row>
    <row r="76" ht="12.0" customHeight="1">
      <c r="A76" s="2"/>
      <c r="B76" s="100">
        <v>11.0</v>
      </c>
      <c r="C76" s="2"/>
      <c r="D76" s="2"/>
      <c r="E76" s="2"/>
      <c r="F76" s="2"/>
      <c r="G76" s="2"/>
      <c r="H76" s="2"/>
      <c r="I76" s="2"/>
      <c r="J76" s="2"/>
      <c r="K76" s="2"/>
      <c r="L76" s="2"/>
      <c r="M76" s="2"/>
      <c r="N76" s="2"/>
      <c r="O76" s="2"/>
      <c r="P76" s="2"/>
      <c r="Q76" s="2"/>
      <c r="R76" s="2"/>
      <c r="S76" s="2"/>
      <c r="T76" s="2"/>
      <c r="U76" s="2"/>
      <c r="V76" s="2"/>
      <c r="W76" s="2"/>
      <c r="X76" s="2"/>
      <c r="Y76" s="2"/>
      <c r="Z76" s="2"/>
      <c r="AA76" s="2"/>
    </row>
    <row r="77" ht="12.0" customHeight="1">
      <c r="A77" s="2"/>
      <c r="B77" s="100">
        <v>12.0</v>
      </c>
      <c r="C77" s="2"/>
      <c r="D77" s="2"/>
      <c r="E77" s="2"/>
      <c r="F77" s="2"/>
      <c r="G77" s="2"/>
      <c r="H77" s="2"/>
      <c r="I77" s="2"/>
      <c r="J77" s="2"/>
      <c r="K77" s="2"/>
      <c r="L77" s="2"/>
      <c r="M77" s="2"/>
      <c r="N77" s="2"/>
      <c r="O77" s="2"/>
      <c r="P77" s="2"/>
      <c r="Q77" s="2"/>
      <c r="R77" s="2"/>
      <c r="S77" s="2"/>
      <c r="T77" s="2"/>
      <c r="U77" s="2"/>
      <c r="V77" s="2"/>
      <c r="W77" s="2"/>
      <c r="X77" s="2"/>
      <c r="Y77" s="2"/>
      <c r="Z77" s="2"/>
      <c r="AA77" s="2"/>
    </row>
    <row r="78" ht="12.0" customHeight="1">
      <c r="A78" s="2"/>
      <c r="B78" s="2"/>
      <c r="C78" s="4"/>
      <c r="D78" s="2"/>
      <c r="E78" s="2"/>
      <c r="F78" s="2"/>
      <c r="G78" s="2"/>
      <c r="H78" s="2"/>
      <c r="I78" s="2"/>
      <c r="J78" s="2"/>
      <c r="K78" s="2"/>
      <c r="L78" s="2"/>
      <c r="M78" s="2"/>
      <c r="N78" s="2"/>
      <c r="O78" s="2"/>
      <c r="P78" s="2"/>
      <c r="Q78" s="2"/>
      <c r="R78" s="2"/>
      <c r="S78" s="2"/>
      <c r="T78" s="2"/>
      <c r="U78" s="2"/>
      <c r="V78" s="2"/>
      <c r="W78" s="2"/>
      <c r="X78" s="2"/>
      <c r="Y78" s="2"/>
      <c r="Z78" s="2"/>
      <c r="AA78" s="2"/>
    </row>
    <row r="79" ht="12.0"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2.0"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2.0" customHeight="1">
      <c r="A81" s="2"/>
      <c r="B81" s="2"/>
      <c r="C81" s="102"/>
      <c r="D81" s="2"/>
      <c r="E81" s="2"/>
      <c r="F81" s="2"/>
      <c r="G81" s="2"/>
      <c r="H81" s="2"/>
      <c r="I81" s="2"/>
      <c r="J81" s="2"/>
      <c r="K81" s="2"/>
      <c r="L81" s="2"/>
      <c r="M81" s="2"/>
      <c r="N81" s="2"/>
      <c r="O81" s="2"/>
      <c r="P81" s="2"/>
      <c r="Q81" s="2"/>
      <c r="R81" s="2"/>
      <c r="S81" s="2"/>
      <c r="T81" s="2"/>
      <c r="U81" s="2"/>
      <c r="V81" s="2"/>
      <c r="W81" s="2"/>
      <c r="X81" s="2"/>
      <c r="Y81" s="2"/>
      <c r="Z81" s="2"/>
      <c r="AA81" s="2"/>
    </row>
  </sheetData>
  <mergeCells count="3">
    <mergeCell ref="C4:E4"/>
    <mergeCell ref="O4:Q4"/>
    <mergeCell ref="G4:M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7.29" defaultRowHeight="15.75"/>
  <cols>
    <col customWidth="1" min="1" max="1" width="4.71"/>
    <col customWidth="1" min="2" max="2" width="3.71"/>
    <col customWidth="1" min="3" max="4" width="12.71"/>
    <col customWidth="1" min="5" max="5" width="2.71"/>
    <col customWidth="1" min="6" max="6" width="9.14"/>
    <col customWidth="1" min="7" max="9" width="12.71"/>
    <col customWidth="1" min="10" max="19" width="9.14"/>
  </cols>
  <sheetData>
    <row r="1" ht="30.0" customHeight="1">
      <c r="A1" s="1" t="s">
        <v>141</v>
      </c>
      <c r="B1" s="2"/>
      <c r="C1" s="6"/>
      <c r="D1" s="2"/>
      <c r="E1" s="6"/>
      <c r="F1" s="2"/>
      <c r="G1" s="9"/>
      <c r="H1" s="9"/>
      <c r="I1" s="9"/>
      <c r="J1" s="2"/>
      <c r="K1" s="2"/>
      <c r="L1" s="2"/>
      <c r="M1" s="2"/>
      <c r="N1" s="2"/>
      <c r="O1" s="2"/>
      <c r="P1" s="2"/>
      <c r="Q1" s="2"/>
      <c r="R1" s="2"/>
      <c r="S1" s="2"/>
    </row>
    <row r="2" ht="30.0" customHeight="1">
      <c r="A2" s="1" t="s">
        <v>3</v>
      </c>
      <c r="B2" s="2"/>
      <c r="C2" s="6"/>
      <c r="D2" s="2"/>
      <c r="E2" s="6"/>
      <c r="F2" s="2"/>
      <c r="G2" s="9"/>
      <c r="H2" s="9"/>
      <c r="I2" s="9"/>
      <c r="J2" s="2"/>
      <c r="K2" s="2"/>
      <c r="L2" s="2"/>
      <c r="M2" s="2"/>
      <c r="N2" s="2"/>
      <c r="O2" s="2"/>
      <c r="P2" s="2"/>
      <c r="Q2" s="2"/>
      <c r="R2" s="2"/>
      <c r="S2" s="2"/>
    </row>
    <row r="3" ht="30.0" customHeight="1">
      <c r="A3" s="1"/>
      <c r="B3" s="2"/>
      <c r="C3" s="6"/>
      <c r="D3" s="2"/>
      <c r="E3" s="6"/>
      <c r="F3" s="2"/>
      <c r="G3" s="9"/>
      <c r="H3" s="9"/>
      <c r="I3" s="9"/>
      <c r="J3" s="2"/>
      <c r="K3" s="2"/>
      <c r="L3" s="2"/>
      <c r="M3" s="2"/>
      <c r="N3" s="2"/>
      <c r="O3" s="2"/>
      <c r="P3" s="2"/>
      <c r="Q3" s="2"/>
      <c r="R3" s="2"/>
      <c r="S3" s="2"/>
    </row>
    <row r="4" ht="12.0" customHeight="1">
      <c r="A4" s="2"/>
      <c r="B4" s="88"/>
      <c r="C4" s="108" t="s">
        <v>20</v>
      </c>
      <c r="D4" s="21"/>
      <c r="E4" s="2"/>
      <c r="F4" s="4"/>
      <c r="G4" s="110" t="s">
        <v>143</v>
      </c>
      <c r="H4" s="14"/>
      <c r="I4" s="21"/>
      <c r="J4" s="4"/>
      <c r="K4" s="2"/>
      <c r="L4" s="2"/>
      <c r="M4" s="2"/>
      <c r="N4" s="2"/>
      <c r="O4" s="2"/>
      <c r="P4" s="2"/>
      <c r="Q4" s="2"/>
      <c r="R4" s="2"/>
      <c r="S4" s="2"/>
    </row>
    <row r="5" ht="24.0" customHeight="1">
      <c r="A5" s="88" t="s">
        <v>16</v>
      </c>
      <c r="B5" s="88" t="s">
        <v>40</v>
      </c>
      <c r="C5" s="111" t="s">
        <v>147</v>
      </c>
      <c r="D5" s="111" t="s">
        <v>152</v>
      </c>
      <c r="E5" s="88"/>
      <c r="F5" s="88"/>
      <c r="G5" s="112" t="s">
        <v>153</v>
      </c>
      <c r="H5" s="113" t="s">
        <v>154</v>
      </c>
      <c r="I5" s="113" t="s">
        <v>155</v>
      </c>
      <c r="J5" s="88"/>
      <c r="K5" s="88"/>
      <c r="L5" s="88"/>
      <c r="M5" s="88"/>
      <c r="N5" s="88"/>
      <c r="O5" s="88"/>
      <c r="P5" s="88"/>
      <c r="Q5" s="88"/>
      <c r="R5" s="88"/>
      <c r="S5" s="88"/>
    </row>
    <row r="6" ht="12.0" customHeight="1">
      <c r="A6" s="40">
        <v>1994.0</v>
      </c>
      <c r="B6" s="100">
        <v>6.0</v>
      </c>
      <c r="C6" s="74">
        <v>500.0</v>
      </c>
      <c r="D6" s="98">
        <v>17.0</v>
      </c>
      <c r="E6" s="49"/>
      <c r="F6" s="4"/>
      <c r="G6" s="114">
        <v>0.0</v>
      </c>
      <c r="H6" s="114">
        <v>500.0</v>
      </c>
      <c r="I6" s="114">
        <v>0.0</v>
      </c>
      <c r="J6" s="4"/>
      <c r="K6" s="2"/>
      <c r="L6" s="2"/>
      <c r="M6" s="2"/>
      <c r="N6" s="2"/>
      <c r="O6" s="2"/>
      <c r="P6" s="2"/>
      <c r="Q6" s="2"/>
      <c r="R6" s="2"/>
      <c r="S6" s="2"/>
    </row>
    <row r="7" ht="12.0" customHeight="1">
      <c r="A7" s="2"/>
      <c r="B7" s="100">
        <v>7.0</v>
      </c>
      <c r="C7" s="74">
        <v>497.38343327</v>
      </c>
      <c r="D7" s="98">
        <v>17.0</v>
      </c>
      <c r="E7" s="49"/>
      <c r="F7" s="4"/>
      <c r="G7" s="114">
        <v>0.0</v>
      </c>
      <c r="H7" s="114">
        <v>497.38343327</v>
      </c>
      <c r="I7" s="114">
        <v>0.0</v>
      </c>
      <c r="J7" s="4"/>
      <c r="K7" s="2"/>
      <c r="L7" s="2"/>
      <c r="M7" s="2"/>
      <c r="N7" s="2"/>
      <c r="O7" s="2"/>
      <c r="P7" s="2"/>
      <c r="Q7" s="2"/>
      <c r="R7" s="2"/>
      <c r="S7" s="2"/>
    </row>
    <row r="8" ht="12.0" customHeight="1">
      <c r="A8" s="2"/>
      <c r="B8" s="100">
        <v>8.0</v>
      </c>
      <c r="C8" s="74">
        <v>2390.46355855999</v>
      </c>
      <c r="D8" s="98">
        <v>117.0</v>
      </c>
      <c r="E8" s="49"/>
      <c r="F8" s="4"/>
      <c r="G8" s="114">
        <v>0.0</v>
      </c>
      <c r="H8" s="114">
        <v>2390.46355855999</v>
      </c>
      <c r="I8" s="114">
        <v>0.0</v>
      </c>
      <c r="J8" s="4"/>
      <c r="K8" s="2"/>
      <c r="L8" s="2"/>
      <c r="M8" s="2"/>
      <c r="N8" s="2"/>
      <c r="O8" s="2"/>
      <c r="P8" s="2"/>
      <c r="Q8" s="2"/>
      <c r="R8" s="2"/>
      <c r="S8" s="2"/>
    </row>
    <row r="9" ht="12.0" customHeight="1">
      <c r="A9" s="6"/>
      <c r="B9" s="100">
        <v>9.0</v>
      </c>
      <c r="C9" s="74">
        <v>2593.39512933999</v>
      </c>
      <c r="D9" s="98">
        <v>130.0</v>
      </c>
      <c r="E9" s="49"/>
      <c r="F9" s="6"/>
      <c r="G9" s="114">
        <v>0.0</v>
      </c>
      <c r="H9" s="114">
        <v>2593.39512933999</v>
      </c>
      <c r="I9" s="114">
        <v>0.0</v>
      </c>
      <c r="J9" s="6"/>
      <c r="K9" s="6"/>
      <c r="L9" s="6"/>
      <c r="M9" s="6"/>
      <c r="N9" s="6"/>
      <c r="O9" s="6"/>
      <c r="P9" s="6"/>
      <c r="Q9" s="6"/>
      <c r="R9" s="6"/>
      <c r="S9" s="6"/>
    </row>
    <row r="10" ht="12.0" customHeight="1">
      <c r="A10" s="2"/>
      <c r="B10" s="100">
        <v>10.0</v>
      </c>
      <c r="C10" s="74">
        <v>2586.3212967</v>
      </c>
      <c r="D10" s="98">
        <v>130.0</v>
      </c>
      <c r="E10" s="49"/>
      <c r="F10" s="4"/>
      <c r="G10" s="114">
        <v>0.0</v>
      </c>
      <c r="H10" s="114">
        <v>2586.3212967</v>
      </c>
      <c r="I10" s="114">
        <v>0.0</v>
      </c>
      <c r="J10" s="4"/>
      <c r="K10" s="2"/>
      <c r="L10" s="2"/>
      <c r="M10" s="2"/>
      <c r="N10" s="2"/>
      <c r="O10" s="2"/>
      <c r="P10" s="2"/>
      <c r="Q10" s="2"/>
      <c r="R10" s="2"/>
      <c r="S10" s="2"/>
    </row>
    <row r="11" ht="12.0" customHeight="1">
      <c r="A11" s="6"/>
      <c r="B11" s="100">
        <v>11.0</v>
      </c>
      <c r="C11" s="74">
        <v>3079.26565982999</v>
      </c>
      <c r="D11" s="98">
        <v>156.0</v>
      </c>
      <c r="E11" s="49"/>
      <c r="F11" s="6"/>
      <c r="G11" s="114">
        <v>0.0</v>
      </c>
      <c r="H11" s="114">
        <v>3079.26565982999</v>
      </c>
      <c r="I11" s="114">
        <v>0.0</v>
      </c>
      <c r="J11" s="6"/>
      <c r="K11" s="6"/>
      <c r="L11" s="6"/>
      <c r="M11" s="6"/>
      <c r="N11" s="6"/>
      <c r="O11" s="6"/>
      <c r="P11" s="6"/>
      <c r="Q11" s="6"/>
      <c r="R11" s="6"/>
      <c r="S11" s="6"/>
    </row>
    <row r="12" ht="12.0" customHeight="1">
      <c r="A12" s="6"/>
      <c r="B12" s="100">
        <v>12.0</v>
      </c>
      <c r="C12" s="74">
        <v>3071.51096835999</v>
      </c>
      <c r="D12" s="98">
        <v>156.0</v>
      </c>
      <c r="E12" s="49"/>
      <c r="F12" s="6"/>
      <c r="G12" s="114">
        <v>0.0</v>
      </c>
      <c r="H12" s="114">
        <v>3071.51096835999</v>
      </c>
      <c r="I12" s="114">
        <v>0.0</v>
      </c>
      <c r="J12" s="6"/>
      <c r="K12" s="6"/>
      <c r="L12" s="6"/>
      <c r="M12" s="6"/>
      <c r="N12" s="6"/>
      <c r="O12" s="6"/>
      <c r="P12" s="6"/>
      <c r="Q12" s="6"/>
      <c r="R12" s="6"/>
      <c r="S12" s="6"/>
    </row>
    <row r="13" ht="12.0" customHeight="1">
      <c r="A13" s="40">
        <v>1995.0</v>
      </c>
      <c r="B13" s="100">
        <v>1.0</v>
      </c>
      <c r="C13" s="74">
        <v>3063.18062848999</v>
      </c>
      <c r="D13" s="98">
        <v>156.0</v>
      </c>
      <c r="E13" s="49"/>
      <c r="F13" s="6"/>
      <c r="G13" s="114">
        <v>0.0</v>
      </c>
      <c r="H13" s="114">
        <v>3063.18062848999</v>
      </c>
      <c r="I13" s="114">
        <v>0.0</v>
      </c>
      <c r="J13" s="6"/>
      <c r="K13" s="6"/>
      <c r="L13" s="6"/>
      <c r="M13" s="6"/>
      <c r="N13" s="6"/>
      <c r="O13" s="6"/>
      <c r="P13" s="6"/>
      <c r="Q13" s="6"/>
      <c r="R13" s="6"/>
      <c r="S13" s="6"/>
    </row>
    <row r="14" ht="12.0" customHeight="1">
      <c r="A14" s="6"/>
      <c r="B14" s="100">
        <v>2.0</v>
      </c>
      <c r="C14" s="74">
        <v>3056.17300583999</v>
      </c>
      <c r="D14" s="98">
        <v>156.0</v>
      </c>
      <c r="E14" s="49"/>
      <c r="F14" s="6"/>
      <c r="G14" s="114">
        <v>0.0</v>
      </c>
      <c r="H14" s="114">
        <v>3056.17300583999</v>
      </c>
      <c r="I14" s="114">
        <v>0.0</v>
      </c>
      <c r="J14" s="6"/>
      <c r="K14" s="6"/>
      <c r="L14" s="6"/>
      <c r="M14" s="6"/>
      <c r="N14" s="6"/>
      <c r="O14" s="6"/>
      <c r="P14" s="6"/>
      <c r="Q14" s="6"/>
      <c r="R14" s="6"/>
      <c r="S14" s="6"/>
    </row>
    <row r="15" ht="12.0" customHeight="1">
      <c r="A15" s="6"/>
      <c r="B15" s="100">
        <v>3.0</v>
      </c>
      <c r="C15" s="74">
        <v>3048.37235388999</v>
      </c>
      <c r="D15" s="98">
        <v>156.0</v>
      </c>
      <c r="E15" s="49"/>
      <c r="F15" s="6"/>
      <c r="G15" s="114">
        <v>0.0</v>
      </c>
      <c r="H15" s="114">
        <v>3048.37235388999</v>
      </c>
      <c r="I15" s="114">
        <v>0.0</v>
      </c>
      <c r="J15" s="6"/>
      <c r="K15" s="6"/>
      <c r="L15" s="6"/>
      <c r="M15" s="6"/>
      <c r="N15" s="6"/>
      <c r="O15" s="6"/>
      <c r="P15" s="6"/>
      <c r="Q15" s="6"/>
      <c r="R15" s="6"/>
      <c r="S15" s="6"/>
    </row>
    <row r="16" ht="12.0" customHeight="1">
      <c r="A16" s="2"/>
      <c r="B16" s="100">
        <v>4.0</v>
      </c>
      <c r="C16" s="74">
        <v>3388.33561584999</v>
      </c>
      <c r="D16" s="98">
        <v>172.0</v>
      </c>
      <c r="E16" s="49"/>
      <c r="F16" s="4"/>
      <c r="G16" s="114">
        <v>0.0</v>
      </c>
      <c r="H16" s="114">
        <v>3388.33561584999</v>
      </c>
      <c r="I16" s="114">
        <v>0.0</v>
      </c>
      <c r="J16" s="4"/>
      <c r="K16" s="2"/>
      <c r="L16" s="2"/>
      <c r="M16" s="2"/>
      <c r="N16" s="2"/>
      <c r="O16" s="2"/>
      <c r="P16" s="2"/>
      <c r="Q16" s="2"/>
      <c r="R16" s="2"/>
      <c r="S16" s="2"/>
    </row>
    <row r="17" ht="12.0" customHeight="1">
      <c r="A17" s="6"/>
      <c r="B17" s="100">
        <v>5.0</v>
      </c>
      <c r="C17" s="74">
        <v>3375.73847410999</v>
      </c>
      <c r="D17" s="98">
        <v>172.0</v>
      </c>
      <c r="E17" s="49"/>
      <c r="F17" s="6"/>
      <c r="G17" s="114">
        <v>0.0</v>
      </c>
      <c r="H17" s="114">
        <v>3375.73847410999</v>
      </c>
      <c r="I17" s="114">
        <v>0.0</v>
      </c>
      <c r="J17" s="6"/>
      <c r="K17" s="6"/>
      <c r="L17" s="6"/>
      <c r="M17" s="6"/>
      <c r="N17" s="6"/>
      <c r="O17" s="6"/>
      <c r="P17" s="6"/>
      <c r="Q17" s="6"/>
      <c r="R17" s="6"/>
      <c r="S17" s="6"/>
    </row>
    <row r="18" ht="12.0" customHeight="1">
      <c r="A18" s="6"/>
      <c r="B18" s="100">
        <v>6.0</v>
      </c>
      <c r="C18" s="74">
        <v>3357.85566208999</v>
      </c>
      <c r="D18" s="98">
        <v>172.0</v>
      </c>
      <c r="E18" s="49"/>
      <c r="F18" s="6"/>
      <c r="G18" s="114">
        <v>0.0</v>
      </c>
      <c r="H18" s="114">
        <v>3357.85566208999</v>
      </c>
      <c r="I18" s="114">
        <v>0.0</v>
      </c>
      <c r="J18" s="6"/>
      <c r="K18" s="6"/>
      <c r="L18" s="6"/>
      <c r="M18" s="6"/>
      <c r="N18" s="6"/>
      <c r="O18" s="6"/>
      <c r="P18" s="6"/>
      <c r="Q18" s="6"/>
      <c r="R18" s="6"/>
      <c r="S18" s="6"/>
    </row>
    <row r="19" ht="12.0" customHeight="1">
      <c r="A19" s="6"/>
      <c r="B19" s="100">
        <v>7.0</v>
      </c>
      <c r="C19" s="74">
        <v>3649.05096021</v>
      </c>
      <c r="D19" s="98">
        <v>181.0</v>
      </c>
      <c r="E19" s="49"/>
      <c r="F19" s="6"/>
      <c r="G19" s="114">
        <v>0.0</v>
      </c>
      <c r="H19" s="114">
        <v>3649.05096021</v>
      </c>
      <c r="I19" s="114">
        <v>0.0</v>
      </c>
      <c r="J19" s="6"/>
      <c r="K19" s="6"/>
      <c r="L19" s="6"/>
      <c r="M19" s="6"/>
      <c r="N19" s="6"/>
      <c r="O19" s="6"/>
      <c r="P19" s="6"/>
      <c r="Q19" s="6"/>
      <c r="R19" s="6"/>
      <c r="S19" s="6"/>
    </row>
    <row r="20" ht="12.0" customHeight="1">
      <c r="A20" s="6"/>
      <c r="B20" s="100">
        <v>8.0</v>
      </c>
      <c r="C20" s="74">
        <v>3623.98246486999</v>
      </c>
      <c r="D20" s="98">
        <v>181.0</v>
      </c>
      <c r="E20" s="49"/>
      <c r="F20" s="6"/>
      <c r="G20" s="114">
        <v>0.0</v>
      </c>
      <c r="H20" s="114">
        <v>3623.98246486999</v>
      </c>
      <c r="I20" s="114">
        <v>0.0</v>
      </c>
      <c r="J20" s="6"/>
      <c r="K20" s="6"/>
      <c r="L20" s="6"/>
      <c r="M20" s="6"/>
      <c r="N20" s="6"/>
      <c r="O20" s="6"/>
      <c r="P20" s="6"/>
      <c r="Q20" s="6"/>
      <c r="R20" s="6"/>
      <c r="S20" s="6"/>
    </row>
    <row r="21" ht="12.0" customHeight="1">
      <c r="A21" s="6"/>
      <c r="B21" s="100">
        <v>9.0</v>
      </c>
      <c r="C21" s="74">
        <v>3594.03606321999</v>
      </c>
      <c r="D21" s="98">
        <v>181.0</v>
      </c>
      <c r="E21" s="49"/>
      <c r="F21" s="6"/>
      <c r="G21" s="114">
        <v>0.0</v>
      </c>
      <c r="H21" s="114">
        <v>3594.03606321999</v>
      </c>
      <c r="I21" s="114">
        <v>0.0</v>
      </c>
      <c r="J21" s="6"/>
      <c r="K21" s="6"/>
      <c r="L21" s="6"/>
      <c r="M21" s="6"/>
      <c r="N21" s="6"/>
      <c r="O21" s="6"/>
      <c r="P21" s="6"/>
      <c r="Q21" s="6"/>
      <c r="R21" s="6"/>
      <c r="S21" s="6"/>
    </row>
    <row r="22" ht="12.0" customHeight="1">
      <c r="A22" s="2"/>
      <c r="B22" s="100">
        <v>10.0</v>
      </c>
      <c r="C22" s="74">
        <v>4321.76769411</v>
      </c>
      <c r="D22" s="98">
        <v>208.0</v>
      </c>
      <c r="E22" s="49"/>
      <c r="F22" s="4"/>
      <c r="G22" s="114">
        <v>0.0</v>
      </c>
      <c r="H22" s="114">
        <v>4321.76769411</v>
      </c>
      <c r="I22" s="114">
        <v>0.0</v>
      </c>
      <c r="J22" s="4"/>
      <c r="K22" s="2"/>
      <c r="L22" s="2"/>
      <c r="M22" s="2"/>
      <c r="N22" s="2"/>
      <c r="O22" s="2"/>
      <c r="P22" s="2"/>
      <c r="Q22" s="2"/>
      <c r="R22" s="2"/>
      <c r="S22" s="2"/>
    </row>
    <row r="23" ht="12.0" customHeight="1">
      <c r="A23" s="6"/>
      <c r="B23" s="100">
        <v>11.0</v>
      </c>
      <c r="C23" s="74">
        <v>4750.16198668</v>
      </c>
      <c r="D23" s="98">
        <v>221.0</v>
      </c>
      <c r="E23" s="49"/>
      <c r="F23" s="6"/>
      <c r="G23" s="114">
        <v>0.0</v>
      </c>
      <c r="H23" s="114">
        <v>4750.16198668</v>
      </c>
      <c r="I23" s="114">
        <v>0.0</v>
      </c>
      <c r="J23" s="6"/>
      <c r="K23" s="6"/>
      <c r="L23" s="6"/>
      <c r="M23" s="6"/>
      <c r="N23" s="6"/>
      <c r="O23" s="6"/>
      <c r="P23" s="6"/>
      <c r="Q23" s="6"/>
      <c r="R23" s="6"/>
      <c r="S23" s="6"/>
    </row>
    <row r="24" ht="12.0" customHeight="1">
      <c r="A24" s="6"/>
      <c r="B24" s="100">
        <v>12.0</v>
      </c>
      <c r="C24" s="74">
        <v>4918.35414723999</v>
      </c>
      <c r="D24" s="98">
        <v>230.0</v>
      </c>
      <c r="E24" s="49"/>
      <c r="F24" s="6"/>
      <c r="G24" s="114">
        <v>0.0</v>
      </c>
      <c r="H24" s="114">
        <v>4918.35414723999</v>
      </c>
      <c r="I24" s="114">
        <v>0.0</v>
      </c>
      <c r="J24" s="6"/>
      <c r="K24" s="6"/>
      <c r="L24" s="6"/>
      <c r="M24" s="6"/>
      <c r="N24" s="6"/>
      <c r="O24" s="6"/>
      <c r="P24" s="6"/>
      <c r="Q24" s="6"/>
      <c r="R24" s="6"/>
      <c r="S24" s="6"/>
    </row>
    <row r="25" ht="12.0" customHeight="1">
      <c r="A25" s="40">
        <v>1996.0</v>
      </c>
      <c r="B25" s="100">
        <v>1.0</v>
      </c>
      <c r="C25" s="74">
        <v>5028.95184726</v>
      </c>
      <c r="D25" s="98">
        <v>234.0</v>
      </c>
      <c r="E25" s="49"/>
      <c r="F25" s="6"/>
      <c r="G25" s="114">
        <v>0.0</v>
      </c>
      <c r="H25" s="114">
        <v>5028.95184726</v>
      </c>
      <c r="I25" s="114">
        <v>0.0</v>
      </c>
      <c r="J25" s="6"/>
      <c r="K25" s="6"/>
      <c r="L25" s="6"/>
      <c r="M25" s="6"/>
      <c r="N25" s="6"/>
      <c r="O25" s="6"/>
      <c r="P25" s="6"/>
      <c r="Q25" s="6"/>
      <c r="R25" s="6"/>
      <c r="S25" s="6"/>
    </row>
    <row r="26" ht="12.0" customHeight="1">
      <c r="A26" s="6"/>
      <c r="B26" s="100">
        <v>2.0</v>
      </c>
      <c r="C26" s="74">
        <v>5389.39062996999</v>
      </c>
      <c r="D26" s="98">
        <v>243.0</v>
      </c>
      <c r="E26" s="49"/>
      <c r="F26" s="6"/>
      <c r="G26" s="114">
        <v>0.0</v>
      </c>
      <c r="H26" s="114">
        <v>5389.39062996999</v>
      </c>
      <c r="I26" s="114">
        <v>0.0</v>
      </c>
      <c r="J26" s="6"/>
      <c r="K26" s="6"/>
      <c r="L26" s="6"/>
      <c r="M26" s="6"/>
      <c r="N26" s="6"/>
      <c r="O26" s="6"/>
      <c r="P26" s="6"/>
      <c r="Q26" s="6"/>
      <c r="R26" s="6"/>
      <c r="S26" s="6"/>
    </row>
    <row r="27" ht="12.0" customHeight="1">
      <c r="A27" s="6"/>
      <c r="B27" s="100">
        <v>3.0</v>
      </c>
      <c r="C27" s="74">
        <v>5490.88493614</v>
      </c>
      <c r="D27" s="98">
        <v>248.0</v>
      </c>
      <c r="E27" s="49"/>
      <c r="F27" s="6"/>
      <c r="G27" s="114">
        <v>0.0</v>
      </c>
      <c r="H27" s="114">
        <v>5490.88493614</v>
      </c>
      <c r="I27" s="114">
        <v>0.0</v>
      </c>
      <c r="J27" s="6"/>
      <c r="K27" s="6"/>
      <c r="L27" s="6"/>
      <c r="M27" s="6"/>
      <c r="N27" s="6"/>
      <c r="O27" s="6"/>
      <c r="P27" s="6"/>
      <c r="Q27" s="6"/>
      <c r="R27" s="6"/>
      <c r="S27" s="6"/>
    </row>
    <row r="28" ht="12.0" customHeight="1">
      <c r="A28" s="2"/>
      <c r="B28" s="100">
        <v>4.0</v>
      </c>
      <c r="C28" s="74">
        <v>5577.59729824</v>
      </c>
      <c r="D28" s="98">
        <v>253.0</v>
      </c>
      <c r="E28" s="49"/>
      <c r="F28" s="4"/>
      <c r="G28" s="114">
        <v>0.0</v>
      </c>
      <c r="H28" s="114">
        <v>5577.59729824</v>
      </c>
      <c r="I28" s="114">
        <v>0.0</v>
      </c>
      <c r="J28" s="4"/>
      <c r="K28" s="2"/>
      <c r="L28" s="2"/>
      <c r="M28" s="2"/>
      <c r="N28" s="2"/>
      <c r="O28" s="2"/>
      <c r="P28" s="2"/>
      <c r="Q28" s="2"/>
      <c r="R28" s="2"/>
      <c r="S28" s="2"/>
    </row>
    <row r="29" ht="12.0" customHeight="1">
      <c r="A29" s="6"/>
      <c r="B29" s="100">
        <v>5.0</v>
      </c>
      <c r="C29" s="74">
        <v>5881.18397355999</v>
      </c>
      <c r="D29" s="98">
        <v>268.0</v>
      </c>
      <c r="E29" s="49"/>
      <c r="F29" s="6"/>
      <c r="G29" s="114">
        <v>0.0</v>
      </c>
      <c r="H29" s="114">
        <v>5881.18397355999</v>
      </c>
      <c r="I29" s="114">
        <v>0.0</v>
      </c>
      <c r="J29" s="6"/>
      <c r="K29" s="6"/>
      <c r="L29" s="6"/>
      <c r="M29" s="6"/>
      <c r="N29" s="6"/>
      <c r="O29" s="6"/>
      <c r="P29" s="6"/>
      <c r="Q29" s="6"/>
      <c r="R29" s="6"/>
      <c r="S29" s="6"/>
    </row>
    <row r="30" ht="12.0" customHeight="1">
      <c r="A30" s="6"/>
      <c r="B30" s="100">
        <v>6.0</v>
      </c>
      <c r="C30" s="74">
        <v>7227.86913831999</v>
      </c>
      <c r="D30" s="98">
        <v>314.0</v>
      </c>
      <c r="E30" s="49"/>
      <c r="F30" s="6"/>
      <c r="G30" s="114">
        <v>0.0</v>
      </c>
      <c r="H30" s="114">
        <v>7227.86913831999</v>
      </c>
      <c r="I30" s="114">
        <v>0.0</v>
      </c>
      <c r="J30" s="6"/>
      <c r="K30" s="6"/>
      <c r="L30" s="6"/>
      <c r="M30" s="6"/>
      <c r="N30" s="6"/>
      <c r="O30" s="6"/>
      <c r="P30" s="6"/>
      <c r="Q30" s="6"/>
      <c r="R30" s="6"/>
      <c r="S30" s="6"/>
    </row>
    <row r="31" ht="12.0" customHeight="1">
      <c r="A31" s="6"/>
      <c r="B31" s="100">
        <v>7.0</v>
      </c>
      <c r="C31" s="74">
        <v>8425.03683724999</v>
      </c>
      <c r="D31" s="98">
        <v>361.0</v>
      </c>
      <c r="E31" s="49"/>
      <c r="F31" s="6"/>
      <c r="G31" s="114">
        <v>0.0</v>
      </c>
      <c r="H31" s="114">
        <v>8425.03683724999</v>
      </c>
      <c r="I31" s="114">
        <v>0.0</v>
      </c>
      <c r="J31" s="6"/>
      <c r="K31" s="6"/>
      <c r="L31" s="6"/>
      <c r="M31" s="6"/>
      <c r="N31" s="6"/>
      <c r="O31" s="6"/>
      <c r="P31" s="6"/>
      <c r="Q31" s="6"/>
      <c r="R31" s="6"/>
      <c r="S31" s="6"/>
    </row>
    <row r="32" ht="12.0" customHeight="1">
      <c r="A32" s="6"/>
      <c r="B32" s="100">
        <v>8.0</v>
      </c>
      <c r="C32" s="74">
        <v>8518.38166501</v>
      </c>
      <c r="D32" s="98">
        <v>365.0</v>
      </c>
      <c r="E32" s="49"/>
      <c r="F32" s="6"/>
      <c r="G32" s="114">
        <v>0.0</v>
      </c>
      <c r="H32" s="114">
        <v>8518.38166501</v>
      </c>
      <c r="I32" s="114">
        <v>0.0</v>
      </c>
      <c r="J32" s="6"/>
      <c r="K32" s="6"/>
      <c r="L32" s="6"/>
      <c r="M32" s="6"/>
      <c r="N32" s="6"/>
      <c r="O32" s="6"/>
      <c r="P32" s="6"/>
      <c r="Q32" s="6"/>
      <c r="R32" s="6"/>
      <c r="S32" s="6"/>
    </row>
    <row r="33" ht="12.0" customHeight="1">
      <c r="A33" s="6"/>
      <c r="B33" s="100">
        <v>9.0</v>
      </c>
      <c r="C33" s="74">
        <v>10241.28532501</v>
      </c>
      <c r="D33" s="98">
        <v>436.0</v>
      </c>
      <c r="E33" s="49"/>
      <c r="F33" s="6"/>
      <c r="G33" s="114">
        <v>0.0</v>
      </c>
      <c r="H33" s="114">
        <v>10241.28532501</v>
      </c>
      <c r="I33" s="114">
        <v>0.0</v>
      </c>
      <c r="J33" s="6"/>
      <c r="K33" s="6"/>
      <c r="L33" s="6"/>
      <c r="M33" s="6"/>
      <c r="N33" s="6"/>
      <c r="O33" s="6"/>
      <c r="P33" s="6"/>
      <c r="Q33" s="6"/>
      <c r="R33" s="6"/>
      <c r="S33" s="6"/>
    </row>
    <row r="34" ht="12.0" customHeight="1">
      <c r="A34" s="2"/>
      <c r="B34" s="100">
        <v>10.0</v>
      </c>
      <c r="C34" s="74">
        <v>11106.6754698099</v>
      </c>
      <c r="D34" s="98">
        <v>480.0</v>
      </c>
      <c r="E34" s="49"/>
      <c r="F34" s="4"/>
      <c r="G34" s="114">
        <v>0.0</v>
      </c>
      <c r="H34" s="114">
        <v>11106.6754698099</v>
      </c>
      <c r="I34" s="114">
        <v>0.0</v>
      </c>
      <c r="J34" s="4"/>
      <c r="K34" s="2"/>
      <c r="L34" s="2"/>
      <c r="M34" s="2"/>
      <c r="N34" s="2"/>
      <c r="O34" s="2"/>
      <c r="P34" s="2"/>
      <c r="Q34" s="2"/>
      <c r="R34" s="2"/>
      <c r="S34" s="2"/>
    </row>
    <row r="35" ht="12.0" customHeight="1">
      <c r="A35" s="6"/>
      <c r="B35" s="100">
        <v>11.0</v>
      </c>
      <c r="C35" s="74">
        <v>11454.0804043</v>
      </c>
      <c r="D35" s="98">
        <v>498.0</v>
      </c>
      <c r="E35" s="49"/>
      <c r="F35" s="6"/>
      <c r="G35" s="114">
        <v>0.0</v>
      </c>
      <c r="H35" s="114">
        <v>11454.0804043</v>
      </c>
      <c r="I35" s="114">
        <v>0.0</v>
      </c>
      <c r="J35" s="6"/>
      <c r="K35" s="6"/>
      <c r="L35" s="6"/>
      <c r="M35" s="6"/>
      <c r="N35" s="6"/>
      <c r="O35" s="6"/>
      <c r="P35" s="6"/>
      <c r="Q35" s="6"/>
      <c r="R35" s="6"/>
      <c r="S35" s="6"/>
    </row>
    <row r="36" ht="12.0" customHeight="1">
      <c r="A36" s="6"/>
      <c r="B36" s="100">
        <v>12.0</v>
      </c>
      <c r="C36" s="74">
        <v>11780.2466736499</v>
      </c>
      <c r="D36" s="98">
        <v>504.0</v>
      </c>
      <c r="E36" s="49"/>
      <c r="F36" s="6"/>
      <c r="G36" s="114">
        <v>0.0</v>
      </c>
      <c r="H36" s="114">
        <v>11780.2466736499</v>
      </c>
      <c r="I36" s="114">
        <v>0.0</v>
      </c>
      <c r="J36" s="6"/>
      <c r="K36" s="6"/>
      <c r="L36" s="6"/>
      <c r="M36" s="6"/>
      <c r="N36" s="6"/>
      <c r="O36" s="6"/>
      <c r="P36" s="6"/>
      <c r="Q36" s="6"/>
      <c r="R36" s="6"/>
      <c r="S36" s="6"/>
    </row>
    <row r="37" ht="12.0" customHeight="1">
      <c r="A37" s="40">
        <v>1997.0</v>
      </c>
      <c r="B37" s="100">
        <v>1.0</v>
      </c>
      <c r="C37" s="74">
        <v>12152.7758465199</v>
      </c>
      <c r="D37" s="98">
        <v>521.0</v>
      </c>
      <c r="E37" s="49"/>
      <c r="F37" s="6"/>
      <c r="G37" s="114">
        <v>0.0</v>
      </c>
      <c r="H37" s="114">
        <v>12152.7758465199</v>
      </c>
      <c r="I37" s="114">
        <v>0.0</v>
      </c>
      <c r="J37" s="6"/>
      <c r="K37" s="6"/>
      <c r="L37" s="6"/>
      <c r="M37" s="6"/>
      <c r="N37" s="6"/>
      <c r="O37" s="6"/>
      <c r="P37" s="6"/>
      <c r="Q37" s="6"/>
      <c r="R37" s="6"/>
      <c r="S37" s="6"/>
    </row>
    <row r="38" ht="12.0" customHeight="1">
      <c r="A38" s="6"/>
      <c r="B38" s="100">
        <v>2.0</v>
      </c>
      <c r="C38" s="74">
        <v>12236.3087343599</v>
      </c>
      <c r="D38" s="98">
        <v>525.0</v>
      </c>
      <c r="E38" s="49"/>
      <c r="F38" s="6"/>
      <c r="G38" s="114">
        <v>0.0</v>
      </c>
      <c r="H38" s="114">
        <v>12236.3087343599</v>
      </c>
      <c r="I38" s="114">
        <v>0.0</v>
      </c>
      <c r="J38" s="6"/>
      <c r="K38" s="6"/>
      <c r="L38" s="6"/>
      <c r="M38" s="6"/>
      <c r="N38" s="6"/>
      <c r="O38" s="6"/>
      <c r="P38" s="6"/>
      <c r="Q38" s="6"/>
      <c r="R38" s="6"/>
      <c r="S38" s="6"/>
    </row>
    <row r="39" ht="12.0" customHeight="1">
      <c r="A39" s="6"/>
      <c r="B39" s="100">
        <v>3.0</v>
      </c>
      <c r="C39" s="74">
        <v>12813.2205061899</v>
      </c>
      <c r="D39" s="98">
        <v>558.0</v>
      </c>
      <c r="E39" s="49"/>
      <c r="F39" s="6"/>
      <c r="G39" s="114">
        <v>0.0</v>
      </c>
      <c r="H39" s="114">
        <v>12813.2205061899</v>
      </c>
      <c r="I39" s="114">
        <v>0.0</v>
      </c>
      <c r="J39" s="6"/>
      <c r="K39" s="6"/>
      <c r="L39" s="6"/>
      <c r="M39" s="6"/>
      <c r="N39" s="6"/>
      <c r="O39" s="6"/>
      <c r="P39" s="6"/>
      <c r="Q39" s="6"/>
      <c r="R39" s="6"/>
      <c r="S39" s="6"/>
    </row>
    <row r="40" ht="12.0" customHeight="1">
      <c r="A40" s="6"/>
      <c r="B40" s="100">
        <v>4.0</v>
      </c>
      <c r="C40" s="74">
        <v>13735.57027451</v>
      </c>
      <c r="D40" s="98">
        <v>594.0</v>
      </c>
      <c r="E40" s="49"/>
      <c r="F40" s="6"/>
      <c r="G40" s="114">
        <v>0.0</v>
      </c>
      <c r="H40" s="114">
        <v>13735.57027451</v>
      </c>
      <c r="I40" s="114">
        <v>0.0</v>
      </c>
      <c r="J40" s="6"/>
      <c r="K40" s="6"/>
      <c r="L40" s="6"/>
      <c r="M40" s="6"/>
      <c r="N40" s="6"/>
      <c r="O40" s="6"/>
      <c r="P40" s="6"/>
      <c r="Q40" s="6"/>
      <c r="R40" s="6"/>
      <c r="S40" s="6"/>
    </row>
    <row r="41" ht="12.0" customHeight="1">
      <c r="A41" s="6"/>
      <c r="B41" s="100">
        <v>5.0</v>
      </c>
      <c r="C41" s="74">
        <v>14141.71837187</v>
      </c>
      <c r="D41" s="98">
        <v>611.0</v>
      </c>
      <c r="E41" s="49"/>
      <c r="F41" s="6"/>
      <c r="G41" s="114">
        <v>0.0</v>
      </c>
      <c r="H41" s="114">
        <v>14141.71837187</v>
      </c>
      <c r="I41" s="114">
        <v>0.0</v>
      </c>
      <c r="J41" s="6"/>
      <c r="K41" s="6"/>
      <c r="L41" s="6"/>
      <c r="M41" s="6"/>
      <c r="N41" s="6"/>
      <c r="O41" s="6"/>
      <c r="P41" s="6"/>
      <c r="Q41" s="6"/>
      <c r="R41" s="6"/>
      <c r="S41" s="6"/>
    </row>
    <row r="42" ht="12.0" customHeight="1">
      <c r="A42" s="2"/>
      <c r="B42" s="100">
        <v>6.0</v>
      </c>
      <c r="C42" s="74">
        <v>15365.42928673</v>
      </c>
      <c r="D42" s="98">
        <v>670.0</v>
      </c>
      <c r="E42" s="49"/>
      <c r="F42" s="4"/>
      <c r="G42" s="114">
        <v>0.0</v>
      </c>
      <c r="H42" s="114">
        <v>15365.42928673</v>
      </c>
      <c r="I42" s="114">
        <v>0.0</v>
      </c>
      <c r="J42" s="4"/>
      <c r="K42" s="2"/>
      <c r="L42" s="2"/>
      <c r="M42" s="2"/>
      <c r="N42" s="2"/>
      <c r="O42" s="2"/>
      <c r="P42" s="2"/>
      <c r="Q42" s="2"/>
      <c r="R42" s="2"/>
      <c r="S42" s="2"/>
    </row>
    <row r="43" ht="12.75" customHeight="1">
      <c r="A43" s="6"/>
      <c r="B43" s="100">
        <v>7.0</v>
      </c>
      <c r="C43" s="116">
        <v>15268.07163157</v>
      </c>
      <c r="D43" s="98">
        <v>674.0</v>
      </c>
      <c r="E43" s="49"/>
      <c r="F43" s="6"/>
      <c r="G43" s="114">
        <v>0.0</v>
      </c>
      <c r="H43" s="114">
        <v>15268.07163157</v>
      </c>
      <c r="I43" s="114">
        <v>0.0</v>
      </c>
      <c r="J43" s="6"/>
      <c r="K43" s="6"/>
      <c r="L43" s="6"/>
      <c r="M43" s="6"/>
      <c r="N43" s="6"/>
      <c r="O43" s="6"/>
      <c r="P43" s="6"/>
      <c r="Q43" s="6"/>
      <c r="R43" s="6"/>
      <c r="S43" s="6"/>
    </row>
    <row r="44" ht="12.0" customHeight="1">
      <c r="A44" s="6"/>
      <c r="B44" s="100">
        <v>8.0</v>
      </c>
      <c r="C44" s="74">
        <v>15695.91006405</v>
      </c>
      <c r="D44" s="98">
        <v>692.0</v>
      </c>
      <c r="E44" s="49"/>
      <c r="F44" s="6"/>
      <c r="G44" s="114">
        <v>0.0</v>
      </c>
      <c r="H44" s="114">
        <v>15695.91006405</v>
      </c>
      <c r="I44" s="114">
        <v>0.0</v>
      </c>
      <c r="J44" s="6"/>
      <c r="K44" s="6"/>
      <c r="L44" s="6"/>
      <c r="M44" s="6"/>
      <c r="N44" s="6"/>
      <c r="O44" s="6"/>
      <c r="P44" s="6"/>
      <c r="Q44" s="6"/>
      <c r="R44" s="6"/>
      <c r="S44" s="6"/>
    </row>
    <row r="45" ht="12.0" customHeight="1">
      <c r="A45" s="6"/>
      <c r="B45" s="100">
        <v>9.0</v>
      </c>
      <c r="C45" s="74">
        <v>15569.9745478</v>
      </c>
      <c r="D45" s="98">
        <v>692.0</v>
      </c>
      <c r="E45" s="49"/>
      <c r="F45" s="6"/>
      <c r="G45" s="114">
        <v>0.0</v>
      </c>
      <c r="H45" s="114">
        <v>15569.9745478</v>
      </c>
      <c r="I45" s="114">
        <v>0.0</v>
      </c>
      <c r="J45" s="6"/>
      <c r="K45" s="6"/>
      <c r="L45" s="6"/>
      <c r="M45" s="6"/>
      <c r="N45" s="6"/>
      <c r="O45" s="6"/>
      <c r="P45" s="6"/>
      <c r="Q45" s="6"/>
      <c r="R45" s="6"/>
      <c r="S45" s="6"/>
    </row>
    <row r="46" ht="12.0" customHeight="1">
      <c r="A46" s="6"/>
      <c r="B46" s="100">
        <v>10.0</v>
      </c>
      <c r="C46" s="74">
        <v>16946.61339049</v>
      </c>
      <c r="D46" s="98">
        <v>722.0</v>
      </c>
      <c r="E46" s="49"/>
      <c r="F46" s="6"/>
      <c r="G46" s="114">
        <v>0.0</v>
      </c>
      <c r="H46" s="114">
        <v>16946.61339049</v>
      </c>
      <c r="I46" s="114">
        <v>0.0</v>
      </c>
      <c r="J46" s="6"/>
      <c r="K46" s="6"/>
      <c r="L46" s="6"/>
      <c r="M46" s="6"/>
      <c r="N46" s="6"/>
      <c r="O46" s="6"/>
      <c r="P46" s="6"/>
      <c r="Q46" s="6"/>
      <c r="R46" s="6"/>
      <c r="S46" s="6"/>
    </row>
    <row r="47" ht="12.0" customHeight="1">
      <c r="A47" s="2"/>
      <c r="B47" s="100">
        <v>11.0</v>
      </c>
      <c r="C47" s="74">
        <v>17612.8472861799</v>
      </c>
      <c r="D47" s="98">
        <v>755.0</v>
      </c>
      <c r="E47" s="49"/>
      <c r="F47" s="4"/>
      <c r="G47" s="114">
        <v>0.0</v>
      </c>
      <c r="H47" s="114">
        <v>17612.8472861799</v>
      </c>
      <c r="I47" s="114">
        <v>0.0</v>
      </c>
      <c r="J47" s="4"/>
      <c r="K47" s="2"/>
      <c r="L47" s="2"/>
      <c r="M47" s="2"/>
      <c r="N47" s="2"/>
      <c r="O47" s="2"/>
      <c r="P47" s="2"/>
      <c r="Q47" s="2"/>
      <c r="R47" s="2"/>
      <c r="S47" s="2"/>
    </row>
    <row r="48" ht="12.0" customHeight="1">
      <c r="A48" s="2"/>
      <c r="B48" s="100">
        <v>12.0</v>
      </c>
      <c r="C48" s="74">
        <v>18266.8680569</v>
      </c>
      <c r="D48" s="98">
        <v>776.0</v>
      </c>
      <c r="E48" s="49"/>
      <c r="F48" s="4"/>
      <c r="G48" s="114">
        <v>423.87719432</v>
      </c>
      <c r="H48" s="114">
        <v>17842.99086258</v>
      </c>
      <c r="I48" s="114">
        <v>0.0</v>
      </c>
      <c r="J48" s="4"/>
      <c r="K48" s="2"/>
      <c r="L48" s="2"/>
      <c r="M48" s="2"/>
      <c r="N48" s="2"/>
      <c r="O48" s="2"/>
      <c r="P48" s="2"/>
      <c r="Q48" s="2"/>
      <c r="R48" s="2"/>
      <c r="S48" s="2"/>
    </row>
    <row r="49" ht="12.0" customHeight="1">
      <c r="A49" s="40">
        <v>1998.0</v>
      </c>
      <c r="B49" s="100">
        <v>1.0</v>
      </c>
      <c r="C49" s="74">
        <v>19640.34411154</v>
      </c>
      <c r="D49" s="98">
        <v>812.0</v>
      </c>
      <c r="E49" s="49"/>
      <c r="F49" s="4"/>
      <c r="G49" s="114">
        <v>897.04364626</v>
      </c>
      <c r="H49" s="114">
        <v>18743.30046528</v>
      </c>
      <c r="I49" s="114">
        <v>0.0</v>
      </c>
      <c r="J49" s="4"/>
      <c r="K49" s="2"/>
      <c r="L49" s="2"/>
      <c r="M49" s="2"/>
      <c r="N49" s="2"/>
      <c r="O49" s="2"/>
      <c r="P49" s="2"/>
      <c r="Q49" s="2"/>
      <c r="R49" s="2"/>
      <c r="S49" s="2"/>
    </row>
    <row r="50" ht="12.0" customHeight="1">
      <c r="A50" s="2"/>
      <c r="B50" s="100">
        <v>2.0</v>
      </c>
      <c r="C50" s="74">
        <v>20804.47213097</v>
      </c>
      <c r="D50" s="98">
        <v>836.0</v>
      </c>
      <c r="E50" s="49"/>
      <c r="F50" s="4"/>
      <c r="G50" s="114">
        <v>944.365538189999</v>
      </c>
      <c r="H50" s="114">
        <v>19860.10659278</v>
      </c>
      <c r="I50" s="114">
        <v>0.0</v>
      </c>
      <c r="J50" s="4"/>
      <c r="K50" s="2"/>
      <c r="L50" s="2"/>
      <c r="M50" s="2"/>
      <c r="N50" s="2"/>
      <c r="O50" s="2"/>
      <c r="P50" s="2"/>
      <c r="Q50" s="2"/>
      <c r="R50" s="2"/>
      <c r="S50" s="2"/>
    </row>
    <row r="51" ht="12.0" customHeight="1">
      <c r="A51" s="2"/>
      <c r="B51" s="100">
        <v>3.0</v>
      </c>
      <c r="C51" s="74">
        <v>21496.25872195</v>
      </c>
      <c r="D51" s="98">
        <v>861.0</v>
      </c>
      <c r="E51" s="49"/>
      <c r="F51" s="4"/>
      <c r="G51" s="114">
        <v>1160.3242712</v>
      </c>
      <c r="H51" s="114">
        <v>20335.93445075</v>
      </c>
      <c r="I51" s="114">
        <v>0.0</v>
      </c>
      <c r="J51" s="4"/>
      <c r="K51" s="2"/>
      <c r="L51" s="2"/>
      <c r="M51" s="2"/>
      <c r="N51" s="2"/>
      <c r="O51" s="2"/>
      <c r="P51" s="2"/>
      <c r="Q51" s="2"/>
      <c r="R51" s="2"/>
      <c r="S51" s="2"/>
    </row>
    <row r="52" ht="12.0" customHeight="1">
      <c r="A52" s="2"/>
      <c r="B52" s="100">
        <v>4.0</v>
      </c>
      <c r="C52" s="74">
        <v>22300.31597842</v>
      </c>
      <c r="D52" s="98">
        <v>874.0</v>
      </c>
      <c r="E52" s="49"/>
      <c r="F52" s="4"/>
      <c r="G52" s="114">
        <v>1677.65809894999</v>
      </c>
      <c r="H52" s="114">
        <v>20622.65787947</v>
      </c>
      <c r="I52" s="114">
        <v>0.0</v>
      </c>
      <c r="J52" s="4"/>
      <c r="K52" s="2"/>
      <c r="L52" s="2"/>
      <c r="M52" s="2"/>
      <c r="N52" s="2"/>
      <c r="O52" s="2"/>
      <c r="P52" s="2"/>
      <c r="Q52" s="2"/>
      <c r="R52" s="2"/>
      <c r="S52" s="2"/>
    </row>
    <row r="53" ht="12.0" customHeight="1">
      <c r="A53" s="2"/>
      <c r="B53" s="100">
        <v>5.0</v>
      </c>
      <c r="C53" s="74">
        <v>24525.8624005799</v>
      </c>
      <c r="D53" s="98">
        <v>953.0</v>
      </c>
      <c r="E53" s="49"/>
      <c r="F53" s="4"/>
      <c r="G53" s="114">
        <v>1819.31251922999</v>
      </c>
      <c r="H53" s="114">
        <v>22706.5498813499</v>
      </c>
      <c r="I53" s="114">
        <v>0.0</v>
      </c>
      <c r="J53" s="4"/>
      <c r="K53" s="2"/>
      <c r="L53" s="2"/>
      <c r="M53" s="2"/>
      <c r="N53" s="2"/>
      <c r="O53" s="2"/>
      <c r="P53" s="2"/>
      <c r="Q53" s="2"/>
      <c r="R53" s="2"/>
      <c r="S53" s="2"/>
    </row>
    <row r="54" ht="12.0" customHeight="1">
      <c r="A54" s="2"/>
      <c r="B54" s="100">
        <v>6.0</v>
      </c>
      <c r="C54" s="74">
        <v>24940.20774258</v>
      </c>
      <c r="D54" s="98">
        <v>977.0</v>
      </c>
      <c r="E54" s="49"/>
      <c r="F54" s="4"/>
      <c r="G54" s="114">
        <v>2029.81806632</v>
      </c>
      <c r="H54" s="114">
        <v>22910.38967626</v>
      </c>
      <c r="I54" s="114">
        <v>0.0</v>
      </c>
      <c r="J54" s="4"/>
      <c r="K54" s="2"/>
      <c r="L54" s="2"/>
      <c r="M54" s="2"/>
      <c r="N54" s="2"/>
      <c r="O54" s="2"/>
      <c r="P54" s="2"/>
      <c r="Q54" s="2"/>
      <c r="R54" s="2"/>
      <c r="S54" s="2"/>
    </row>
    <row r="55" ht="12.0" customHeight="1">
      <c r="A55" s="2"/>
      <c r="B55" s="100">
        <v>7.0</v>
      </c>
      <c r="C55" s="74">
        <v>26370.57421101</v>
      </c>
      <c r="D55" s="98">
        <v>1021.0</v>
      </c>
      <c r="E55" s="49"/>
      <c r="F55" s="4"/>
      <c r="G55" s="114">
        <v>2017.6627595</v>
      </c>
      <c r="H55" s="114">
        <v>24352.9114515099</v>
      </c>
      <c r="I55" s="114">
        <v>0.0</v>
      </c>
      <c r="J55" s="4"/>
      <c r="K55" s="2"/>
      <c r="L55" s="2"/>
      <c r="M55" s="2"/>
      <c r="N55" s="2"/>
      <c r="O55" s="2"/>
      <c r="P55" s="2"/>
      <c r="Q55" s="2"/>
      <c r="R55" s="2"/>
      <c r="S55" s="2"/>
    </row>
    <row r="56" ht="12.0" customHeight="1">
      <c r="A56" s="2"/>
      <c r="B56" s="100">
        <v>8.0</v>
      </c>
      <c r="C56" s="74">
        <v>28439.3559733999</v>
      </c>
      <c r="D56" s="98">
        <v>1092.0</v>
      </c>
      <c r="E56" s="49"/>
      <c r="F56" s="4"/>
      <c r="G56" s="114">
        <v>2002.21534468</v>
      </c>
      <c r="H56" s="114">
        <v>26437.1406287199</v>
      </c>
      <c r="I56" s="114">
        <v>0.0</v>
      </c>
      <c r="J56" s="4"/>
      <c r="K56" s="2"/>
      <c r="L56" s="2"/>
      <c r="M56" s="2"/>
      <c r="N56" s="2"/>
      <c r="O56" s="2"/>
      <c r="P56" s="2"/>
      <c r="Q56" s="2"/>
      <c r="R56" s="2"/>
      <c r="S56" s="2"/>
    </row>
    <row r="57" ht="12.0" customHeight="1">
      <c r="A57" s="2"/>
      <c r="B57" s="100">
        <v>9.0</v>
      </c>
      <c r="C57" s="74">
        <v>28010.4083080199</v>
      </c>
      <c r="D57" s="98">
        <v>1091.0</v>
      </c>
      <c r="E57" s="49"/>
      <c r="F57" s="4"/>
      <c r="G57" s="114">
        <v>1984.71115138</v>
      </c>
      <c r="H57" s="114">
        <v>26025.6971566399</v>
      </c>
      <c r="I57" s="114">
        <v>0.0</v>
      </c>
      <c r="J57" s="4"/>
      <c r="K57" s="2"/>
      <c r="L57" s="2"/>
      <c r="M57" s="2"/>
      <c r="N57" s="2"/>
      <c r="O57" s="2"/>
      <c r="P57" s="2"/>
      <c r="Q57" s="2"/>
      <c r="R57" s="2"/>
      <c r="S57" s="2"/>
    </row>
    <row r="58" ht="12.0" customHeight="1">
      <c r="A58" s="2"/>
      <c r="B58" s="100">
        <v>10.0</v>
      </c>
      <c r="C58" s="74">
        <v>30132.58938853</v>
      </c>
      <c r="D58" s="98">
        <v>1182.0</v>
      </c>
      <c r="E58" s="49"/>
      <c r="F58" s="4"/>
      <c r="G58" s="114">
        <v>1818.20480996</v>
      </c>
      <c r="H58" s="114">
        <v>28314.3845785699</v>
      </c>
      <c r="I58" s="114">
        <v>0.0</v>
      </c>
      <c r="J58" s="4"/>
      <c r="K58" s="2"/>
      <c r="L58" s="2"/>
      <c r="M58" s="2"/>
      <c r="N58" s="2"/>
      <c r="O58" s="2"/>
      <c r="P58" s="2"/>
      <c r="Q58" s="2"/>
      <c r="R58" s="2"/>
      <c r="S58" s="2"/>
    </row>
    <row r="59" ht="12.0" customHeight="1">
      <c r="A59" s="2"/>
      <c r="B59" s="100">
        <v>11.0</v>
      </c>
      <c r="C59" s="74">
        <v>29097.3251159099</v>
      </c>
      <c r="D59" s="98">
        <v>1170.0</v>
      </c>
      <c r="E59" s="49"/>
      <c r="F59" s="4"/>
      <c r="G59" s="114">
        <v>1378.26230236</v>
      </c>
      <c r="H59" s="114">
        <v>27719.0628135499</v>
      </c>
      <c r="I59" s="114">
        <v>0.0</v>
      </c>
      <c r="J59" s="4"/>
      <c r="K59" s="2"/>
      <c r="L59" s="2"/>
      <c r="M59" s="2"/>
      <c r="N59" s="2"/>
      <c r="O59" s="2"/>
      <c r="P59" s="2"/>
      <c r="Q59" s="2"/>
      <c r="R59" s="2"/>
      <c r="S59" s="2"/>
    </row>
    <row r="60" ht="12.0" customHeight="1">
      <c r="A60" s="2"/>
      <c r="B60" s="100">
        <v>12.0</v>
      </c>
      <c r="C60" s="74">
        <v>29005.0964969599</v>
      </c>
      <c r="D60" s="98">
        <v>1182.0</v>
      </c>
      <c r="E60" s="49"/>
      <c r="F60" s="4"/>
      <c r="G60" s="114">
        <v>1616.27107448</v>
      </c>
      <c r="H60" s="114">
        <v>27388.8254224799</v>
      </c>
      <c r="I60" s="114">
        <v>0.0</v>
      </c>
      <c r="J60" s="4"/>
      <c r="K60" s="2"/>
      <c r="L60" s="2"/>
      <c r="M60" s="2"/>
      <c r="N60" s="2"/>
      <c r="O60" s="2"/>
      <c r="P60" s="2"/>
      <c r="Q60" s="2"/>
      <c r="R60" s="2"/>
      <c r="S60" s="2"/>
    </row>
    <row r="61" ht="12.0" customHeight="1">
      <c r="A61" s="40">
        <v>1999.0</v>
      </c>
      <c r="B61" s="100">
        <v>1.0</v>
      </c>
      <c r="C61" s="74">
        <v>25329.38204976</v>
      </c>
      <c r="D61" s="98">
        <v>1113.0</v>
      </c>
      <c r="E61" s="49"/>
      <c r="F61" s="4"/>
      <c r="G61" s="114">
        <v>1574.99879487</v>
      </c>
      <c r="H61" s="114">
        <v>23754.38325489</v>
      </c>
      <c r="I61" s="114">
        <v>0.0</v>
      </c>
      <c r="J61" s="4"/>
      <c r="K61" s="2"/>
      <c r="L61" s="2"/>
      <c r="M61" s="2"/>
      <c r="N61" s="2"/>
      <c r="O61" s="2"/>
      <c r="P61" s="2"/>
      <c r="Q61" s="2"/>
      <c r="R61" s="2"/>
      <c r="S61" s="2"/>
    </row>
    <row r="62" ht="12.0" customHeight="1">
      <c r="A62" s="2"/>
      <c r="B62" s="100">
        <v>2.0</v>
      </c>
      <c r="C62" s="74">
        <v>28108.7960529999</v>
      </c>
      <c r="D62" s="98">
        <v>1192.0</v>
      </c>
      <c r="E62" s="49"/>
      <c r="F62" s="4"/>
      <c r="G62" s="114">
        <v>1351.27655228</v>
      </c>
      <c r="H62" s="114">
        <v>26757.5195007199</v>
      </c>
      <c r="I62" s="114">
        <v>0.0</v>
      </c>
      <c r="J62" s="4"/>
      <c r="K62" s="2"/>
      <c r="L62" s="2"/>
      <c r="M62" s="2"/>
      <c r="N62" s="2"/>
      <c r="O62" s="2"/>
      <c r="P62" s="2"/>
      <c r="Q62" s="2"/>
      <c r="R62" s="2"/>
      <c r="S62" s="2"/>
    </row>
    <row r="63" ht="12.0" customHeight="1">
      <c r="A63" s="2"/>
      <c r="B63" s="100">
        <v>3.0</v>
      </c>
      <c r="C63" s="74">
        <v>28797.6518244499</v>
      </c>
      <c r="D63" s="98">
        <v>1211.0</v>
      </c>
      <c r="E63" s="49"/>
      <c r="F63" s="4"/>
      <c r="G63" s="114">
        <v>1322.85207801</v>
      </c>
      <c r="H63" s="114">
        <v>27474.7997464399</v>
      </c>
      <c r="I63" s="114">
        <v>0.0</v>
      </c>
      <c r="J63" s="4"/>
      <c r="K63" s="2"/>
      <c r="L63" s="2"/>
      <c r="M63" s="2"/>
      <c r="N63" s="2"/>
      <c r="O63" s="2"/>
      <c r="P63" s="2"/>
      <c r="Q63" s="2"/>
      <c r="R63" s="2"/>
      <c r="S63" s="2"/>
    </row>
    <row r="64" ht="12.0" customHeight="1">
      <c r="A64" s="2"/>
      <c r="B64" s="100">
        <v>4.0</v>
      </c>
      <c r="C64" s="74">
        <v>29622.5794597399</v>
      </c>
      <c r="D64" s="98">
        <v>1248.0</v>
      </c>
      <c r="E64" s="49"/>
      <c r="F64" s="4"/>
      <c r="G64" s="114">
        <v>1299.12456083</v>
      </c>
      <c r="H64" s="114">
        <v>28323.4548989099</v>
      </c>
      <c r="I64" s="114">
        <v>0.0</v>
      </c>
      <c r="J64" s="4"/>
      <c r="K64" s="2"/>
      <c r="L64" s="2"/>
      <c r="M64" s="2"/>
      <c r="N64" s="2"/>
      <c r="O64" s="2"/>
      <c r="P64" s="2"/>
      <c r="Q64" s="2"/>
      <c r="R64" s="2"/>
      <c r="S64" s="2"/>
    </row>
    <row r="65" ht="12.0" customHeight="1">
      <c r="A65" s="2"/>
      <c r="B65" s="100">
        <v>5.0</v>
      </c>
      <c r="C65" s="74">
        <v>30841.41073722</v>
      </c>
      <c r="D65" s="98">
        <v>1297.0</v>
      </c>
      <c r="E65" s="49"/>
      <c r="F65" s="4"/>
      <c r="G65" s="114">
        <v>1280.08246401</v>
      </c>
      <c r="H65" s="114">
        <v>29561.32827321</v>
      </c>
      <c r="I65" s="114">
        <v>0.0</v>
      </c>
      <c r="J65" s="4"/>
      <c r="K65" s="2"/>
      <c r="L65" s="2"/>
      <c r="M65" s="2"/>
      <c r="N65" s="2"/>
      <c r="O65" s="2"/>
      <c r="P65" s="2"/>
      <c r="Q65" s="2"/>
      <c r="R65" s="2"/>
      <c r="S65" s="2"/>
    </row>
    <row r="66" ht="12.0" customHeight="1">
      <c r="A66" s="2"/>
      <c r="B66" s="100">
        <v>6.0</v>
      </c>
      <c r="C66" s="74">
        <v>34120.97664306</v>
      </c>
      <c r="D66" s="98">
        <v>1419.0</v>
      </c>
      <c r="E66" s="49"/>
      <c r="F66" s="4"/>
      <c r="G66" s="114">
        <v>1363.33687318999</v>
      </c>
      <c r="H66" s="114">
        <v>32757.6397698699</v>
      </c>
      <c r="I66" s="114">
        <v>0.0</v>
      </c>
      <c r="J66" s="4"/>
      <c r="K66" s="2"/>
      <c r="L66" s="2"/>
      <c r="M66" s="2"/>
      <c r="N66" s="2"/>
      <c r="O66" s="2"/>
      <c r="P66" s="2"/>
      <c r="Q66" s="2"/>
      <c r="R66" s="2"/>
      <c r="S66" s="2"/>
    </row>
    <row r="67" ht="12.0" customHeight="1">
      <c r="A67" s="2"/>
      <c r="B67" s="100">
        <v>7.0</v>
      </c>
      <c r="C67" s="74">
        <v>35899.4009373199</v>
      </c>
      <c r="D67" s="98">
        <v>1556.0</v>
      </c>
      <c r="E67" s="49"/>
      <c r="F67" s="4"/>
      <c r="G67" s="114">
        <v>1629.19341651</v>
      </c>
      <c r="H67" s="114">
        <v>34270.2075208099</v>
      </c>
      <c r="I67" s="114">
        <v>0.0</v>
      </c>
      <c r="J67" s="4"/>
      <c r="K67" s="2"/>
      <c r="L67" s="2"/>
      <c r="M67" s="2"/>
      <c r="N67" s="2"/>
      <c r="O67" s="2"/>
      <c r="P67" s="2"/>
      <c r="Q67" s="2"/>
      <c r="R67" s="2"/>
      <c r="S67" s="2"/>
    </row>
    <row r="68" ht="12.0" customHeight="1">
      <c r="A68" s="2"/>
      <c r="B68" s="100">
        <v>8.0</v>
      </c>
      <c r="C68" s="74">
        <v>36819.9684759499</v>
      </c>
      <c r="D68" s="98">
        <v>1545.0</v>
      </c>
      <c r="E68" s="49"/>
      <c r="F68" s="4"/>
      <c r="G68" s="114">
        <v>1612.54013851</v>
      </c>
      <c r="H68" s="114">
        <v>35207.4283374399</v>
      </c>
      <c r="I68" s="114">
        <v>0.0</v>
      </c>
      <c r="J68" s="4"/>
      <c r="K68" s="2"/>
      <c r="L68" s="2"/>
      <c r="M68" s="2"/>
      <c r="N68" s="2"/>
      <c r="O68" s="2"/>
      <c r="P68" s="2"/>
      <c r="Q68" s="2"/>
      <c r="R68" s="2"/>
      <c r="S68" s="2"/>
    </row>
    <row r="69" ht="12.0" customHeight="1">
      <c r="A69" s="2"/>
      <c r="B69" s="100">
        <v>9.0</v>
      </c>
      <c r="C69" s="74">
        <v>41181.6250793299</v>
      </c>
      <c r="D69" s="98">
        <v>1669.0</v>
      </c>
      <c r="E69" s="49"/>
      <c r="F69" s="4"/>
      <c r="G69" s="114">
        <v>1595.70619971</v>
      </c>
      <c r="H69" s="114">
        <v>39585.9188796199</v>
      </c>
      <c r="I69" s="114">
        <v>0.0</v>
      </c>
      <c r="J69" s="4"/>
      <c r="K69" s="2"/>
      <c r="L69" s="2"/>
      <c r="M69" s="2"/>
      <c r="N69" s="2"/>
      <c r="O69" s="2"/>
      <c r="P69" s="2"/>
      <c r="Q69" s="2"/>
      <c r="R69" s="2"/>
      <c r="S69" s="2"/>
    </row>
    <row r="70" ht="12.0" customHeight="1">
      <c r="A70" s="2"/>
      <c r="B70" s="100">
        <v>10.0</v>
      </c>
      <c r="C70" s="74">
        <v>43334.1826951599</v>
      </c>
      <c r="D70" s="98">
        <v>1747.0</v>
      </c>
      <c r="E70" s="49"/>
      <c r="F70" s="4"/>
      <c r="G70" s="114">
        <v>1582.6151705</v>
      </c>
      <c r="H70" s="114">
        <v>41751.5675246599</v>
      </c>
      <c r="I70" s="114">
        <v>0.0</v>
      </c>
      <c r="J70" s="4"/>
      <c r="K70" s="2"/>
      <c r="L70" s="2"/>
      <c r="M70" s="2"/>
      <c r="N70" s="2"/>
      <c r="O70" s="2"/>
      <c r="P70" s="2"/>
      <c r="Q70" s="2"/>
      <c r="R70" s="2"/>
      <c r="S70" s="2"/>
    </row>
    <row r="71" ht="12.0" customHeight="1">
      <c r="A71" s="2"/>
      <c r="B71" s="100">
        <v>11.0</v>
      </c>
      <c r="C71" s="74">
        <v>45429.97991712</v>
      </c>
      <c r="D71" s="98">
        <v>1831.0</v>
      </c>
      <c r="E71" s="49"/>
      <c r="F71" s="4"/>
      <c r="G71" s="114">
        <v>1568.49810649999</v>
      </c>
      <c r="H71" s="114">
        <v>43861.48181062</v>
      </c>
      <c r="I71" s="114">
        <v>0.0</v>
      </c>
      <c r="J71" s="4"/>
      <c r="K71" s="2"/>
      <c r="L71" s="2"/>
      <c r="M71" s="2"/>
      <c r="N71" s="2"/>
      <c r="O71" s="2"/>
      <c r="P71" s="2"/>
      <c r="Q71" s="2"/>
      <c r="R71" s="2"/>
      <c r="S71" s="2"/>
    </row>
    <row r="72" ht="12.0" customHeight="1">
      <c r="A72" s="2"/>
      <c r="B72" s="100">
        <v>12.0</v>
      </c>
      <c r="C72" s="74">
        <v>49233.5326243599</v>
      </c>
      <c r="D72" s="98">
        <v>1949.0</v>
      </c>
      <c r="E72" s="49"/>
      <c r="F72" s="4"/>
      <c r="G72" s="114">
        <v>1556.11443823</v>
      </c>
      <c r="H72" s="114">
        <v>47677.4181861299</v>
      </c>
      <c r="I72" s="114">
        <v>0.0</v>
      </c>
      <c r="J72" s="4"/>
      <c r="K72" s="2"/>
      <c r="L72" s="2"/>
      <c r="M72" s="2"/>
      <c r="N72" s="2"/>
      <c r="O72" s="2"/>
      <c r="P72" s="2"/>
      <c r="Q72" s="2"/>
      <c r="R72" s="2"/>
      <c r="S72" s="2"/>
    </row>
    <row r="73" ht="12.0" customHeight="1">
      <c r="A73" s="40">
        <v>2000.0</v>
      </c>
      <c r="B73" s="100">
        <v>1.0</v>
      </c>
      <c r="C73" s="74">
        <v>51772.966313</v>
      </c>
      <c r="D73" s="98">
        <v>2067.0</v>
      </c>
      <c r="E73" s="49"/>
      <c r="F73" s="4"/>
      <c r="G73" s="114">
        <v>1203.65588746</v>
      </c>
      <c r="H73" s="114">
        <v>50569.3104255401</v>
      </c>
      <c r="I73" s="114">
        <v>0.0</v>
      </c>
      <c r="J73" s="4"/>
      <c r="K73" s="2"/>
      <c r="L73" s="2"/>
      <c r="M73" s="2"/>
      <c r="N73" s="2"/>
      <c r="O73" s="2"/>
      <c r="P73" s="2"/>
      <c r="Q73" s="2"/>
      <c r="R73" s="2"/>
      <c r="S73" s="2"/>
    </row>
    <row r="74" ht="12.0" customHeight="1">
      <c r="A74" s="2"/>
      <c r="B74" s="100">
        <v>2.0</v>
      </c>
      <c r="C74" s="74">
        <v>54857.9336177901</v>
      </c>
      <c r="D74" s="98">
        <v>2196.0</v>
      </c>
      <c r="E74" s="49"/>
      <c r="F74" s="4"/>
      <c r="G74" s="114">
        <v>1532.38439002</v>
      </c>
      <c r="H74" s="114">
        <v>53325.5492277701</v>
      </c>
      <c r="I74" s="114">
        <v>0.0</v>
      </c>
      <c r="J74" s="4"/>
      <c r="K74" s="2"/>
      <c r="L74" s="2"/>
      <c r="M74" s="2"/>
      <c r="N74" s="2"/>
      <c r="O74" s="2"/>
      <c r="P74" s="2"/>
      <c r="Q74" s="2"/>
      <c r="R74" s="2"/>
      <c r="S74" s="2"/>
    </row>
    <row r="75" ht="12.0" customHeight="1">
      <c r="A75" s="2"/>
      <c r="B75" s="100">
        <v>3.0</v>
      </c>
      <c r="C75" s="74">
        <v>61545.71711146</v>
      </c>
      <c r="D75" s="98">
        <v>2437.0</v>
      </c>
      <c r="E75" s="49"/>
      <c r="F75" s="4"/>
      <c r="G75" s="114">
        <v>1521.41020545</v>
      </c>
      <c r="H75" s="114">
        <v>60024.30690601</v>
      </c>
      <c r="I75" s="114">
        <v>0.0</v>
      </c>
      <c r="J75" s="4"/>
      <c r="K75" s="2"/>
      <c r="L75" s="2"/>
      <c r="M75" s="2"/>
      <c r="N75" s="2"/>
      <c r="O75" s="2"/>
      <c r="P75" s="2"/>
      <c r="Q75" s="2"/>
      <c r="R75" s="2"/>
      <c r="S75" s="2"/>
    </row>
    <row r="76" ht="12.0" customHeight="1">
      <c r="A76" s="2"/>
      <c r="B76" s="100">
        <v>4.0</v>
      </c>
      <c r="C76" s="74">
        <v>61671.12831308</v>
      </c>
      <c r="D76" s="98">
        <v>2471.0</v>
      </c>
      <c r="E76" s="49"/>
      <c r="F76" s="4"/>
      <c r="G76" s="114">
        <v>1506.46936405999</v>
      </c>
      <c r="H76" s="114">
        <v>60164.65894902</v>
      </c>
      <c r="I76" s="114">
        <v>0.0</v>
      </c>
      <c r="J76" s="4"/>
      <c r="K76" s="2"/>
      <c r="L76" s="2"/>
      <c r="M76" s="2"/>
      <c r="N76" s="2"/>
      <c r="O76" s="2"/>
      <c r="P76" s="2"/>
      <c r="Q76" s="2"/>
      <c r="R76" s="2"/>
      <c r="S76" s="2"/>
    </row>
    <row r="77" ht="12.0" customHeight="1">
      <c r="A77" s="2"/>
      <c r="B77" s="100">
        <v>5.0</v>
      </c>
      <c r="C77" s="74">
        <v>61202.00668384</v>
      </c>
      <c r="D77" s="98">
        <v>2465.0</v>
      </c>
      <c r="E77" s="49"/>
      <c r="F77" s="4"/>
      <c r="G77" s="114">
        <v>1491.72145189</v>
      </c>
      <c r="H77" s="114">
        <v>59710.2852319501</v>
      </c>
      <c r="I77" s="114">
        <v>0.0</v>
      </c>
      <c r="J77" s="4"/>
      <c r="K77" s="2"/>
      <c r="L77" s="2"/>
      <c r="M77" s="2"/>
      <c r="N77" s="2"/>
      <c r="O77" s="2"/>
      <c r="P77" s="2"/>
      <c r="Q77" s="2"/>
      <c r="R77" s="2"/>
      <c r="S77" s="2"/>
    </row>
    <row r="78" ht="12.0" customHeight="1">
      <c r="A78" s="2"/>
      <c r="B78" s="100">
        <v>6.0</v>
      </c>
      <c r="C78" s="74">
        <v>60767.26985508</v>
      </c>
      <c r="D78" s="98">
        <v>2488.0</v>
      </c>
      <c r="E78" s="49"/>
      <c r="F78" s="4"/>
      <c r="G78" s="114">
        <v>1477.15758396</v>
      </c>
      <c r="H78" s="114">
        <v>59290.11227112</v>
      </c>
      <c r="I78" s="114">
        <v>0.0</v>
      </c>
      <c r="J78" s="4"/>
      <c r="K78" s="2"/>
      <c r="L78" s="2"/>
      <c r="M78" s="2"/>
      <c r="N78" s="2"/>
      <c r="O78" s="2"/>
      <c r="P78" s="2"/>
      <c r="Q78" s="2"/>
      <c r="R78" s="2"/>
      <c r="S78" s="2"/>
    </row>
    <row r="79" ht="12.0" customHeight="1">
      <c r="A79" s="2"/>
      <c r="B79" s="100">
        <v>7.0</v>
      </c>
      <c r="C79" s="74">
        <v>60127.86927571</v>
      </c>
      <c r="D79" s="98">
        <v>2486.0</v>
      </c>
      <c r="E79" s="49"/>
      <c r="F79" s="4"/>
      <c r="G79" s="114">
        <v>1460.87398403</v>
      </c>
      <c r="H79" s="114">
        <v>58666.99529168</v>
      </c>
      <c r="I79" s="114">
        <v>0.0</v>
      </c>
      <c r="J79" s="4"/>
      <c r="K79" s="2"/>
      <c r="L79" s="2"/>
      <c r="M79" s="2"/>
      <c r="N79" s="2"/>
      <c r="O79" s="2"/>
      <c r="P79" s="2"/>
      <c r="Q79" s="2"/>
      <c r="R79" s="2"/>
      <c r="S79" s="2"/>
    </row>
    <row r="80" ht="12.0" customHeight="1">
      <c r="A80" s="2"/>
      <c r="B80" s="100">
        <v>8.0</v>
      </c>
      <c r="C80" s="74">
        <v>59536.47224447</v>
      </c>
      <c r="D80" s="98">
        <v>2481.0</v>
      </c>
      <c r="E80" s="49"/>
      <c r="F80" s="4"/>
      <c r="G80" s="114">
        <v>1447.26901858999</v>
      </c>
      <c r="H80" s="114">
        <v>58089.20322588</v>
      </c>
      <c r="I80" s="114">
        <v>0.0</v>
      </c>
      <c r="J80" s="4"/>
      <c r="K80" s="2"/>
      <c r="L80" s="2"/>
      <c r="M80" s="2"/>
      <c r="N80" s="2"/>
      <c r="O80" s="2"/>
      <c r="P80" s="2"/>
      <c r="Q80" s="2"/>
      <c r="R80" s="2"/>
      <c r="S80" s="2"/>
    </row>
    <row r="81" ht="12.0" customHeight="1">
      <c r="A81" s="2"/>
      <c r="B81" s="100">
        <v>9.0</v>
      </c>
      <c r="C81" s="74">
        <v>59519.8138166401</v>
      </c>
      <c r="D81" s="98">
        <v>2495.0</v>
      </c>
      <c r="E81" s="49"/>
      <c r="F81" s="4"/>
      <c r="G81" s="114">
        <v>1431.82829905</v>
      </c>
      <c r="H81" s="114">
        <v>58087.9855175901</v>
      </c>
      <c r="I81" s="114">
        <v>0.0</v>
      </c>
      <c r="J81" s="4"/>
      <c r="K81" s="2"/>
      <c r="L81" s="2"/>
      <c r="M81" s="2"/>
      <c r="N81" s="2"/>
      <c r="O81" s="2"/>
      <c r="P81" s="2"/>
      <c r="Q81" s="2"/>
      <c r="R81" s="2"/>
      <c r="S81" s="2"/>
    </row>
    <row r="82" ht="12.0" customHeight="1">
      <c r="A82" s="2"/>
      <c r="B82" s="100">
        <v>10.0</v>
      </c>
      <c r="C82" s="74">
        <v>61751.0735381101</v>
      </c>
      <c r="D82" s="98">
        <v>2555.0</v>
      </c>
      <c r="E82" s="49"/>
      <c r="F82" s="4"/>
      <c r="G82" s="114">
        <v>1419.40791703</v>
      </c>
      <c r="H82" s="114">
        <v>60331.6656210801</v>
      </c>
      <c r="I82" s="114">
        <v>0.0</v>
      </c>
      <c r="J82" s="4"/>
      <c r="K82" s="2"/>
      <c r="L82" s="2"/>
      <c r="M82" s="2"/>
      <c r="N82" s="2"/>
      <c r="O82" s="2"/>
      <c r="P82" s="2"/>
      <c r="Q82" s="2"/>
      <c r="R82" s="2"/>
      <c r="S82" s="2"/>
    </row>
    <row r="83" ht="12.0" customHeight="1">
      <c r="A83" s="2"/>
      <c r="B83" s="100">
        <v>11.0</v>
      </c>
      <c r="C83" s="74">
        <v>62942.18026603</v>
      </c>
      <c r="D83" s="98">
        <v>2580.0</v>
      </c>
      <c r="E83" s="49"/>
      <c r="F83" s="4"/>
      <c r="G83" s="114">
        <v>1404.34214910999</v>
      </c>
      <c r="H83" s="114">
        <v>61537.83811692</v>
      </c>
      <c r="I83" s="114">
        <v>0.0</v>
      </c>
      <c r="J83" s="4"/>
      <c r="K83" s="2"/>
      <c r="L83" s="2"/>
      <c r="M83" s="2"/>
      <c r="N83" s="2"/>
      <c r="O83" s="2"/>
      <c r="P83" s="2"/>
      <c r="Q83" s="2"/>
      <c r="R83" s="2"/>
      <c r="S83" s="2"/>
    </row>
    <row r="84" ht="12.0" customHeight="1">
      <c r="A84" s="2"/>
      <c r="B84" s="100">
        <v>12.0</v>
      </c>
      <c r="C84" s="74">
        <v>63275.4071878801</v>
      </c>
      <c r="D84" s="98">
        <v>2558.0</v>
      </c>
      <c r="E84" s="2"/>
      <c r="F84" s="4"/>
      <c r="G84" s="114">
        <v>1390.48971005</v>
      </c>
      <c r="H84" s="114">
        <v>61884.9174778301</v>
      </c>
      <c r="I84" s="114">
        <v>0.0</v>
      </c>
      <c r="J84" s="4"/>
      <c r="K84" s="2"/>
      <c r="L84" s="2"/>
      <c r="M84" s="2"/>
      <c r="N84" s="2"/>
      <c r="O84" s="2"/>
      <c r="P84" s="2"/>
      <c r="Q84" s="2"/>
      <c r="R84" s="2"/>
      <c r="S84" s="2"/>
    </row>
    <row r="85" ht="12.0" customHeight="1">
      <c r="A85" s="40">
        <v>2001.0</v>
      </c>
      <c r="B85" s="100">
        <v>1.0</v>
      </c>
      <c r="C85" s="74">
        <v>63204.2351524101</v>
      </c>
      <c r="D85" s="98">
        <v>2605.0</v>
      </c>
      <c r="E85" s="2"/>
      <c r="F85" s="4"/>
      <c r="G85" s="114">
        <v>1374.39891277</v>
      </c>
      <c r="H85" s="114">
        <v>61829.8362396401</v>
      </c>
      <c r="I85" s="114">
        <v>0.0</v>
      </c>
      <c r="J85" s="4"/>
      <c r="K85" s="2"/>
      <c r="L85" s="2"/>
      <c r="M85" s="2"/>
      <c r="N85" s="2"/>
      <c r="O85" s="2"/>
      <c r="P85" s="2"/>
      <c r="Q85" s="2"/>
      <c r="R85" s="2"/>
      <c r="S85" s="2"/>
    </row>
    <row r="86" ht="12.0" customHeight="1">
      <c r="A86" s="2"/>
      <c r="B86" s="100">
        <v>2.0</v>
      </c>
      <c r="C86" s="74">
        <v>61968.1394019001</v>
      </c>
      <c r="D86" s="98">
        <v>2691.0</v>
      </c>
      <c r="E86" s="2"/>
      <c r="F86" s="4"/>
      <c r="G86" s="114">
        <v>1353.96951239</v>
      </c>
      <c r="H86" s="114">
        <v>60614.1698895101</v>
      </c>
      <c r="I86" s="114">
        <v>0.0</v>
      </c>
      <c r="J86" s="4"/>
      <c r="K86" s="2"/>
      <c r="L86" s="2"/>
      <c r="M86" s="2"/>
      <c r="N86" s="2"/>
      <c r="O86" s="2"/>
      <c r="P86" s="2"/>
      <c r="Q86" s="2"/>
      <c r="R86" s="2"/>
      <c r="S86" s="2"/>
    </row>
    <row r="87" ht="12.0" customHeight="1">
      <c r="A87" s="2"/>
      <c r="B87" s="100">
        <v>3.0</v>
      </c>
      <c r="C87" s="74">
        <v>62188.5776990601</v>
      </c>
      <c r="D87" s="98">
        <v>2759.0</v>
      </c>
      <c r="E87" s="2"/>
      <c r="F87" s="4"/>
      <c r="G87" s="114">
        <v>1332.83843508</v>
      </c>
      <c r="H87" s="114">
        <v>60855.7392639801</v>
      </c>
      <c r="I87" s="114">
        <v>0.0</v>
      </c>
      <c r="J87" s="4"/>
      <c r="K87" s="2"/>
      <c r="L87" s="2"/>
      <c r="M87" s="2"/>
      <c r="N87" s="2"/>
      <c r="O87" s="2"/>
      <c r="P87" s="2"/>
      <c r="Q87" s="2"/>
      <c r="R87" s="2"/>
      <c r="S87" s="2"/>
    </row>
    <row r="88" ht="12.0" customHeight="1">
      <c r="A88" s="2"/>
      <c r="B88" s="100">
        <v>4.0</v>
      </c>
      <c r="C88" s="74">
        <v>65674.1301743001</v>
      </c>
      <c r="D88" s="98">
        <v>2926.0</v>
      </c>
      <c r="E88" s="2"/>
      <c r="F88" s="4"/>
      <c r="G88" s="114">
        <v>1302.85644537999</v>
      </c>
      <c r="H88" s="114">
        <v>64371.2737289201</v>
      </c>
      <c r="I88" s="114">
        <v>0.0</v>
      </c>
      <c r="J88" s="4"/>
      <c r="K88" s="2"/>
      <c r="L88" s="2"/>
      <c r="M88" s="2"/>
      <c r="N88" s="2"/>
      <c r="O88" s="2"/>
      <c r="P88" s="2"/>
      <c r="Q88" s="2"/>
      <c r="R88" s="2"/>
      <c r="S88" s="2"/>
    </row>
    <row r="89" ht="12.0" customHeight="1">
      <c r="A89" s="2"/>
      <c r="B89" s="100">
        <v>5.0</v>
      </c>
      <c r="C89" s="74">
        <v>66885.7712610801</v>
      </c>
      <c r="D89" s="98">
        <v>2960.0</v>
      </c>
      <c r="E89" s="2"/>
      <c r="F89" s="4"/>
      <c r="G89" s="114">
        <v>1273.34033856</v>
      </c>
      <c r="H89" s="114">
        <v>65612.4309225201</v>
      </c>
      <c r="I89" s="114">
        <v>0.0</v>
      </c>
      <c r="J89" s="4"/>
      <c r="K89" s="2"/>
      <c r="L89" s="2"/>
      <c r="M89" s="2"/>
      <c r="N89" s="2"/>
      <c r="O89" s="2"/>
      <c r="P89" s="2"/>
      <c r="Q89" s="2"/>
      <c r="R89" s="2"/>
      <c r="S89" s="2"/>
    </row>
    <row r="90" ht="12.0" customHeight="1">
      <c r="A90" s="2"/>
      <c r="B90" s="100">
        <v>6.0</v>
      </c>
      <c r="C90" s="74">
        <v>69288.6187708</v>
      </c>
      <c r="D90" s="98">
        <v>3085.0</v>
      </c>
      <c r="E90" s="2"/>
      <c r="F90" s="4"/>
      <c r="G90" s="114">
        <v>1241.26588161</v>
      </c>
      <c r="H90" s="114">
        <v>68047.35288919</v>
      </c>
      <c r="I90" s="114">
        <v>0.0</v>
      </c>
      <c r="J90" s="4"/>
      <c r="K90" s="2"/>
      <c r="L90" s="2"/>
      <c r="M90" s="2"/>
      <c r="N90" s="2"/>
      <c r="O90" s="2"/>
      <c r="P90" s="2"/>
      <c r="Q90" s="2"/>
      <c r="R90" s="2"/>
      <c r="S90" s="2"/>
    </row>
    <row r="91" ht="12.0" customHeight="1">
      <c r="A91" s="2"/>
      <c r="B91" s="100">
        <v>7.0</v>
      </c>
      <c r="C91" s="74">
        <v>69595.68203248</v>
      </c>
      <c r="D91" s="98">
        <v>3132.0</v>
      </c>
      <c r="E91" s="2"/>
      <c r="F91" s="4"/>
      <c r="G91" s="114">
        <v>1211.63363054</v>
      </c>
      <c r="H91" s="114">
        <v>68384.0484019401</v>
      </c>
      <c r="I91" s="114">
        <v>0.0</v>
      </c>
      <c r="J91" s="4"/>
      <c r="K91" s="2"/>
      <c r="L91" s="2"/>
      <c r="M91" s="2"/>
      <c r="N91" s="2"/>
      <c r="O91" s="2"/>
      <c r="P91" s="2"/>
      <c r="Q91" s="2"/>
      <c r="R91" s="2"/>
      <c r="S91" s="2"/>
    </row>
    <row r="92" ht="12.0" customHeight="1">
      <c r="A92" s="2"/>
      <c r="B92" s="100">
        <v>8.0</v>
      </c>
      <c r="C92" s="74">
        <v>68843.23546099</v>
      </c>
      <c r="D92" s="98">
        <v>3141.0</v>
      </c>
      <c r="E92" s="2"/>
      <c r="F92" s="4"/>
      <c r="G92" s="114">
        <v>1183.57389756</v>
      </c>
      <c r="H92" s="114">
        <v>67659.66156343</v>
      </c>
      <c r="I92" s="114">
        <v>0.0</v>
      </c>
      <c r="J92" s="4"/>
      <c r="K92" s="2"/>
      <c r="L92" s="2"/>
      <c r="M92" s="2"/>
      <c r="N92" s="2"/>
      <c r="O92" s="2"/>
      <c r="P92" s="2"/>
      <c r="Q92" s="2"/>
      <c r="R92" s="2"/>
      <c r="S92" s="2"/>
    </row>
    <row r="93" ht="12.0" customHeight="1">
      <c r="A93" s="2"/>
      <c r="B93" s="100">
        <v>9.0</v>
      </c>
      <c r="C93" s="74">
        <v>66708.3126939901</v>
      </c>
      <c r="D93" s="98">
        <v>3162.0</v>
      </c>
      <c r="E93" s="2"/>
      <c r="F93" s="4"/>
      <c r="G93" s="114">
        <v>345.18786647</v>
      </c>
      <c r="H93" s="114">
        <v>66363.1248275201</v>
      </c>
      <c r="I93" s="114">
        <v>0.0</v>
      </c>
      <c r="J93" s="4"/>
      <c r="K93" s="2"/>
      <c r="L93" s="2"/>
      <c r="M93" s="2"/>
      <c r="N93" s="2"/>
      <c r="O93" s="2"/>
      <c r="P93" s="2"/>
      <c r="Q93" s="2"/>
      <c r="R93" s="2"/>
      <c r="S93" s="2"/>
    </row>
    <row r="94" ht="12.0" customHeight="1">
      <c r="A94" s="2"/>
      <c r="B94" s="100">
        <v>10.0</v>
      </c>
      <c r="C94" s="74">
        <v>66167.51507559</v>
      </c>
      <c r="D94" s="98">
        <v>3107.0</v>
      </c>
      <c r="E94" s="2"/>
      <c r="F94" s="4"/>
      <c r="G94" s="114">
        <v>78.553864</v>
      </c>
      <c r="H94" s="114">
        <v>66088.96121159</v>
      </c>
      <c r="I94" s="114">
        <v>0.0</v>
      </c>
      <c r="J94" s="4"/>
      <c r="K94" s="2"/>
      <c r="L94" s="2"/>
      <c r="M94" s="2"/>
      <c r="N94" s="2"/>
      <c r="O94" s="2"/>
      <c r="P94" s="2"/>
      <c r="Q94" s="2"/>
      <c r="R94" s="2"/>
      <c r="S94" s="2"/>
    </row>
    <row r="95" ht="12.0" customHeight="1">
      <c r="A95" s="2"/>
      <c r="B95" s="100">
        <v>11.0</v>
      </c>
      <c r="C95" s="74">
        <v>68015.7783679</v>
      </c>
      <c r="D95" s="98">
        <v>3117.0</v>
      </c>
      <c r="E95" s="2"/>
      <c r="F95" s="4"/>
      <c r="G95" s="114">
        <v>0.0</v>
      </c>
      <c r="H95" s="114">
        <v>68015.7783679</v>
      </c>
      <c r="I95" s="114">
        <v>0.0</v>
      </c>
      <c r="J95" s="4"/>
      <c r="K95" s="2"/>
      <c r="L95" s="2"/>
      <c r="M95" s="2"/>
      <c r="N95" s="2"/>
      <c r="O95" s="2"/>
      <c r="P95" s="2"/>
      <c r="Q95" s="2"/>
      <c r="R95" s="2"/>
      <c r="S95" s="2"/>
    </row>
    <row r="96" ht="12.0" customHeight="1">
      <c r="A96" s="2"/>
      <c r="B96" s="100">
        <v>12.0</v>
      </c>
      <c r="C96" s="74">
        <v>75532.9954936799</v>
      </c>
      <c r="D96" s="98">
        <v>3253.0</v>
      </c>
      <c r="E96" s="2"/>
      <c r="F96" s="4"/>
      <c r="G96" s="9"/>
      <c r="H96" s="114">
        <v>75532.9954936799</v>
      </c>
      <c r="I96" s="114">
        <v>0.0</v>
      </c>
      <c r="J96" s="4"/>
      <c r="K96" s="2"/>
      <c r="L96" s="2"/>
      <c r="M96" s="2"/>
      <c r="N96" s="2"/>
      <c r="O96" s="2"/>
      <c r="P96" s="2"/>
      <c r="Q96" s="2"/>
      <c r="R96" s="2"/>
      <c r="S96" s="2"/>
    </row>
    <row r="97" ht="12.0" customHeight="1">
      <c r="A97" s="40">
        <v>2002.0</v>
      </c>
      <c r="B97" s="100">
        <v>1.0</v>
      </c>
      <c r="C97" s="74">
        <v>81686.8651498098</v>
      </c>
      <c r="D97" s="98">
        <v>3444.0</v>
      </c>
      <c r="E97" s="2"/>
      <c r="F97" s="4"/>
      <c r="G97" s="9"/>
      <c r="H97" s="114">
        <v>81686.8651498098</v>
      </c>
      <c r="I97" s="114">
        <v>0.0</v>
      </c>
      <c r="J97" s="4"/>
      <c r="K97" s="2"/>
      <c r="L97" s="2"/>
      <c r="M97" s="2"/>
      <c r="N97" s="2"/>
      <c r="O97" s="2"/>
      <c r="P97" s="2"/>
      <c r="Q97" s="2"/>
      <c r="R97" s="2"/>
      <c r="S97" s="2"/>
    </row>
    <row r="98" ht="12.0" customHeight="1">
      <c r="A98" s="2"/>
      <c r="B98" s="100">
        <v>2.0</v>
      </c>
      <c r="C98" s="74">
        <v>83829.6020571199</v>
      </c>
      <c r="D98" s="98">
        <v>3544.0</v>
      </c>
      <c r="E98" s="2"/>
      <c r="F98" s="4"/>
      <c r="G98" s="114">
        <v>397.93967</v>
      </c>
      <c r="H98" s="114">
        <v>83431.6623871199</v>
      </c>
      <c r="I98" s="114">
        <v>0.0</v>
      </c>
      <c r="J98" s="4"/>
      <c r="K98" s="2"/>
      <c r="L98" s="2"/>
      <c r="M98" s="2"/>
      <c r="N98" s="2"/>
      <c r="O98" s="2"/>
      <c r="P98" s="2"/>
      <c r="Q98" s="2"/>
      <c r="R98" s="2"/>
      <c r="S98" s="2"/>
    </row>
    <row r="99" ht="12.0" customHeight="1">
      <c r="A99" s="2"/>
      <c r="B99" s="100">
        <v>3.0</v>
      </c>
      <c r="C99" s="74">
        <v>86017.12916395</v>
      </c>
      <c r="D99" s="98">
        <v>3623.0</v>
      </c>
      <c r="E99" s="2"/>
      <c r="F99" s="4"/>
      <c r="G99" s="114">
        <v>395.037098</v>
      </c>
      <c r="H99" s="114">
        <v>85622.09206595</v>
      </c>
      <c r="I99" s="114">
        <v>0.0</v>
      </c>
      <c r="J99" s="4"/>
      <c r="K99" s="2"/>
      <c r="L99" s="2"/>
      <c r="M99" s="2"/>
      <c r="N99" s="2"/>
      <c r="O99" s="2"/>
      <c r="P99" s="2"/>
      <c r="Q99" s="2"/>
      <c r="R99" s="2"/>
      <c r="S99" s="2"/>
    </row>
    <row r="100" ht="12.0" customHeight="1">
      <c r="A100" s="2"/>
      <c r="B100" s="100">
        <v>4.0</v>
      </c>
      <c r="C100" s="74">
        <v>87893.47236708</v>
      </c>
      <c r="D100" s="98">
        <v>3710.0</v>
      </c>
      <c r="E100" s="2"/>
      <c r="F100" s="4"/>
      <c r="G100" s="114">
        <v>391.665182999999</v>
      </c>
      <c r="H100" s="114">
        <v>87501.80718408</v>
      </c>
      <c r="I100" s="114">
        <v>0.0</v>
      </c>
      <c r="J100" s="4"/>
      <c r="K100" s="2"/>
      <c r="L100" s="2"/>
      <c r="M100" s="2"/>
      <c r="N100" s="2"/>
      <c r="O100" s="2"/>
      <c r="P100" s="2"/>
      <c r="Q100" s="2"/>
      <c r="R100" s="2"/>
      <c r="S100" s="2"/>
    </row>
    <row r="101" ht="12.0" customHeight="1">
      <c r="A101" s="2"/>
      <c r="B101" s="100">
        <v>5.0</v>
      </c>
      <c r="C101" s="74">
        <v>88310.1729622298</v>
      </c>
      <c r="D101" s="98">
        <v>3745.0</v>
      </c>
      <c r="E101" s="2"/>
      <c r="F101" s="4"/>
      <c r="G101" s="9"/>
      <c r="H101" s="114">
        <v>88310.1729622298</v>
      </c>
      <c r="I101" s="114">
        <v>0.0</v>
      </c>
      <c r="J101" s="4"/>
      <c r="K101" s="2"/>
      <c r="L101" s="2"/>
      <c r="M101" s="2"/>
      <c r="N101" s="2"/>
      <c r="O101" s="2"/>
      <c r="P101" s="2"/>
      <c r="Q101" s="2"/>
      <c r="R101" s="2"/>
      <c r="S101" s="2"/>
    </row>
    <row r="102" ht="12.0" customHeight="1">
      <c r="A102" s="2"/>
      <c r="B102" s="100">
        <v>6.0</v>
      </c>
      <c r="C102" s="74">
        <v>93945.2181936501</v>
      </c>
      <c r="D102" s="98">
        <v>3977.0</v>
      </c>
      <c r="E102" s="2"/>
      <c r="F102" s="4"/>
      <c r="G102" s="9"/>
      <c r="H102" s="114">
        <v>93945.2181936501</v>
      </c>
      <c r="I102" s="114">
        <v>0.0</v>
      </c>
      <c r="J102" s="4"/>
      <c r="K102" s="2"/>
      <c r="L102" s="2"/>
      <c r="M102" s="2"/>
      <c r="N102" s="2"/>
      <c r="O102" s="2"/>
      <c r="P102" s="2"/>
      <c r="Q102" s="2"/>
      <c r="R102" s="2"/>
      <c r="S102" s="2"/>
    </row>
    <row r="103" ht="12.0" customHeight="1">
      <c r="A103" s="2"/>
      <c r="B103" s="100">
        <v>7.0</v>
      </c>
      <c r="C103" s="2"/>
      <c r="D103" s="2"/>
      <c r="E103" s="2"/>
      <c r="F103" s="2"/>
      <c r="G103" s="9"/>
      <c r="H103" s="9"/>
      <c r="I103" s="9"/>
      <c r="J103" s="2"/>
      <c r="K103" s="2"/>
      <c r="L103" s="2"/>
      <c r="M103" s="2"/>
      <c r="N103" s="2"/>
      <c r="O103" s="2"/>
      <c r="P103" s="2"/>
      <c r="Q103" s="2"/>
      <c r="R103" s="2"/>
      <c r="S103" s="2"/>
    </row>
    <row r="104" ht="12.0" customHeight="1">
      <c r="A104" s="2"/>
      <c r="B104" s="100">
        <v>8.0</v>
      </c>
      <c r="C104" s="74">
        <v>100212.599317179</v>
      </c>
      <c r="D104" s="98">
        <v>4447.0</v>
      </c>
      <c r="E104" s="2"/>
      <c r="F104" s="4"/>
      <c r="G104" s="114">
        <v>240.142524</v>
      </c>
      <c r="H104" s="114">
        <v>99972.4567931799</v>
      </c>
      <c r="I104" s="114">
        <v>0.0</v>
      </c>
      <c r="J104" s="4"/>
      <c r="K104" s="2"/>
      <c r="L104" s="2"/>
      <c r="M104" s="2"/>
      <c r="N104" s="2"/>
      <c r="O104" s="2"/>
      <c r="P104" s="2"/>
      <c r="Q104" s="2"/>
      <c r="R104" s="2"/>
      <c r="S104" s="2"/>
    </row>
    <row r="105" ht="12.0" customHeight="1">
      <c r="A105" s="2"/>
      <c r="B105" s="100">
        <v>9.0</v>
      </c>
      <c r="C105" s="74">
        <v>100237.76889774</v>
      </c>
      <c r="D105" s="98">
        <v>4485.0</v>
      </c>
      <c r="E105" s="2"/>
      <c r="F105" s="4"/>
      <c r="G105" s="114">
        <v>233.38247</v>
      </c>
      <c r="H105" s="114">
        <v>100004.38642774</v>
      </c>
      <c r="I105" s="114">
        <v>0.0</v>
      </c>
      <c r="J105" s="4"/>
      <c r="K105" s="2"/>
      <c r="L105" s="2"/>
      <c r="M105" s="2"/>
      <c r="N105" s="2"/>
      <c r="O105" s="2"/>
      <c r="P105" s="2"/>
      <c r="Q105" s="2"/>
      <c r="R105" s="2"/>
      <c r="S105" s="2"/>
    </row>
    <row r="106" ht="12.0" customHeight="1">
      <c r="A106" s="2"/>
      <c r="B106" s="100">
        <v>10.0</v>
      </c>
      <c r="C106" s="74">
        <v>100562.238427639</v>
      </c>
      <c r="D106" s="98">
        <v>4520.0</v>
      </c>
      <c r="E106" s="2"/>
      <c r="F106" s="4"/>
      <c r="G106" s="114">
        <v>0.0</v>
      </c>
      <c r="H106" s="114">
        <v>100562.238427639</v>
      </c>
      <c r="I106" s="114">
        <v>0.0</v>
      </c>
      <c r="J106" s="4"/>
      <c r="K106" s="2"/>
      <c r="L106" s="2"/>
      <c r="M106" s="2"/>
      <c r="N106" s="2"/>
      <c r="O106" s="2"/>
      <c r="P106" s="2"/>
      <c r="Q106" s="2"/>
      <c r="R106" s="2"/>
      <c r="S106" s="2"/>
    </row>
    <row r="107" ht="12.0" customHeight="1">
      <c r="A107" s="2"/>
      <c r="B107" s="100">
        <v>11.0</v>
      </c>
      <c r="C107" s="74">
        <v>99916.0286373899</v>
      </c>
      <c r="D107" s="98">
        <v>4597.0</v>
      </c>
      <c r="E107" s="2"/>
      <c r="F107" s="4"/>
      <c r="G107" s="9"/>
      <c r="H107" s="114">
        <v>99916.0286373899</v>
      </c>
      <c r="I107" s="114">
        <v>0.0</v>
      </c>
      <c r="J107" s="4"/>
      <c r="K107" s="2"/>
      <c r="L107" s="2"/>
      <c r="M107" s="2"/>
      <c r="N107" s="2"/>
      <c r="O107" s="2"/>
      <c r="P107" s="2"/>
      <c r="Q107" s="2"/>
      <c r="R107" s="2"/>
      <c r="S107" s="2"/>
    </row>
    <row r="108" ht="12.0" customHeight="1">
      <c r="A108" s="2"/>
      <c r="B108" s="100">
        <v>12.0</v>
      </c>
      <c r="C108" s="74">
        <v>101702.72342081</v>
      </c>
      <c r="D108" s="98">
        <v>4731.0</v>
      </c>
      <c r="E108" s="2"/>
      <c r="F108" s="4"/>
      <c r="G108" s="9"/>
      <c r="H108" s="114">
        <v>101702.72342081</v>
      </c>
      <c r="I108" s="114">
        <v>0.0</v>
      </c>
      <c r="J108" s="4"/>
      <c r="K108" s="2"/>
      <c r="L108" s="2"/>
      <c r="M108" s="2"/>
      <c r="N108" s="2"/>
      <c r="O108" s="2"/>
      <c r="P108" s="2"/>
      <c r="Q108" s="2"/>
      <c r="R108" s="2"/>
      <c r="S108" s="2"/>
    </row>
    <row r="109" ht="12.0" customHeight="1">
      <c r="A109" s="40">
        <v>2003.0</v>
      </c>
      <c r="B109" s="100">
        <v>1.0</v>
      </c>
      <c r="C109" s="74">
        <v>100451.45499619</v>
      </c>
      <c r="D109" s="98">
        <v>4849.0</v>
      </c>
      <c r="E109" s="2"/>
      <c r="F109" s="4"/>
      <c r="G109" s="9"/>
      <c r="H109" s="114">
        <v>100451.45499619</v>
      </c>
      <c r="I109" s="114">
        <v>0.0</v>
      </c>
      <c r="J109" s="4"/>
      <c r="K109" s="2"/>
      <c r="L109" s="2"/>
      <c r="M109" s="2"/>
      <c r="N109" s="2"/>
      <c r="O109" s="2"/>
      <c r="P109" s="2"/>
      <c r="Q109" s="2"/>
      <c r="R109" s="2"/>
      <c r="S109" s="2"/>
    </row>
    <row r="110" ht="12.0" customHeight="1">
      <c r="A110" s="2"/>
      <c r="B110" s="100">
        <v>2.0</v>
      </c>
      <c r="C110" s="74">
        <v>103388.7878043</v>
      </c>
      <c r="D110" s="98">
        <v>4947.0</v>
      </c>
      <c r="E110" s="2"/>
      <c r="F110" s="4"/>
      <c r="G110" s="9"/>
      <c r="H110" s="114">
        <v>103388.7878043</v>
      </c>
      <c r="I110" s="114">
        <v>0.0</v>
      </c>
      <c r="J110" s="4"/>
      <c r="K110" s="2"/>
      <c r="L110" s="2"/>
      <c r="M110" s="2"/>
      <c r="N110" s="2"/>
      <c r="O110" s="2"/>
      <c r="P110" s="2"/>
      <c r="Q110" s="2"/>
      <c r="R110" s="2"/>
      <c r="S110" s="2"/>
    </row>
    <row r="111" ht="12.0" customHeight="1">
      <c r="A111" s="2"/>
      <c r="B111" s="100">
        <v>3.0</v>
      </c>
      <c r="C111" s="74">
        <v>103529.82153826</v>
      </c>
      <c r="D111" s="98">
        <v>4991.0</v>
      </c>
      <c r="E111" s="2"/>
      <c r="F111" s="4"/>
      <c r="G111" s="9"/>
      <c r="H111" s="114">
        <v>103529.82153826</v>
      </c>
      <c r="I111" s="114">
        <v>0.0</v>
      </c>
      <c r="J111" s="4"/>
      <c r="K111" s="2"/>
      <c r="L111" s="2"/>
      <c r="M111" s="2"/>
      <c r="N111" s="2"/>
      <c r="O111" s="2"/>
      <c r="P111" s="2"/>
      <c r="Q111" s="2"/>
      <c r="R111" s="2"/>
      <c r="S111" s="2"/>
    </row>
    <row r="112" ht="12.0" customHeight="1">
      <c r="A112" s="2"/>
      <c r="B112" s="100">
        <v>4.0</v>
      </c>
      <c r="C112" s="74">
        <v>103460.99211902</v>
      </c>
      <c r="D112" s="98">
        <v>5157.0</v>
      </c>
      <c r="E112" s="2"/>
      <c r="F112" s="4"/>
      <c r="G112" s="9"/>
      <c r="H112" s="114">
        <v>103460.99211902</v>
      </c>
      <c r="I112" s="114">
        <v>0.0</v>
      </c>
      <c r="J112" s="4"/>
      <c r="K112" s="2"/>
      <c r="L112" s="2"/>
      <c r="M112" s="2"/>
      <c r="N112" s="2"/>
      <c r="O112" s="2"/>
      <c r="P112" s="2"/>
      <c r="Q112" s="2"/>
      <c r="R112" s="2"/>
      <c r="S112" s="2"/>
    </row>
    <row r="113" ht="12.0" customHeight="1">
      <c r="A113" s="2"/>
      <c r="B113" s="100">
        <v>5.0</v>
      </c>
      <c r="C113" s="74">
        <v>106011.57452482</v>
      </c>
      <c r="D113" s="98">
        <v>5340.0</v>
      </c>
      <c r="E113" s="2"/>
      <c r="F113" s="4"/>
      <c r="G113" s="9"/>
      <c r="H113" s="114">
        <v>106011.57452482</v>
      </c>
      <c r="I113" s="114">
        <v>0.0</v>
      </c>
      <c r="J113" s="4"/>
      <c r="K113" s="2"/>
      <c r="L113" s="2"/>
      <c r="M113" s="2"/>
      <c r="N113" s="2"/>
      <c r="O113" s="2"/>
      <c r="P113" s="2"/>
      <c r="Q113" s="2"/>
      <c r="R113" s="2"/>
      <c r="S113" s="2"/>
    </row>
    <row r="114" ht="12.0" customHeight="1">
      <c r="A114" s="2"/>
      <c r="B114" s="100">
        <v>6.0</v>
      </c>
      <c r="C114" s="74">
        <v>106841.69463647</v>
      </c>
      <c r="D114" s="98">
        <v>5435.0</v>
      </c>
      <c r="E114" s="2"/>
      <c r="F114" s="4"/>
      <c r="G114" s="9"/>
      <c r="H114" s="114">
        <v>106841.69463647</v>
      </c>
      <c r="I114" s="114">
        <v>0.0</v>
      </c>
      <c r="J114" s="4"/>
      <c r="K114" s="2"/>
      <c r="L114" s="2"/>
      <c r="M114" s="2"/>
      <c r="N114" s="2"/>
      <c r="O114" s="2"/>
      <c r="P114" s="2"/>
      <c r="Q114" s="2"/>
      <c r="R114" s="2"/>
      <c r="S114" s="2"/>
    </row>
    <row r="115" ht="12.0" customHeight="1">
      <c r="A115" s="2"/>
      <c r="B115" s="100">
        <v>7.0</v>
      </c>
      <c r="C115" s="74">
        <v>104327.56985259</v>
      </c>
      <c r="D115" s="98">
        <v>5476.0</v>
      </c>
      <c r="E115" s="2"/>
      <c r="F115" s="4"/>
      <c r="G115" s="9"/>
      <c r="H115" s="114">
        <v>104327.56985259</v>
      </c>
      <c r="I115" s="114">
        <v>0.0</v>
      </c>
      <c r="J115" s="4"/>
      <c r="K115" s="2"/>
      <c r="L115" s="2"/>
      <c r="M115" s="2"/>
      <c r="N115" s="2"/>
      <c r="O115" s="2"/>
      <c r="P115" s="2"/>
      <c r="Q115" s="2"/>
      <c r="R115" s="2"/>
      <c r="S115" s="2"/>
    </row>
    <row r="116" ht="12.0" customHeight="1">
      <c r="A116" s="2"/>
      <c r="B116" s="100">
        <v>8.0</v>
      </c>
      <c r="C116" s="74">
        <v>100780.02135465</v>
      </c>
      <c r="D116" s="98">
        <v>5533.0</v>
      </c>
      <c r="E116" s="2"/>
      <c r="F116" s="4"/>
      <c r="G116" s="9"/>
      <c r="H116" s="114">
        <v>100780.02135465</v>
      </c>
      <c r="I116" s="114">
        <v>0.0</v>
      </c>
      <c r="J116" s="4"/>
      <c r="K116" s="2"/>
      <c r="L116" s="2"/>
      <c r="M116" s="2"/>
      <c r="N116" s="2"/>
      <c r="O116" s="2"/>
      <c r="P116" s="2"/>
      <c r="Q116" s="2"/>
      <c r="R116" s="2"/>
      <c r="S116" s="2"/>
    </row>
    <row r="117" ht="12.0" customHeight="1">
      <c r="A117" s="2"/>
      <c r="B117" s="100">
        <v>9.0</v>
      </c>
      <c r="C117" s="74">
        <v>102096.14967011</v>
      </c>
      <c r="D117" s="98">
        <v>5602.0</v>
      </c>
      <c r="E117" s="2"/>
      <c r="F117" s="4"/>
      <c r="G117" s="114">
        <v>398.845664</v>
      </c>
      <c r="H117" s="114">
        <v>101697.30400611</v>
      </c>
      <c r="I117" s="114">
        <v>0.0</v>
      </c>
      <c r="J117" s="4"/>
      <c r="K117" s="2"/>
      <c r="L117" s="2"/>
      <c r="M117" s="2"/>
      <c r="N117" s="2"/>
      <c r="O117" s="2"/>
      <c r="P117" s="2"/>
      <c r="Q117" s="2"/>
      <c r="R117" s="2"/>
      <c r="S117" s="2"/>
    </row>
    <row r="118" ht="12.0" customHeight="1">
      <c r="A118" s="2"/>
      <c r="B118" s="100">
        <v>10.0</v>
      </c>
      <c r="C118" s="74">
        <v>104587.32136308</v>
      </c>
      <c r="D118" s="98">
        <v>5735.0</v>
      </c>
      <c r="E118" s="2"/>
      <c r="F118" s="4"/>
      <c r="G118" s="114">
        <v>397.61843</v>
      </c>
      <c r="H118" s="114">
        <v>104189.70293308</v>
      </c>
      <c r="I118" s="114">
        <v>0.0</v>
      </c>
      <c r="J118" s="4"/>
      <c r="K118" s="2"/>
      <c r="L118" s="2"/>
      <c r="M118" s="2"/>
      <c r="N118" s="2"/>
      <c r="O118" s="2"/>
      <c r="P118" s="2"/>
      <c r="Q118" s="2"/>
      <c r="R118" s="2"/>
      <c r="S118" s="2"/>
    </row>
    <row r="119" ht="12.0" customHeight="1">
      <c r="A119" s="2"/>
      <c r="B119" s="100">
        <v>11.0</v>
      </c>
      <c r="C119" s="74">
        <v>108144.37745828</v>
      </c>
      <c r="D119" s="98">
        <v>5867.0</v>
      </c>
      <c r="E119" s="2"/>
      <c r="F119" s="4"/>
      <c r="G119" s="114">
        <v>395.75419</v>
      </c>
      <c r="H119" s="114">
        <v>107748.62326828</v>
      </c>
      <c r="I119" s="114">
        <v>0.0</v>
      </c>
      <c r="J119" s="4"/>
      <c r="K119" s="2"/>
      <c r="L119" s="2"/>
      <c r="M119" s="2"/>
      <c r="N119" s="2"/>
      <c r="O119" s="2"/>
      <c r="P119" s="2"/>
      <c r="Q119" s="2"/>
      <c r="R119" s="2"/>
      <c r="S119" s="2"/>
    </row>
    <row r="120" ht="12.0" customHeight="1">
      <c r="A120" s="2"/>
      <c r="B120" s="100">
        <v>12.0</v>
      </c>
      <c r="C120" s="74">
        <v>112737.86992433</v>
      </c>
      <c r="D120" s="98">
        <v>6133.0</v>
      </c>
      <c r="E120" s="2"/>
      <c r="F120" s="4"/>
      <c r="G120" s="114">
        <v>393.588926</v>
      </c>
      <c r="H120" s="114">
        <v>112344.28099833</v>
      </c>
      <c r="I120" s="114">
        <v>0.0</v>
      </c>
      <c r="J120" s="4"/>
      <c r="K120" s="2"/>
      <c r="L120" s="2"/>
      <c r="M120" s="2"/>
      <c r="N120" s="2"/>
      <c r="O120" s="2"/>
      <c r="P120" s="2"/>
      <c r="Q120" s="2"/>
      <c r="R120" s="2"/>
      <c r="S120" s="2"/>
    </row>
    <row r="121" ht="12.0" customHeight="1">
      <c r="A121" s="40">
        <v>2004.0</v>
      </c>
      <c r="B121" s="100">
        <v>1.0</v>
      </c>
      <c r="C121" s="74">
        <v>113589.22793685</v>
      </c>
      <c r="D121" s="98">
        <v>6191.0</v>
      </c>
      <c r="E121" s="2"/>
      <c r="F121" s="4"/>
      <c r="G121" s="114">
        <v>390.623026</v>
      </c>
      <c r="H121" s="114">
        <v>113198.60491085</v>
      </c>
      <c r="I121" s="114">
        <v>0.0</v>
      </c>
      <c r="J121" s="4"/>
      <c r="K121" s="2"/>
      <c r="L121" s="2"/>
      <c r="M121" s="2"/>
      <c r="N121" s="2"/>
      <c r="O121" s="2"/>
      <c r="P121" s="2"/>
      <c r="Q121" s="2"/>
      <c r="R121" s="2"/>
      <c r="S121" s="2"/>
    </row>
    <row r="122" ht="12.0" customHeight="1">
      <c r="A122" s="2"/>
      <c r="B122" s="100">
        <v>2.0</v>
      </c>
      <c r="C122" s="74">
        <v>112513.35429627</v>
      </c>
      <c r="D122" s="98">
        <v>6230.0</v>
      </c>
      <c r="E122" s="2"/>
      <c r="F122" s="4"/>
      <c r="G122" s="114">
        <v>0.0</v>
      </c>
      <c r="H122" s="114">
        <v>112513.35429627</v>
      </c>
      <c r="I122" s="114">
        <v>0.0</v>
      </c>
      <c r="J122" s="4"/>
      <c r="K122" s="2"/>
      <c r="L122" s="2"/>
      <c r="M122" s="2"/>
      <c r="N122" s="2"/>
      <c r="O122" s="2"/>
      <c r="P122" s="2"/>
      <c r="Q122" s="2"/>
      <c r="R122" s="2"/>
      <c r="S122" s="2"/>
    </row>
    <row r="123" ht="12.0" customHeight="1">
      <c r="A123" s="2"/>
      <c r="B123" s="100">
        <v>3.0</v>
      </c>
      <c r="C123" s="74">
        <v>113340.05799078</v>
      </c>
      <c r="D123" s="98">
        <v>6345.0</v>
      </c>
      <c r="E123" s="2"/>
      <c r="F123" s="4"/>
      <c r="G123" s="114">
        <v>0.0</v>
      </c>
      <c r="H123" s="114">
        <v>113340.05799078</v>
      </c>
      <c r="I123" s="114">
        <v>0.0</v>
      </c>
      <c r="J123" s="4"/>
      <c r="K123" s="2"/>
      <c r="L123" s="2"/>
      <c r="M123" s="2"/>
      <c r="N123" s="2"/>
      <c r="O123" s="2"/>
      <c r="P123" s="2"/>
      <c r="Q123" s="2"/>
      <c r="R123" s="2"/>
      <c r="S123" s="2"/>
    </row>
    <row r="124" ht="12.0" customHeight="1">
      <c r="A124" s="2"/>
      <c r="B124" s="100">
        <v>4.0</v>
      </c>
      <c r="C124" s="74">
        <v>112363.18580505</v>
      </c>
      <c r="D124" s="98">
        <v>6420.0</v>
      </c>
      <c r="E124" s="2"/>
      <c r="F124" s="4"/>
      <c r="G124" s="9"/>
      <c r="H124" s="114">
        <v>112363.18580505</v>
      </c>
      <c r="I124" s="114">
        <v>0.0</v>
      </c>
      <c r="J124" s="4"/>
      <c r="K124" s="2"/>
      <c r="L124" s="2"/>
      <c r="M124" s="2"/>
      <c r="N124" s="2"/>
      <c r="O124" s="2"/>
      <c r="P124" s="2"/>
      <c r="Q124" s="2"/>
      <c r="R124" s="2"/>
      <c r="S124" s="2"/>
    </row>
    <row r="125" ht="12.0" customHeight="1">
      <c r="A125" s="2"/>
      <c r="B125" s="100">
        <v>5.0</v>
      </c>
      <c r="C125" s="74">
        <v>115047.10581378</v>
      </c>
      <c r="D125" s="98">
        <v>6524.0</v>
      </c>
      <c r="E125" s="2"/>
      <c r="F125" s="4"/>
      <c r="G125" s="9"/>
      <c r="H125" s="114">
        <v>115047.10581378</v>
      </c>
      <c r="I125" s="114">
        <v>0.0</v>
      </c>
      <c r="J125" s="4"/>
      <c r="K125" s="2"/>
      <c r="L125" s="2"/>
      <c r="M125" s="2"/>
      <c r="N125" s="2"/>
      <c r="O125" s="2"/>
      <c r="P125" s="2"/>
      <c r="Q125" s="2"/>
      <c r="R125" s="2"/>
      <c r="S125" s="2"/>
    </row>
    <row r="126" ht="12.0" customHeight="1">
      <c r="A126" s="2"/>
      <c r="B126" s="100">
        <v>6.0</v>
      </c>
      <c r="C126" s="74">
        <v>117359.54341376</v>
      </c>
      <c r="D126" s="98">
        <v>6682.0</v>
      </c>
      <c r="E126" s="2"/>
      <c r="F126" s="4"/>
      <c r="G126" s="9"/>
      <c r="H126" s="114">
        <v>117359.54341376</v>
      </c>
      <c r="I126" s="114">
        <v>0.0</v>
      </c>
      <c r="J126" s="4"/>
      <c r="K126" s="2"/>
      <c r="L126" s="2"/>
      <c r="M126" s="2"/>
      <c r="N126" s="2"/>
      <c r="O126" s="2"/>
      <c r="P126" s="2"/>
      <c r="Q126" s="2"/>
      <c r="R126" s="2"/>
      <c r="S126" s="2"/>
    </row>
    <row r="127" ht="12.0" customHeight="1">
      <c r="A127" s="2"/>
      <c r="B127" s="100">
        <v>7.0</v>
      </c>
      <c r="C127" s="74">
        <v>118337.09155033</v>
      </c>
      <c r="D127" s="98">
        <v>6781.0</v>
      </c>
      <c r="E127" s="2"/>
      <c r="F127" s="4"/>
      <c r="G127" s="9"/>
      <c r="H127" s="114">
        <v>118337.09155033</v>
      </c>
      <c r="I127" s="114">
        <v>0.0</v>
      </c>
      <c r="J127" s="4"/>
      <c r="K127" s="2"/>
      <c r="L127" s="2"/>
      <c r="M127" s="2"/>
      <c r="N127" s="2"/>
      <c r="O127" s="2"/>
      <c r="P127" s="2"/>
      <c r="Q127" s="2"/>
      <c r="R127" s="2"/>
      <c r="S127" s="2"/>
    </row>
    <row r="128" ht="12.0" customHeight="1">
      <c r="A128" s="2"/>
      <c r="B128" s="100">
        <v>8.0</v>
      </c>
      <c r="C128" s="74">
        <v>118577.591192259</v>
      </c>
      <c r="D128" s="98">
        <v>6845.0</v>
      </c>
      <c r="E128" s="2"/>
      <c r="F128" s="4"/>
      <c r="G128" s="9"/>
      <c r="H128" s="114">
        <v>118577.591192259</v>
      </c>
      <c r="I128" s="114">
        <v>0.0</v>
      </c>
      <c r="J128" s="4"/>
      <c r="K128" s="2"/>
      <c r="L128" s="2"/>
      <c r="M128" s="2"/>
      <c r="N128" s="2"/>
      <c r="O128" s="2"/>
      <c r="P128" s="2"/>
      <c r="Q128" s="2"/>
      <c r="R128" s="2"/>
      <c r="S128" s="2"/>
    </row>
    <row r="129" ht="12.0" customHeight="1">
      <c r="A129" s="2"/>
      <c r="B129" s="100">
        <v>9.0</v>
      </c>
      <c r="C129" s="74">
        <v>119001.979982519</v>
      </c>
      <c r="D129" s="98">
        <v>6923.0</v>
      </c>
      <c r="E129" s="2"/>
      <c r="F129" s="4"/>
      <c r="G129" s="9"/>
      <c r="H129" s="114">
        <v>119001.979982519</v>
      </c>
      <c r="I129" s="114">
        <v>0.0</v>
      </c>
      <c r="J129" s="4"/>
      <c r="K129" s="2"/>
      <c r="L129" s="2"/>
      <c r="M129" s="2"/>
      <c r="N129" s="2"/>
      <c r="O129" s="2"/>
      <c r="P129" s="2"/>
      <c r="Q129" s="2"/>
      <c r="R129" s="2"/>
      <c r="S129" s="2"/>
    </row>
    <row r="130" ht="12.0" customHeight="1">
      <c r="A130" s="2"/>
      <c r="B130" s="100">
        <v>10.0</v>
      </c>
      <c r="C130" s="74">
        <v>119659.98337931</v>
      </c>
      <c r="D130" s="98">
        <v>7061.0</v>
      </c>
      <c r="E130" s="2"/>
      <c r="F130" s="4"/>
      <c r="G130" s="9"/>
      <c r="H130" s="114">
        <v>119659.98337931</v>
      </c>
      <c r="I130" s="114">
        <v>0.0</v>
      </c>
      <c r="J130" s="4"/>
      <c r="K130" s="2"/>
      <c r="L130" s="2"/>
      <c r="M130" s="2"/>
      <c r="N130" s="2"/>
      <c r="O130" s="2"/>
      <c r="P130" s="2"/>
      <c r="Q130" s="2"/>
      <c r="R130" s="2"/>
      <c r="S130" s="2"/>
    </row>
    <row r="131" ht="12.0" customHeight="1">
      <c r="A131" s="2"/>
      <c r="B131" s="100">
        <v>11.0</v>
      </c>
      <c r="C131" s="74">
        <v>123929.259155169</v>
      </c>
      <c r="D131" s="98">
        <v>7189.0</v>
      </c>
      <c r="E131" s="2"/>
      <c r="F131" s="4"/>
      <c r="G131" s="9"/>
      <c r="H131" s="114">
        <v>123929.259155169</v>
      </c>
      <c r="I131" s="114">
        <v>0.0</v>
      </c>
      <c r="J131" s="4"/>
      <c r="K131" s="2"/>
      <c r="L131" s="2"/>
      <c r="M131" s="2"/>
      <c r="N131" s="2"/>
      <c r="O131" s="2"/>
      <c r="P131" s="2"/>
      <c r="Q131" s="2"/>
      <c r="R131" s="2"/>
      <c r="S131" s="2"/>
    </row>
    <row r="132" ht="12.0" customHeight="1">
      <c r="A132" s="2"/>
      <c r="B132" s="100">
        <v>12.0</v>
      </c>
      <c r="C132" s="74">
        <v>124120.10382609</v>
      </c>
      <c r="D132" s="98">
        <v>7269.0</v>
      </c>
      <c r="E132" s="2"/>
      <c r="F132" s="4"/>
      <c r="G132" s="9"/>
      <c r="H132" s="114">
        <v>124120.10382609</v>
      </c>
      <c r="I132" s="114">
        <v>0.0</v>
      </c>
      <c r="J132" s="4"/>
      <c r="K132" s="2"/>
      <c r="L132" s="2"/>
      <c r="M132" s="2"/>
      <c r="N132" s="2"/>
      <c r="O132" s="2"/>
      <c r="P132" s="2"/>
      <c r="Q132" s="2"/>
      <c r="R132" s="2"/>
      <c r="S132" s="2"/>
    </row>
    <row r="133" ht="12.0" customHeight="1">
      <c r="A133" s="40">
        <v>2005.0</v>
      </c>
      <c r="B133" s="100">
        <v>1.0</v>
      </c>
      <c r="C133" s="74">
        <v>123224.709218039</v>
      </c>
      <c r="D133" s="98">
        <v>7336.0</v>
      </c>
      <c r="E133" s="2"/>
      <c r="F133" s="4"/>
      <c r="G133" s="9"/>
      <c r="H133" s="114">
        <v>123224.709218039</v>
      </c>
      <c r="I133" s="114">
        <v>0.0</v>
      </c>
      <c r="J133" s="4"/>
      <c r="K133" s="2"/>
      <c r="L133" s="2"/>
      <c r="M133" s="2"/>
      <c r="N133" s="2"/>
      <c r="O133" s="2"/>
      <c r="P133" s="2"/>
      <c r="Q133" s="2"/>
      <c r="R133" s="2"/>
      <c r="S133" s="2"/>
    </row>
    <row r="134" ht="12.0" customHeight="1">
      <c r="A134" s="2"/>
      <c r="B134" s="100">
        <v>2.0</v>
      </c>
      <c r="C134" s="74">
        <v>123262.237590989</v>
      </c>
      <c r="D134" s="98">
        <v>7397.0</v>
      </c>
      <c r="E134" s="2"/>
      <c r="F134" s="4"/>
      <c r="G134" s="9"/>
      <c r="H134" s="114">
        <v>123262.237590989</v>
      </c>
      <c r="I134" s="114">
        <v>0.0</v>
      </c>
      <c r="J134" s="4"/>
      <c r="K134" s="2"/>
      <c r="L134" s="2"/>
      <c r="M134" s="2"/>
      <c r="N134" s="2"/>
      <c r="O134" s="2"/>
      <c r="P134" s="2"/>
      <c r="Q134" s="2"/>
      <c r="R134" s="2"/>
      <c r="S134" s="2"/>
    </row>
    <row r="135" ht="12.0" customHeight="1">
      <c r="A135" s="2"/>
      <c r="B135" s="100">
        <v>3.0</v>
      </c>
      <c r="C135" s="74">
        <v>124631.748628829</v>
      </c>
      <c r="D135" s="98">
        <v>7506.0</v>
      </c>
      <c r="E135" s="2"/>
      <c r="F135" s="4"/>
      <c r="G135" s="9"/>
      <c r="H135" s="114">
        <v>124631.748628829</v>
      </c>
      <c r="I135" s="114">
        <v>0.0</v>
      </c>
      <c r="J135" s="4"/>
      <c r="K135" s="2"/>
      <c r="L135" s="2"/>
      <c r="M135" s="2"/>
      <c r="N135" s="2"/>
      <c r="O135" s="2"/>
      <c r="P135" s="2"/>
      <c r="Q135" s="2"/>
      <c r="R135" s="2"/>
      <c r="S135" s="2"/>
    </row>
    <row r="136" ht="12.0" customHeight="1">
      <c r="A136" s="2"/>
      <c r="B136" s="100">
        <v>4.0</v>
      </c>
      <c r="C136" s="74">
        <v>123506.741714949</v>
      </c>
      <c r="D136" s="98">
        <v>7513.0</v>
      </c>
      <c r="E136" s="2"/>
      <c r="F136" s="4"/>
      <c r="G136" s="9"/>
      <c r="H136" s="114">
        <v>123506.741714949</v>
      </c>
      <c r="I136" s="114">
        <v>0.0</v>
      </c>
      <c r="J136" s="4"/>
      <c r="K136" s="2"/>
      <c r="L136" s="2"/>
      <c r="M136" s="2"/>
      <c r="N136" s="2"/>
      <c r="O136" s="2"/>
      <c r="P136" s="2"/>
      <c r="Q136" s="2"/>
      <c r="R136" s="2"/>
      <c r="S136" s="2"/>
    </row>
    <row r="137" ht="12.0" customHeight="1">
      <c r="A137" s="2"/>
      <c r="B137" s="100">
        <v>5.0</v>
      </c>
      <c r="C137" s="74">
        <v>122720.081883839</v>
      </c>
      <c r="D137" s="98">
        <v>7516.0</v>
      </c>
      <c r="E137" s="2"/>
      <c r="F137" s="4"/>
      <c r="G137" s="9"/>
      <c r="H137" s="114">
        <v>122720.081883839</v>
      </c>
      <c r="I137" s="114">
        <v>0.0</v>
      </c>
      <c r="J137" s="4"/>
      <c r="K137" s="2"/>
      <c r="L137" s="2"/>
      <c r="M137" s="2"/>
      <c r="N137" s="2"/>
      <c r="O137" s="2"/>
      <c r="P137" s="2"/>
      <c r="Q137" s="2"/>
      <c r="R137" s="2"/>
      <c r="S137" s="2"/>
    </row>
    <row r="138" ht="12.0" customHeight="1">
      <c r="A138" s="2"/>
      <c r="B138" s="100">
        <v>6.0</v>
      </c>
      <c r="C138" s="74">
        <v>121602.091771069</v>
      </c>
      <c r="D138" s="98">
        <v>7523.0</v>
      </c>
      <c r="E138" s="2"/>
      <c r="F138" s="4"/>
      <c r="G138" s="9"/>
      <c r="H138" s="114">
        <v>121602.091771069</v>
      </c>
      <c r="I138" s="114">
        <v>0.0</v>
      </c>
      <c r="J138" s="4"/>
      <c r="K138" s="2"/>
      <c r="L138" s="2"/>
      <c r="M138" s="2"/>
      <c r="N138" s="2"/>
      <c r="O138" s="2"/>
      <c r="P138" s="2"/>
      <c r="Q138" s="2"/>
      <c r="R138" s="2"/>
      <c r="S138" s="2"/>
    </row>
    <row r="139" ht="12.0" customHeight="1">
      <c r="A139" s="2"/>
      <c r="B139" s="100">
        <v>7.0</v>
      </c>
      <c r="C139" s="74">
        <v>121518.52583157</v>
      </c>
      <c r="D139" s="98">
        <v>7577.0</v>
      </c>
      <c r="E139" s="2"/>
      <c r="F139" s="4"/>
      <c r="G139" s="9"/>
      <c r="H139" s="114">
        <v>121518.52583157</v>
      </c>
      <c r="I139" s="114">
        <v>0.0</v>
      </c>
      <c r="J139" s="4"/>
      <c r="K139" s="2"/>
      <c r="L139" s="2"/>
      <c r="M139" s="2"/>
      <c r="N139" s="2"/>
      <c r="O139" s="2"/>
      <c r="P139" s="2"/>
      <c r="Q139" s="2"/>
      <c r="R139" s="2"/>
      <c r="S139" s="2"/>
    </row>
    <row r="140" ht="12.0" customHeight="1">
      <c r="A140" s="2"/>
      <c r="B140" s="100">
        <v>8.0</v>
      </c>
      <c r="C140" s="74">
        <v>121148.47170619</v>
      </c>
      <c r="D140" s="98">
        <v>7630.0</v>
      </c>
      <c r="E140" s="2"/>
      <c r="F140" s="4"/>
      <c r="G140" s="9"/>
      <c r="H140" s="114">
        <v>121148.47170619</v>
      </c>
      <c r="I140" s="114">
        <v>0.0</v>
      </c>
      <c r="J140" s="4"/>
      <c r="K140" s="2"/>
      <c r="L140" s="2"/>
      <c r="M140" s="2"/>
      <c r="N140" s="2"/>
      <c r="O140" s="2"/>
      <c r="P140" s="2"/>
      <c r="Q140" s="2"/>
      <c r="R140" s="2"/>
      <c r="S140" s="2"/>
    </row>
    <row r="141" ht="12.0" customHeight="1">
      <c r="A141" s="2"/>
      <c r="B141" s="100">
        <v>9.0</v>
      </c>
      <c r="C141" s="74">
        <v>120609.250201669</v>
      </c>
      <c r="D141" s="98">
        <v>7621.0</v>
      </c>
      <c r="E141" s="2"/>
      <c r="F141" s="4"/>
      <c r="G141" s="9"/>
      <c r="H141" s="114">
        <v>120609.250201669</v>
      </c>
      <c r="I141" s="114">
        <v>0.0</v>
      </c>
      <c r="J141" s="4"/>
      <c r="K141" s="2"/>
      <c r="L141" s="2"/>
      <c r="M141" s="2"/>
      <c r="N141" s="2"/>
      <c r="O141" s="2"/>
      <c r="P141" s="2"/>
      <c r="Q141" s="2"/>
      <c r="R141" s="2"/>
      <c r="S141" s="2"/>
    </row>
    <row r="142" ht="12.0" customHeight="1">
      <c r="A142" s="2"/>
      <c r="B142" s="100">
        <v>10.0</v>
      </c>
      <c r="C142" s="74">
        <v>121178.220753819</v>
      </c>
      <c r="D142" s="98">
        <v>7625.0</v>
      </c>
      <c r="E142" s="2"/>
      <c r="F142" s="4"/>
      <c r="G142" s="9"/>
      <c r="H142" s="114">
        <v>121178.220753819</v>
      </c>
      <c r="I142" s="114">
        <v>0.0</v>
      </c>
      <c r="J142" s="4"/>
      <c r="K142" s="2"/>
      <c r="L142" s="2"/>
      <c r="M142" s="2"/>
      <c r="N142" s="2"/>
      <c r="O142" s="2"/>
      <c r="P142" s="2"/>
      <c r="Q142" s="2"/>
      <c r="R142" s="2"/>
      <c r="S142" s="2"/>
    </row>
    <row r="143" ht="12.0" customHeight="1">
      <c r="A143" s="2"/>
      <c r="B143" s="100">
        <v>11.0</v>
      </c>
      <c r="C143" s="74">
        <v>121272.50464088</v>
      </c>
      <c r="D143" s="98">
        <v>7626.0</v>
      </c>
      <c r="E143" s="2"/>
      <c r="F143" s="4"/>
      <c r="G143" s="9"/>
      <c r="H143" s="114">
        <v>121272.50464088</v>
      </c>
      <c r="I143" s="114">
        <v>0.0</v>
      </c>
      <c r="J143" s="4"/>
      <c r="K143" s="2"/>
      <c r="L143" s="2"/>
      <c r="M143" s="2"/>
      <c r="N143" s="2"/>
      <c r="O143" s="2"/>
      <c r="P143" s="2"/>
      <c r="Q143" s="2"/>
      <c r="R143" s="2"/>
      <c r="S143" s="2"/>
    </row>
    <row r="144" ht="12.0" customHeight="1">
      <c r="A144" s="2"/>
      <c r="B144" s="100">
        <v>12.0</v>
      </c>
      <c r="C144" s="74">
        <v>120603.121594239</v>
      </c>
      <c r="D144" s="98">
        <v>7645.0</v>
      </c>
      <c r="E144" s="2"/>
      <c r="F144" s="4"/>
      <c r="G144" s="114">
        <v>199.519426</v>
      </c>
      <c r="H144" s="114">
        <v>120403.602168239</v>
      </c>
      <c r="I144" s="114">
        <v>0.0</v>
      </c>
      <c r="J144" s="4"/>
      <c r="K144" s="2"/>
      <c r="L144" s="2"/>
      <c r="M144" s="2"/>
      <c r="N144" s="2"/>
      <c r="O144" s="2"/>
      <c r="P144" s="2"/>
      <c r="Q144" s="2"/>
      <c r="R144" s="2"/>
      <c r="S144" s="2"/>
    </row>
    <row r="145" ht="12.0" customHeight="1">
      <c r="A145" s="40">
        <v>2006.0</v>
      </c>
      <c r="B145" s="100">
        <v>1.0</v>
      </c>
      <c r="C145" s="74">
        <v>121377.992962359</v>
      </c>
      <c r="D145" s="98">
        <v>7712.0</v>
      </c>
      <c r="E145" s="2"/>
      <c r="F145" s="4"/>
      <c r="G145" s="114">
        <v>198.829108</v>
      </c>
      <c r="H145" s="114">
        <v>121179.163854359</v>
      </c>
      <c r="I145" s="114">
        <v>0.0</v>
      </c>
      <c r="J145" s="4"/>
      <c r="K145" s="2"/>
      <c r="L145" s="2"/>
      <c r="M145" s="2"/>
      <c r="N145" s="2"/>
      <c r="O145" s="2"/>
      <c r="P145" s="2"/>
      <c r="Q145" s="2"/>
      <c r="R145" s="2"/>
      <c r="S145" s="2"/>
    </row>
    <row r="146" ht="12.0" customHeight="1">
      <c r="A146" s="2"/>
      <c r="B146" s="100">
        <v>2.0</v>
      </c>
      <c r="C146" s="74">
        <v>120536.46002629</v>
      </c>
      <c r="D146" s="98">
        <v>7705.0</v>
      </c>
      <c r="E146" s="2"/>
      <c r="F146" s="4"/>
      <c r="G146" s="114">
        <v>197.891398</v>
      </c>
      <c r="H146" s="114">
        <v>120338.56862829</v>
      </c>
      <c r="I146" s="114">
        <v>0.0</v>
      </c>
      <c r="J146" s="4"/>
      <c r="K146" s="2"/>
      <c r="L146" s="2"/>
      <c r="M146" s="2"/>
      <c r="N146" s="2"/>
      <c r="O146" s="2"/>
      <c r="P146" s="2"/>
      <c r="Q146" s="2"/>
      <c r="R146" s="2"/>
      <c r="S146" s="2"/>
    </row>
    <row r="147" ht="12.0" customHeight="1">
      <c r="A147" s="2"/>
      <c r="B147" s="100">
        <v>3.0</v>
      </c>
      <c r="C147" s="74">
        <v>119991.93225091</v>
      </c>
      <c r="D147" s="98">
        <v>7700.0</v>
      </c>
      <c r="E147" s="2"/>
      <c r="F147" s="4"/>
      <c r="G147" s="114">
        <v>196.831668</v>
      </c>
      <c r="H147" s="114">
        <v>119795.10058291</v>
      </c>
      <c r="I147" s="114">
        <v>0.0</v>
      </c>
      <c r="J147" s="4"/>
      <c r="K147" s="2"/>
      <c r="L147" s="2"/>
      <c r="M147" s="2"/>
      <c r="N147" s="2"/>
      <c r="O147" s="2"/>
      <c r="P147" s="2"/>
      <c r="Q147" s="2"/>
      <c r="R147" s="2"/>
      <c r="S147" s="2"/>
    </row>
    <row r="148" ht="12.0" customHeight="1">
      <c r="A148" s="2"/>
      <c r="B148" s="100">
        <v>4.0</v>
      </c>
      <c r="C148" s="74">
        <v>120472.68683304</v>
      </c>
      <c r="D148" s="98">
        <v>7716.0</v>
      </c>
      <c r="E148" s="2"/>
      <c r="F148" s="4"/>
      <c r="G148" s="114">
        <v>195.889468</v>
      </c>
      <c r="H148" s="114">
        <v>120276.79736504</v>
      </c>
      <c r="I148" s="114">
        <v>0.0</v>
      </c>
      <c r="J148" s="4"/>
      <c r="K148" s="2"/>
      <c r="L148" s="2"/>
      <c r="M148" s="2"/>
      <c r="N148" s="2"/>
      <c r="O148" s="2"/>
      <c r="P148" s="2"/>
      <c r="Q148" s="2"/>
      <c r="R148" s="2"/>
      <c r="S148" s="2"/>
    </row>
    <row r="149" ht="12.0" customHeight="1">
      <c r="A149" s="2"/>
      <c r="B149" s="100">
        <v>5.0</v>
      </c>
      <c r="C149" s="74">
        <v>121297.741007059</v>
      </c>
      <c r="D149" s="98">
        <v>7760.0</v>
      </c>
      <c r="E149" s="2"/>
      <c r="F149" s="4"/>
      <c r="G149" s="114">
        <v>194.951936</v>
      </c>
      <c r="H149" s="114">
        <v>121102.789071059</v>
      </c>
      <c r="I149" s="114">
        <v>0.0</v>
      </c>
      <c r="J149" s="4"/>
      <c r="K149" s="2"/>
      <c r="L149" s="2"/>
      <c r="M149" s="2"/>
      <c r="N149" s="2"/>
      <c r="O149" s="2"/>
      <c r="P149" s="2"/>
      <c r="Q149" s="2"/>
      <c r="R149" s="2"/>
      <c r="S149" s="2"/>
    </row>
    <row r="150" ht="12.0" customHeight="1">
      <c r="A150" s="2"/>
      <c r="B150" s="100">
        <v>6.0</v>
      </c>
      <c r="C150" s="74">
        <v>121127.957120549</v>
      </c>
      <c r="D150" s="98">
        <v>7793.0</v>
      </c>
      <c r="E150" s="2"/>
      <c r="F150" s="4"/>
      <c r="G150" s="114">
        <v>392.851199739999</v>
      </c>
      <c r="H150" s="114">
        <v>120735.105920809</v>
      </c>
      <c r="I150" s="114">
        <v>0.0</v>
      </c>
      <c r="J150" s="4"/>
      <c r="K150" s="2"/>
      <c r="L150" s="2"/>
      <c r="M150" s="2"/>
      <c r="N150" s="2"/>
      <c r="O150" s="2"/>
      <c r="P150" s="2"/>
      <c r="Q150" s="2"/>
      <c r="R150" s="2"/>
      <c r="S150" s="2"/>
    </row>
    <row r="151" ht="12.0" customHeight="1">
      <c r="A151" s="2"/>
      <c r="B151" s="100">
        <v>7.0</v>
      </c>
      <c r="C151" s="74">
        <v>120693.953932639</v>
      </c>
      <c r="D151" s="98">
        <v>7839.0</v>
      </c>
      <c r="E151" s="2"/>
      <c r="F151" s="4"/>
      <c r="G151" s="114">
        <v>391.00141762</v>
      </c>
      <c r="H151" s="114">
        <v>120302.952515019</v>
      </c>
      <c r="I151" s="114">
        <v>0.0</v>
      </c>
      <c r="J151" s="4"/>
      <c r="K151" s="2"/>
      <c r="L151" s="2"/>
      <c r="M151" s="2"/>
      <c r="N151" s="2"/>
      <c r="O151" s="2"/>
      <c r="P151" s="2"/>
      <c r="Q151" s="2"/>
      <c r="R151" s="2"/>
      <c r="S151" s="2"/>
    </row>
    <row r="152" ht="12.0" customHeight="1">
      <c r="A152" s="2"/>
      <c r="B152" s="100">
        <v>8.0</v>
      </c>
      <c r="C152" s="74">
        <v>121733.907591039</v>
      </c>
      <c r="D152" s="98">
        <v>10789.0</v>
      </c>
      <c r="E152" s="2"/>
      <c r="F152" s="4"/>
      <c r="G152" s="114">
        <v>388.88390848</v>
      </c>
      <c r="H152" s="114">
        <v>121345.023682559</v>
      </c>
      <c r="I152" s="114">
        <v>0.0</v>
      </c>
      <c r="J152" s="4"/>
      <c r="K152" s="2"/>
      <c r="L152" s="2"/>
      <c r="M152" s="2"/>
      <c r="N152" s="2"/>
      <c r="O152" s="2"/>
      <c r="P152" s="2"/>
      <c r="Q152" s="2"/>
      <c r="R152" s="2"/>
      <c r="S152" s="2"/>
    </row>
    <row r="153" ht="12.0" customHeight="1">
      <c r="A153" s="2"/>
      <c r="B153" s="100">
        <v>9.0</v>
      </c>
      <c r="C153" s="74">
        <v>122698.8582738</v>
      </c>
      <c r="D153" s="98">
        <v>10889.0</v>
      </c>
      <c r="E153" s="2"/>
      <c r="F153" s="4"/>
      <c r="G153" s="114">
        <v>485.33689319</v>
      </c>
      <c r="H153" s="114">
        <v>122213.52138061</v>
      </c>
      <c r="I153" s="114">
        <v>0.0</v>
      </c>
      <c r="J153" s="4"/>
      <c r="K153" s="2"/>
      <c r="L153" s="2"/>
      <c r="M153" s="2"/>
      <c r="N153" s="2"/>
      <c r="O153" s="2"/>
      <c r="P153" s="2"/>
      <c r="Q153" s="2"/>
      <c r="R153" s="2"/>
      <c r="S153" s="2"/>
    </row>
    <row r="154" ht="12.0" customHeight="1">
      <c r="A154" s="2"/>
      <c r="B154" s="100">
        <v>10.0</v>
      </c>
      <c r="C154" s="74">
        <v>122345.18394774</v>
      </c>
      <c r="D154" s="98">
        <v>10936.0</v>
      </c>
      <c r="E154" s="2"/>
      <c r="F154" s="4"/>
      <c r="G154" s="114">
        <v>482.08373788</v>
      </c>
      <c r="H154" s="114">
        <v>121863.10020986</v>
      </c>
      <c r="I154" s="114">
        <v>0.0</v>
      </c>
      <c r="J154" s="4"/>
      <c r="K154" s="2"/>
      <c r="L154" s="2"/>
      <c r="M154" s="2"/>
      <c r="N154" s="2"/>
      <c r="O154" s="2"/>
      <c r="P154" s="2"/>
      <c r="Q154" s="2"/>
      <c r="R154" s="2"/>
      <c r="S154" s="2"/>
    </row>
    <row r="155" ht="12.0" customHeight="1">
      <c r="A155" s="2"/>
      <c r="B155" s="100">
        <v>11.0</v>
      </c>
      <c r="C155" s="74">
        <v>122434.63742758</v>
      </c>
      <c r="D155" s="98">
        <v>11037.0</v>
      </c>
      <c r="E155" s="2"/>
      <c r="F155" s="4"/>
      <c r="G155" s="114">
        <v>577.64346828</v>
      </c>
      <c r="H155" s="114">
        <v>121856.9939593</v>
      </c>
      <c r="I155" s="114">
        <v>0.0</v>
      </c>
      <c r="J155" s="4"/>
      <c r="K155" s="2"/>
      <c r="L155" s="2"/>
      <c r="M155" s="2"/>
      <c r="N155" s="2"/>
      <c r="O155" s="2"/>
      <c r="P155" s="2"/>
      <c r="Q155" s="2"/>
      <c r="R155" s="2"/>
      <c r="S155" s="2"/>
    </row>
    <row r="156" ht="12.0" customHeight="1">
      <c r="A156" s="2"/>
      <c r="B156" s="100">
        <v>12.0</v>
      </c>
      <c r="C156" s="74">
        <v>122918.71323106</v>
      </c>
      <c r="D156" s="98">
        <v>11099.0</v>
      </c>
      <c r="E156" s="2"/>
      <c r="F156" s="4"/>
      <c r="G156" s="114">
        <v>623.21024937</v>
      </c>
      <c r="H156" s="114">
        <v>122295.50298169</v>
      </c>
      <c r="I156" s="114">
        <v>0.0</v>
      </c>
      <c r="J156" s="4"/>
      <c r="K156" s="2"/>
      <c r="L156" s="2"/>
      <c r="M156" s="2"/>
      <c r="N156" s="2"/>
      <c r="O156" s="2"/>
      <c r="P156" s="2"/>
      <c r="Q156" s="2"/>
      <c r="R156" s="2"/>
      <c r="S156" s="2"/>
    </row>
    <row r="157" ht="12.0" customHeight="1">
      <c r="A157" s="40">
        <v>2007.0</v>
      </c>
      <c r="B157" s="100">
        <v>1.0</v>
      </c>
      <c r="C157" s="74">
        <v>122832.6864385</v>
      </c>
      <c r="D157" s="98">
        <v>11145.0</v>
      </c>
      <c r="E157" s="2"/>
      <c r="F157" s="4"/>
      <c r="G157" s="114">
        <v>618.49229371</v>
      </c>
      <c r="H157" s="114">
        <v>122214.19414479</v>
      </c>
      <c r="I157" s="114">
        <v>0.0</v>
      </c>
      <c r="J157" s="4"/>
      <c r="K157" s="2"/>
      <c r="L157" s="2"/>
      <c r="M157" s="2"/>
      <c r="N157" s="2"/>
      <c r="O157" s="2"/>
      <c r="P157" s="2"/>
      <c r="Q157" s="2"/>
      <c r="R157" s="2"/>
      <c r="S157" s="2"/>
    </row>
    <row r="158" ht="12.0" customHeight="1">
      <c r="A158" s="2"/>
      <c r="B158" s="100">
        <v>2.0</v>
      </c>
      <c r="C158" s="74">
        <v>122267.040113329</v>
      </c>
      <c r="D158" s="98">
        <v>11185.0</v>
      </c>
      <c r="E158" s="2"/>
      <c r="F158" s="4"/>
      <c r="G158" s="114">
        <v>613.36425192</v>
      </c>
      <c r="H158" s="114">
        <v>121653.675861409</v>
      </c>
      <c r="I158" s="114">
        <v>0.0</v>
      </c>
      <c r="J158" s="4"/>
      <c r="K158" s="2"/>
      <c r="L158" s="2"/>
      <c r="M158" s="2"/>
      <c r="N158" s="2"/>
      <c r="O158" s="2"/>
      <c r="P158" s="2"/>
      <c r="Q158" s="2"/>
      <c r="R158" s="2"/>
      <c r="S158" s="2"/>
    </row>
    <row r="159" ht="12.0" customHeight="1">
      <c r="A159" s="2"/>
      <c r="B159" s="100">
        <v>3.0</v>
      </c>
      <c r="C159" s="74">
        <v>123095.64469643</v>
      </c>
      <c r="D159" s="98">
        <v>11225.0</v>
      </c>
      <c r="E159" s="2"/>
      <c r="F159" s="4"/>
      <c r="G159" s="114">
        <v>608.23148523</v>
      </c>
      <c r="H159" s="114">
        <v>122487.4132112</v>
      </c>
      <c r="I159" s="114">
        <v>0.0</v>
      </c>
      <c r="J159" s="4"/>
      <c r="K159" s="2"/>
      <c r="L159" s="2"/>
      <c r="M159" s="2"/>
      <c r="N159" s="2"/>
      <c r="O159" s="2"/>
      <c r="P159" s="2"/>
      <c r="Q159" s="2"/>
      <c r="R159" s="2"/>
      <c r="S159" s="2"/>
    </row>
    <row r="160" ht="12.0" customHeight="1">
      <c r="A160" s="2"/>
      <c r="B160" s="100">
        <v>4.0</v>
      </c>
      <c r="C160" s="74">
        <v>125423.036825659</v>
      </c>
      <c r="D160" s="98">
        <v>11311.0</v>
      </c>
      <c r="E160" s="2"/>
      <c r="F160" s="4"/>
      <c r="G160" s="114">
        <v>602.010741129999</v>
      </c>
      <c r="H160" s="114">
        <v>124821.026084529</v>
      </c>
      <c r="I160" s="114">
        <v>0.0</v>
      </c>
      <c r="J160" s="4"/>
      <c r="K160" s="2"/>
      <c r="L160" s="2"/>
      <c r="M160" s="2"/>
      <c r="N160" s="2"/>
      <c r="O160" s="2"/>
      <c r="P160" s="2"/>
      <c r="Q160" s="2"/>
      <c r="R160" s="2"/>
      <c r="S160" s="2"/>
    </row>
    <row r="161" ht="12.0" customHeight="1">
      <c r="A161" s="2"/>
      <c r="B161" s="100">
        <v>5.0</v>
      </c>
      <c r="C161" s="74">
        <v>127941.4343923</v>
      </c>
      <c r="D161" s="98">
        <v>11441.0</v>
      </c>
      <c r="E161" s="2"/>
      <c r="F161" s="4"/>
      <c r="G161" s="114">
        <v>695.638133989999</v>
      </c>
      <c r="H161" s="114">
        <v>127245.79625831</v>
      </c>
      <c r="I161" s="114">
        <v>0.0</v>
      </c>
      <c r="J161" s="4"/>
      <c r="K161" s="2"/>
      <c r="L161" s="2"/>
      <c r="M161" s="2"/>
      <c r="N161" s="2"/>
      <c r="O161" s="2"/>
      <c r="P161" s="2"/>
      <c r="Q161" s="2"/>
      <c r="R161" s="2"/>
      <c r="S161" s="2"/>
    </row>
    <row r="162" ht="12.0" customHeight="1">
      <c r="A162" s="2"/>
      <c r="B162" s="100">
        <v>6.0</v>
      </c>
      <c r="C162" s="74">
        <v>131280.90007551</v>
      </c>
      <c r="D162" s="98">
        <v>11616.0</v>
      </c>
      <c r="E162" s="2"/>
      <c r="F162" s="4"/>
      <c r="G162" s="114">
        <v>888.69623138</v>
      </c>
      <c r="H162" s="114">
        <v>130392.20384413</v>
      </c>
      <c r="I162" s="114">
        <v>0.0</v>
      </c>
      <c r="J162" s="4"/>
      <c r="K162" s="2"/>
      <c r="L162" s="2"/>
      <c r="M162" s="2"/>
      <c r="N162" s="2"/>
      <c r="O162" s="2"/>
      <c r="P162" s="2"/>
      <c r="Q162" s="2"/>
      <c r="R162" s="2"/>
      <c r="S162" s="2"/>
    </row>
    <row r="163" ht="12.0" customHeight="1">
      <c r="A163" s="2"/>
      <c r="B163" s="100">
        <v>7.0</v>
      </c>
      <c r="C163" s="74">
        <v>134963.785077709</v>
      </c>
      <c r="D163" s="98">
        <v>11798.0</v>
      </c>
      <c r="E163" s="2"/>
      <c r="F163" s="4"/>
      <c r="G163" s="114">
        <v>882.11486917</v>
      </c>
      <c r="H163" s="114">
        <v>134081.670208539</v>
      </c>
      <c r="I163" s="114">
        <v>0.0</v>
      </c>
      <c r="J163" s="4"/>
      <c r="K163" s="2"/>
      <c r="L163" s="2"/>
      <c r="M163" s="2"/>
      <c r="N163" s="2"/>
      <c r="O163" s="2"/>
      <c r="P163" s="2"/>
      <c r="Q163" s="2"/>
      <c r="R163" s="2"/>
      <c r="S163" s="2"/>
    </row>
    <row r="164" ht="12.0" customHeight="1">
      <c r="A164" s="2"/>
      <c r="B164" s="100">
        <v>8.0</v>
      </c>
      <c r="C164" s="74">
        <v>137067.20240465</v>
      </c>
      <c r="D164" s="98">
        <v>11917.0</v>
      </c>
      <c r="E164" s="2"/>
      <c r="F164" s="4"/>
      <c r="G164" s="114">
        <v>875.38718041</v>
      </c>
      <c r="H164" s="114">
        <v>136191.815224239</v>
      </c>
      <c r="I164" s="114">
        <v>0.0</v>
      </c>
      <c r="J164" s="4"/>
      <c r="K164" s="2"/>
      <c r="L164" s="2"/>
      <c r="M164" s="2"/>
      <c r="N164" s="2"/>
      <c r="O164" s="2"/>
      <c r="P164" s="2"/>
      <c r="Q164" s="2"/>
      <c r="R164" s="2"/>
      <c r="S164" s="2"/>
    </row>
    <row r="165" ht="12.0" customHeight="1">
      <c r="A165" s="2"/>
      <c r="B165" s="100">
        <v>9.0</v>
      </c>
      <c r="C165" s="74">
        <v>137262.743897619</v>
      </c>
      <c r="D165" s="98">
        <v>12008.0</v>
      </c>
      <c r="E165" s="2"/>
      <c r="F165" s="4"/>
      <c r="G165" s="114">
        <v>868.72719454</v>
      </c>
      <c r="H165" s="114">
        <v>136394.016703079</v>
      </c>
      <c r="I165" s="114">
        <v>0.0</v>
      </c>
      <c r="J165" s="4"/>
      <c r="K165" s="2"/>
      <c r="L165" s="2"/>
      <c r="M165" s="2"/>
      <c r="N165" s="2"/>
      <c r="O165" s="2"/>
      <c r="P165" s="2"/>
      <c r="Q165" s="2"/>
      <c r="R165" s="2"/>
      <c r="S165" s="2"/>
    </row>
    <row r="166" ht="12.0" customHeight="1">
      <c r="A166" s="2"/>
      <c r="B166" s="100">
        <v>10.0</v>
      </c>
      <c r="C166" s="74">
        <v>136866.00841034</v>
      </c>
      <c r="D166" s="98">
        <v>12076.0</v>
      </c>
      <c r="E166" s="2"/>
      <c r="F166" s="4"/>
      <c r="G166" s="114">
        <v>861.48753109</v>
      </c>
      <c r="H166" s="114">
        <v>136004.52087925</v>
      </c>
      <c r="I166" s="114">
        <v>0.0</v>
      </c>
      <c r="J166" s="4"/>
      <c r="K166" s="2"/>
      <c r="L166" s="2"/>
      <c r="M166" s="2"/>
      <c r="N166" s="2"/>
      <c r="O166" s="2"/>
      <c r="P166" s="2"/>
      <c r="Q166" s="2"/>
      <c r="R166" s="2"/>
      <c r="S166" s="2"/>
    </row>
    <row r="167" ht="12.0" customHeight="1">
      <c r="A167" s="2"/>
      <c r="B167" s="100">
        <v>11.0</v>
      </c>
      <c r="C167" s="74">
        <v>139413.788098419</v>
      </c>
      <c r="D167" s="98">
        <v>12221.0</v>
      </c>
      <c r="E167" s="2"/>
      <c r="F167" s="4"/>
      <c r="G167" s="114">
        <v>854.61787569</v>
      </c>
      <c r="H167" s="114">
        <v>138559.170222729</v>
      </c>
      <c r="I167" s="114">
        <v>0.0</v>
      </c>
      <c r="J167" s="4"/>
      <c r="K167" s="2"/>
      <c r="L167" s="2"/>
      <c r="M167" s="2"/>
      <c r="N167" s="2"/>
      <c r="O167" s="2"/>
      <c r="P167" s="2"/>
      <c r="Q167" s="2"/>
      <c r="R167" s="2"/>
      <c r="S167" s="2"/>
    </row>
    <row r="168" ht="12.0" customHeight="1">
      <c r="A168" s="2"/>
      <c r="B168" s="100">
        <v>12.0</v>
      </c>
      <c r="C168" s="74">
        <v>141377.41902206</v>
      </c>
      <c r="D168" s="98">
        <v>12399.0</v>
      </c>
      <c r="E168" s="2"/>
      <c r="F168" s="4"/>
      <c r="G168" s="114">
        <v>846.84596612</v>
      </c>
      <c r="H168" s="114">
        <v>140530.57305594</v>
      </c>
      <c r="I168" s="114">
        <v>0.0</v>
      </c>
      <c r="J168" s="4"/>
      <c r="K168" s="2"/>
      <c r="L168" s="2"/>
      <c r="M168" s="2"/>
      <c r="N168" s="2"/>
      <c r="O168" s="2"/>
      <c r="P168" s="2"/>
      <c r="Q168" s="2"/>
      <c r="R168" s="2"/>
      <c r="S168" s="2"/>
    </row>
    <row r="169" ht="12.0" customHeight="1">
      <c r="A169" s="40">
        <v>2008.0</v>
      </c>
      <c r="B169" s="100">
        <v>1.0</v>
      </c>
      <c r="C169" s="74">
        <v>141357.880216989</v>
      </c>
      <c r="D169" s="98">
        <v>12474.0</v>
      </c>
      <c r="E169" s="2"/>
      <c r="F169" s="4"/>
      <c r="G169" s="114">
        <v>837.63002058</v>
      </c>
      <c r="H169" s="114">
        <v>140520.250196409</v>
      </c>
      <c r="I169" s="114">
        <v>0.0</v>
      </c>
      <c r="J169" s="4"/>
      <c r="K169" s="2"/>
      <c r="L169" s="2"/>
      <c r="M169" s="2"/>
      <c r="N169" s="2"/>
      <c r="O169" s="2"/>
      <c r="P169" s="2"/>
      <c r="Q169" s="2"/>
      <c r="R169" s="2"/>
      <c r="S169" s="2"/>
    </row>
    <row r="170" ht="12.0" customHeight="1">
      <c r="A170" s="2"/>
      <c r="B170" s="100">
        <v>2.0</v>
      </c>
      <c r="C170" s="74">
        <v>141241.610405659</v>
      </c>
      <c r="D170" s="98">
        <v>12575.0</v>
      </c>
      <c r="E170" s="2"/>
      <c r="F170" s="4"/>
      <c r="G170" s="114">
        <v>531.30835812</v>
      </c>
      <c r="H170" s="114">
        <v>140710.302047539</v>
      </c>
      <c r="I170" s="114">
        <v>0.0</v>
      </c>
      <c r="J170" s="4"/>
      <c r="K170" s="2"/>
      <c r="L170" s="2"/>
      <c r="M170" s="2"/>
      <c r="N170" s="2"/>
      <c r="O170" s="2"/>
      <c r="P170" s="2"/>
      <c r="Q170" s="2"/>
      <c r="R170" s="2"/>
      <c r="S170" s="2"/>
    </row>
    <row r="171" ht="12.0" customHeight="1">
      <c r="A171" s="2"/>
      <c r="B171" s="100">
        <v>3.0</v>
      </c>
      <c r="C171" s="74">
        <v>146204.566036379</v>
      </c>
      <c r="D171" s="98">
        <v>12792.0</v>
      </c>
      <c r="E171" s="2"/>
      <c r="F171" s="4"/>
      <c r="G171" s="114">
        <v>572.5735627</v>
      </c>
      <c r="H171" s="114">
        <v>145631.992473679</v>
      </c>
      <c r="I171" s="114">
        <v>0.0</v>
      </c>
      <c r="J171" s="4"/>
      <c r="K171" s="2"/>
      <c r="L171" s="2"/>
      <c r="M171" s="2"/>
      <c r="N171" s="2"/>
      <c r="O171" s="2"/>
      <c r="P171" s="2"/>
      <c r="Q171" s="2"/>
      <c r="R171" s="2"/>
      <c r="S171" s="2"/>
    </row>
    <row r="172" ht="12.0" customHeight="1">
      <c r="A172" s="2"/>
      <c r="B172" s="100">
        <v>4.0</v>
      </c>
      <c r="C172" s="74">
        <v>146591.994892019</v>
      </c>
      <c r="D172" s="98">
        <v>12894.0</v>
      </c>
      <c r="E172" s="2"/>
      <c r="F172" s="4"/>
      <c r="G172" s="114">
        <v>564.72835389</v>
      </c>
      <c r="H172" s="114">
        <v>146027.266538129</v>
      </c>
      <c r="I172" s="114">
        <v>0.0</v>
      </c>
      <c r="J172" s="4"/>
      <c r="K172" s="2"/>
      <c r="L172" s="2"/>
      <c r="M172" s="2"/>
      <c r="N172" s="2"/>
      <c r="O172" s="2"/>
      <c r="P172" s="2"/>
      <c r="Q172" s="2"/>
      <c r="R172" s="2"/>
      <c r="S172" s="2"/>
    </row>
    <row r="173" ht="12.0" customHeight="1">
      <c r="A173" s="2"/>
      <c r="B173" s="100">
        <v>5.0</v>
      </c>
      <c r="C173" s="74">
        <v>149063.67432872</v>
      </c>
      <c r="D173" s="98">
        <v>13076.0</v>
      </c>
      <c r="E173" s="2"/>
      <c r="F173" s="4"/>
      <c r="G173" s="114">
        <v>556.14914592</v>
      </c>
      <c r="H173" s="114">
        <v>148507.525182799</v>
      </c>
      <c r="I173" s="114">
        <v>0.0</v>
      </c>
      <c r="J173" s="4"/>
      <c r="K173" s="2"/>
      <c r="L173" s="2"/>
      <c r="M173" s="2"/>
      <c r="N173" s="2"/>
      <c r="O173" s="2"/>
      <c r="P173" s="2"/>
      <c r="Q173" s="2"/>
      <c r="R173" s="2"/>
      <c r="S173" s="2"/>
    </row>
    <row r="174" ht="12.0" customHeight="1">
      <c r="A174" s="2"/>
      <c r="B174" s="100">
        <v>6.0</v>
      </c>
      <c r="C174" s="74">
        <v>150331.937142499</v>
      </c>
      <c r="D174" s="98">
        <v>13206.0</v>
      </c>
      <c r="E174" s="2"/>
      <c r="F174" s="4"/>
      <c r="G174" s="114">
        <v>550.03489286</v>
      </c>
      <c r="H174" s="114">
        <v>149781.902249639</v>
      </c>
      <c r="I174" s="114">
        <v>0.0</v>
      </c>
      <c r="J174" s="4"/>
      <c r="K174" s="2"/>
      <c r="L174" s="2"/>
      <c r="M174" s="2"/>
      <c r="N174" s="2"/>
      <c r="O174" s="2"/>
      <c r="P174" s="2"/>
      <c r="Q174" s="2"/>
      <c r="R174" s="2"/>
      <c r="S174" s="2"/>
    </row>
    <row r="175" ht="12.0" customHeight="1">
      <c r="A175" s="2"/>
      <c r="B175" s="100">
        <v>7.0</v>
      </c>
      <c r="C175" s="74">
        <v>152779.80116801</v>
      </c>
      <c r="D175" s="98">
        <v>13417.0</v>
      </c>
      <c r="E175" s="2"/>
      <c r="F175" s="4"/>
      <c r="G175" s="114">
        <v>594.91361753</v>
      </c>
      <c r="H175" s="114">
        <v>152184.88755048</v>
      </c>
      <c r="I175" s="114">
        <v>0.0</v>
      </c>
      <c r="J175" s="4"/>
      <c r="K175" s="2"/>
      <c r="L175" s="2"/>
      <c r="M175" s="2"/>
      <c r="N175" s="2"/>
      <c r="O175" s="2"/>
      <c r="P175" s="2"/>
      <c r="Q175" s="2"/>
      <c r="R175" s="2"/>
      <c r="S175" s="2"/>
    </row>
    <row r="176" ht="12.0" customHeight="1">
      <c r="A176" s="2"/>
      <c r="B176" s="100">
        <v>8.0</v>
      </c>
      <c r="C176" s="74">
        <v>153706.186035729</v>
      </c>
      <c r="D176" s="98">
        <v>13532.0</v>
      </c>
      <c r="E176" s="2"/>
      <c r="F176" s="4"/>
      <c r="G176" s="114">
        <v>588.983219509999</v>
      </c>
      <c r="H176" s="114">
        <v>153117.202816219</v>
      </c>
      <c r="I176" s="114">
        <v>0.0</v>
      </c>
      <c r="J176" s="4"/>
      <c r="K176" s="2"/>
      <c r="L176" s="2"/>
      <c r="M176" s="2"/>
      <c r="N176" s="2"/>
      <c r="O176" s="2"/>
      <c r="P176" s="2"/>
      <c r="Q176" s="2"/>
      <c r="R176" s="2"/>
      <c r="S176" s="2"/>
    </row>
    <row r="177" ht="12.0" customHeight="1">
      <c r="A177" s="2"/>
      <c r="B177" s="100">
        <v>9.0</v>
      </c>
      <c r="C177" s="74">
        <v>157005.19135859</v>
      </c>
      <c r="D177" s="98">
        <v>13743.0</v>
      </c>
      <c r="E177" s="2"/>
      <c r="F177" s="4"/>
      <c r="G177" s="114">
        <v>671.555379169999</v>
      </c>
      <c r="H177" s="114">
        <v>156333.63597942</v>
      </c>
      <c r="I177" s="114">
        <v>0.0</v>
      </c>
      <c r="J177" s="4"/>
      <c r="K177" s="2"/>
      <c r="L177" s="2"/>
      <c r="M177" s="2"/>
      <c r="N177" s="2"/>
      <c r="O177" s="2"/>
      <c r="P177" s="2"/>
      <c r="Q177" s="2"/>
      <c r="R177" s="2"/>
      <c r="S177" s="2"/>
    </row>
    <row r="178" ht="12.0" customHeight="1">
      <c r="A178" s="2"/>
      <c r="B178" s="100">
        <v>10.0</v>
      </c>
      <c r="C178" s="74">
        <v>157580.8623034</v>
      </c>
      <c r="D178" s="98">
        <v>13874.0</v>
      </c>
      <c r="E178" s="2"/>
      <c r="F178" s="4"/>
      <c r="G178" s="114">
        <v>665.64746789</v>
      </c>
      <c r="H178" s="114">
        <v>156915.214835509</v>
      </c>
      <c r="I178" s="114">
        <v>0.0</v>
      </c>
      <c r="J178" s="4"/>
      <c r="K178" s="2"/>
      <c r="L178" s="2"/>
      <c r="M178" s="2"/>
      <c r="N178" s="2"/>
      <c r="O178" s="2"/>
      <c r="P178" s="2"/>
      <c r="Q178" s="2"/>
      <c r="R178" s="2"/>
      <c r="S178" s="2"/>
    </row>
    <row r="179" ht="12.0" customHeight="1">
      <c r="A179" s="2"/>
      <c r="B179" s="100">
        <v>11.0</v>
      </c>
      <c r="C179" s="74">
        <v>157336.782546919</v>
      </c>
      <c r="D179" s="98">
        <v>13953.0</v>
      </c>
      <c r="E179" s="2"/>
      <c r="F179" s="4"/>
      <c r="G179" s="114">
        <v>659.26644593</v>
      </c>
      <c r="H179" s="114">
        <v>156677.516100989</v>
      </c>
      <c r="I179" s="114">
        <v>0.0</v>
      </c>
      <c r="J179" s="4"/>
      <c r="K179" s="2"/>
      <c r="L179" s="2"/>
      <c r="M179" s="2"/>
      <c r="N179" s="2"/>
      <c r="O179" s="2"/>
      <c r="P179" s="2"/>
      <c r="Q179" s="2"/>
      <c r="R179" s="2"/>
      <c r="S179" s="2"/>
    </row>
    <row r="180" ht="12.0" customHeight="1">
      <c r="A180" s="2"/>
      <c r="B180" s="100">
        <v>12.0</v>
      </c>
      <c r="C180" s="74">
        <v>156832.43876644</v>
      </c>
      <c r="D180" s="98">
        <v>13994.0</v>
      </c>
      <c r="E180" s="2"/>
      <c r="F180" s="4"/>
      <c r="G180" s="114">
        <v>654.09516616</v>
      </c>
      <c r="H180" s="114">
        <v>156178.34360028</v>
      </c>
      <c r="I180" s="114">
        <v>0.0</v>
      </c>
      <c r="J180" s="4"/>
      <c r="K180" s="2"/>
      <c r="L180" s="2"/>
      <c r="M180" s="2"/>
      <c r="N180" s="2"/>
      <c r="O180" s="2"/>
      <c r="P180" s="2"/>
      <c r="Q180" s="2"/>
      <c r="R180" s="2"/>
      <c r="S180" s="2"/>
    </row>
    <row r="181" ht="12.0" customHeight="1">
      <c r="A181" s="40">
        <v>2009.0</v>
      </c>
      <c r="B181" s="100">
        <v>1.0</v>
      </c>
      <c r="C181" s="74">
        <v>155035.513797369</v>
      </c>
      <c r="D181" s="98">
        <v>14040.0</v>
      </c>
      <c r="E181" s="2"/>
      <c r="F181" s="4"/>
      <c r="G181" s="114">
        <v>149.3501562</v>
      </c>
      <c r="H181" s="114">
        <v>154886.163641169</v>
      </c>
      <c r="I181" s="114">
        <v>0.0</v>
      </c>
      <c r="J181" s="4"/>
      <c r="K181" s="2"/>
      <c r="L181" s="2"/>
      <c r="M181" s="2"/>
      <c r="N181" s="2"/>
      <c r="O181" s="2"/>
      <c r="P181" s="2"/>
      <c r="Q181" s="2"/>
      <c r="R181" s="2"/>
      <c r="S181" s="2"/>
    </row>
    <row r="182" ht="12.0" customHeight="1">
      <c r="A182" s="2"/>
      <c r="B182" s="100">
        <v>2.0</v>
      </c>
      <c r="C182" s="74">
        <v>152633.77348939</v>
      </c>
      <c r="D182" s="98">
        <v>14010.0</v>
      </c>
      <c r="E182" s="2"/>
      <c r="F182" s="4"/>
      <c r="G182" s="114">
        <v>61.22836208</v>
      </c>
      <c r="H182" s="114">
        <v>152572.54512731</v>
      </c>
      <c r="I182" s="114">
        <v>0.0</v>
      </c>
      <c r="J182" s="4"/>
      <c r="K182" s="2"/>
      <c r="L182" s="2"/>
      <c r="M182" s="2"/>
      <c r="N182" s="2"/>
      <c r="O182" s="2"/>
      <c r="P182" s="2"/>
      <c r="Q182" s="2"/>
      <c r="R182" s="2"/>
      <c r="S182" s="2"/>
    </row>
    <row r="183" ht="12.0" customHeight="1">
      <c r="A183" s="2"/>
      <c r="B183" s="100">
        <v>3.0</v>
      </c>
      <c r="C183" s="74">
        <v>153235.2366685</v>
      </c>
      <c r="D183" s="98">
        <v>14071.0</v>
      </c>
      <c r="E183" s="2"/>
      <c r="F183" s="4"/>
      <c r="G183" s="114">
        <v>58.47638877</v>
      </c>
      <c r="H183" s="114">
        <v>153176.76027973</v>
      </c>
      <c r="I183" s="114">
        <v>0.0</v>
      </c>
      <c r="J183" s="4"/>
      <c r="K183" s="2"/>
      <c r="L183" s="2"/>
      <c r="M183" s="2"/>
      <c r="N183" s="2"/>
      <c r="O183" s="2"/>
      <c r="P183" s="2"/>
      <c r="Q183" s="2"/>
      <c r="R183" s="2"/>
      <c r="S183" s="2"/>
    </row>
    <row r="184" ht="12.0" customHeight="1">
      <c r="A184" s="2"/>
      <c r="B184" s="100">
        <v>4.0</v>
      </c>
      <c r="C184" s="74">
        <v>153738.3732221</v>
      </c>
      <c r="D184" s="98">
        <v>14142.0</v>
      </c>
      <c r="E184" s="2"/>
      <c r="F184" s="4"/>
      <c r="G184" s="114">
        <v>55.85969046</v>
      </c>
      <c r="H184" s="114">
        <v>153682.51353164</v>
      </c>
      <c r="I184" s="114">
        <v>0.0</v>
      </c>
      <c r="J184" s="4"/>
      <c r="K184" s="2"/>
      <c r="L184" s="2"/>
      <c r="M184" s="2"/>
      <c r="N184" s="2"/>
      <c r="O184" s="2"/>
      <c r="P184" s="2"/>
      <c r="Q184" s="2"/>
      <c r="R184" s="2"/>
      <c r="S184" s="2"/>
    </row>
    <row r="185" ht="12.0" customHeight="1">
      <c r="A185" s="2"/>
      <c r="B185" s="100">
        <v>5.0</v>
      </c>
      <c r="C185" s="74">
        <v>156207.92061511</v>
      </c>
      <c r="D185" s="98">
        <v>14223.0</v>
      </c>
      <c r="E185" s="2"/>
      <c r="F185" s="4"/>
      <c r="G185" s="114">
        <v>53.14413574</v>
      </c>
      <c r="H185" s="114">
        <v>156154.77647937</v>
      </c>
      <c r="I185" s="114">
        <v>0.0</v>
      </c>
      <c r="J185" s="4"/>
      <c r="K185" s="2"/>
      <c r="L185" s="2"/>
      <c r="M185" s="2"/>
      <c r="N185" s="2"/>
      <c r="O185" s="2"/>
      <c r="P185" s="2"/>
      <c r="Q185" s="2"/>
      <c r="R185" s="2"/>
      <c r="S185" s="2"/>
    </row>
    <row r="186" ht="12.0" customHeight="1">
      <c r="A186" s="2"/>
      <c r="B186" s="100">
        <v>6.0</v>
      </c>
      <c r="C186" s="74">
        <v>162421.90829164</v>
      </c>
      <c r="D186" s="98">
        <v>14440.0</v>
      </c>
      <c r="E186" s="2"/>
      <c r="F186" s="4"/>
      <c r="G186" s="114">
        <v>51.3205787</v>
      </c>
      <c r="H186" s="114">
        <v>162370.58771294</v>
      </c>
      <c r="I186" s="114">
        <v>0.0</v>
      </c>
      <c r="J186" s="4"/>
      <c r="K186" s="2"/>
      <c r="L186" s="2"/>
      <c r="M186" s="2"/>
      <c r="N186" s="2"/>
      <c r="O186" s="2"/>
      <c r="P186" s="2"/>
      <c r="Q186" s="2"/>
      <c r="R186" s="2"/>
      <c r="S186" s="2"/>
    </row>
    <row r="187" ht="12.0" customHeight="1">
      <c r="A187" s="2"/>
      <c r="B187" s="100">
        <v>7.0</v>
      </c>
      <c r="C187" s="74">
        <v>169365.367143039</v>
      </c>
      <c r="D187" s="98">
        <v>14672.0</v>
      </c>
      <c r="E187" s="2"/>
      <c r="F187" s="4"/>
      <c r="G187" s="114">
        <v>48.99454386</v>
      </c>
      <c r="H187" s="114">
        <v>169316.372599179</v>
      </c>
      <c r="I187" s="114">
        <v>0.0</v>
      </c>
      <c r="J187" s="4"/>
      <c r="K187" s="2"/>
      <c r="L187" s="2"/>
      <c r="M187" s="2"/>
      <c r="N187" s="2"/>
      <c r="O187" s="2"/>
      <c r="P187" s="2"/>
      <c r="Q187" s="2"/>
      <c r="R187" s="2"/>
      <c r="S187" s="2"/>
    </row>
    <row r="188" ht="12.0" customHeight="1">
      <c r="A188" s="2"/>
      <c r="B188" s="100">
        <v>8.0</v>
      </c>
      <c r="C188" s="74">
        <v>176152.467793119</v>
      </c>
      <c r="D188" s="98">
        <v>14900.0</v>
      </c>
      <c r="E188" s="2"/>
      <c r="F188" s="4"/>
      <c r="G188" s="114">
        <v>47.30586365</v>
      </c>
      <c r="H188" s="114">
        <v>176105.161929469</v>
      </c>
      <c r="I188" s="114">
        <v>0.0</v>
      </c>
      <c r="J188" s="4"/>
      <c r="K188" s="2"/>
      <c r="L188" s="2"/>
      <c r="M188" s="2"/>
      <c r="N188" s="2"/>
      <c r="O188" s="2"/>
      <c r="P188" s="2"/>
      <c r="Q188" s="2"/>
      <c r="R188" s="2"/>
      <c r="S188" s="2"/>
    </row>
    <row r="189" ht="12.0" customHeight="1">
      <c r="A189" s="2"/>
      <c r="B189" s="100">
        <v>9.0</v>
      </c>
      <c r="C189" s="74">
        <v>191229.001958709</v>
      </c>
      <c r="D189" s="98">
        <v>15287.0</v>
      </c>
      <c r="E189" s="2"/>
      <c r="F189" s="4"/>
      <c r="G189" s="114">
        <v>45.47521664</v>
      </c>
      <c r="H189" s="114">
        <v>191183.526742069</v>
      </c>
      <c r="I189" s="114">
        <v>0.0</v>
      </c>
      <c r="J189" s="4"/>
      <c r="K189" s="2"/>
      <c r="L189" s="2"/>
      <c r="M189" s="2"/>
      <c r="N189" s="2"/>
      <c r="O189" s="2"/>
      <c r="P189" s="2"/>
      <c r="Q189" s="2"/>
      <c r="R189" s="2"/>
      <c r="S189" s="2"/>
    </row>
    <row r="190" ht="12.0" customHeight="1">
      <c r="A190" s="2"/>
      <c r="B190" s="100">
        <v>10.0</v>
      </c>
      <c r="C190" s="74">
        <v>197260.32869215</v>
      </c>
      <c r="D190" s="98">
        <v>15531.0</v>
      </c>
      <c r="E190" s="2"/>
      <c r="F190" s="4"/>
      <c r="G190" s="114">
        <v>41.48289362</v>
      </c>
      <c r="H190" s="114">
        <v>197218.84579853</v>
      </c>
      <c r="I190" s="114">
        <v>0.0</v>
      </c>
      <c r="J190" s="4"/>
      <c r="K190" s="2"/>
      <c r="L190" s="2"/>
      <c r="M190" s="2"/>
      <c r="N190" s="2"/>
      <c r="O190" s="2"/>
      <c r="P190" s="2"/>
      <c r="Q190" s="2"/>
      <c r="R190" s="2"/>
      <c r="S190" s="2"/>
    </row>
    <row r="191" ht="12.0" customHeight="1">
      <c r="A191" s="2"/>
      <c r="B191" s="100">
        <v>11.0</v>
      </c>
      <c r="C191" s="74">
        <v>204847.19661264</v>
      </c>
      <c r="D191" s="98">
        <v>15868.0</v>
      </c>
      <c r="E191" s="2"/>
      <c r="F191" s="4"/>
      <c r="G191" s="114">
        <v>39.76613827</v>
      </c>
      <c r="H191" s="114">
        <v>204807.43047437</v>
      </c>
      <c r="I191" s="114">
        <v>0.0</v>
      </c>
      <c r="J191" s="4"/>
      <c r="K191" s="2"/>
      <c r="L191" s="2"/>
      <c r="M191" s="2"/>
      <c r="N191" s="2"/>
      <c r="O191" s="2"/>
      <c r="P191" s="2"/>
      <c r="Q191" s="2"/>
      <c r="R191" s="2"/>
      <c r="S191" s="2"/>
    </row>
    <row r="192" ht="12.0" customHeight="1">
      <c r="A192" s="2"/>
      <c r="B192" s="100">
        <v>12.0</v>
      </c>
      <c r="C192" s="74">
        <v>211837.387789669</v>
      </c>
      <c r="D192" s="98">
        <v>16193.0</v>
      </c>
      <c r="E192" s="2"/>
      <c r="F192" s="4"/>
      <c r="G192" s="114">
        <v>136.74751898</v>
      </c>
      <c r="H192" s="114">
        <v>211569.730190639</v>
      </c>
      <c r="I192" s="114">
        <v>130.91008005</v>
      </c>
      <c r="J192" s="4"/>
      <c r="K192" s="2"/>
      <c r="L192" s="2"/>
      <c r="M192" s="2"/>
      <c r="N192" s="2"/>
      <c r="O192" s="2"/>
      <c r="P192" s="2"/>
      <c r="Q192" s="2"/>
      <c r="R192" s="2"/>
      <c r="S192" s="2"/>
    </row>
    <row r="193" ht="12.0" customHeight="1">
      <c r="A193" s="40">
        <v>2010.0</v>
      </c>
      <c r="B193" s="100">
        <v>1.0</v>
      </c>
      <c r="C193" s="74">
        <v>228648.31219885</v>
      </c>
      <c r="D193" s="98">
        <v>16431.0</v>
      </c>
      <c r="E193" s="2"/>
      <c r="F193" s="4"/>
      <c r="G193" s="114">
        <v>238.647621919999</v>
      </c>
      <c r="H193" s="114">
        <v>228278.74568352</v>
      </c>
      <c r="I193" s="114">
        <v>130.91889341</v>
      </c>
      <c r="J193" s="4"/>
      <c r="K193" s="2"/>
      <c r="L193" s="2"/>
      <c r="M193" s="2"/>
      <c r="N193" s="2"/>
      <c r="O193" s="2"/>
      <c r="P193" s="2"/>
      <c r="Q193" s="2"/>
      <c r="R193" s="2"/>
      <c r="S193" s="2"/>
    </row>
    <row r="194" ht="12.0" customHeight="1">
      <c r="A194" s="2"/>
      <c r="B194" s="100">
        <v>2.0</v>
      </c>
      <c r="C194" s="74">
        <v>246921.46356814</v>
      </c>
      <c r="D194" s="98">
        <v>16561.0</v>
      </c>
      <c r="E194" s="2"/>
      <c r="F194" s="4"/>
      <c r="G194" s="114">
        <v>287.47964175</v>
      </c>
      <c r="H194" s="114">
        <v>246359.97718238</v>
      </c>
      <c r="I194" s="114">
        <v>274.00674401</v>
      </c>
      <c r="J194" s="4"/>
      <c r="K194" s="2"/>
      <c r="L194" s="2"/>
      <c r="M194" s="2"/>
      <c r="N194" s="2"/>
      <c r="O194" s="2"/>
      <c r="P194" s="2"/>
      <c r="Q194" s="2"/>
      <c r="R194" s="2"/>
      <c r="S194" s="2"/>
    </row>
    <row r="195" ht="12.0" customHeight="1">
      <c r="A195" s="2"/>
      <c r="B195" s="100">
        <v>3.0</v>
      </c>
      <c r="C195" s="74">
        <v>260429.834512309</v>
      </c>
      <c r="D195" s="98">
        <v>16859.0</v>
      </c>
      <c r="E195" s="2"/>
      <c r="F195" s="4"/>
      <c r="G195" s="114">
        <v>609.11029832</v>
      </c>
      <c r="H195" s="114">
        <v>259337.071177169</v>
      </c>
      <c r="I195" s="114">
        <v>483.653036819999</v>
      </c>
      <c r="J195" s="4"/>
      <c r="K195" s="2"/>
      <c r="L195" s="2"/>
      <c r="M195" s="2"/>
      <c r="N195" s="2"/>
      <c r="O195" s="2"/>
      <c r="P195" s="2"/>
      <c r="Q195" s="2"/>
      <c r="R195" s="2"/>
      <c r="S195" s="2"/>
    </row>
    <row r="196" ht="12.0" customHeight="1">
      <c r="A196" s="2"/>
      <c r="B196" s="100">
        <v>4.0</v>
      </c>
      <c r="C196" s="74">
        <v>273398.322751869</v>
      </c>
      <c r="D196" s="98">
        <v>17174.0</v>
      </c>
      <c r="E196" s="2"/>
      <c r="F196" s="4"/>
      <c r="G196" s="114">
        <v>750.42877972</v>
      </c>
      <c r="H196" s="114">
        <v>271761.36485699</v>
      </c>
      <c r="I196" s="114">
        <v>886.52911516</v>
      </c>
      <c r="J196" s="4"/>
      <c r="K196" s="2"/>
      <c r="L196" s="2"/>
      <c r="M196" s="2"/>
      <c r="N196" s="2"/>
      <c r="O196" s="2"/>
      <c r="P196" s="2"/>
      <c r="Q196" s="2"/>
      <c r="R196" s="2"/>
      <c r="S196" s="2"/>
    </row>
    <row r="197" ht="12.0" customHeight="1">
      <c r="A197" s="2"/>
      <c r="B197" s="100">
        <v>5.0</v>
      </c>
      <c r="C197" s="74">
        <v>285494.632679008</v>
      </c>
      <c r="D197" s="98">
        <v>17640.0</v>
      </c>
      <c r="E197" s="2"/>
      <c r="F197" s="4"/>
      <c r="G197" s="114">
        <v>726.73023508</v>
      </c>
      <c r="H197" s="114">
        <v>283376.996653449</v>
      </c>
      <c r="I197" s="114">
        <v>1390.90579048</v>
      </c>
      <c r="J197" s="4"/>
      <c r="K197" s="2"/>
      <c r="L197" s="2"/>
      <c r="M197" s="2"/>
      <c r="N197" s="2"/>
      <c r="O197" s="2"/>
      <c r="P197" s="2"/>
      <c r="Q197" s="2"/>
      <c r="R197" s="2"/>
      <c r="S197" s="2"/>
    </row>
    <row r="198" ht="12.0" customHeight="1">
      <c r="A198" s="2"/>
      <c r="B198" s="100">
        <v>6.0</v>
      </c>
      <c r="C198" s="74">
        <v>293873.13361028</v>
      </c>
      <c r="D198" s="98">
        <v>18097.0</v>
      </c>
      <c r="E198" s="2"/>
      <c r="F198" s="4"/>
      <c r="G198" s="114">
        <v>763.85497572</v>
      </c>
      <c r="H198" s="114">
        <v>291308.8237111</v>
      </c>
      <c r="I198" s="114">
        <v>1800.45492346</v>
      </c>
      <c r="J198" s="4"/>
      <c r="K198" s="2"/>
      <c r="L198" s="2"/>
      <c r="M198" s="2"/>
      <c r="N198" s="2"/>
      <c r="O198" s="2"/>
      <c r="P198" s="2"/>
      <c r="Q198" s="2"/>
      <c r="R198" s="2"/>
      <c r="S198" s="2"/>
    </row>
    <row r="199" ht="12.0" customHeight="1">
      <c r="A199" s="2"/>
      <c r="B199" s="100">
        <v>7.0</v>
      </c>
      <c r="C199" s="74">
        <v>300120.743975729</v>
      </c>
      <c r="D199" s="98">
        <v>18443.0</v>
      </c>
      <c r="E199" s="2"/>
      <c r="F199" s="4"/>
      <c r="G199" s="114">
        <v>1282.02425102</v>
      </c>
      <c r="H199" s="114">
        <v>296593.147631289</v>
      </c>
      <c r="I199" s="114">
        <v>2245.57209342</v>
      </c>
      <c r="J199" s="4"/>
      <c r="K199" s="2"/>
      <c r="L199" s="2"/>
      <c r="M199" s="2"/>
      <c r="N199" s="2"/>
      <c r="O199" s="2"/>
      <c r="P199" s="2"/>
      <c r="Q199" s="2"/>
      <c r="R199" s="2"/>
      <c r="S199" s="2"/>
    </row>
    <row r="200" ht="12.0" customHeight="1">
      <c r="A200" s="2"/>
      <c r="B200" s="100">
        <v>8.0</v>
      </c>
      <c r="C200" s="74">
        <v>306060.0015077</v>
      </c>
      <c r="D200" s="98">
        <v>18795.0</v>
      </c>
      <c r="E200" s="2"/>
      <c r="F200" s="4"/>
      <c r="G200" s="114">
        <v>1529.10076893</v>
      </c>
      <c r="H200" s="114">
        <v>301735.28929024</v>
      </c>
      <c r="I200" s="114">
        <v>2795.61144853</v>
      </c>
      <c r="J200" s="4"/>
      <c r="K200" s="2"/>
      <c r="L200" s="2"/>
      <c r="M200" s="2"/>
      <c r="N200" s="2"/>
      <c r="O200" s="2"/>
      <c r="P200" s="2"/>
      <c r="Q200" s="2"/>
      <c r="R200" s="2"/>
      <c r="S200" s="2"/>
    </row>
    <row r="201" ht="12.0" customHeight="1">
      <c r="A201" s="2"/>
      <c r="B201" s="100">
        <v>9.0</v>
      </c>
      <c r="C201" s="74">
        <v>314854.225910451</v>
      </c>
      <c r="D201" s="98">
        <v>19139.0</v>
      </c>
      <c r="E201" s="2"/>
      <c r="F201" s="4"/>
      <c r="G201" s="114">
        <v>1546.62891589</v>
      </c>
      <c r="H201" s="114">
        <v>309987.4715013</v>
      </c>
      <c r="I201" s="114">
        <v>3320.12549326</v>
      </c>
      <c r="J201" s="4"/>
      <c r="K201" s="2"/>
      <c r="L201" s="2"/>
      <c r="M201" s="2"/>
      <c r="N201" s="2"/>
      <c r="O201" s="2"/>
      <c r="P201" s="2"/>
      <c r="Q201" s="2"/>
      <c r="R201" s="2"/>
      <c r="S201" s="2"/>
    </row>
    <row r="202" ht="12.0" customHeight="1">
      <c r="A202" s="2"/>
      <c r="B202" s="100">
        <v>10.0</v>
      </c>
      <c r="C202" s="74">
        <v>325948.361134762</v>
      </c>
      <c r="D202" s="98">
        <v>19543.0</v>
      </c>
      <c r="E202" s="2"/>
      <c r="F202" s="4"/>
      <c r="G202" s="114">
        <v>1573.48829895</v>
      </c>
      <c r="H202" s="114">
        <v>320433.557682012</v>
      </c>
      <c r="I202" s="114">
        <v>3941.31515379999</v>
      </c>
      <c r="J202" s="4"/>
      <c r="K202" s="2"/>
      <c r="L202" s="2"/>
      <c r="M202" s="2"/>
      <c r="N202" s="2"/>
      <c r="O202" s="2"/>
      <c r="P202" s="2"/>
      <c r="Q202" s="2"/>
      <c r="R202" s="2"/>
      <c r="S202" s="2"/>
    </row>
    <row r="203" ht="12.0" customHeight="1">
      <c r="A203" s="2"/>
      <c r="B203" s="100">
        <v>11.0</v>
      </c>
      <c r="C203" s="74">
        <v>327028.23355902</v>
      </c>
      <c r="D203" s="98">
        <v>19780.0</v>
      </c>
      <c r="E203" s="2"/>
      <c r="F203" s="4"/>
      <c r="G203" s="114">
        <v>1521.56827935</v>
      </c>
      <c r="H203" s="114">
        <v>321234.3671125</v>
      </c>
      <c r="I203" s="114">
        <v>4272.29816717</v>
      </c>
      <c r="J203" s="4"/>
      <c r="K203" s="2"/>
      <c r="L203" s="2"/>
      <c r="M203" s="2"/>
      <c r="N203" s="2"/>
      <c r="O203" s="2"/>
      <c r="P203" s="2"/>
      <c r="Q203" s="2"/>
      <c r="R203" s="2"/>
      <c r="S203" s="2"/>
    </row>
    <row r="204" ht="12.0" customHeight="1">
      <c r="A204" s="2"/>
      <c r="B204" s="100">
        <v>12.0</v>
      </c>
      <c r="C204" s="74">
        <v>332704.226650071</v>
      </c>
      <c r="D204" s="98">
        <v>20025.0</v>
      </c>
      <c r="E204" s="2"/>
      <c r="F204" s="4"/>
      <c r="G204" s="114">
        <v>1176.27143168999</v>
      </c>
      <c r="H204" s="114">
        <v>326086.418671111</v>
      </c>
      <c r="I204" s="114">
        <v>5441.53654726999</v>
      </c>
      <c r="J204" s="4"/>
      <c r="K204" s="2"/>
      <c r="L204" s="2"/>
      <c r="M204" s="2"/>
      <c r="N204" s="2"/>
      <c r="O204" s="2"/>
      <c r="P204" s="2"/>
      <c r="Q204" s="2"/>
      <c r="R204" s="2"/>
      <c r="S204" s="2"/>
    </row>
    <row r="205" ht="12.0" customHeight="1">
      <c r="A205" s="40">
        <v>2011.0</v>
      </c>
      <c r="B205" s="100">
        <v>1.0</v>
      </c>
      <c r="C205" s="74">
        <v>347343.281941581</v>
      </c>
      <c r="D205" s="98">
        <v>20447.0</v>
      </c>
      <c r="E205" s="2"/>
      <c r="F205" s="4"/>
      <c r="G205" s="114">
        <v>904.23323693</v>
      </c>
      <c r="H205" s="114">
        <v>339978.56122528</v>
      </c>
      <c r="I205" s="114">
        <v>5853.54829494</v>
      </c>
      <c r="J205" s="4"/>
      <c r="K205" s="2"/>
      <c r="L205" s="2"/>
      <c r="M205" s="2"/>
      <c r="N205" s="2"/>
      <c r="O205" s="2"/>
      <c r="P205" s="2"/>
      <c r="Q205" s="2"/>
      <c r="R205" s="2"/>
      <c r="S205" s="2"/>
    </row>
    <row r="206" ht="12.0" customHeight="1">
      <c r="A206" s="2"/>
      <c r="B206" s="100">
        <v>2.0</v>
      </c>
      <c r="C206" s="74">
        <v>348938.571919598</v>
      </c>
      <c r="D206" s="98">
        <v>20568.0</v>
      </c>
      <c r="E206" s="2"/>
      <c r="F206" s="4"/>
      <c r="G206" s="114">
        <v>1182.10538642999</v>
      </c>
      <c r="H206" s="114">
        <v>340902.879745949</v>
      </c>
      <c r="I206" s="114">
        <v>6257.6847487</v>
      </c>
      <c r="J206" s="4"/>
      <c r="K206" s="2"/>
      <c r="L206" s="2"/>
      <c r="M206" s="2"/>
      <c r="N206" s="2"/>
      <c r="O206" s="2"/>
      <c r="P206" s="2"/>
      <c r="Q206" s="2"/>
      <c r="R206" s="2"/>
      <c r="S206" s="2"/>
    </row>
    <row r="207" ht="12.0" customHeight="1">
      <c r="A207" s="2"/>
      <c r="B207" s="100">
        <v>3.0</v>
      </c>
      <c r="C207" s="74">
        <v>355603.636946621</v>
      </c>
      <c r="D207" s="98">
        <v>20899.0</v>
      </c>
      <c r="E207" s="2"/>
      <c r="F207" s="4"/>
      <c r="G207" s="114">
        <v>1213.8831003</v>
      </c>
      <c r="H207" s="114">
        <v>347133.551588051</v>
      </c>
      <c r="I207" s="114">
        <v>6669.6389295</v>
      </c>
      <c r="J207" s="4"/>
      <c r="K207" s="2"/>
      <c r="L207" s="2"/>
      <c r="M207" s="2"/>
      <c r="N207" s="2"/>
      <c r="O207" s="2"/>
      <c r="P207" s="2"/>
      <c r="Q207" s="2"/>
      <c r="R207" s="2"/>
      <c r="S207" s="2"/>
    </row>
    <row r="208" ht="12.0" customHeight="1">
      <c r="A208" s="2"/>
      <c r="B208" s="100">
        <v>4.0</v>
      </c>
      <c r="C208" s="74">
        <v>360702.36653704</v>
      </c>
      <c r="D208" s="98">
        <v>21173.0</v>
      </c>
      <c r="E208" s="2"/>
      <c r="F208" s="4"/>
      <c r="G208" s="114">
        <v>1188.29572690999</v>
      </c>
      <c r="H208" s="114">
        <v>351743.54838142</v>
      </c>
      <c r="I208" s="114">
        <v>7191.57258477</v>
      </c>
      <c r="J208" s="4"/>
      <c r="K208" s="2"/>
      <c r="L208" s="2"/>
      <c r="M208" s="2"/>
      <c r="N208" s="2"/>
      <c r="O208" s="2"/>
      <c r="P208" s="2"/>
      <c r="Q208" s="2"/>
      <c r="R208" s="2"/>
      <c r="S208" s="2"/>
    </row>
    <row r="209" ht="12.0" customHeight="1">
      <c r="A209" s="2"/>
      <c r="B209" s="100">
        <v>5.0</v>
      </c>
      <c r="C209" s="74">
        <v>368115.470559689</v>
      </c>
      <c r="D209" s="98">
        <v>21431.0</v>
      </c>
      <c r="E209" s="2"/>
      <c r="F209" s="4"/>
      <c r="G209" s="114">
        <v>1132.02292882</v>
      </c>
      <c r="H209" s="114">
        <v>358900.989575969</v>
      </c>
      <c r="I209" s="114">
        <v>7510.41729489999</v>
      </c>
      <c r="J209" s="4"/>
      <c r="K209" s="2"/>
      <c r="L209" s="2"/>
      <c r="M209" s="2"/>
      <c r="N209" s="2"/>
      <c r="O209" s="2"/>
      <c r="P209" s="2"/>
      <c r="Q209" s="2"/>
      <c r="R209" s="2"/>
      <c r="S209" s="2"/>
    </row>
    <row r="210" ht="12.0" customHeight="1">
      <c r="A210" s="2"/>
      <c r="B210" s="100">
        <v>6.0</v>
      </c>
      <c r="C210" s="74">
        <v>374571.95447037</v>
      </c>
      <c r="D210" s="98">
        <v>21696.0</v>
      </c>
      <c r="E210" s="2"/>
      <c r="F210" s="4"/>
      <c r="G210" s="114">
        <v>1074.06668234</v>
      </c>
      <c r="H210" s="114">
        <v>365213.149913889</v>
      </c>
      <c r="I210" s="114">
        <v>7719.94129287</v>
      </c>
      <c r="J210" s="4"/>
      <c r="K210" s="2"/>
      <c r="L210" s="2"/>
      <c r="M210" s="2"/>
      <c r="N210" s="2"/>
      <c r="O210" s="2"/>
      <c r="P210" s="2"/>
      <c r="Q210" s="2"/>
      <c r="R210" s="2"/>
      <c r="S210" s="2"/>
    </row>
    <row r="211" ht="12.0" customHeight="1">
      <c r="A211" s="2"/>
      <c r="B211" s="100">
        <v>7.0</v>
      </c>
      <c r="C211" s="74">
        <v>377561.591363439</v>
      </c>
      <c r="D211" s="98">
        <v>21904.0</v>
      </c>
      <c r="E211" s="2"/>
      <c r="F211" s="4"/>
      <c r="G211" s="114">
        <v>722.403515599999</v>
      </c>
      <c r="H211" s="114">
        <v>368362.76333173</v>
      </c>
      <c r="I211" s="114">
        <v>7919.86045376999</v>
      </c>
      <c r="J211" s="4"/>
      <c r="K211" s="2"/>
      <c r="L211" s="2"/>
      <c r="M211" s="2"/>
      <c r="N211" s="2"/>
      <c r="O211" s="2"/>
      <c r="P211" s="2"/>
      <c r="Q211" s="2"/>
      <c r="R211" s="2"/>
      <c r="S211" s="2"/>
    </row>
    <row r="212" ht="12.0" customHeight="1">
      <c r="A212" s="2"/>
      <c r="B212" s="100">
        <v>8.0</v>
      </c>
      <c r="C212" s="74">
        <v>379876.298904758</v>
      </c>
      <c r="D212" s="98">
        <v>22080.0</v>
      </c>
      <c r="E212" s="2"/>
      <c r="F212" s="4"/>
      <c r="G212" s="114">
        <v>1403.8265172</v>
      </c>
      <c r="H212" s="114">
        <v>369873.451766218</v>
      </c>
      <c r="I212" s="114">
        <v>8051.04991934999</v>
      </c>
      <c r="J212" s="4"/>
      <c r="K212" s="2"/>
      <c r="L212" s="2"/>
      <c r="M212" s="2"/>
      <c r="N212" s="2"/>
      <c r="O212" s="2"/>
      <c r="P212" s="2"/>
      <c r="Q212" s="2"/>
      <c r="R212" s="2"/>
      <c r="S212" s="2"/>
    </row>
    <row r="213" ht="12.0" customHeight="1">
      <c r="A213" s="2"/>
      <c r="B213" s="100">
        <v>9.0</v>
      </c>
      <c r="C213" s="74">
        <v>384582.198069268</v>
      </c>
      <c r="D213" s="98">
        <v>22228.0</v>
      </c>
      <c r="E213" s="2"/>
      <c r="F213" s="4"/>
      <c r="G213" s="114">
        <v>4904.95483991999</v>
      </c>
      <c r="H213" s="114">
        <v>370908.719060307</v>
      </c>
      <c r="I213" s="114">
        <v>8230.06876824</v>
      </c>
      <c r="J213" s="4"/>
      <c r="K213" s="2"/>
      <c r="L213" s="2"/>
      <c r="M213" s="2"/>
      <c r="N213" s="2"/>
      <c r="O213" s="2"/>
      <c r="P213" s="2"/>
      <c r="Q213" s="2"/>
      <c r="R213" s="2"/>
      <c r="S213" s="2"/>
    </row>
    <row r="214" ht="12.0" customHeight="1">
      <c r="A214" s="2"/>
      <c r="B214" s="100">
        <v>10.0</v>
      </c>
      <c r="C214" s="74">
        <v>384714.423772709</v>
      </c>
      <c r="D214" s="98">
        <v>22359.0</v>
      </c>
      <c r="E214" s="2"/>
      <c r="F214" s="2"/>
      <c r="G214" s="114">
        <v>5161.60550497</v>
      </c>
      <c r="H214" s="114">
        <v>371234.136015639</v>
      </c>
      <c r="I214" s="114">
        <v>8318.6822521</v>
      </c>
      <c r="J214" s="2"/>
      <c r="K214" s="2"/>
      <c r="L214" s="2"/>
      <c r="M214" s="2"/>
      <c r="N214" s="2"/>
      <c r="O214" s="2"/>
      <c r="P214" s="2"/>
      <c r="Q214" s="2"/>
      <c r="R214" s="2"/>
      <c r="S214" s="2"/>
    </row>
    <row r="215" ht="12.0" customHeight="1">
      <c r="A215" s="2"/>
      <c r="B215" s="100">
        <v>11.0</v>
      </c>
      <c r="C215" s="74">
        <v>383146.146731378</v>
      </c>
      <c r="D215" s="98">
        <v>22430.0</v>
      </c>
      <c r="E215" s="2"/>
      <c r="F215" s="2"/>
      <c r="G215" s="114">
        <v>5341.54776494</v>
      </c>
      <c r="H215" s="114">
        <v>369496.701538788</v>
      </c>
      <c r="I215" s="114">
        <v>8307.89742765</v>
      </c>
      <c r="J215" s="2"/>
      <c r="K215" s="2"/>
      <c r="L215" s="2"/>
      <c r="M215" s="2"/>
      <c r="N215" s="2"/>
      <c r="O215" s="2"/>
      <c r="P215" s="2"/>
      <c r="Q215" s="2"/>
      <c r="R215" s="2"/>
      <c r="S215" s="2"/>
    </row>
    <row r="216" ht="12.0" customHeight="1">
      <c r="A216" s="2"/>
      <c r="B216" s="100">
        <v>12.0</v>
      </c>
      <c r="C216" s="74">
        <v>382994.204274059</v>
      </c>
      <c r="D216" s="98">
        <v>22558.0</v>
      </c>
      <c r="E216" s="2"/>
      <c r="F216" s="2"/>
      <c r="G216" s="114">
        <v>5267.53119336999</v>
      </c>
      <c r="H216" s="114">
        <v>368942.810315418</v>
      </c>
      <c r="I216" s="114">
        <v>8783.86276527</v>
      </c>
      <c r="J216" s="2"/>
      <c r="K216" s="2"/>
      <c r="L216" s="2"/>
      <c r="M216" s="2"/>
      <c r="N216" s="2"/>
      <c r="O216" s="2"/>
      <c r="P216" s="2"/>
      <c r="Q216" s="2"/>
      <c r="R216" s="2"/>
      <c r="S216" s="2"/>
    </row>
    <row r="217" ht="12.0" customHeight="1">
      <c r="A217" s="40">
        <v>2012.0</v>
      </c>
      <c r="B217" s="100">
        <v>1.0</v>
      </c>
      <c r="C217" s="74">
        <v>382939.899295469</v>
      </c>
      <c r="D217" s="98">
        <v>22666.0</v>
      </c>
      <c r="E217" s="2"/>
      <c r="F217" s="2"/>
      <c r="G217" s="114">
        <v>5073.63984006999</v>
      </c>
      <c r="H217" s="114">
        <v>368665.949240019</v>
      </c>
      <c r="I217" s="114">
        <v>9200.31021538</v>
      </c>
      <c r="J217" s="2"/>
      <c r="K217" s="2"/>
      <c r="L217" s="2"/>
      <c r="M217" s="2"/>
      <c r="N217" s="2"/>
      <c r="O217" s="2"/>
      <c r="P217" s="2"/>
      <c r="Q217" s="2"/>
      <c r="R217" s="2"/>
      <c r="S217" s="2"/>
    </row>
    <row r="218" ht="12.0" customHeight="1">
      <c r="A218" s="2"/>
      <c r="B218" s="100">
        <v>2.0</v>
      </c>
      <c r="C218" s="74">
        <v>380881.731543767</v>
      </c>
      <c r="D218" s="98">
        <v>22811.0</v>
      </c>
      <c r="E218" s="2"/>
      <c r="F218" s="2"/>
      <c r="G218" s="114">
        <v>2238.1746652</v>
      </c>
      <c r="H218" s="114">
        <v>369163.432245038</v>
      </c>
      <c r="I218" s="114">
        <v>9480.12463352999</v>
      </c>
      <c r="J218" s="2"/>
      <c r="K218" s="2"/>
      <c r="L218" s="2"/>
      <c r="M218" s="2"/>
      <c r="N218" s="2"/>
      <c r="O218" s="2"/>
      <c r="P218" s="2"/>
      <c r="Q218" s="2"/>
      <c r="R218" s="2"/>
      <c r="S218" s="2"/>
    </row>
    <row r="219" ht="12.0" customHeight="1">
      <c r="A219" s="2"/>
      <c r="B219" s="100">
        <v>3.0</v>
      </c>
      <c r="C219" s="74">
        <v>380985.663021839</v>
      </c>
      <c r="D219" s="98">
        <v>22915.0</v>
      </c>
      <c r="E219" s="2"/>
      <c r="F219" s="2"/>
      <c r="G219" s="114">
        <v>2764.88494222</v>
      </c>
      <c r="H219" s="114">
        <v>368202.072273839</v>
      </c>
      <c r="I219" s="114">
        <v>10018.7058057799</v>
      </c>
      <c r="J219" s="2"/>
      <c r="K219" s="2"/>
      <c r="L219" s="2"/>
      <c r="M219" s="2"/>
      <c r="N219" s="2"/>
      <c r="O219" s="2"/>
      <c r="P219" s="2"/>
      <c r="Q219" s="2"/>
      <c r="R219" s="2"/>
      <c r="S219" s="2"/>
    </row>
    <row r="220" ht="12.0" customHeight="1">
      <c r="A220" s="2"/>
      <c r="B220" s="100">
        <v>4.0</v>
      </c>
      <c r="C220" s="74">
        <v>377827.648577007</v>
      </c>
      <c r="D220" s="98">
        <v>23032.0</v>
      </c>
      <c r="E220" s="2"/>
      <c r="F220" s="2"/>
      <c r="G220" s="114">
        <v>1759.12037162</v>
      </c>
      <c r="H220" s="114">
        <v>365121.198834697</v>
      </c>
      <c r="I220" s="114">
        <v>10947.3293706899</v>
      </c>
      <c r="J220" s="2"/>
      <c r="K220" s="2"/>
      <c r="L220" s="2"/>
      <c r="M220" s="2"/>
      <c r="N220" s="2"/>
      <c r="O220" s="2"/>
      <c r="P220" s="2"/>
      <c r="Q220" s="2"/>
      <c r="R220" s="2"/>
      <c r="S220" s="2"/>
    </row>
    <row r="221" ht="12.0" customHeight="1">
      <c r="A221" s="2"/>
      <c r="B221" s="100">
        <v>5.0</v>
      </c>
      <c r="C221" s="74">
        <v>380357.045288696</v>
      </c>
      <c r="D221" s="98">
        <v>23177.0</v>
      </c>
      <c r="E221" s="2"/>
      <c r="F221" s="2"/>
      <c r="G221" s="114">
        <v>1880.23713864</v>
      </c>
      <c r="H221" s="114">
        <v>365470.059624757</v>
      </c>
      <c r="I221" s="114">
        <v>13006.7485252999</v>
      </c>
      <c r="J221" s="2"/>
      <c r="K221" s="2"/>
      <c r="L221" s="2"/>
      <c r="M221" s="2"/>
      <c r="N221" s="2"/>
      <c r="O221" s="2"/>
      <c r="P221" s="2"/>
      <c r="Q221" s="2"/>
      <c r="R221" s="2"/>
      <c r="S221" s="2"/>
    </row>
    <row r="222" ht="12.0" customHeight="1">
      <c r="A222" s="2"/>
      <c r="B222" s="100">
        <v>6.0</v>
      </c>
      <c r="C222" s="74">
        <v>380801.917623708</v>
      </c>
      <c r="D222" s="98">
        <v>23228.0</v>
      </c>
      <c r="E222" s="2"/>
      <c r="F222" s="2"/>
      <c r="G222" s="114">
        <v>1452.3384576</v>
      </c>
      <c r="H222" s="114">
        <v>364882.652252588</v>
      </c>
      <c r="I222" s="114">
        <v>14466.9269135199</v>
      </c>
      <c r="J222" s="2"/>
      <c r="K222" s="2"/>
      <c r="L222" s="2"/>
      <c r="M222" s="2"/>
      <c r="N222" s="2"/>
      <c r="O222" s="2"/>
      <c r="P222" s="2"/>
      <c r="Q222" s="2"/>
      <c r="R222" s="2"/>
      <c r="S222" s="2"/>
    </row>
    <row r="223" ht="12.0" customHeight="1">
      <c r="A223" s="2"/>
      <c r="B223" s="100">
        <v>7.0</v>
      </c>
      <c r="C223" s="74">
        <v>377497.11498301</v>
      </c>
      <c r="D223" s="98">
        <v>23244.0</v>
      </c>
      <c r="E223" s="2"/>
      <c r="F223" s="2"/>
      <c r="G223" s="114">
        <v>1194.40623016</v>
      </c>
      <c r="H223" s="114">
        <v>361562.05939914</v>
      </c>
      <c r="I223" s="114">
        <v>14740.6493537099</v>
      </c>
      <c r="J223" s="2"/>
      <c r="K223" s="2"/>
      <c r="L223" s="2"/>
      <c r="M223" s="2"/>
      <c r="N223" s="2"/>
      <c r="O223" s="2"/>
      <c r="P223" s="2"/>
      <c r="Q223" s="2"/>
      <c r="R223" s="2"/>
      <c r="S223" s="2"/>
    </row>
    <row r="224" ht="12.0" customHeight="1">
      <c r="A224" s="2"/>
      <c r="B224" s="100">
        <v>8.0</v>
      </c>
      <c r="C224" s="74">
        <v>374587.962300167</v>
      </c>
      <c r="D224" s="98">
        <v>23268.0</v>
      </c>
      <c r="E224" s="2"/>
      <c r="F224" s="2"/>
      <c r="G224" s="114">
        <v>834.9861933</v>
      </c>
      <c r="H224" s="114">
        <v>357969.810881788</v>
      </c>
      <c r="I224" s="114">
        <v>15783.16522508</v>
      </c>
      <c r="J224" s="2"/>
      <c r="K224" s="2"/>
      <c r="L224" s="2"/>
      <c r="M224" s="2"/>
      <c r="N224" s="2"/>
      <c r="O224" s="2"/>
      <c r="P224" s="2"/>
      <c r="Q224" s="2"/>
      <c r="R224" s="2"/>
      <c r="S224" s="2"/>
    </row>
    <row r="225" ht="12.0" customHeight="1">
      <c r="A225" s="2"/>
      <c r="B225" s="100">
        <v>9.0</v>
      </c>
      <c r="C225" s="74">
        <v>371596.333417508</v>
      </c>
      <c r="D225" s="98">
        <v>23224.0</v>
      </c>
      <c r="E225" s="2"/>
      <c r="F225" s="2"/>
      <c r="G225" s="114">
        <v>743.81643948</v>
      </c>
      <c r="H225" s="114">
        <v>354705.294464278</v>
      </c>
      <c r="I225" s="114">
        <v>16147.22251375</v>
      </c>
      <c r="J225" s="2"/>
      <c r="K225" s="2"/>
      <c r="L225" s="2"/>
      <c r="M225" s="2"/>
      <c r="N225" s="2"/>
      <c r="O225" s="2"/>
      <c r="P225" s="2"/>
      <c r="Q225" s="2"/>
      <c r="R225" s="2"/>
      <c r="S225" s="2"/>
    </row>
    <row r="226" ht="12.0" customHeight="1">
      <c r="A226" s="2"/>
      <c r="B226" s="100">
        <v>10.0</v>
      </c>
      <c r="C226" s="74">
        <v>369948.374931488</v>
      </c>
      <c r="D226" s="98">
        <v>23116.0</v>
      </c>
      <c r="E226" s="2"/>
      <c r="F226" s="2"/>
      <c r="G226" s="114">
        <v>248.01446786</v>
      </c>
      <c r="H226" s="114">
        <v>351401.642887188</v>
      </c>
      <c r="I226" s="114">
        <v>18298.7175764399</v>
      </c>
      <c r="J226" s="2"/>
      <c r="K226" s="2"/>
      <c r="L226" s="2"/>
      <c r="M226" s="2"/>
      <c r="N226" s="2"/>
      <c r="O226" s="2"/>
      <c r="P226" s="2"/>
      <c r="Q226" s="2"/>
      <c r="R226" s="2"/>
      <c r="S226" s="2"/>
    </row>
    <row r="227" ht="12.0" customHeight="1">
      <c r="A227" s="2"/>
      <c r="B227" s="100">
        <v>11.0</v>
      </c>
      <c r="C227" s="74">
        <v>365289.76229999</v>
      </c>
      <c r="D227" s="98">
        <v>23086.0</v>
      </c>
      <c r="E227" s="2"/>
      <c r="F227" s="2"/>
      <c r="G227" s="114">
        <v>139.3010018</v>
      </c>
      <c r="H227" s="114">
        <v>345619.51759097</v>
      </c>
      <c r="I227" s="114">
        <v>19530.9437072199</v>
      </c>
      <c r="J227" s="2"/>
      <c r="K227" s="2"/>
      <c r="L227" s="2"/>
      <c r="M227" s="2"/>
      <c r="N227" s="2"/>
      <c r="O227" s="2"/>
      <c r="P227" s="2"/>
      <c r="Q227" s="2"/>
      <c r="R227" s="2"/>
      <c r="S227" s="2"/>
    </row>
    <row r="228" ht="12.0" customHeight="1">
      <c r="A228" s="2"/>
      <c r="B228" s="100">
        <v>12.0</v>
      </c>
      <c r="C228" s="74">
        <v>364864.566918059</v>
      </c>
      <c r="D228" s="98">
        <v>22979.0</v>
      </c>
      <c r="E228" s="2"/>
      <c r="F228" s="2"/>
      <c r="G228" s="114">
        <v>1298.18930401</v>
      </c>
      <c r="H228" s="114">
        <v>342354.94575301</v>
      </c>
      <c r="I228" s="114">
        <v>21211.43186104</v>
      </c>
      <c r="J228" s="2"/>
      <c r="K228" s="2"/>
      <c r="L228" s="2"/>
      <c r="M228" s="2"/>
      <c r="N228" s="2"/>
      <c r="O228" s="2"/>
      <c r="P228" s="2"/>
      <c r="Q228" s="2"/>
      <c r="R228" s="2"/>
      <c r="S228" s="2"/>
    </row>
    <row r="229" ht="12.0" customHeight="1">
      <c r="A229" s="40">
        <v>2013.0</v>
      </c>
      <c r="B229" s="100">
        <v>1.0</v>
      </c>
      <c r="C229" s="74">
        <v>361905.744868129</v>
      </c>
      <c r="D229" s="98">
        <v>22914.0</v>
      </c>
      <c r="E229" s="2"/>
      <c r="F229" s="2"/>
      <c r="G229" s="114">
        <v>1357.39363175</v>
      </c>
      <c r="H229" s="114">
        <v>339180.300908148</v>
      </c>
      <c r="I229" s="114">
        <v>21368.0503282299</v>
      </c>
      <c r="J229" s="2"/>
      <c r="K229" s="2"/>
      <c r="L229" s="2"/>
      <c r="M229" s="2"/>
      <c r="N229" s="2"/>
      <c r="O229" s="2"/>
      <c r="P229" s="2"/>
      <c r="Q229" s="2"/>
      <c r="R229" s="2"/>
      <c r="S229" s="2"/>
    </row>
    <row r="230" ht="12.0" customHeight="1">
      <c r="A230" s="2"/>
      <c r="B230" s="100">
        <v>2.0</v>
      </c>
      <c r="C230" s="74">
        <v>361681.419408909</v>
      </c>
      <c r="D230" s="98">
        <v>23006.0</v>
      </c>
      <c r="E230" s="2"/>
      <c r="F230" s="2"/>
      <c r="G230" s="114">
        <v>1266.17518988</v>
      </c>
      <c r="H230" s="114">
        <v>338679.274789989</v>
      </c>
      <c r="I230" s="114">
        <v>21735.96942904</v>
      </c>
      <c r="J230" s="2"/>
      <c r="K230" s="2"/>
      <c r="L230" s="2"/>
      <c r="M230" s="2"/>
      <c r="N230" s="2"/>
      <c r="O230" s="2"/>
      <c r="P230" s="2"/>
      <c r="Q230" s="2"/>
      <c r="R230" s="2"/>
      <c r="S230" s="2"/>
    </row>
    <row r="231" ht="12.0" customHeight="1">
      <c r="A231" s="2"/>
      <c r="B231" s="100">
        <v>3.0</v>
      </c>
      <c r="C231" s="74">
        <v>363148.355792439</v>
      </c>
      <c r="D231" s="98">
        <v>23053.0</v>
      </c>
      <c r="E231" s="2"/>
      <c r="F231" s="2"/>
      <c r="G231" s="114">
        <v>2163.06498035</v>
      </c>
      <c r="H231" s="114">
        <v>338677.2370034</v>
      </c>
      <c r="I231" s="114">
        <v>22308.05380869</v>
      </c>
      <c r="J231" s="2"/>
      <c r="K231" s="2"/>
      <c r="L231" s="2"/>
      <c r="M231" s="2"/>
      <c r="N231" s="2"/>
      <c r="O231" s="2"/>
      <c r="P231" s="2"/>
      <c r="Q231" s="2"/>
      <c r="R231" s="2"/>
      <c r="S231" s="2"/>
    </row>
    <row r="232" ht="12.0" customHeight="1">
      <c r="A232" s="2"/>
      <c r="B232" s="100">
        <v>4.0</v>
      </c>
      <c r="C232" s="74">
        <v>362456.963543619</v>
      </c>
      <c r="D232" s="98">
        <v>23166.0</v>
      </c>
      <c r="E232" s="2"/>
      <c r="F232" s="2"/>
      <c r="G232" s="114">
        <v>2354.34151713999</v>
      </c>
      <c r="H232" s="114">
        <v>337350.28986758</v>
      </c>
      <c r="I232" s="114">
        <v>22752.3321589</v>
      </c>
      <c r="J232" s="2"/>
      <c r="K232" s="2"/>
      <c r="L232" s="2"/>
      <c r="M232" s="2"/>
      <c r="N232" s="2"/>
      <c r="O232" s="2"/>
      <c r="P232" s="2"/>
      <c r="Q232" s="2"/>
      <c r="R232" s="2"/>
      <c r="S232" s="2"/>
    </row>
    <row r="233" ht="12.0" customHeight="1">
      <c r="A233" s="2"/>
      <c r="B233" s="100">
        <v>5.0</v>
      </c>
      <c r="C233" s="74">
        <v>367019.614502289</v>
      </c>
      <c r="D233" s="98">
        <v>23271.0</v>
      </c>
      <c r="E233" s="2"/>
      <c r="F233" s="2"/>
      <c r="G233" s="114">
        <v>1913.9226179</v>
      </c>
      <c r="H233" s="114">
        <v>341901.97934532</v>
      </c>
      <c r="I233" s="114">
        <v>23203.7125390699</v>
      </c>
      <c r="J233" s="2"/>
      <c r="K233" s="2"/>
      <c r="L233" s="2"/>
      <c r="M233" s="2"/>
      <c r="N233" s="2"/>
      <c r="O233" s="2"/>
      <c r="P233" s="2"/>
      <c r="Q233" s="2"/>
      <c r="R233" s="2"/>
      <c r="S233" s="2"/>
    </row>
    <row r="234" ht="12.0" customHeight="1">
      <c r="A234" s="2"/>
      <c r="B234" s="100">
        <v>6.0</v>
      </c>
      <c r="C234" s="74">
        <v>363888.64142273</v>
      </c>
      <c r="D234" s="98">
        <v>23135.0</v>
      </c>
      <c r="E234" s="2"/>
      <c r="F234" s="2"/>
      <c r="G234" s="114">
        <v>1900.55034814</v>
      </c>
      <c r="H234" s="114">
        <v>338564.27799164</v>
      </c>
      <c r="I234" s="114">
        <v>23423.81308295</v>
      </c>
      <c r="J234" s="2"/>
      <c r="K234" s="2"/>
      <c r="L234" s="2"/>
      <c r="M234" s="2"/>
      <c r="N234" s="2"/>
      <c r="O234" s="2"/>
      <c r="P234" s="2"/>
      <c r="Q234" s="2"/>
      <c r="R234" s="2"/>
      <c r="S234" s="2"/>
    </row>
    <row r="235" ht="12.0" customHeight="1">
      <c r="A235" s="2"/>
      <c r="B235" s="2"/>
      <c r="C235" s="2"/>
      <c r="D235" s="2"/>
      <c r="E235" s="2"/>
      <c r="F235" s="2"/>
      <c r="G235" s="9"/>
      <c r="H235" s="9"/>
      <c r="I235" s="9"/>
      <c r="J235" s="2"/>
      <c r="K235" s="2"/>
      <c r="L235" s="2"/>
      <c r="M235" s="2"/>
      <c r="N235" s="2"/>
      <c r="O235" s="2"/>
      <c r="P235" s="2"/>
      <c r="Q235" s="2"/>
      <c r="R235" s="2"/>
      <c r="S235" s="2"/>
    </row>
    <row r="236" ht="12.0" customHeight="1">
      <c r="A236" s="2"/>
      <c r="B236" s="2"/>
      <c r="C236" s="2"/>
      <c r="D236" s="2"/>
      <c r="E236" s="2"/>
      <c r="F236" s="2"/>
      <c r="G236" s="9"/>
      <c r="H236" s="9"/>
      <c r="I236" s="9"/>
      <c r="J236" s="2"/>
      <c r="K236" s="2"/>
      <c r="L236" s="2"/>
      <c r="M236" s="2"/>
      <c r="N236" s="2"/>
      <c r="O236" s="2"/>
      <c r="P236" s="2"/>
      <c r="Q236" s="2"/>
      <c r="R236" s="2"/>
      <c r="S236" s="2"/>
    </row>
    <row r="237" ht="12.0" customHeight="1">
      <c r="A237" s="2"/>
      <c r="B237" s="2"/>
      <c r="C237" s="2"/>
      <c r="D237" s="2"/>
      <c r="E237" s="2"/>
      <c r="F237" s="2"/>
      <c r="G237" s="9"/>
      <c r="H237" s="9"/>
      <c r="I237" s="9"/>
      <c r="J237" s="2"/>
      <c r="K237" s="2"/>
      <c r="L237" s="2"/>
      <c r="M237" s="2"/>
      <c r="N237" s="2"/>
      <c r="O237" s="2"/>
      <c r="P237" s="2"/>
      <c r="Q237" s="2"/>
      <c r="R237" s="2"/>
      <c r="S237" s="2"/>
    </row>
    <row r="238" ht="12.0" customHeight="1">
      <c r="A238" s="2"/>
      <c r="B238" s="2"/>
      <c r="C238" s="2"/>
      <c r="D238" s="2"/>
      <c r="E238" s="2"/>
      <c r="F238" s="2"/>
      <c r="G238" s="9"/>
      <c r="H238" s="9"/>
      <c r="I238" s="9"/>
      <c r="J238" s="2"/>
      <c r="K238" s="2"/>
      <c r="L238" s="2"/>
      <c r="M238" s="2"/>
      <c r="N238" s="2"/>
      <c r="O238" s="2"/>
      <c r="P238" s="2"/>
      <c r="Q238" s="2"/>
      <c r="R238" s="2"/>
      <c r="S238" s="2"/>
    </row>
    <row r="239" ht="12.0" customHeight="1">
      <c r="A239" s="2"/>
      <c r="B239" s="2"/>
      <c r="C239" s="102" t="s">
        <v>169</v>
      </c>
      <c r="D239" s="2"/>
      <c r="E239" s="2"/>
      <c r="F239" s="2"/>
      <c r="G239" s="9"/>
      <c r="H239" s="9"/>
      <c r="I239" s="9"/>
      <c r="J239" s="2"/>
      <c r="K239" s="2"/>
      <c r="L239" s="2"/>
      <c r="M239" s="2"/>
      <c r="N239" s="2"/>
      <c r="O239" s="2"/>
      <c r="P239" s="2"/>
      <c r="Q239" s="2"/>
      <c r="R239" s="2"/>
      <c r="S239" s="2"/>
    </row>
    <row r="240" ht="12.0" customHeight="1">
      <c r="A240" s="2"/>
      <c r="B240" s="2"/>
      <c r="C240" s="102" t="s">
        <v>170</v>
      </c>
      <c r="D240" s="2"/>
      <c r="E240" s="2"/>
      <c r="F240" s="2"/>
      <c r="G240" s="9"/>
      <c r="H240" s="9"/>
      <c r="I240" s="9"/>
      <c r="J240" s="2"/>
      <c r="K240" s="2"/>
      <c r="L240" s="2"/>
      <c r="M240" s="2"/>
      <c r="N240" s="2"/>
      <c r="O240" s="2"/>
      <c r="P240" s="2"/>
      <c r="Q240" s="2"/>
      <c r="R240" s="2"/>
      <c r="S240" s="2"/>
    </row>
    <row r="241" ht="12.0" customHeight="1">
      <c r="A241" s="2"/>
      <c r="B241" s="2"/>
      <c r="C241" s="102" t="s">
        <v>171</v>
      </c>
      <c r="D241" s="2"/>
      <c r="E241" s="2"/>
      <c r="F241" s="2"/>
      <c r="G241" s="9"/>
      <c r="H241" s="9"/>
      <c r="I241" s="9"/>
      <c r="J241" s="2"/>
      <c r="K241" s="2"/>
      <c r="L241" s="2"/>
      <c r="M241" s="2"/>
      <c r="N241" s="2"/>
      <c r="O241" s="2"/>
      <c r="P241" s="2"/>
      <c r="Q241" s="2"/>
      <c r="R241" s="2"/>
      <c r="S241" s="2"/>
    </row>
    <row r="242" ht="12.0" customHeight="1">
      <c r="A242" s="2"/>
      <c r="B242" s="2"/>
      <c r="C242" s="102" t="s">
        <v>172</v>
      </c>
      <c r="D242" s="2"/>
      <c r="E242" s="2"/>
      <c r="F242" s="2"/>
      <c r="G242" s="9"/>
      <c r="H242" s="9"/>
      <c r="I242" s="9"/>
      <c r="J242" s="2"/>
      <c r="K242" s="2"/>
      <c r="L242" s="2"/>
      <c r="M242" s="2"/>
      <c r="N242" s="2"/>
      <c r="O242" s="2"/>
      <c r="P242" s="2"/>
      <c r="Q242" s="2"/>
      <c r="R242" s="2"/>
      <c r="S242" s="2"/>
    </row>
  </sheetData>
  <mergeCells count="2">
    <mergeCell ref="C4:D4"/>
    <mergeCell ref="G4:I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7.29" defaultRowHeight="15.75"/>
  <cols>
    <col customWidth="1" min="1" max="1" width="4.71"/>
    <col customWidth="1" min="2" max="2" width="3.71"/>
    <col customWidth="1" min="3" max="7" width="10.71"/>
    <col customWidth="1" min="8" max="8" width="6.43"/>
    <col customWidth="1" min="9" max="21" width="10.71"/>
    <col customWidth="1" min="22" max="32" width="9.14"/>
  </cols>
  <sheetData>
    <row r="1" ht="30.0" customHeight="1">
      <c r="A1" s="1" t="s">
        <v>142</v>
      </c>
      <c r="B1" s="2"/>
      <c r="C1" s="2"/>
      <c r="D1" s="2"/>
      <c r="E1" s="2"/>
      <c r="F1" s="2"/>
      <c r="G1" s="2"/>
      <c r="H1" s="2"/>
      <c r="I1" s="36"/>
      <c r="J1" s="36"/>
      <c r="K1" s="36"/>
      <c r="L1" s="2"/>
      <c r="M1" s="2"/>
      <c r="N1" s="2"/>
      <c r="O1" s="2"/>
      <c r="P1" s="2"/>
      <c r="Q1" s="2"/>
      <c r="R1" s="2"/>
      <c r="S1" s="2"/>
      <c r="T1" s="2"/>
      <c r="U1" s="2"/>
      <c r="V1" s="2"/>
      <c r="W1" s="2"/>
      <c r="X1" s="2"/>
      <c r="Y1" s="2"/>
      <c r="Z1" s="2"/>
      <c r="AA1" s="2"/>
      <c r="AB1" s="2"/>
      <c r="AC1" s="2"/>
      <c r="AD1" s="2"/>
      <c r="AE1" s="2"/>
      <c r="AF1" s="2"/>
    </row>
    <row r="2" ht="30.0" customHeight="1">
      <c r="A2" s="1" t="s">
        <v>3</v>
      </c>
      <c r="B2" s="2"/>
      <c r="C2" s="2"/>
      <c r="D2" s="2"/>
      <c r="E2" s="2"/>
      <c r="F2" s="2"/>
      <c r="G2" s="2"/>
      <c r="H2" s="2"/>
      <c r="I2" s="36"/>
      <c r="J2" s="36"/>
      <c r="K2" s="36"/>
      <c r="L2" s="2"/>
      <c r="M2" s="2"/>
      <c r="N2" s="2"/>
      <c r="O2" s="2"/>
      <c r="P2" s="2"/>
      <c r="Q2" s="2"/>
      <c r="R2" s="2"/>
      <c r="S2" s="2"/>
      <c r="T2" s="2"/>
      <c r="U2" s="2"/>
      <c r="V2" s="2"/>
      <c r="W2" s="2"/>
      <c r="X2" s="2"/>
      <c r="Y2" s="2"/>
      <c r="Z2" s="2"/>
      <c r="AA2" s="2"/>
      <c r="AB2" s="2"/>
      <c r="AC2" s="2"/>
      <c r="AD2" s="2"/>
      <c r="AE2" s="2"/>
      <c r="AF2" s="2"/>
    </row>
    <row r="3" ht="30.0" customHeight="1">
      <c r="A3" s="1"/>
      <c r="B3" s="2"/>
      <c r="C3" s="2"/>
      <c r="D3" s="2"/>
      <c r="E3" s="2"/>
      <c r="F3" s="2"/>
      <c r="G3" s="2"/>
      <c r="H3" s="2"/>
      <c r="I3" s="36"/>
      <c r="J3" s="36"/>
      <c r="K3" s="36"/>
      <c r="L3" s="2"/>
      <c r="M3" s="2"/>
      <c r="N3" s="2"/>
      <c r="O3" s="2"/>
      <c r="P3" s="2"/>
      <c r="Q3" s="2"/>
      <c r="R3" s="2"/>
      <c r="S3" s="2"/>
      <c r="T3" s="2"/>
      <c r="U3" s="2"/>
      <c r="V3" s="2"/>
      <c r="W3" s="2"/>
      <c r="X3" s="2"/>
      <c r="Y3" s="2"/>
      <c r="Z3" s="2"/>
      <c r="AA3" s="2"/>
      <c r="AB3" s="2"/>
      <c r="AC3" s="2"/>
      <c r="AD3" s="2"/>
      <c r="AE3" s="2"/>
      <c r="AF3" s="2"/>
    </row>
    <row r="4" ht="12.0" customHeight="1">
      <c r="A4" s="2"/>
      <c r="B4" s="88"/>
      <c r="C4" s="108" t="s">
        <v>144</v>
      </c>
      <c r="D4" s="14"/>
      <c r="E4" s="14"/>
      <c r="F4" s="14"/>
      <c r="G4" s="21"/>
      <c r="H4" s="2"/>
      <c r="I4" s="23" t="s">
        <v>4</v>
      </c>
      <c r="J4" s="14"/>
      <c r="K4" s="14"/>
      <c r="L4" s="21"/>
      <c r="M4" s="2"/>
      <c r="N4" s="108" t="s">
        <v>25</v>
      </c>
      <c r="O4" s="14"/>
      <c r="P4" s="14"/>
      <c r="Q4" s="14"/>
      <c r="R4" s="14"/>
      <c r="S4" s="14"/>
      <c r="T4" s="14"/>
      <c r="U4" s="21"/>
      <c r="V4" s="4"/>
      <c r="W4" s="2"/>
      <c r="X4" s="2"/>
      <c r="Y4" s="2"/>
      <c r="Z4" s="2"/>
      <c r="AA4" s="2"/>
      <c r="AB4" s="2"/>
      <c r="AC4" s="2"/>
      <c r="AD4" s="2"/>
      <c r="AE4" s="2"/>
      <c r="AF4" s="2"/>
    </row>
    <row r="5" ht="12.0" customHeight="1">
      <c r="A5" s="88" t="s">
        <v>53</v>
      </c>
      <c r="B5" s="88" t="s">
        <v>23</v>
      </c>
      <c r="C5" s="109" t="s">
        <v>145</v>
      </c>
      <c r="D5" s="109" t="s">
        <v>19</v>
      </c>
      <c r="E5" s="109" t="s">
        <v>15</v>
      </c>
      <c r="F5" s="109" t="s">
        <v>146</v>
      </c>
      <c r="G5" s="76" t="s">
        <v>148</v>
      </c>
      <c r="H5" s="76"/>
      <c r="I5" s="30" t="s">
        <v>149</v>
      </c>
      <c r="J5" s="25" t="s">
        <v>72</v>
      </c>
      <c r="K5" s="25" t="s">
        <v>150</v>
      </c>
      <c r="L5" s="76" t="s">
        <v>70</v>
      </c>
      <c r="M5" s="76"/>
      <c r="N5" s="76" t="s">
        <v>145</v>
      </c>
      <c r="O5" s="76" t="s">
        <v>149</v>
      </c>
      <c r="P5" s="76" t="s">
        <v>72</v>
      </c>
      <c r="Q5" s="76" t="s">
        <v>19</v>
      </c>
      <c r="R5" s="76" t="s">
        <v>15</v>
      </c>
      <c r="S5" s="76" t="s">
        <v>150</v>
      </c>
      <c r="T5" s="76" t="s">
        <v>70</v>
      </c>
      <c r="U5" s="76" t="s">
        <v>148</v>
      </c>
      <c r="V5" s="88" t="s">
        <v>25</v>
      </c>
      <c r="W5" s="88"/>
      <c r="X5" s="88"/>
      <c r="Y5" s="88"/>
      <c r="Z5" s="88"/>
      <c r="AA5" s="88"/>
      <c r="AB5" s="88"/>
      <c r="AC5" s="88"/>
      <c r="AD5" s="88"/>
      <c r="AE5" s="88"/>
      <c r="AF5" s="88"/>
    </row>
    <row r="6" ht="12.0" customHeight="1">
      <c r="A6" s="4" t="s">
        <v>151</v>
      </c>
      <c r="B6" s="88" t="s">
        <v>58</v>
      </c>
      <c r="C6" s="2"/>
      <c r="D6" s="2"/>
      <c r="E6" s="2"/>
      <c r="F6" s="2"/>
      <c r="G6" s="74">
        <v>80.309</v>
      </c>
      <c r="H6" s="2"/>
      <c r="I6" s="36"/>
      <c r="J6" s="36"/>
      <c r="K6" s="36"/>
      <c r="L6" s="2"/>
      <c r="M6" s="2"/>
      <c r="N6" s="76" t="str">
        <f t="shared" ref="N6:N113" si="3">C6</f>
        <v/>
      </c>
      <c r="O6" s="76" t="str">
        <f t="shared" ref="O6:P6" si="1">I6</f>
        <v/>
      </c>
      <c r="P6" s="76" t="str">
        <f t="shared" si="1"/>
        <v/>
      </c>
      <c r="Q6" s="76" t="str">
        <f t="shared" ref="Q6:R6" si="2">D6</f>
        <v/>
      </c>
      <c r="R6" s="76" t="str">
        <f t="shared" si="2"/>
        <v/>
      </c>
      <c r="S6" s="76">
        <f t="shared" ref="S6:S113" si="6">SUM(F6,K6)</f>
        <v>0</v>
      </c>
      <c r="T6" s="76" t="str">
        <f t="shared" ref="T6:T113" si="7">L6</f>
        <v/>
      </c>
      <c r="U6" s="76">
        <f t="shared" ref="U6:U113" si="8">G6</f>
        <v>80.309</v>
      </c>
      <c r="V6" s="76">
        <f t="shared" ref="V6:V113" si="9">SUM(N6:U6)</f>
        <v>80.309</v>
      </c>
      <c r="W6" s="2"/>
      <c r="X6" s="2"/>
      <c r="Y6" s="2"/>
      <c r="Z6" s="2"/>
      <c r="AA6" s="2"/>
      <c r="AB6" s="2"/>
      <c r="AC6" s="2"/>
      <c r="AD6" s="2"/>
      <c r="AE6" s="2"/>
      <c r="AF6" s="2"/>
    </row>
    <row r="7" ht="12.0" customHeight="1">
      <c r="A7" s="2"/>
      <c r="B7" s="88" t="s">
        <v>66</v>
      </c>
      <c r="C7" s="2"/>
      <c r="D7" s="2"/>
      <c r="E7" s="2"/>
      <c r="F7" s="2"/>
      <c r="G7" s="74">
        <v>98.259</v>
      </c>
      <c r="H7" s="2"/>
      <c r="I7" s="36"/>
      <c r="J7" s="36"/>
      <c r="K7" s="36"/>
      <c r="L7" s="2"/>
      <c r="M7" s="2"/>
      <c r="N7" s="76" t="str">
        <f t="shared" si="3"/>
        <v/>
      </c>
      <c r="O7" s="76" t="str">
        <f t="shared" ref="O7:P7" si="4">I7</f>
        <v/>
      </c>
      <c r="P7" s="76" t="str">
        <f t="shared" si="4"/>
        <v/>
      </c>
      <c r="Q7" s="76" t="str">
        <f t="shared" ref="Q7:R7" si="5">D7</f>
        <v/>
      </c>
      <c r="R7" s="76" t="str">
        <f t="shared" si="5"/>
        <v/>
      </c>
      <c r="S7" s="76">
        <f t="shared" si="6"/>
        <v>0</v>
      </c>
      <c r="T7" s="76" t="str">
        <f t="shared" si="7"/>
        <v/>
      </c>
      <c r="U7" s="76">
        <f t="shared" si="8"/>
        <v>98.259</v>
      </c>
      <c r="V7" s="76">
        <f t="shared" si="9"/>
        <v>98.259</v>
      </c>
      <c r="W7" s="2"/>
      <c r="X7" s="2"/>
      <c r="Y7" s="2"/>
      <c r="Z7" s="2"/>
      <c r="AA7" s="2"/>
      <c r="AB7" s="2"/>
      <c r="AC7" s="2"/>
      <c r="AD7" s="2"/>
      <c r="AE7" s="2"/>
      <c r="AF7" s="2"/>
    </row>
    <row r="8" ht="12.0" customHeight="1">
      <c r="A8" s="2"/>
      <c r="B8" s="88" t="s">
        <v>74</v>
      </c>
      <c r="C8" s="2"/>
      <c r="D8" s="2"/>
      <c r="E8" s="2"/>
      <c r="F8" s="2"/>
      <c r="G8" s="74">
        <v>250.332702728477</v>
      </c>
      <c r="H8" s="2"/>
      <c r="I8" s="36"/>
      <c r="J8" s="36"/>
      <c r="K8" s="36"/>
      <c r="L8" s="2"/>
      <c r="M8" s="2"/>
      <c r="N8" s="76" t="str">
        <f t="shared" si="3"/>
        <v/>
      </c>
      <c r="O8" s="76" t="str">
        <f t="shared" ref="O8:P8" si="10">I8</f>
        <v/>
      </c>
      <c r="P8" s="76" t="str">
        <f t="shared" si="10"/>
        <v/>
      </c>
      <c r="Q8" s="76" t="str">
        <f t="shared" ref="Q8:R8" si="11">D8</f>
        <v/>
      </c>
      <c r="R8" s="76" t="str">
        <f t="shared" si="11"/>
        <v/>
      </c>
      <c r="S8" s="76">
        <f t="shared" si="6"/>
        <v>0</v>
      </c>
      <c r="T8" s="76" t="str">
        <f t="shared" si="7"/>
        <v/>
      </c>
      <c r="U8" s="76">
        <f t="shared" si="8"/>
        <v>250.3327027</v>
      </c>
      <c r="V8" s="76">
        <f t="shared" si="9"/>
        <v>250.3327027</v>
      </c>
      <c r="W8" s="2"/>
      <c r="X8" s="2"/>
      <c r="Y8" s="2"/>
      <c r="Z8" s="2"/>
      <c r="AA8" s="2"/>
      <c r="AB8" s="2"/>
      <c r="AC8" s="2"/>
      <c r="AD8" s="2"/>
      <c r="AE8" s="2"/>
      <c r="AF8" s="2"/>
    </row>
    <row r="9" ht="12.0" customHeight="1">
      <c r="A9" s="2"/>
      <c r="B9" s="88" t="s">
        <v>75</v>
      </c>
      <c r="C9" s="2"/>
      <c r="D9" s="2"/>
      <c r="E9" s="2"/>
      <c r="F9" s="2"/>
      <c r="G9" s="74">
        <v>292.974702728477</v>
      </c>
      <c r="H9" s="2"/>
      <c r="I9" s="36"/>
      <c r="J9" s="36"/>
      <c r="K9" s="36"/>
      <c r="L9" s="2"/>
      <c r="M9" s="2"/>
      <c r="N9" s="76" t="str">
        <f t="shared" si="3"/>
        <v/>
      </c>
      <c r="O9" s="76" t="str">
        <f t="shared" ref="O9:P9" si="12">I9</f>
        <v/>
      </c>
      <c r="P9" s="76" t="str">
        <f t="shared" si="12"/>
        <v/>
      </c>
      <c r="Q9" s="76" t="str">
        <f t="shared" ref="Q9:R9" si="13">D9</f>
        <v/>
      </c>
      <c r="R9" s="76" t="str">
        <f t="shared" si="13"/>
        <v/>
      </c>
      <c r="S9" s="76">
        <f t="shared" si="6"/>
        <v>0</v>
      </c>
      <c r="T9" s="76" t="str">
        <f t="shared" si="7"/>
        <v/>
      </c>
      <c r="U9" s="76">
        <f t="shared" si="8"/>
        <v>292.9747027</v>
      </c>
      <c r="V9" s="76">
        <f t="shared" si="9"/>
        <v>292.9747027</v>
      </c>
      <c r="W9" s="2"/>
      <c r="X9" s="2"/>
      <c r="Y9" s="2"/>
      <c r="Z9" s="2"/>
      <c r="AA9" s="2"/>
      <c r="AB9" s="2"/>
      <c r="AC9" s="2"/>
      <c r="AD9" s="2"/>
      <c r="AE9" s="2"/>
      <c r="AF9" s="2"/>
    </row>
    <row r="10" ht="12.0" customHeight="1">
      <c r="A10" s="4" t="s">
        <v>156</v>
      </c>
      <c r="B10" s="88" t="s">
        <v>58</v>
      </c>
      <c r="C10" s="2"/>
      <c r="D10" s="2"/>
      <c r="E10" s="2"/>
      <c r="F10" s="2"/>
      <c r="G10" s="74">
        <v>352.313362781194</v>
      </c>
      <c r="H10" s="2"/>
      <c r="I10" s="36"/>
      <c r="J10" s="36"/>
      <c r="K10" s="36"/>
      <c r="L10" s="2"/>
      <c r="M10" s="2"/>
      <c r="N10" s="76" t="str">
        <f t="shared" si="3"/>
        <v/>
      </c>
      <c r="O10" s="76" t="str">
        <f t="shared" ref="O10:P10" si="14">I10</f>
        <v/>
      </c>
      <c r="P10" s="76" t="str">
        <f t="shared" si="14"/>
        <v/>
      </c>
      <c r="Q10" s="76" t="str">
        <f t="shared" ref="Q10:R10" si="15">D10</f>
        <v/>
      </c>
      <c r="R10" s="76" t="str">
        <f t="shared" si="15"/>
        <v/>
      </c>
      <c r="S10" s="76">
        <f t="shared" si="6"/>
        <v>0</v>
      </c>
      <c r="T10" s="76" t="str">
        <f t="shared" si="7"/>
        <v/>
      </c>
      <c r="U10" s="76">
        <f t="shared" si="8"/>
        <v>352.3133628</v>
      </c>
      <c r="V10" s="76">
        <f t="shared" si="9"/>
        <v>352.3133628</v>
      </c>
      <c r="W10" s="2"/>
      <c r="X10" s="2"/>
      <c r="Y10" s="2"/>
      <c r="Z10" s="2"/>
      <c r="AA10" s="2"/>
      <c r="AB10" s="2"/>
      <c r="AC10" s="2"/>
      <c r="AD10" s="2"/>
      <c r="AE10" s="2"/>
      <c r="AF10" s="2"/>
    </row>
    <row r="11" ht="12.0" customHeight="1">
      <c r="A11" s="2"/>
      <c r="B11" s="88" t="s">
        <v>66</v>
      </c>
      <c r="C11" s="2"/>
      <c r="D11" s="2"/>
      <c r="E11" s="2"/>
      <c r="F11" s="2"/>
      <c r="G11" s="74">
        <v>463.236778370315</v>
      </c>
      <c r="H11" s="2"/>
      <c r="I11" s="36"/>
      <c r="J11" s="115">
        <v>413.823</v>
      </c>
      <c r="K11" s="36"/>
      <c r="L11" s="2"/>
      <c r="M11" s="2"/>
      <c r="N11" s="76" t="str">
        <f t="shared" si="3"/>
        <v/>
      </c>
      <c r="O11" s="76" t="str">
        <f t="shared" ref="O11:P11" si="16">I11</f>
        <v/>
      </c>
      <c r="P11" s="76">
        <f t="shared" si="16"/>
        <v>413.823</v>
      </c>
      <c r="Q11" s="76" t="str">
        <f t="shared" ref="Q11:R11" si="17">D11</f>
        <v/>
      </c>
      <c r="R11" s="76" t="str">
        <f t="shared" si="17"/>
        <v/>
      </c>
      <c r="S11" s="76">
        <f t="shared" si="6"/>
        <v>0</v>
      </c>
      <c r="T11" s="76" t="str">
        <f t="shared" si="7"/>
        <v/>
      </c>
      <c r="U11" s="76">
        <f t="shared" si="8"/>
        <v>463.2367784</v>
      </c>
      <c r="V11" s="76">
        <f t="shared" si="9"/>
        <v>877.0597784</v>
      </c>
      <c r="W11" s="2"/>
      <c r="X11" s="2"/>
      <c r="Y11" s="2"/>
      <c r="Z11" s="2"/>
      <c r="AA11" s="2"/>
      <c r="AB11" s="2"/>
      <c r="AC11" s="2"/>
      <c r="AD11" s="2"/>
      <c r="AE11" s="2"/>
      <c r="AF11" s="2"/>
    </row>
    <row r="12" ht="12.0" customHeight="1">
      <c r="A12" s="2"/>
      <c r="B12" s="88" t="s">
        <v>74</v>
      </c>
      <c r="C12" s="2"/>
      <c r="D12" s="2"/>
      <c r="E12" s="2"/>
      <c r="F12" s="2"/>
      <c r="G12" s="74">
        <v>541.615630999502</v>
      </c>
      <c r="H12" s="2"/>
      <c r="I12" s="36"/>
      <c r="J12" s="115">
        <v>698.09814163594</v>
      </c>
      <c r="K12" s="36"/>
      <c r="L12" s="2"/>
      <c r="M12" s="2"/>
      <c r="N12" s="76" t="str">
        <f t="shared" si="3"/>
        <v/>
      </c>
      <c r="O12" s="76" t="str">
        <f t="shared" ref="O12:P12" si="18">I12</f>
        <v/>
      </c>
      <c r="P12" s="76">
        <f t="shared" si="18"/>
        <v>698.0981416</v>
      </c>
      <c r="Q12" s="76" t="str">
        <f t="shared" ref="Q12:R12" si="19">D12</f>
        <v/>
      </c>
      <c r="R12" s="76" t="str">
        <f t="shared" si="19"/>
        <v/>
      </c>
      <c r="S12" s="76">
        <f t="shared" si="6"/>
        <v>0</v>
      </c>
      <c r="T12" s="76" t="str">
        <f t="shared" si="7"/>
        <v/>
      </c>
      <c r="U12" s="76">
        <f t="shared" si="8"/>
        <v>541.615631</v>
      </c>
      <c r="V12" s="76">
        <f t="shared" si="9"/>
        <v>1239.713773</v>
      </c>
      <c r="W12" s="2"/>
      <c r="X12" s="2"/>
      <c r="Y12" s="2"/>
      <c r="Z12" s="2"/>
      <c r="AA12" s="2"/>
      <c r="AB12" s="2"/>
      <c r="AC12" s="2"/>
      <c r="AD12" s="2"/>
      <c r="AE12" s="2"/>
      <c r="AF12" s="2"/>
    </row>
    <row r="13" ht="12.0" customHeight="1">
      <c r="A13" s="2"/>
      <c r="B13" s="88" t="s">
        <v>75</v>
      </c>
      <c r="C13" s="2"/>
      <c r="D13" s="2"/>
      <c r="E13" s="2"/>
      <c r="F13" s="2"/>
      <c r="G13" s="74">
        <v>542.089636161379</v>
      </c>
      <c r="H13" s="2"/>
      <c r="I13" s="36"/>
      <c r="J13" s="115">
        <v>694.301649057704</v>
      </c>
      <c r="K13" s="36"/>
      <c r="L13" s="2"/>
      <c r="M13" s="2"/>
      <c r="N13" s="76" t="str">
        <f t="shared" si="3"/>
        <v/>
      </c>
      <c r="O13" s="76" t="str">
        <f t="shared" ref="O13:P13" si="20">I13</f>
        <v/>
      </c>
      <c r="P13" s="76">
        <f t="shared" si="20"/>
        <v>694.3016491</v>
      </c>
      <c r="Q13" s="76" t="str">
        <f t="shared" ref="Q13:R13" si="21">D13</f>
        <v/>
      </c>
      <c r="R13" s="76" t="str">
        <f t="shared" si="21"/>
        <v/>
      </c>
      <c r="S13" s="76">
        <f t="shared" si="6"/>
        <v>0</v>
      </c>
      <c r="T13" s="76" t="str">
        <f t="shared" si="7"/>
        <v/>
      </c>
      <c r="U13" s="76">
        <f t="shared" si="8"/>
        <v>542.0896362</v>
      </c>
      <c r="V13" s="76">
        <f t="shared" si="9"/>
        <v>1236.391285</v>
      </c>
      <c r="W13" s="2"/>
      <c r="X13" s="2"/>
      <c r="Y13" s="2"/>
      <c r="Z13" s="2"/>
      <c r="AA13" s="2"/>
      <c r="AB13" s="2"/>
      <c r="AC13" s="2"/>
      <c r="AD13" s="2"/>
      <c r="AE13" s="2"/>
      <c r="AF13" s="2"/>
    </row>
    <row r="14" ht="12.0" customHeight="1">
      <c r="A14" s="4" t="s">
        <v>157</v>
      </c>
      <c r="B14" s="88" t="s">
        <v>58</v>
      </c>
      <c r="C14" s="2"/>
      <c r="D14" s="2"/>
      <c r="E14" s="2"/>
      <c r="F14" s="2"/>
      <c r="G14" s="74">
        <v>597.264340808509</v>
      </c>
      <c r="H14" s="2"/>
      <c r="I14" s="36"/>
      <c r="J14" s="115">
        <v>875.368842907437</v>
      </c>
      <c r="K14" s="36"/>
      <c r="L14" s="2"/>
      <c r="M14" s="2"/>
      <c r="N14" s="76" t="str">
        <f t="shared" si="3"/>
        <v/>
      </c>
      <c r="O14" s="76" t="str">
        <f t="shared" ref="O14:P14" si="22">I14</f>
        <v/>
      </c>
      <c r="P14" s="76">
        <f t="shared" si="22"/>
        <v>875.3688429</v>
      </c>
      <c r="Q14" s="76" t="str">
        <f t="shared" ref="Q14:R14" si="23">D14</f>
        <v/>
      </c>
      <c r="R14" s="76" t="str">
        <f t="shared" si="23"/>
        <v/>
      </c>
      <c r="S14" s="76">
        <f t="shared" si="6"/>
        <v>0</v>
      </c>
      <c r="T14" s="76" t="str">
        <f t="shared" si="7"/>
        <v/>
      </c>
      <c r="U14" s="76">
        <f t="shared" si="8"/>
        <v>597.2643408</v>
      </c>
      <c r="V14" s="76">
        <f t="shared" si="9"/>
        <v>1472.633184</v>
      </c>
      <c r="W14" s="2"/>
      <c r="X14" s="2"/>
      <c r="Y14" s="2"/>
      <c r="Z14" s="2"/>
      <c r="AA14" s="2"/>
      <c r="AB14" s="2"/>
      <c r="AC14" s="2"/>
      <c r="AD14" s="2"/>
      <c r="AE14" s="2"/>
      <c r="AF14" s="2"/>
    </row>
    <row r="15" ht="12.0" customHeight="1">
      <c r="A15" s="2"/>
      <c r="B15" s="88" t="s">
        <v>66</v>
      </c>
      <c r="C15" s="2"/>
      <c r="D15" s="2"/>
      <c r="E15" s="2"/>
      <c r="F15" s="2"/>
      <c r="G15" s="74">
        <v>662.940426120274</v>
      </c>
      <c r="H15" s="2"/>
      <c r="I15" s="36"/>
      <c r="J15" s="115">
        <v>872.016142542506</v>
      </c>
      <c r="K15" s="36"/>
      <c r="L15" s="2"/>
      <c r="M15" s="2"/>
      <c r="N15" s="76" t="str">
        <f t="shared" si="3"/>
        <v/>
      </c>
      <c r="O15" s="76" t="str">
        <f t="shared" ref="O15:P15" si="24">I15</f>
        <v/>
      </c>
      <c r="P15" s="76">
        <f t="shared" si="24"/>
        <v>872.0161425</v>
      </c>
      <c r="Q15" s="76" t="str">
        <f t="shared" ref="Q15:R15" si="25">D15</f>
        <v/>
      </c>
      <c r="R15" s="76" t="str">
        <f t="shared" si="25"/>
        <v/>
      </c>
      <c r="S15" s="76">
        <f t="shared" si="6"/>
        <v>0</v>
      </c>
      <c r="T15" s="76" t="str">
        <f t="shared" si="7"/>
        <v/>
      </c>
      <c r="U15" s="76">
        <f t="shared" si="8"/>
        <v>662.9404261</v>
      </c>
      <c r="V15" s="76">
        <f t="shared" si="9"/>
        <v>1534.956569</v>
      </c>
      <c r="W15" s="2"/>
      <c r="X15" s="2"/>
      <c r="Y15" s="2"/>
      <c r="Z15" s="2"/>
      <c r="AA15" s="2"/>
      <c r="AB15" s="2"/>
      <c r="AC15" s="2"/>
      <c r="AD15" s="2"/>
      <c r="AE15" s="2"/>
      <c r="AF15" s="2"/>
    </row>
    <row r="16" ht="12.0" customHeight="1">
      <c r="A16" s="2"/>
      <c r="B16" s="88" t="s">
        <v>74</v>
      </c>
      <c r="C16" s="2"/>
      <c r="D16" s="2"/>
      <c r="E16" s="2"/>
      <c r="F16" s="2"/>
      <c r="G16" s="74">
        <v>719.303911680252</v>
      </c>
      <c r="H16" s="2"/>
      <c r="I16" s="36"/>
      <c r="J16" s="115">
        <v>1231.24988751942</v>
      </c>
      <c r="K16" s="36"/>
      <c r="L16" s="2"/>
      <c r="M16" s="2"/>
      <c r="N16" s="76" t="str">
        <f t="shared" si="3"/>
        <v/>
      </c>
      <c r="O16" s="76" t="str">
        <f t="shared" ref="O16:P16" si="26">I16</f>
        <v/>
      </c>
      <c r="P16" s="76">
        <f t="shared" si="26"/>
        <v>1231.249888</v>
      </c>
      <c r="Q16" s="76" t="str">
        <f t="shared" ref="Q16:R16" si="27">D16</f>
        <v/>
      </c>
      <c r="R16" s="76" t="str">
        <f t="shared" si="27"/>
        <v/>
      </c>
      <c r="S16" s="76">
        <f t="shared" si="6"/>
        <v>0</v>
      </c>
      <c r="T16" s="76" t="str">
        <f t="shared" si="7"/>
        <v/>
      </c>
      <c r="U16" s="76">
        <f t="shared" si="8"/>
        <v>719.3039117</v>
      </c>
      <c r="V16" s="76">
        <f t="shared" si="9"/>
        <v>1950.553799</v>
      </c>
      <c r="W16" s="2"/>
      <c r="X16" s="2"/>
      <c r="Y16" s="2"/>
      <c r="Z16" s="2"/>
      <c r="AA16" s="2"/>
      <c r="AB16" s="2"/>
      <c r="AC16" s="2"/>
      <c r="AD16" s="2"/>
      <c r="AE16" s="2"/>
      <c r="AF16" s="2"/>
    </row>
    <row r="17" ht="12.0" customHeight="1">
      <c r="A17" s="2"/>
      <c r="B17" s="88" t="s">
        <v>75</v>
      </c>
      <c r="C17" s="2"/>
      <c r="D17" s="2"/>
      <c r="E17" s="2"/>
      <c r="F17" s="2"/>
      <c r="G17" s="74">
        <v>787.853810047575</v>
      </c>
      <c r="H17" s="2"/>
      <c r="I17" s="36"/>
      <c r="J17" s="115">
        <v>1223.97186597737</v>
      </c>
      <c r="K17" s="36"/>
      <c r="L17" s="2"/>
      <c r="M17" s="2"/>
      <c r="N17" s="76" t="str">
        <f t="shared" si="3"/>
        <v/>
      </c>
      <c r="O17" s="76" t="str">
        <f t="shared" ref="O17:P17" si="28">I17</f>
        <v/>
      </c>
      <c r="P17" s="76">
        <f t="shared" si="28"/>
        <v>1223.971866</v>
      </c>
      <c r="Q17" s="76" t="str">
        <f t="shared" ref="Q17:R17" si="29">D17</f>
        <v/>
      </c>
      <c r="R17" s="76" t="str">
        <f t="shared" si="29"/>
        <v/>
      </c>
      <c r="S17" s="76">
        <f t="shared" si="6"/>
        <v>0</v>
      </c>
      <c r="T17" s="76" t="str">
        <f t="shared" si="7"/>
        <v/>
      </c>
      <c r="U17" s="76">
        <f t="shared" si="8"/>
        <v>787.85381</v>
      </c>
      <c r="V17" s="76">
        <f t="shared" si="9"/>
        <v>2011.825676</v>
      </c>
      <c r="W17" s="2"/>
      <c r="X17" s="2"/>
      <c r="Y17" s="2"/>
      <c r="Z17" s="2"/>
      <c r="AA17" s="2"/>
      <c r="AB17" s="2"/>
      <c r="AC17" s="2"/>
      <c r="AD17" s="2"/>
      <c r="AE17" s="2"/>
      <c r="AF17" s="2"/>
    </row>
    <row r="18" ht="12.0" customHeight="1">
      <c r="A18" s="4" t="s">
        <v>158</v>
      </c>
      <c r="B18" s="88" t="s">
        <v>58</v>
      </c>
      <c r="C18" s="2"/>
      <c r="D18" s="2"/>
      <c r="E18" s="2"/>
      <c r="F18" s="2"/>
      <c r="G18" s="74">
        <v>870.374453782267</v>
      </c>
      <c r="H18" s="2"/>
      <c r="I18" s="36"/>
      <c r="J18" s="115">
        <v>1515.93198984689</v>
      </c>
      <c r="K18" s="36"/>
      <c r="L18" s="2"/>
      <c r="M18" s="2"/>
      <c r="N18" s="76" t="str">
        <f t="shared" si="3"/>
        <v/>
      </c>
      <c r="O18" s="76" t="str">
        <f t="shared" ref="O18:P18" si="30">I18</f>
        <v/>
      </c>
      <c r="P18" s="76">
        <f t="shared" si="30"/>
        <v>1515.93199</v>
      </c>
      <c r="Q18" s="76" t="str">
        <f t="shared" ref="Q18:R18" si="31">D18</f>
        <v/>
      </c>
      <c r="R18" s="76" t="str">
        <f t="shared" si="31"/>
        <v/>
      </c>
      <c r="S18" s="76">
        <f t="shared" si="6"/>
        <v>0</v>
      </c>
      <c r="T18" s="76" t="str">
        <f t="shared" si="7"/>
        <v/>
      </c>
      <c r="U18" s="76">
        <f t="shared" si="8"/>
        <v>870.3744538</v>
      </c>
      <c r="V18" s="76">
        <f t="shared" si="9"/>
        <v>2386.306444</v>
      </c>
      <c r="W18" s="2"/>
      <c r="X18" s="2"/>
      <c r="Y18" s="2"/>
      <c r="Z18" s="2"/>
      <c r="AA18" s="2"/>
      <c r="AB18" s="2"/>
      <c r="AC18" s="2"/>
      <c r="AD18" s="2"/>
      <c r="AE18" s="2"/>
      <c r="AF18" s="2"/>
    </row>
    <row r="19" ht="12.0" customHeight="1">
      <c r="A19" s="2"/>
      <c r="B19" s="88" t="s">
        <v>66</v>
      </c>
      <c r="C19" s="2"/>
      <c r="D19" s="2"/>
      <c r="E19" s="2"/>
      <c r="F19" s="2"/>
      <c r="G19" s="74">
        <v>957.932116274907</v>
      </c>
      <c r="H19" s="2"/>
      <c r="I19" s="36"/>
      <c r="J19" s="115">
        <v>1852.98134693962</v>
      </c>
      <c r="K19" s="36"/>
      <c r="L19" s="2"/>
      <c r="M19" s="2"/>
      <c r="N19" s="76" t="str">
        <f t="shared" si="3"/>
        <v/>
      </c>
      <c r="O19" s="76" t="str">
        <f t="shared" ref="O19:P19" si="32">I19</f>
        <v/>
      </c>
      <c r="P19" s="76">
        <f t="shared" si="32"/>
        <v>1852.981347</v>
      </c>
      <c r="Q19" s="76" t="str">
        <f t="shared" ref="Q19:R19" si="33">D19</f>
        <v/>
      </c>
      <c r="R19" s="76" t="str">
        <f t="shared" si="33"/>
        <v/>
      </c>
      <c r="S19" s="76">
        <f t="shared" si="6"/>
        <v>0</v>
      </c>
      <c r="T19" s="76" t="str">
        <f t="shared" si="7"/>
        <v/>
      </c>
      <c r="U19" s="76">
        <f t="shared" si="8"/>
        <v>957.9321163</v>
      </c>
      <c r="V19" s="76">
        <f t="shared" si="9"/>
        <v>2810.913463</v>
      </c>
      <c r="W19" s="2"/>
      <c r="X19" s="2"/>
      <c r="Y19" s="2"/>
      <c r="Z19" s="2"/>
      <c r="AA19" s="2"/>
      <c r="AB19" s="2"/>
      <c r="AC19" s="2"/>
      <c r="AD19" s="2"/>
      <c r="AE19" s="2"/>
      <c r="AF19" s="2"/>
    </row>
    <row r="20" ht="12.0" customHeight="1">
      <c r="A20" s="2"/>
      <c r="B20" s="88" t="s">
        <v>74</v>
      </c>
      <c r="C20" s="2"/>
      <c r="D20" s="2"/>
      <c r="E20" s="2"/>
      <c r="F20" s="2"/>
      <c r="G20" s="74">
        <v>1042.35324228625</v>
      </c>
      <c r="H20" s="2"/>
      <c r="I20" s="36"/>
      <c r="J20" s="115">
        <v>2132.12255039375</v>
      </c>
      <c r="K20" s="36"/>
      <c r="L20" s="2"/>
      <c r="M20" s="2"/>
      <c r="N20" s="76" t="str">
        <f t="shared" si="3"/>
        <v/>
      </c>
      <c r="O20" s="76" t="str">
        <f t="shared" ref="O20:P20" si="34">I20</f>
        <v/>
      </c>
      <c r="P20" s="76">
        <f t="shared" si="34"/>
        <v>2132.12255</v>
      </c>
      <c r="Q20" s="76" t="str">
        <f t="shared" ref="Q20:R20" si="35">D20</f>
        <v/>
      </c>
      <c r="R20" s="76" t="str">
        <f t="shared" si="35"/>
        <v/>
      </c>
      <c r="S20" s="76">
        <f t="shared" si="6"/>
        <v>0</v>
      </c>
      <c r="T20" s="76" t="str">
        <f t="shared" si="7"/>
        <v/>
      </c>
      <c r="U20" s="76">
        <f t="shared" si="8"/>
        <v>1042.353242</v>
      </c>
      <c r="V20" s="76">
        <f t="shared" si="9"/>
        <v>3174.475793</v>
      </c>
      <c r="W20" s="2"/>
      <c r="X20" s="2"/>
      <c r="Y20" s="2"/>
      <c r="Z20" s="2"/>
      <c r="AA20" s="2"/>
      <c r="AB20" s="2"/>
      <c r="AC20" s="2"/>
      <c r="AD20" s="2"/>
      <c r="AE20" s="2"/>
      <c r="AF20" s="2"/>
    </row>
    <row r="21" ht="12.0" customHeight="1">
      <c r="A21" s="2"/>
      <c r="B21" s="88" t="s">
        <v>75</v>
      </c>
      <c r="C21" s="2"/>
      <c r="D21" s="2"/>
      <c r="E21" s="2"/>
      <c r="F21" s="2"/>
      <c r="G21" s="74">
        <v>1136.98395270048</v>
      </c>
      <c r="H21" s="2"/>
      <c r="I21" s="36"/>
      <c r="J21" s="115">
        <v>2118.7222031865</v>
      </c>
      <c r="K21" s="36"/>
      <c r="L21" s="2"/>
      <c r="M21" s="2"/>
      <c r="N21" s="76" t="str">
        <f t="shared" si="3"/>
        <v/>
      </c>
      <c r="O21" s="76" t="str">
        <f t="shared" ref="O21:P21" si="36">I21</f>
        <v/>
      </c>
      <c r="P21" s="76">
        <f t="shared" si="36"/>
        <v>2118.722203</v>
      </c>
      <c r="Q21" s="76" t="str">
        <f t="shared" ref="Q21:R21" si="37">D21</f>
        <v/>
      </c>
      <c r="R21" s="76" t="str">
        <f t="shared" si="37"/>
        <v/>
      </c>
      <c r="S21" s="76">
        <f t="shared" si="6"/>
        <v>0</v>
      </c>
      <c r="T21" s="76" t="str">
        <f t="shared" si="7"/>
        <v/>
      </c>
      <c r="U21" s="76">
        <f t="shared" si="8"/>
        <v>1136.983953</v>
      </c>
      <c r="V21" s="76">
        <f t="shared" si="9"/>
        <v>3255.706156</v>
      </c>
      <c r="W21" s="2"/>
      <c r="X21" s="2"/>
      <c r="Y21" s="2"/>
      <c r="Z21" s="2"/>
      <c r="AA21" s="2"/>
      <c r="AB21" s="2"/>
      <c r="AC21" s="2"/>
      <c r="AD21" s="2"/>
      <c r="AE21" s="2"/>
      <c r="AF21" s="2"/>
    </row>
    <row r="22" ht="12.0" customHeight="1">
      <c r="A22" s="4" t="s">
        <v>159</v>
      </c>
      <c r="B22" s="88" t="s">
        <v>58</v>
      </c>
      <c r="C22" s="2"/>
      <c r="D22" s="2"/>
      <c r="E22" s="2"/>
      <c r="F22" s="2"/>
      <c r="G22" s="74">
        <v>1209.67017832022</v>
      </c>
      <c r="H22" s="2"/>
      <c r="I22" s="36"/>
      <c r="J22" s="115">
        <v>2487.53552949541</v>
      </c>
      <c r="K22" s="36"/>
      <c r="L22" s="2"/>
      <c r="M22" s="2"/>
      <c r="N22" s="76" t="str">
        <f t="shared" si="3"/>
        <v/>
      </c>
      <c r="O22" s="76" t="str">
        <f t="shared" ref="O22:P22" si="38">I22</f>
        <v/>
      </c>
      <c r="P22" s="76">
        <f t="shared" si="38"/>
        <v>2487.535529</v>
      </c>
      <c r="Q22" s="76" t="str">
        <f t="shared" ref="Q22:R22" si="39">D22</f>
        <v/>
      </c>
      <c r="R22" s="76" t="str">
        <f t="shared" si="39"/>
        <v/>
      </c>
      <c r="S22" s="76">
        <f t="shared" si="6"/>
        <v>0</v>
      </c>
      <c r="T22" s="76" t="str">
        <f t="shared" si="7"/>
        <v/>
      </c>
      <c r="U22" s="76">
        <f t="shared" si="8"/>
        <v>1209.670178</v>
      </c>
      <c r="V22" s="76">
        <f t="shared" si="9"/>
        <v>3697.205708</v>
      </c>
      <c r="W22" s="2"/>
      <c r="X22" s="2"/>
      <c r="Y22" s="2"/>
      <c r="Z22" s="2"/>
      <c r="AA22" s="2"/>
      <c r="AB22" s="2"/>
      <c r="AC22" s="2"/>
      <c r="AD22" s="2"/>
      <c r="AE22" s="2"/>
      <c r="AF22" s="2"/>
    </row>
    <row r="23" ht="12.0" customHeight="1">
      <c r="A23" s="2"/>
      <c r="B23" s="88" t="s">
        <v>66</v>
      </c>
      <c r="C23" s="2"/>
      <c r="D23" s="2"/>
      <c r="E23" s="2"/>
      <c r="F23" s="2"/>
      <c r="G23" s="74">
        <v>1297.11519677224</v>
      </c>
      <c r="H23" s="2"/>
      <c r="I23" s="36"/>
      <c r="J23" s="115">
        <v>2793.98263766506</v>
      </c>
      <c r="K23" s="36"/>
      <c r="L23" s="74">
        <v>426.506</v>
      </c>
      <c r="M23" s="2"/>
      <c r="N23" s="76" t="str">
        <f t="shared" si="3"/>
        <v/>
      </c>
      <c r="O23" s="76" t="str">
        <f t="shared" ref="O23:P23" si="40">I23</f>
        <v/>
      </c>
      <c r="P23" s="76">
        <f t="shared" si="40"/>
        <v>2793.982638</v>
      </c>
      <c r="Q23" s="76" t="str">
        <f t="shared" ref="Q23:R23" si="41">D23</f>
        <v/>
      </c>
      <c r="R23" s="76" t="str">
        <f t="shared" si="41"/>
        <v/>
      </c>
      <c r="S23" s="76">
        <f t="shared" si="6"/>
        <v>0</v>
      </c>
      <c r="T23" s="76">
        <f t="shared" si="7"/>
        <v>426.506</v>
      </c>
      <c r="U23" s="76">
        <f t="shared" si="8"/>
        <v>1297.115197</v>
      </c>
      <c r="V23" s="76">
        <f t="shared" si="9"/>
        <v>4517.603834</v>
      </c>
      <c r="W23" s="2"/>
      <c r="X23" s="2"/>
      <c r="Y23" s="2"/>
      <c r="Z23" s="2"/>
      <c r="AA23" s="2"/>
      <c r="AB23" s="2"/>
      <c r="AC23" s="2"/>
      <c r="AD23" s="2"/>
      <c r="AE23" s="2"/>
      <c r="AF23" s="2"/>
    </row>
    <row r="24" ht="12.0" customHeight="1">
      <c r="A24" s="2"/>
      <c r="B24" s="88" t="s">
        <v>74</v>
      </c>
      <c r="C24" s="2"/>
      <c r="D24" s="2"/>
      <c r="E24" s="2"/>
      <c r="F24" s="2"/>
      <c r="G24" s="74">
        <v>1405.99510768505</v>
      </c>
      <c r="H24" s="2"/>
      <c r="I24" s="36"/>
      <c r="J24" s="115">
        <v>3075.49004675747</v>
      </c>
      <c r="K24" s="36"/>
      <c r="L24" s="74">
        <v>4033.45004645793</v>
      </c>
      <c r="M24" s="2"/>
      <c r="N24" s="76" t="str">
        <f t="shared" si="3"/>
        <v/>
      </c>
      <c r="O24" s="76" t="str">
        <f t="shared" ref="O24:P24" si="42">I24</f>
        <v/>
      </c>
      <c r="P24" s="76">
        <f t="shared" si="42"/>
        <v>3075.490047</v>
      </c>
      <c r="Q24" s="76" t="str">
        <f t="shared" ref="Q24:R24" si="43">D24</f>
        <v/>
      </c>
      <c r="R24" s="76" t="str">
        <f t="shared" si="43"/>
        <v/>
      </c>
      <c r="S24" s="76">
        <f t="shared" si="6"/>
        <v>0</v>
      </c>
      <c r="T24" s="76">
        <f t="shared" si="7"/>
        <v>4033.450046</v>
      </c>
      <c r="U24" s="76">
        <f t="shared" si="8"/>
        <v>1405.995108</v>
      </c>
      <c r="V24" s="76">
        <f t="shared" si="9"/>
        <v>8514.935201</v>
      </c>
      <c r="W24" s="2"/>
      <c r="X24" s="2"/>
      <c r="Y24" s="2"/>
      <c r="Z24" s="2"/>
      <c r="AA24" s="2"/>
      <c r="AB24" s="2"/>
      <c r="AC24" s="2"/>
      <c r="AD24" s="2"/>
      <c r="AE24" s="2"/>
      <c r="AF24" s="2"/>
    </row>
    <row r="25" ht="12.0" customHeight="1">
      <c r="A25" s="2"/>
      <c r="B25" s="88" t="s">
        <v>75</v>
      </c>
      <c r="C25" s="2"/>
      <c r="D25" s="2"/>
      <c r="E25" s="2"/>
      <c r="F25" s="2"/>
      <c r="G25" s="74">
        <v>1492.06483210566</v>
      </c>
      <c r="H25" s="2"/>
      <c r="I25" s="36"/>
      <c r="J25" s="115">
        <v>3043.21084543511</v>
      </c>
      <c r="K25" s="36"/>
      <c r="L25" s="74">
        <v>7274.8563689049</v>
      </c>
      <c r="M25" s="2"/>
      <c r="N25" s="76" t="str">
        <f t="shared" si="3"/>
        <v/>
      </c>
      <c r="O25" s="76" t="str">
        <f t="shared" ref="O25:P25" si="44">I25</f>
        <v/>
      </c>
      <c r="P25" s="76">
        <f t="shared" si="44"/>
        <v>3043.210845</v>
      </c>
      <c r="Q25" s="76" t="str">
        <f t="shared" ref="Q25:R25" si="45">D25</f>
        <v/>
      </c>
      <c r="R25" s="76" t="str">
        <f t="shared" si="45"/>
        <v/>
      </c>
      <c r="S25" s="76">
        <f t="shared" si="6"/>
        <v>0</v>
      </c>
      <c r="T25" s="76">
        <f t="shared" si="7"/>
        <v>7274.856369</v>
      </c>
      <c r="U25" s="76">
        <f t="shared" si="8"/>
        <v>1492.064832</v>
      </c>
      <c r="V25" s="76">
        <f t="shared" si="9"/>
        <v>11810.13205</v>
      </c>
      <c r="W25" s="2"/>
      <c r="X25" s="2"/>
      <c r="Y25" s="2"/>
      <c r="Z25" s="2"/>
      <c r="AA25" s="2"/>
      <c r="AB25" s="2"/>
      <c r="AC25" s="2"/>
      <c r="AD25" s="2"/>
      <c r="AE25" s="2"/>
      <c r="AF25" s="2"/>
    </row>
    <row r="26" ht="12.0" customHeight="1">
      <c r="A26" s="4" t="s">
        <v>160</v>
      </c>
      <c r="B26" s="88" t="s">
        <v>58</v>
      </c>
      <c r="C26" s="2"/>
      <c r="D26" s="2"/>
      <c r="E26" s="2"/>
      <c r="F26" s="2"/>
      <c r="G26" s="74">
        <v>1578.21714068792</v>
      </c>
      <c r="H26" s="2"/>
      <c r="I26" s="36"/>
      <c r="J26" s="115">
        <v>3407.17023272768</v>
      </c>
      <c r="K26" s="36"/>
      <c r="L26" s="74">
        <v>10602.3531764301</v>
      </c>
      <c r="M26" s="2"/>
      <c r="N26" s="76" t="str">
        <f t="shared" si="3"/>
        <v/>
      </c>
      <c r="O26" s="76" t="str">
        <f t="shared" ref="O26:P26" si="46">I26</f>
        <v/>
      </c>
      <c r="P26" s="76">
        <f t="shared" si="46"/>
        <v>3407.170233</v>
      </c>
      <c r="Q26" s="76" t="str">
        <f t="shared" ref="Q26:R26" si="47">D26</f>
        <v/>
      </c>
      <c r="R26" s="76" t="str">
        <f t="shared" si="47"/>
        <v/>
      </c>
      <c r="S26" s="76">
        <f t="shared" si="6"/>
        <v>0</v>
      </c>
      <c r="T26" s="76">
        <f t="shared" si="7"/>
        <v>10602.35318</v>
      </c>
      <c r="U26" s="76">
        <f t="shared" si="8"/>
        <v>1578.217141</v>
      </c>
      <c r="V26" s="76">
        <f t="shared" si="9"/>
        <v>15587.74055</v>
      </c>
      <c r="W26" s="2"/>
      <c r="X26" s="2"/>
      <c r="Y26" s="2"/>
      <c r="Z26" s="2"/>
      <c r="AA26" s="2"/>
      <c r="AB26" s="2"/>
      <c r="AC26" s="2"/>
      <c r="AD26" s="2"/>
      <c r="AE26" s="2"/>
      <c r="AF26" s="2"/>
    </row>
    <row r="27" ht="12.0" customHeight="1">
      <c r="A27" s="2"/>
      <c r="B27" s="88" t="s">
        <v>66</v>
      </c>
      <c r="C27" s="2"/>
      <c r="D27" s="2"/>
      <c r="E27" s="2"/>
      <c r="F27" s="2"/>
      <c r="G27" s="74">
        <v>1681.11230320279</v>
      </c>
      <c r="H27" s="2"/>
      <c r="I27" s="36"/>
      <c r="J27" s="115">
        <v>3745.73437915471</v>
      </c>
      <c r="K27" s="36"/>
      <c r="L27" s="74">
        <v>13311.2539539343</v>
      </c>
      <c r="M27" s="2"/>
      <c r="N27" s="76" t="str">
        <f t="shared" si="3"/>
        <v/>
      </c>
      <c r="O27" s="76" t="str">
        <f t="shared" ref="O27:P27" si="48">I27</f>
        <v/>
      </c>
      <c r="P27" s="76">
        <f t="shared" si="48"/>
        <v>3745.734379</v>
      </c>
      <c r="Q27" s="76" t="str">
        <f t="shared" ref="Q27:R27" si="49">D27</f>
        <v/>
      </c>
      <c r="R27" s="76" t="str">
        <f t="shared" si="49"/>
        <v/>
      </c>
      <c r="S27" s="76">
        <f t="shared" si="6"/>
        <v>0</v>
      </c>
      <c r="T27" s="76">
        <f t="shared" si="7"/>
        <v>13311.25395</v>
      </c>
      <c r="U27" s="76">
        <f t="shared" si="8"/>
        <v>1681.112303</v>
      </c>
      <c r="V27" s="76">
        <f t="shared" si="9"/>
        <v>18738.10064</v>
      </c>
      <c r="W27" s="2"/>
      <c r="X27" s="2"/>
      <c r="Y27" s="2"/>
      <c r="Z27" s="2"/>
      <c r="AA27" s="2"/>
      <c r="AB27" s="2"/>
      <c r="AC27" s="2"/>
      <c r="AD27" s="2"/>
      <c r="AE27" s="2"/>
      <c r="AF27" s="2"/>
    </row>
    <row r="28" ht="12.0" customHeight="1">
      <c r="A28" s="2"/>
      <c r="B28" s="88" t="s">
        <v>74</v>
      </c>
      <c r="C28" s="2"/>
      <c r="D28" s="2"/>
      <c r="E28" s="2"/>
      <c r="F28" s="2"/>
      <c r="G28" s="74">
        <v>1774.77691262897</v>
      </c>
      <c r="H28" s="2"/>
      <c r="I28" s="36"/>
      <c r="J28" s="115">
        <v>4131.45994987584</v>
      </c>
      <c r="K28" s="36"/>
      <c r="L28" s="74">
        <v>16249.6542361191</v>
      </c>
      <c r="M28" s="2"/>
      <c r="N28" s="76" t="str">
        <f t="shared" si="3"/>
        <v/>
      </c>
      <c r="O28" s="76" t="str">
        <f t="shared" ref="O28:P28" si="50">I28</f>
        <v/>
      </c>
      <c r="P28" s="76">
        <f t="shared" si="50"/>
        <v>4131.45995</v>
      </c>
      <c r="Q28" s="76" t="str">
        <f t="shared" ref="Q28:R28" si="51">D28</f>
        <v/>
      </c>
      <c r="R28" s="76" t="str">
        <f t="shared" si="51"/>
        <v/>
      </c>
      <c r="S28" s="76">
        <f t="shared" si="6"/>
        <v>0</v>
      </c>
      <c r="T28" s="76">
        <f t="shared" si="7"/>
        <v>16249.65424</v>
      </c>
      <c r="U28" s="76">
        <f t="shared" si="8"/>
        <v>1774.776913</v>
      </c>
      <c r="V28" s="76">
        <f t="shared" si="9"/>
        <v>22155.8911</v>
      </c>
      <c r="W28" s="2"/>
      <c r="X28" s="2"/>
      <c r="Y28" s="2"/>
      <c r="Z28" s="2"/>
      <c r="AA28" s="2"/>
      <c r="AB28" s="2"/>
      <c r="AC28" s="2"/>
      <c r="AD28" s="2"/>
      <c r="AE28" s="2"/>
      <c r="AF28" s="2"/>
    </row>
    <row r="29" ht="12.0" customHeight="1">
      <c r="A29" s="2"/>
      <c r="B29" s="88" t="s">
        <v>75</v>
      </c>
      <c r="C29" s="74">
        <v>246.574980214677</v>
      </c>
      <c r="D29" s="2"/>
      <c r="E29" s="2"/>
      <c r="F29" s="2"/>
      <c r="G29" s="74">
        <v>1899.17622376755</v>
      </c>
      <c r="H29" s="2"/>
      <c r="I29" s="36"/>
      <c r="J29" s="115">
        <v>4049.56120755209</v>
      </c>
      <c r="K29" s="36"/>
      <c r="L29" s="74">
        <v>16915.6223200051</v>
      </c>
      <c r="M29" s="2"/>
      <c r="N29" s="76">
        <f t="shared" si="3"/>
        <v>246.5749802</v>
      </c>
      <c r="O29" s="76" t="str">
        <f t="shared" ref="O29:P29" si="52">I29</f>
        <v/>
      </c>
      <c r="P29" s="76">
        <f t="shared" si="52"/>
        <v>4049.561208</v>
      </c>
      <c r="Q29" s="76" t="str">
        <f t="shared" ref="Q29:R29" si="53">D29</f>
        <v/>
      </c>
      <c r="R29" s="76" t="str">
        <f t="shared" si="53"/>
        <v/>
      </c>
      <c r="S29" s="76">
        <f t="shared" si="6"/>
        <v>0</v>
      </c>
      <c r="T29" s="76">
        <f t="shared" si="7"/>
        <v>16915.62232</v>
      </c>
      <c r="U29" s="76">
        <f t="shared" si="8"/>
        <v>1899.176224</v>
      </c>
      <c r="V29" s="76">
        <f t="shared" si="9"/>
        <v>23110.93473</v>
      </c>
      <c r="W29" s="2"/>
      <c r="X29" s="2"/>
      <c r="Y29" s="2"/>
      <c r="Z29" s="2"/>
      <c r="AA29" s="2"/>
      <c r="AB29" s="2"/>
      <c r="AC29" s="2"/>
      <c r="AD29" s="2"/>
      <c r="AE29" s="2"/>
      <c r="AF29" s="2"/>
    </row>
    <row r="30" ht="12.0" customHeight="1">
      <c r="A30" s="4" t="s">
        <v>161</v>
      </c>
      <c r="B30" s="88" t="s">
        <v>58</v>
      </c>
      <c r="C30" s="74">
        <v>231.672561641056</v>
      </c>
      <c r="D30" s="2"/>
      <c r="E30" s="2"/>
      <c r="F30" s="2"/>
      <c r="G30" s="74">
        <v>2031.24783352747</v>
      </c>
      <c r="H30" s="2"/>
      <c r="I30" s="36"/>
      <c r="J30" s="115">
        <v>4591.9242017807</v>
      </c>
      <c r="K30" s="36"/>
      <c r="L30" s="74">
        <v>16989.8416019686</v>
      </c>
      <c r="M30" s="2"/>
      <c r="N30" s="76">
        <f t="shared" si="3"/>
        <v>231.6725616</v>
      </c>
      <c r="O30" s="76" t="str">
        <f t="shared" ref="O30:P30" si="54">I30</f>
        <v/>
      </c>
      <c r="P30" s="76">
        <f t="shared" si="54"/>
        <v>4591.924202</v>
      </c>
      <c r="Q30" s="76" t="str">
        <f t="shared" ref="Q30:R30" si="55">D30</f>
        <v/>
      </c>
      <c r="R30" s="76" t="str">
        <f t="shared" si="55"/>
        <v/>
      </c>
      <c r="S30" s="76">
        <f t="shared" si="6"/>
        <v>0</v>
      </c>
      <c r="T30" s="76">
        <f t="shared" si="7"/>
        <v>16989.8416</v>
      </c>
      <c r="U30" s="76">
        <f t="shared" si="8"/>
        <v>2031.247834</v>
      </c>
      <c r="V30" s="76">
        <f t="shared" si="9"/>
        <v>23844.6862</v>
      </c>
      <c r="W30" s="2"/>
      <c r="X30" s="2"/>
      <c r="Y30" s="2"/>
      <c r="Z30" s="2"/>
      <c r="AA30" s="2"/>
      <c r="AB30" s="2"/>
      <c r="AC30" s="2"/>
      <c r="AD30" s="2"/>
      <c r="AE30" s="2"/>
      <c r="AF30" s="2"/>
    </row>
    <row r="31" ht="12.0" customHeight="1">
      <c r="A31" s="2"/>
      <c r="B31" s="88" t="s">
        <v>66</v>
      </c>
      <c r="C31" s="74">
        <v>221.008762395412</v>
      </c>
      <c r="D31" s="2"/>
      <c r="E31" s="2"/>
      <c r="F31" s="2"/>
      <c r="G31" s="74">
        <v>2143.34138058972</v>
      </c>
      <c r="H31" s="2"/>
      <c r="I31" s="36"/>
      <c r="J31" s="115">
        <v>5038.20589942162</v>
      </c>
      <c r="K31" s="36"/>
      <c r="L31" s="74">
        <v>15776.6755902202</v>
      </c>
      <c r="M31" s="2"/>
      <c r="N31" s="76">
        <f t="shared" si="3"/>
        <v>221.0087624</v>
      </c>
      <c r="O31" s="76" t="str">
        <f t="shared" ref="O31:P31" si="56">I31</f>
        <v/>
      </c>
      <c r="P31" s="76">
        <f t="shared" si="56"/>
        <v>5038.205899</v>
      </c>
      <c r="Q31" s="76" t="str">
        <f t="shared" ref="Q31:R31" si="57">D31</f>
        <v/>
      </c>
      <c r="R31" s="76" t="str">
        <f t="shared" si="57"/>
        <v/>
      </c>
      <c r="S31" s="76">
        <f t="shared" si="6"/>
        <v>0</v>
      </c>
      <c r="T31" s="76">
        <f t="shared" si="7"/>
        <v>15776.67559</v>
      </c>
      <c r="U31" s="76">
        <f t="shared" si="8"/>
        <v>2143.341381</v>
      </c>
      <c r="V31" s="76">
        <f t="shared" si="9"/>
        <v>23179.23163</v>
      </c>
      <c r="W31" s="2"/>
      <c r="X31" s="2"/>
      <c r="Y31" s="2"/>
      <c r="Z31" s="2"/>
      <c r="AA31" s="2"/>
      <c r="AB31" s="2"/>
      <c r="AC31" s="2"/>
      <c r="AD31" s="2"/>
      <c r="AE31" s="2"/>
      <c r="AF31" s="2"/>
    </row>
    <row r="32" ht="12.0" customHeight="1">
      <c r="A32" s="2"/>
      <c r="B32" s="88" t="s">
        <v>74</v>
      </c>
      <c r="C32" s="74">
        <v>202.460489175927</v>
      </c>
      <c r="D32" s="2"/>
      <c r="E32" s="2"/>
      <c r="F32" s="2"/>
      <c r="G32" s="74">
        <v>2267.60666961411</v>
      </c>
      <c r="H32" s="2"/>
      <c r="I32" s="36"/>
      <c r="J32" s="115">
        <v>5310.20366582375</v>
      </c>
      <c r="K32" s="36"/>
      <c r="L32" s="74">
        <v>14528.4598497778</v>
      </c>
      <c r="M32" s="2"/>
      <c r="N32" s="76">
        <f t="shared" si="3"/>
        <v>202.4604892</v>
      </c>
      <c r="O32" s="76" t="str">
        <f t="shared" ref="O32:P32" si="58">I32</f>
        <v/>
      </c>
      <c r="P32" s="76">
        <f t="shared" si="58"/>
        <v>5310.203666</v>
      </c>
      <c r="Q32" s="76" t="str">
        <f t="shared" ref="Q32:R32" si="59">D32</f>
        <v/>
      </c>
      <c r="R32" s="76" t="str">
        <f t="shared" si="59"/>
        <v/>
      </c>
      <c r="S32" s="76">
        <f t="shared" si="6"/>
        <v>0</v>
      </c>
      <c r="T32" s="76">
        <f t="shared" si="7"/>
        <v>14528.45985</v>
      </c>
      <c r="U32" s="76">
        <f t="shared" si="8"/>
        <v>2267.60667</v>
      </c>
      <c r="V32" s="76">
        <f t="shared" si="9"/>
        <v>22308.73067</v>
      </c>
      <c r="W32" s="2"/>
      <c r="X32" s="2"/>
      <c r="Y32" s="2"/>
      <c r="Z32" s="2"/>
      <c r="AA32" s="2"/>
      <c r="AB32" s="2"/>
      <c r="AC32" s="2"/>
      <c r="AD32" s="2"/>
      <c r="AE32" s="2"/>
      <c r="AF32" s="2"/>
    </row>
    <row r="33" ht="12.0" customHeight="1">
      <c r="A33" s="2"/>
      <c r="B33" s="88" t="s">
        <v>75</v>
      </c>
      <c r="C33" s="74">
        <v>193.830164128419</v>
      </c>
      <c r="D33" s="2"/>
      <c r="E33" s="2"/>
      <c r="F33" s="2"/>
      <c r="G33" s="74">
        <v>2405.70620362913</v>
      </c>
      <c r="H33" s="2"/>
      <c r="I33" s="36"/>
      <c r="J33" s="115">
        <v>5155.91454450087</v>
      </c>
      <c r="K33" s="36"/>
      <c r="L33" s="74">
        <v>13411.3760698835</v>
      </c>
      <c r="M33" s="2"/>
      <c r="N33" s="76">
        <f t="shared" si="3"/>
        <v>193.8301641</v>
      </c>
      <c r="O33" s="76" t="str">
        <f t="shared" ref="O33:P33" si="60">I33</f>
        <v/>
      </c>
      <c r="P33" s="76">
        <f t="shared" si="60"/>
        <v>5155.914545</v>
      </c>
      <c r="Q33" s="76" t="str">
        <f t="shared" ref="Q33:R33" si="61">D33</f>
        <v/>
      </c>
      <c r="R33" s="76" t="str">
        <f t="shared" si="61"/>
        <v/>
      </c>
      <c r="S33" s="76">
        <f t="shared" si="6"/>
        <v>0</v>
      </c>
      <c r="T33" s="76">
        <f t="shared" si="7"/>
        <v>13411.37607</v>
      </c>
      <c r="U33" s="76">
        <f t="shared" si="8"/>
        <v>2405.706204</v>
      </c>
      <c r="V33" s="76">
        <f t="shared" si="9"/>
        <v>21166.82698</v>
      </c>
      <c r="W33" s="2"/>
      <c r="X33" s="2"/>
      <c r="Y33" s="2"/>
      <c r="Z33" s="2"/>
      <c r="AA33" s="2"/>
      <c r="AB33" s="2"/>
      <c r="AC33" s="2"/>
      <c r="AD33" s="2"/>
      <c r="AE33" s="2"/>
      <c r="AF33" s="2"/>
    </row>
    <row r="34" ht="12.0" customHeight="1">
      <c r="A34" s="4" t="s">
        <v>162</v>
      </c>
      <c r="B34" s="88" t="s">
        <v>58</v>
      </c>
      <c r="C34" s="74">
        <v>171.924986901359</v>
      </c>
      <c r="D34" s="2"/>
      <c r="E34" s="2"/>
      <c r="F34" s="2"/>
      <c r="G34" s="74">
        <v>2569.27395632142</v>
      </c>
      <c r="H34" s="2"/>
      <c r="I34" s="36"/>
      <c r="J34" s="115">
        <v>5551.1963437631</v>
      </c>
      <c r="K34" s="36"/>
      <c r="L34" s="74">
        <v>12385.4675084125</v>
      </c>
      <c r="M34" s="2"/>
      <c r="N34" s="76">
        <f t="shared" si="3"/>
        <v>171.9249869</v>
      </c>
      <c r="O34" s="76" t="str">
        <f t="shared" ref="O34:P34" si="62">I34</f>
        <v/>
      </c>
      <c r="P34" s="76">
        <f t="shared" si="62"/>
        <v>5551.196344</v>
      </c>
      <c r="Q34" s="76" t="str">
        <f t="shared" ref="Q34:R34" si="63">D34</f>
        <v/>
      </c>
      <c r="R34" s="76" t="str">
        <f t="shared" si="63"/>
        <v/>
      </c>
      <c r="S34" s="76">
        <f t="shared" si="6"/>
        <v>0</v>
      </c>
      <c r="T34" s="76">
        <f t="shared" si="7"/>
        <v>12385.46751</v>
      </c>
      <c r="U34" s="76">
        <f t="shared" si="8"/>
        <v>2569.273956</v>
      </c>
      <c r="V34" s="76">
        <f t="shared" si="9"/>
        <v>20677.8628</v>
      </c>
      <c r="W34" s="2"/>
      <c r="X34" s="2"/>
      <c r="Y34" s="2"/>
      <c r="Z34" s="2"/>
      <c r="AA34" s="2"/>
      <c r="AB34" s="2"/>
      <c r="AC34" s="2"/>
      <c r="AD34" s="2"/>
      <c r="AE34" s="2"/>
      <c r="AF34" s="2"/>
    </row>
    <row r="35" ht="12.0" customHeight="1">
      <c r="A35" s="2"/>
      <c r="B35" s="88" t="s">
        <v>66</v>
      </c>
      <c r="C35" s="74">
        <v>158.855685255435</v>
      </c>
      <c r="D35" s="2"/>
      <c r="E35" s="2"/>
      <c r="F35" s="2"/>
      <c r="G35" s="74">
        <v>2771.54148223415</v>
      </c>
      <c r="H35" s="2"/>
      <c r="I35" s="36"/>
      <c r="J35" s="115">
        <v>5830.4607147314</v>
      </c>
      <c r="K35" s="36"/>
      <c r="L35" s="74">
        <v>11462.2144206997</v>
      </c>
      <c r="M35" s="2"/>
      <c r="N35" s="76">
        <f t="shared" si="3"/>
        <v>158.8556853</v>
      </c>
      <c r="O35" s="76" t="str">
        <f t="shared" ref="O35:P35" si="64">I35</f>
        <v/>
      </c>
      <c r="P35" s="76">
        <f t="shared" si="64"/>
        <v>5830.460715</v>
      </c>
      <c r="Q35" s="76" t="str">
        <f t="shared" ref="Q35:R35" si="65">D35</f>
        <v/>
      </c>
      <c r="R35" s="76" t="str">
        <f t="shared" si="65"/>
        <v/>
      </c>
      <c r="S35" s="76">
        <f t="shared" si="6"/>
        <v>0</v>
      </c>
      <c r="T35" s="76">
        <f t="shared" si="7"/>
        <v>11462.21442</v>
      </c>
      <c r="U35" s="76">
        <f t="shared" si="8"/>
        <v>2771.541482</v>
      </c>
      <c r="V35" s="76">
        <f t="shared" si="9"/>
        <v>20223.0723</v>
      </c>
      <c r="W35" s="2"/>
      <c r="X35" s="2"/>
      <c r="Y35" s="2"/>
      <c r="Z35" s="2"/>
      <c r="AA35" s="2"/>
      <c r="AB35" s="2"/>
      <c r="AC35" s="2"/>
      <c r="AD35" s="2"/>
      <c r="AE35" s="2"/>
      <c r="AF35" s="2"/>
    </row>
    <row r="36" ht="12.0" customHeight="1">
      <c r="A36" s="2"/>
      <c r="B36" s="88" t="s">
        <v>74</v>
      </c>
      <c r="C36" s="74">
        <v>151.800400392044</v>
      </c>
      <c r="D36" s="2"/>
      <c r="E36" s="2"/>
      <c r="F36" s="2"/>
      <c r="G36" s="74">
        <v>2959.49515682479</v>
      </c>
      <c r="H36" s="2"/>
      <c r="I36" s="36"/>
      <c r="J36" s="115">
        <v>6160.04898676365</v>
      </c>
      <c r="K36" s="36"/>
      <c r="L36" s="74">
        <v>10794.02040185</v>
      </c>
      <c r="M36" s="2"/>
      <c r="N36" s="76">
        <f t="shared" si="3"/>
        <v>151.8004004</v>
      </c>
      <c r="O36" s="76" t="str">
        <f t="shared" ref="O36:P36" si="66">I36</f>
        <v/>
      </c>
      <c r="P36" s="76">
        <f t="shared" si="66"/>
        <v>6160.048987</v>
      </c>
      <c r="Q36" s="76" t="str">
        <f t="shared" ref="Q36:R36" si="67">D36</f>
        <v/>
      </c>
      <c r="R36" s="76" t="str">
        <f t="shared" si="67"/>
        <v/>
      </c>
      <c r="S36" s="76">
        <f t="shared" si="6"/>
        <v>0</v>
      </c>
      <c r="T36" s="76">
        <f t="shared" si="7"/>
        <v>10794.0204</v>
      </c>
      <c r="U36" s="76">
        <f t="shared" si="8"/>
        <v>2959.495157</v>
      </c>
      <c r="V36" s="76">
        <f t="shared" si="9"/>
        <v>20065.36495</v>
      </c>
      <c r="W36" s="2"/>
      <c r="X36" s="2"/>
      <c r="Y36" s="2"/>
      <c r="Z36" s="2"/>
      <c r="AA36" s="2"/>
      <c r="AB36" s="2"/>
      <c r="AC36" s="2"/>
      <c r="AD36" s="2"/>
      <c r="AE36" s="2"/>
      <c r="AF36" s="2"/>
    </row>
    <row r="37" ht="12.0" customHeight="1">
      <c r="A37" s="2"/>
      <c r="B37" s="88" t="s">
        <v>75</v>
      </c>
      <c r="C37" s="74">
        <v>148.091305624026</v>
      </c>
      <c r="D37" s="2"/>
      <c r="E37" s="2"/>
      <c r="F37" s="2"/>
      <c r="G37" s="74">
        <v>3168.65471535802</v>
      </c>
      <c r="H37" s="2"/>
      <c r="I37" s="36"/>
      <c r="J37" s="115">
        <v>6066.25663355438</v>
      </c>
      <c r="K37" s="36"/>
      <c r="L37" s="74">
        <v>10903.7252625736</v>
      </c>
      <c r="M37" s="2"/>
      <c r="N37" s="76">
        <f t="shared" si="3"/>
        <v>148.0913056</v>
      </c>
      <c r="O37" s="76" t="str">
        <f t="shared" ref="O37:P37" si="68">I37</f>
        <v/>
      </c>
      <c r="P37" s="76">
        <f t="shared" si="68"/>
        <v>6066.256634</v>
      </c>
      <c r="Q37" s="76" t="str">
        <f t="shared" ref="Q37:R37" si="69">D37</f>
        <v/>
      </c>
      <c r="R37" s="76" t="str">
        <f t="shared" si="69"/>
        <v/>
      </c>
      <c r="S37" s="76">
        <f t="shared" si="6"/>
        <v>0</v>
      </c>
      <c r="T37" s="76">
        <f t="shared" si="7"/>
        <v>10903.72526</v>
      </c>
      <c r="U37" s="76">
        <f t="shared" si="8"/>
        <v>3168.654715</v>
      </c>
      <c r="V37" s="76">
        <f t="shared" si="9"/>
        <v>20286.72792</v>
      </c>
      <c r="W37" s="2"/>
      <c r="X37" s="2"/>
      <c r="Y37" s="2"/>
      <c r="Z37" s="2"/>
      <c r="AA37" s="2"/>
      <c r="AB37" s="2"/>
      <c r="AC37" s="2"/>
      <c r="AD37" s="2"/>
      <c r="AE37" s="2"/>
      <c r="AF37" s="2"/>
    </row>
    <row r="38" ht="12.0" customHeight="1">
      <c r="A38" s="4" t="s">
        <v>163</v>
      </c>
      <c r="B38" s="88" t="s">
        <v>58</v>
      </c>
      <c r="C38" s="74">
        <v>142.414065574453</v>
      </c>
      <c r="D38" s="2"/>
      <c r="E38" s="2"/>
      <c r="F38" s="2"/>
      <c r="G38" s="74">
        <v>3387.8892541023</v>
      </c>
      <c r="H38" s="2"/>
      <c r="I38" s="36"/>
      <c r="J38" s="115">
        <v>6483.71148894008</v>
      </c>
      <c r="K38" s="36"/>
      <c r="L38" s="74">
        <v>10461.5196993099</v>
      </c>
      <c r="M38" s="2"/>
      <c r="N38" s="76">
        <f t="shared" si="3"/>
        <v>142.4140656</v>
      </c>
      <c r="O38" s="76" t="str">
        <f t="shared" ref="O38:P38" si="70">I38</f>
        <v/>
      </c>
      <c r="P38" s="76">
        <f t="shared" si="70"/>
        <v>6483.711489</v>
      </c>
      <c r="Q38" s="76" t="str">
        <f t="shared" ref="Q38:R38" si="71">D38</f>
        <v/>
      </c>
      <c r="R38" s="76" t="str">
        <f t="shared" si="71"/>
        <v/>
      </c>
      <c r="S38" s="76">
        <f t="shared" si="6"/>
        <v>0</v>
      </c>
      <c r="T38" s="76">
        <f t="shared" si="7"/>
        <v>10461.5197</v>
      </c>
      <c r="U38" s="76">
        <f t="shared" si="8"/>
        <v>3387.889254</v>
      </c>
      <c r="V38" s="76">
        <f t="shared" si="9"/>
        <v>20475.53451</v>
      </c>
      <c r="W38" s="2"/>
      <c r="X38" s="2"/>
      <c r="Y38" s="2"/>
      <c r="Z38" s="2"/>
      <c r="AA38" s="2"/>
      <c r="AB38" s="2"/>
      <c r="AC38" s="2"/>
      <c r="AD38" s="2"/>
      <c r="AE38" s="2"/>
      <c r="AF38" s="2"/>
    </row>
    <row r="39" ht="12.0" customHeight="1">
      <c r="A39" s="2"/>
      <c r="B39" s="88" t="s">
        <v>66</v>
      </c>
      <c r="C39" s="74">
        <v>138.088679798216</v>
      </c>
      <c r="D39" s="2"/>
      <c r="E39" s="2"/>
      <c r="F39" s="2"/>
      <c r="G39" s="74">
        <v>3587.31157586964</v>
      </c>
      <c r="H39" s="2"/>
      <c r="I39" s="36"/>
      <c r="J39" s="115">
        <v>6828.84564770574</v>
      </c>
      <c r="K39" s="36"/>
      <c r="L39" s="74">
        <v>11239.7648897599</v>
      </c>
      <c r="M39" s="2"/>
      <c r="N39" s="76">
        <f t="shared" si="3"/>
        <v>138.0886798</v>
      </c>
      <c r="O39" s="76" t="str">
        <f t="shared" ref="O39:P39" si="72">I39</f>
        <v/>
      </c>
      <c r="P39" s="76">
        <f t="shared" si="72"/>
        <v>6828.845648</v>
      </c>
      <c r="Q39" s="76" t="str">
        <f t="shared" ref="Q39:R39" si="73">D39</f>
        <v/>
      </c>
      <c r="R39" s="76" t="str">
        <f t="shared" si="73"/>
        <v/>
      </c>
      <c r="S39" s="76">
        <f t="shared" si="6"/>
        <v>0</v>
      </c>
      <c r="T39" s="76">
        <f t="shared" si="7"/>
        <v>11239.76489</v>
      </c>
      <c r="U39" s="76">
        <f t="shared" si="8"/>
        <v>3587.311576</v>
      </c>
      <c r="V39" s="76">
        <f t="shared" si="9"/>
        <v>21794.01079</v>
      </c>
      <c r="W39" s="2"/>
      <c r="X39" s="2"/>
      <c r="Y39" s="2"/>
      <c r="Z39" s="2"/>
      <c r="AA39" s="2"/>
      <c r="AB39" s="2"/>
      <c r="AC39" s="2"/>
      <c r="AD39" s="2"/>
      <c r="AE39" s="2"/>
      <c r="AF39" s="2"/>
    </row>
    <row r="40" ht="12.0" customHeight="1">
      <c r="A40" s="2"/>
      <c r="B40" s="88" t="s">
        <v>74</v>
      </c>
      <c r="C40" s="74">
        <v>134.864624230802</v>
      </c>
      <c r="D40" s="2"/>
      <c r="E40" s="2"/>
      <c r="F40" s="2"/>
      <c r="G40" s="74">
        <v>4110.75008758808</v>
      </c>
      <c r="H40" s="2"/>
      <c r="I40" s="36"/>
      <c r="J40" s="115">
        <v>7086.39660669662</v>
      </c>
      <c r="K40" s="36"/>
      <c r="L40" s="74">
        <v>11375.3389372535</v>
      </c>
      <c r="M40" s="2"/>
      <c r="N40" s="76">
        <f t="shared" si="3"/>
        <v>134.8646242</v>
      </c>
      <c r="O40" s="76" t="str">
        <f t="shared" ref="O40:P40" si="74">I40</f>
        <v/>
      </c>
      <c r="P40" s="76">
        <f t="shared" si="74"/>
        <v>7086.396607</v>
      </c>
      <c r="Q40" s="76" t="str">
        <f t="shared" ref="Q40:R40" si="75">D40</f>
        <v/>
      </c>
      <c r="R40" s="76" t="str">
        <f t="shared" si="75"/>
        <v/>
      </c>
      <c r="S40" s="76">
        <f t="shared" si="6"/>
        <v>0</v>
      </c>
      <c r="T40" s="76">
        <f t="shared" si="7"/>
        <v>11375.33894</v>
      </c>
      <c r="U40" s="76">
        <f t="shared" si="8"/>
        <v>4110.750088</v>
      </c>
      <c r="V40" s="76">
        <f t="shared" si="9"/>
        <v>22707.35026</v>
      </c>
      <c r="W40" s="2"/>
      <c r="X40" s="2"/>
      <c r="Y40" s="2"/>
      <c r="Z40" s="2"/>
      <c r="AA40" s="2"/>
      <c r="AB40" s="2"/>
      <c r="AC40" s="2"/>
      <c r="AD40" s="2"/>
      <c r="AE40" s="2"/>
      <c r="AF40" s="2"/>
    </row>
    <row r="41" ht="12.0" customHeight="1">
      <c r="A41" s="2"/>
      <c r="B41" s="88" t="s">
        <v>75</v>
      </c>
      <c r="C41" s="74">
        <v>134.542884975105</v>
      </c>
      <c r="D41" s="2"/>
      <c r="E41" s="2"/>
      <c r="F41" s="2"/>
      <c r="G41" s="74">
        <v>4322.19514327368</v>
      </c>
      <c r="H41" s="2"/>
      <c r="I41" s="36"/>
      <c r="J41" s="115">
        <v>6954.42329875276</v>
      </c>
      <c r="K41" s="36"/>
      <c r="L41" s="74">
        <v>10811.5896053857</v>
      </c>
      <c r="M41" s="2"/>
      <c r="N41" s="76">
        <f t="shared" si="3"/>
        <v>134.542885</v>
      </c>
      <c r="O41" s="76" t="str">
        <f t="shared" ref="O41:P41" si="76">I41</f>
        <v/>
      </c>
      <c r="P41" s="76">
        <f t="shared" si="76"/>
        <v>6954.423299</v>
      </c>
      <c r="Q41" s="76" t="str">
        <f t="shared" ref="Q41:R41" si="77">D41</f>
        <v/>
      </c>
      <c r="R41" s="76" t="str">
        <f t="shared" si="77"/>
        <v/>
      </c>
      <c r="S41" s="76">
        <f t="shared" si="6"/>
        <v>0</v>
      </c>
      <c r="T41" s="76">
        <f t="shared" si="7"/>
        <v>10811.58961</v>
      </c>
      <c r="U41" s="76">
        <f t="shared" si="8"/>
        <v>4322.195143</v>
      </c>
      <c r="V41" s="76">
        <f t="shared" si="9"/>
        <v>22222.75093</v>
      </c>
      <c r="W41" s="2"/>
      <c r="X41" s="2"/>
      <c r="Y41" s="2"/>
      <c r="Z41" s="2"/>
      <c r="AA41" s="2"/>
      <c r="AB41" s="2"/>
      <c r="AC41" s="2"/>
      <c r="AD41" s="2"/>
      <c r="AE41" s="2"/>
      <c r="AF41" s="2"/>
    </row>
    <row r="42" ht="12.0" customHeight="1">
      <c r="A42" s="4" t="s">
        <v>164</v>
      </c>
      <c r="B42" s="88" t="s">
        <v>58</v>
      </c>
      <c r="C42" s="74">
        <v>68.4150293045596</v>
      </c>
      <c r="D42" s="2"/>
      <c r="E42" s="2"/>
      <c r="F42" s="2"/>
      <c r="G42" s="74">
        <v>4507.1461423576</v>
      </c>
      <c r="H42" s="2"/>
      <c r="I42" s="36"/>
      <c r="J42" s="115">
        <v>7292.47599518015</v>
      </c>
      <c r="K42" s="36"/>
      <c r="L42" s="74">
        <v>10266.7439228414</v>
      </c>
      <c r="M42" s="2"/>
      <c r="N42" s="76">
        <f t="shared" si="3"/>
        <v>68.4150293</v>
      </c>
      <c r="O42" s="76" t="str">
        <f t="shared" ref="O42:P42" si="78">I42</f>
        <v/>
      </c>
      <c r="P42" s="76">
        <f t="shared" si="78"/>
        <v>7292.475995</v>
      </c>
      <c r="Q42" s="76" t="str">
        <f t="shared" ref="Q42:R42" si="79">D42</f>
        <v/>
      </c>
      <c r="R42" s="76" t="str">
        <f t="shared" si="79"/>
        <v/>
      </c>
      <c r="S42" s="76">
        <f t="shared" si="6"/>
        <v>0</v>
      </c>
      <c r="T42" s="76">
        <f t="shared" si="7"/>
        <v>10266.74392</v>
      </c>
      <c r="U42" s="76">
        <f t="shared" si="8"/>
        <v>4507.146142</v>
      </c>
      <c r="V42" s="76">
        <f t="shared" si="9"/>
        <v>22134.78109</v>
      </c>
      <c r="W42" s="2"/>
      <c r="X42" s="2"/>
      <c r="Y42" s="2"/>
      <c r="Z42" s="2"/>
      <c r="AA42" s="2"/>
      <c r="AB42" s="2"/>
      <c r="AC42" s="2"/>
      <c r="AD42" s="2"/>
      <c r="AE42" s="2"/>
      <c r="AF42" s="2"/>
    </row>
    <row r="43" ht="12.0" customHeight="1">
      <c r="A43" s="2"/>
      <c r="B43" s="88" t="s">
        <v>66</v>
      </c>
      <c r="C43" s="74">
        <v>63.2133323888613</v>
      </c>
      <c r="D43" s="2"/>
      <c r="E43" s="2"/>
      <c r="F43" s="2"/>
      <c r="G43" s="74">
        <v>4805.58904858726</v>
      </c>
      <c r="H43" s="2"/>
      <c r="I43" s="36"/>
      <c r="J43" s="115">
        <v>7542.32959914616</v>
      </c>
      <c r="K43" s="36"/>
      <c r="L43" s="74">
        <v>9665.19501509719</v>
      </c>
      <c r="M43" s="2"/>
      <c r="N43" s="76">
        <f t="shared" si="3"/>
        <v>63.21333239</v>
      </c>
      <c r="O43" s="76" t="str">
        <f t="shared" ref="O43:P43" si="80">I43</f>
        <v/>
      </c>
      <c r="P43" s="76">
        <f t="shared" si="80"/>
        <v>7542.329599</v>
      </c>
      <c r="Q43" s="76" t="str">
        <f t="shared" ref="Q43:R43" si="81">D43</f>
        <v/>
      </c>
      <c r="R43" s="76" t="str">
        <f t="shared" si="81"/>
        <v/>
      </c>
      <c r="S43" s="76">
        <f t="shared" si="6"/>
        <v>0</v>
      </c>
      <c r="T43" s="76">
        <f t="shared" si="7"/>
        <v>9665.195015</v>
      </c>
      <c r="U43" s="76">
        <f t="shared" si="8"/>
        <v>4805.589049</v>
      </c>
      <c r="V43" s="76">
        <f t="shared" si="9"/>
        <v>22076.327</v>
      </c>
      <c r="W43" s="2"/>
      <c r="X43" s="2"/>
      <c r="Y43" s="2"/>
      <c r="Z43" s="2"/>
      <c r="AA43" s="2"/>
      <c r="AB43" s="2"/>
      <c r="AC43" s="2"/>
      <c r="AD43" s="2"/>
      <c r="AE43" s="2"/>
      <c r="AF43" s="2"/>
    </row>
    <row r="44" ht="12.0" customHeight="1">
      <c r="A44" s="2"/>
      <c r="B44" s="88" t="s">
        <v>74</v>
      </c>
      <c r="C44" s="74">
        <v>53.6947166379599</v>
      </c>
      <c r="D44" s="2"/>
      <c r="E44" s="2"/>
      <c r="F44" s="2"/>
      <c r="G44" s="74">
        <v>5291.58589429678</v>
      </c>
      <c r="H44" s="2"/>
      <c r="I44" s="36"/>
      <c r="J44" s="115">
        <v>7770.06862673949</v>
      </c>
      <c r="K44" s="36"/>
      <c r="L44" s="74">
        <v>9117.59227854637</v>
      </c>
      <c r="M44" s="2"/>
      <c r="N44" s="76">
        <f t="shared" si="3"/>
        <v>53.69471664</v>
      </c>
      <c r="O44" s="76" t="str">
        <f t="shared" ref="O44:P44" si="82">I44</f>
        <v/>
      </c>
      <c r="P44" s="76">
        <f t="shared" si="82"/>
        <v>7770.068627</v>
      </c>
      <c r="Q44" s="76" t="str">
        <f t="shared" ref="Q44:R44" si="83">D44</f>
        <v/>
      </c>
      <c r="R44" s="76" t="str">
        <f t="shared" si="83"/>
        <v/>
      </c>
      <c r="S44" s="76">
        <f t="shared" si="6"/>
        <v>0</v>
      </c>
      <c r="T44" s="76">
        <f t="shared" si="7"/>
        <v>9117.592279</v>
      </c>
      <c r="U44" s="76">
        <f t="shared" si="8"/>
        <v>5291.585894</v>
      </c>
      <c r="V44" s="76">
        <f t="shared" si="9"/>
        <v>22232.94152</v>
      </c>
      <c r="W44" s="2"/>
      <c r="X44" s="2"/>
      <c r="Y44" s="2"/>
      <c r="Z44" s="2"/>
      <c r="AA44" s="2"/>
      <c r="AB44" s="2"/>
      <c r="AC44" s="2"/>
      <c r="AD44" s="2"/>
      <c r="AE44" s="2"/>
      <c r="AF44" s="2"/>
    </row>
    <row r="45" ht="12.0" customHeight="1">
      <c r="A45" s="2"/>
      <c r="B45" s="88" t="s">
        <v>75</v>
      </c>
      <c r="C45" s="74">
        <v>51.2956655925523</v>
      </c>
      <c r="D45" s="2"/>
      <c r="E45" s="2"/>
      <c r="F45" s="2"/>
      <c r="G45" s="74">
        <v>5705.54757978368</v>
      </c>
      <c r="H45" s="2"/>
      <c r="I45" s="36"/>
      <c r="J45" s="115">
        <v>7629.10727604464</v>
      </c>
      <c r="K45" s="36"/>
      <c r="L45" s="74">
        <v>8690.61018851803</v>
      </c>
      <c r="M45" s="2"/>
      <c r="N45" s="76">
        <f t="shared" si="3"/>
        <v>51.29566559</v>
      </c>
      <c r="O45" s="76" t="str">
        <f t="shared" ref="O45:P45" si="84">I45</f>
        <v/>
      </c>
      <c r="P45" s="76">
        <f t="shared" si="84"/>
        <v>7629.107276</v>
      </c>
      <c r="Q45" s="76" t="str">
        <f t="shared" ref="Q45:R45" si="85">D45</f>
        <v/>
      </c>
      <c r="R45" s="76" t="str">
        <f t="shared" si="85"/>
        <v/>
      </c>
      <c r="S45" s="76">
        <f t="shared" si="6"/>
        <v>0</v>
      </c>
      <c r="T45" s="76">
        <f t="shared" si="7"/>
        <v>8690.610189</v>
      </c>
      <c r="U45" s="76">
        <f t="shared" si="8"/>
        <v>5705.54758</v>
      </c>
      <c r="V45" s="76">
        <f t="shared" si="9"/>
        <v>22076.56071</v>
      </c>
      <c r="W45" s="2"/>
      <c r="X45" s="2"/>
      <c r="Y45" s="2"/>
      <c r="Z45" s="2"/>
      <c r="AA45" s="2"/>
      <c r="AB45" s="2"/>
      <c r="AC45" s="2"/>
      <c r="AD45" s="2"/>
      <c r="AE45" s="2"/>
      <c r="AF45" s="2"/>
    </row>
    <row r="46" ht="12.0" customHeight="1">
      <c r="A46" s="4" t="s">
        <v>165</v>
      </c>
      <c r="B46" s="88" t="s">
        <v>58</v>
      </c>
      <c r="C46" s="74">
        <v>45.7676727396795</v>
      </c>
      <c r="D46" s="2"/>
      <c r="E46" s="2"/>
      <c r="F46" s="2"/>
      <c r="G46" s="74">
        <v>6084.13083448216</v>
      </c>
      <c r="H46" s="2"/>
      <c r="I46" s="36"/>
      <c r="J46" s="115">
        <v>7909.77623461821</v>
      </c>
      <c r="K46" s="36"/>
      <c r="L46" s="74">
        <v>8096.25090035255</v>
      </c>
      <c r="M46" s="2"/>
      <c r="N46" s="76">
        <f t="shared" si="3"/>
        <v>45.76767274</v>
      </c>
      <c r="O46" s="76" t="str">
        <f t="shared" ref="O46:P46" si="86">I46</f>
        <v/>
      </c>
      <c r="P46" s="76">
        <f t="shared" si="86"/>
        <v>7909.776235</v>
      </c>
      <c r="Q46" s="76" t="str">
        <f t="shared" ref="Q46:R46" si="87">D46</f>
        <v/>
      </c>
      <c r="R46" s="76" t="str">
        <f t="shared" si="87"/>
        <v/>
      </c>
      <c r="S46" s="76">
        <f t="shared" si="6"/>
        <v>0</v>
      </c>
      <c r="T46" s="76">
        <f t="shared" si="7"/>
        <v>8096.2509</v>
      </c>
      <c r="U46" s="76">
        <f t="shared" si="8"/>
        <v>6084.130834</v>
      </c>
      <c r="V46" s="76">
        <f t="shared" si="9"/>
        <v>22135.92564</v>
      </c>
      <c r="W46" s="2"/>
      <c r="X46" s="2"/>
      <c r="Y46" s="2"/>
      <c r="Z46" s="2"/>
      <c r="AA46" s="2"/>
      <c r="AB46" s="2"/>
      <c r="AC46" s="2"/>
      <c r="AD46" s="2"/>
      <c r="AE46" s="2"/>
      <c r="AF46" s="2"/>
    </row>
    <row r="47" ht="12.0" customHeight="1">
      <c r="A47" s="2"/>
      <c r="B47" s="88" t="s">
        <v>66</v>
      </c>
      <c r="C47" s="74">
        <v>42.3907321978472</v>
      </c>
      <c r="D47" s="2"/>
      <c r="E47" s="2"/>
      <c r="F47" s="2"/>
      <c r="G47" s="74">
        <v>6499.66499044707</v>
      </c>
      <c r="H47" s="2"/>
      <c r="I47" s="36"/>
      <c r="J47" s="115">
        <v>8071.29343270265</v>
      </c>
      <c r="K47" s="36"/>
      <c r="L47" s="74">
        <v>7644.58579126536</v>
      </c>
      <c r="M47" s="2"/>
      <c r="N47" s="76">
        <f t="shared" si="3"/>
        <v>42.3907322</v>
      </c>
      <c r="O47" s="76" t="str">
        <f t="shared" ref="O47:P47" si="88">I47</f>
        <v/>
      </c>
      <c r="P47" s="76">
        <f t="shared" si="88"/>
        <v>8071.293433</v>
      </c>
      <c r="Q47" s="76" t="str">
        <f t="shared" ref="Q47:R47" si="89">D47</f>
        <v/>
      </c>
      <c r="R47" s="76" t="str">
        <f t="shared" si="89"/>
        <v/>
      </c>
      <c r="S47" s="76">
        <f t="shared" si="6"/>
        <v>0</v>
      </c>
      <c r="T47" s="76">
        <f t="shared" si="7"/>
        <v>7644.585791</v>
      </c>
      <c r="U47" s="76">
        <f t="shared" si="8"/>
        <v>6499.66499</v>
      </c>
      <c r="V47" s="76">
        <f t="shared" si="9"/>
        <v>22257.93495</v>
      </c>
      <c r="W47" s="2"/>
      <c r="X47" s="2"/>
      <c r="Y47" s="2"/>
      <c r="Z47" s="2"/>
      <c r="AA47" s="2"/>
      <c r="AB47" s="2"/>
      <c r="AC47" s="2"/>
      <c r="AD47" s="2"/>
      <c r="AE47" s="2"/>
      <c r="AF47" s="2"/>
    </row>
    <row r="48" ht="12.0" customHeight="1">
      <c r="A48" s="2"/>
      <c r="B48" s="88" t="s">
        <v>74</v>
      </c>
      <c r="C48" s="74">
        <v>41.0564457186934</v>
      </c>
      <c r="D48" s="2"/>
      <c r="E48" s="2"/>
      <c r="F48" s="2"/>
      <c r="G48" s="74">
        <v>6926.44978963741</v>
      </c>
      <c r="H48" s="2"/>
      <c r="I48" s="36"/>
      <c r="J48" s="115">
        <v>8107.49239616626</v>
      </c>
      <c r="K48" s="36"/>
      <c r="L48" s="74">
        <v>7138.9930865893</v>
      </c>
      <c r="M48" s="2"/>
      <c r="N48" s="76">
        <f t="shared" si="3"/>
        <v>41.05644572</v>
      </c>
      <c r="O48" s="76" t="str">
        <f t="shared" ref="O48:P48" si="90">I48</f>
        <v/>
      </c>
      <c r="P48" s="76">
        <f t="shared" si="90"/>
        <v>8107.492396</v>
      </c>
      <c r="Q48" s="76" t="str">
        <f t="shared" ref="Q48:R48" si="91">D48</f>
        <v/>
      </c>
      <c r="R48" s="76" t="str">
        <f t="shared" si="91"/>
        <v/>
      </c>
      <c r="S48" s="76">
        <f t="shared" si="6"/>
        <v>0</v>
      </c>
      <c r="T48" s="76">
        <f t="shared" si="7"/>
        <v>7138.993087</v>
      </c>
      <c r="U48" s="76">
        <f t="shared" si="8"/>
        <v>6926.44979</v>
      </c>
      <c r="V48" s="76">
        <f t="shared" si="9"/>
        <v>22213.99172</v>
      </c>
      <c r="W48" s="2"/>
      <c r="X48" s="2"/>
      <c r="Y48" s="2"/>
      <c r="Z48" s="2"/>
      <c r="AA48" s="2"/>
      <c r="AB48" s="2"/>
      <c r="AC48" s="2"/>
      <c r="AD48" s="2"/>
      <c r="AE48" s="2"/>
      <c r="AF48" s="2"/>
    </row>
    <row r="49" ht="12.0" customHeight="1">
      <c r="A49" s="2"/>
      <c r="B49" s="88" t="s">
        <v>75</v>
      </c>
      <c r="C49" s="74">
        <v>40.4759654438879</v>
      </c>
      <c r="D49" s="2"/>
      <c r="E49" s="2"/>
      <c r="F49" s="2"/>
      <c r="G49" s="74">
        <v>7283.97046240027</v>
      </c>
      <c r="H49" s="2"/>
      <c r="I49" s="36"/>
      <c r="J49" s="115">
        <v>7917.35359489743</v>
      </c>
      <c r="K49" s="36"/>
      <c r="L49" s="74">
        <v>6693.38662364199</v>
      </c>
      <c r="M49" s="2"/>
      <c r="N49" s="76">
        <f t="shared" si="3"/>
        <v>40.47596544</v>
      </c>
      <c r="O49" s="76" t="str">
        <f t="shared" ref="O49:P49" si="92">I49</f>
        <v/>
      </c>
      <c r="P49" s="76">
        <f t="shared" si="92"/>
        <v>7917.353595</v>
      </c>
      <c r="Q49" s="76" t="str">
        <f t="shared" ref="Q49:R49" si="93">D49</f>
        <v/>
      </c>
      <c r="R49" s="76" t="str">
        <f t="shared" si="93"/>
        <v/>
      </c>
      <c r="S49" s="76">
        <f t="shared" si="6"/>
        <v>0</v>
      </c>
      <c r="T49" s="76">
        <f t="shared" si="7"/>
        <v>6693.386624</v>
      </c>
      <c r="U49" s="76">
        <f t="shared" si="8"/>
        <v>7283.970462</v>
      </c>
      <c r="V49" s="76">
        <f t="shared" si="9"/>
        <v>21935.18665</v>
      </c>
      <c r="W49" s="2"/>
      <c r="X49" s="2"/>
      <c r="Y49" s="2"/>
      <c r="Z49" s="2"/>
      <c r="AA49" s="2"/>
      <c r="AB49" s="2"/>
      <c r="AC49" s="2"/>
      <c r="AD49" s="2"/>
      <c r="AE49" s="2"/>
      <c r="AF49" s="2"/>
    </row>
    <row r="50" ht="12.0" customHeight="1">
      <c r="A50" s="4" t="s">
        <v>166</v>
      </c>
      <c r="B50" s="88" t="s">
        <v>58</v>
      </c>
      <c r="C50" s="74">
        <v>35.9523465813346</v>
      </c>
      <c r="D50" s="2"/>
      <c r="E50" s="2"/>
      <c r="F50" s="2"/>
      <c r="G50" s="74">
        <v>7645.44691814502</v>
      </c>
      <c r="H50" s="2"/>
      <c r="I50" s="36"/>
      <c r="J50" s="115">
        <v>8161.68219570022</v>
      </c>
      <c r="K50" s="36"/>
      <c r="L50" s="74">
        <v>6078.80622857943</v>
      </c>
      <c r="M50" s="2"/>
      <c r="N50" s="76">
        <f t="shared" si="3"/>
        <v>35.95234658</v>
      </c>
      <c r="O50" s="76" t="str">
        <f t="shared" ref="O50:P50" si="94">I50</f>
        <v/>
      </c>
      <c r="P50" s="76">
        <f t="shared" si="94"/>
        <v>8161.682196</v>
      </c>
      <c r="Q50" s="76" t="str">
        <f t="shared" ref="Q50:R50" si="95">D50</f>
        <v/>
      </c>
      <c r="R50" s="76" t="str">
        <f t="shared" si="95"/>
        <v/>
      </c>
      <c r="S50" s="76">
        <f t="shared" si="6"/>
        <v>0</v>
      </c>
      <c r="T50" s="76">
        <f t="shared" si="7"/>
        <v>6078.806229</v>
      </c>
      <c r="U50" s="76">
        <f t="shared" si="8"/>
        <v>7645.446918</v>
      </c>
      <c r="V50" s="76">
        <f t="shared" si="9"/>
        <v>21921.88769</v>
      </c>
      <c r="W50" s="2"/>
      <c r="X50" s="2"/>
      <c r="Y50" s="2"/>
      <c r="Z50" s="2"/>
      <c r="AA50" s="2"/>
      <c r="AB50" s="2"/>
      <c r="AC50" s="2"/>
      <c r="AD50" s="2"/>
      <c r="AE50" s="2"/>
      <c r="AF50" s="2"/>
    </row>
    <row r="51" ht="12.0" customHeight="1">
      <c r="A51" s="2"/>
      <c r="B51" s="88" t="s">
        <v>66</v>
      </c>
      <c r="C51" s="74">
        <v>33.4930408176365</v>
      </c>
      <c r="D51" s="2"/>
      <c r="E51" s="2"/>
      <c r="F51" s="2"/>
      <c r="G51" s="74">
        <v>7872.54874850909</v>
      </c>
      <c r="H51" s="2"/>
      <c r="I51" s="36"/>
      <c r="J51" s="115">
        <v>8275.77058734493</v>
      </c>
      <c r="K51" s="36"/>
      <c r="L51" s="74">
        <v>5561.46976776947</v>
      </c>
      <c r="M51" s="2"/>
      <c r="N51" s="76">
        <f t="shared" si="3"/>
        <v>33.49304082</v>
      </c>
      <c r="O51" s="76" t="str">
        <f t="shared" ref="O51:P51" si="96">I51</f>
        <v/>
      </c>
      <c r="P51" s="76">
        <f t="shared" si="96"/>
        <v>8275.770587</v>
      </c>
      <c r="Q51" s="76" t="str">
        <f t="shared" ref="Q51:R51" si="97">D51</f>
        <v/>
      </c>
      <c r="R51" s="76" t="str">
        <f t="shared" si="97"/>
        <v/>
      </c>
      <c r="S51" s="76">
        <f t="shared" si="6"/>
        <v>0</v>
      </c>
      <c r="T51" s="76">
        <f t="shared" si="7"/>
        <v>5561.469768</v>
      </c>
      <c r="U51" s="76">
        <f t="shared" si="8"/>
        <v>7872.548749</v>
      </c>
      <c r="V51" s="76">
        <f t="shared" si="9"/>
        <v>21743.28214</v>
      </c>
      <c r="W51" s="2"/>
      <c r="X51" s="2"/>
      <c r="Y51" s="2"/>
      <c r="Z51" s="2"/>
      <c r="AA51" s="2"/>
      <c r="AB51" s="2"/>
      <c r="AC51" s="2"/>
      <c r="AD51" s="2"/>
      <c r="AE51" s="2"/>
      <c r="AF51" s="2"/>
    </row>
    <row r="52" ht="12.0" customHeight="1">
      <c r="A52" s="2"/>
      <c r="B52" s="88" t="s">
        <v>74</v>
      </c>
      <c r="C52" s="74">
        <v>31.9416767951223</v>
      </c>
      <c r="D52" s="2"/>
      <c r="E52" s="2"/>
      <c r="F52" s="2"/>
      <c r="G52" s="74">
        <v>8208.80918022851</v>
      </c>
      <c r="H52" s="2"/>
      <c r="I52" s="36"/>
      <c r="J52" s="115">
        <v>8308.87630818882</v>
      </c>
      <c r="K52" s="36"/>
      <c r="L52" s="74">
        <v>4419.83064678032</v>
      </c>
      <c r="M52" s="2"/>
      <c r="N52" s="76">
        <f t="shared" si="3"/>
        <v>31.9416768</v>
      </c>
      <c r="O52" s="76" t="str">
        <f t="shared" ref="O52:P52" si="98">I52</f>
        <v/>
      </c>
      <c r="P52" s="76">
        <f t="shared" si="98"/>
        <v>8308.876308</v>
      </c>
      <c r="Q52" s="76" t="str">
        <f t="shared" ref="Q52:R52" si="99">D52</f>
        <v/>
      </c>
      <c r="R52" s="76" t="str">
        <f t="shared" si="99"/>
        <v/>
      </c>
      <c r="S52" s="76">
        <f t="shared" si="6"/>
        <v>0</v>
      </c>
      <c r="T52" s="76">
        <f t="shared" si="7"/>
        <v>4419.830647</v>
      </c>
      <c r="U52" s="76">
        <f t="shared" si="8"/>
        <v>8208.80918</v>
      </c>
      <c r="V52" s="76">
        <f t="shared" si="9"/>
        <v>20969.45781</v>
      </c>
      <c r="W52" s="2"/>
      <c r="X52" s="2"/>
      <c r="Y52" s="2"/>
      <c r="Z52" s="2"/>
      <c r="AA52" s="2"/>
      <c r="AB52" s="2"/>
      <c r="AC52" s="2"/>
      <c r="AD52" s="2"/>
      <c r="AE52" s="2"/>
      <c r="AF52" s="2"/>
    </row>
    <row r="53" ht="12.0" customHeight="1">
      <c r="A53" s="2"/>
      <c r="B53" s="88" t="s">
        <v>75</v>
      </c>
      <c r="C53" s="74">
        <v>30.7293548657956</v>
      </c>
      <c r="D53" s="2"/>
      <c r="E53" s="2"/>
      <c r="F53" s="2"/>
      <c r="G53" s="74">
        <v>8372.36120923057</v>
      </c>
      <c r="H53" s="2"/>
      <c r="I53" s="36"/>
      <c r="J53" s="115">
        <v>8036.7446712562</v>
      </c>
      <c r="K53" s="36"/>
      <c r="L53" s="74">
        <v>3290.15153774725</v>
      </c>
      <c r="M53" s="2"/>
      <c r="N53" s="76">
        <f t="shared" si="3"/>
        <v>30.72935487</v>
      </c>
      <c r="O53" s="76" t="str">
        <f t="shared" ref="O53:P53" si="100">I53</f>
        <v/>
      </c>
      <c r="P53" s="76">
        <f t="shared" si="100"/>
        <v>8036.744671</v>
      </c>
      <c r="Q53" s="76" t="str">
        <f t="shared" ref="Q53:R53" si="101">D53</f>
        <v/>
      </c>
      <c r="R53" s="76" t="str">
        <f t="shared" si="101"/>
        <v/>
      </c>
      <c r="S53" s="76">
        <f t="shared" si="6"/>
        <v>0</v>
      </c>
      <c r="T53" s="76">
        <f t="shared" si="7"/>
        <v>3290.151538</v>
      </c>
      <c r="U53" s="76">
        <f t="shared" si="8"/>
        <v>8372.361209</v>
      </c>
      <c r="V53" s="76">
        <f t="shared" si="9"/>
        <v>19729.98677</v>
      </c>
      <c r="W53" s="2"/>
      <c r="X53" s="2"/>
      <c r="Y53" s="2"/>
      <c r="Z53" s="2"/>
      <c r="AA53" s="2"/>
      <c r="AB53" s="2"/>
      <c r="AC53" s="2"/>
      <c r="AD53" s="2"/>
      <c r="AE53" s="2"/>
      <c r="AF53" s="2"/>
    </row>
    <row r="54" ht="12.0" customHeight="1">
      <c r="A54" s="4" t="s">
        <v>167</v>
      </c>
      <c r="B54" s="88" t="s">
        <v>58</v>
      </c>
      <c r="C54" s="74">
        <v>21.142244357572</v>
      </c>
      <c r="D54" s="2"/>
      <c r="E54" s="2"/>
      <c r="F54" s="2"/>
      <c r="G54" s="74">
        <v>8793.90612993705</v>
      </c>
      <c r="H54" s="2"/>
      <c r="I54" s="36"/>
      <c r="J54" s="115">
        <v>8267.01070353032</v>
      </c>
      <c r="K54" s="36"/>
      <c r="L54" s="74">
        <v>2774.05491884732</v>
      </c>
      <c r="M54" s="2"/>
      <c r="N54" s="76">
        <f t="shared" si="3"/>
        <v>21.14224436</v>
      </c>
      <c r="O54" s="76" t="str">
        <f t="shared" ref="O54:P54" si="102">I54</f>
        <v/>
      </c>
      <c r="P54" s="76">
        <f t="shared" si="102"/>
        <v>8267.010704</v>
      </c>
      <c r="Q54" s="76" t="str">
        <f t="shared" ref="Q54:R54" si="103">D54</f>
        <v/>
      </c>
      <c r="R54" s="76" t="str">
        <f t="shared" si="103"/>
        <v/>
      </c>
      <c r="S54" s="76">
        <f t="shared" si="6"/>
        <v>0</v>
      </c>
      <c r="T54" s="76">
        <f t="shared" si="7"/>
        <v>2774.054919</v>
      </c>
      <c r="U54" s="76">
        <f t="shared" si="8"/>
        <v>8793.90613</v>
      </c>
      <c r="V54" s="76">
        <f t="shared" si="9"/>
        <v>19856.114</v>
      </c>
      <c r="W54" s="2"/>
      <c r="X54" s="2"/>
      <c r="Y54" s="2"/>
      <c r="Z54" s="2"/>
      <c r="AA54" s="2"/>
      <c r="AB54" s="2"/>
      <c r="AC54" s="2"/>
      <c r="AD54" s="2"/>
      <c r="AE54" s="2"/>
      <c r="AF54" s="2"/>
    </row>
    <row r="55" ht="12.0" customHeight="1">
      <c r="A55" s="2"/>
      <c r="B55" s="88" t="s">
        <v>66</v>
      </c>
      <c r="C55" s="74">
        <v>18.4086959062032</v>
      </c>
      <c r="D55" s="2"/>
      <c r="E55" s="2"/>
      <c r="F55" s="2"/>
      <c r="G55" s="74">
        <v>8978.69796891911</v>
      </c>
      <c r="H55" s="2"/>
      <c r="I55" s="36"/>
      <c r="J55" s="115">
        <v>8419.09554241352</v>
      </c>
      <c r="K55" s="36"/>
      <c r="L55" s="74">
        <v>1977.75131276168</v>
      </c>
      <c r="M55" s="2"/>
      <c r="N55" s="76">
        <f t="shared" si="3"/>
        <v>18.40869591</v>
      </c>
      <c r="O55" s="76" t="str">
        <f t="shared" ref="O55:P55" si="104">I55</f>
        <v/>
      </c>
      <c r="P55" s="76">
        <f t="shared" si="104"/>
        <v>8419.095542</v>
      </c>
      <c r="Q55" s="76" t="str">
        <f t="shared" ref="Q55:R55" si="105">D55</f>
        <v/>
      </c>
      <c r="R55" s="76" t="str">
        <f t="shared" si="105"/>
        <v/>
      </c>
      <c r="S55" s="76">
        <f t="shared" si="6"/>
        <v>0</v>
      </c>
      <c r="T55" s="76">
        <f t="shared" si="7"/>
        <v>1977.751313</v>
      </c>
      <c r="U55" s="76">
        <f t="shared" si="8"/>
        <v>8978.697969</v>
      </c>
      <c r="V55" s="76">
        <f t="shared" si="9"/>
        <v>19393.95352</v>
      </c>
      <c r="W55" s="2"/>
      <c r="X55" s="2"/>
      <c r="Y55" s="2"/>
      <c r="Z55" s="2"/>
      <c r="AA55" s="2"/>
      <c r="AB55" s="2"/>
      <c r="AC55" s="2"/>
      <c r="AD55" s="2"/>
      <c r="AE55" s="2"/>
      <c r="AF55" s="2"/>
    </row>
    <row r="56" ht="12.0" customHeight="1">
      <c r="A56" s="2"/>
      <c r="B56" s="88" t="s">
        <v>74</v>
      </c>
      <c r="C56" s="74">
        <v>15.0848256755197</v>
      </c>
      <c r="D56" s="2"/>
      <c r="E56" s="2"/>
      <c r="F56" s="2"/>
      <c r="G56" s="74">
        <v>9539.53828460048</v>
      </c>
      <c r="H56" s="2"/>
      <c r="I56" s="36"/>
      <c r="J56" s="115">
        <v>8094.06113767754</v>
      </c>
      <c r="K56" s="36"/>
      <c r="L56" s="74">
        <v>1796.5130937978</v>
      </c>
      <c r="M56" s="2"/>
      <c r="N56" s="76">
        <f t="shared" si="3"/>
        <v>15.08482568</v>
      </c>
      <c r="O56" s="76" t="str">
        <f t="shared" ref="O56:P56" si="106">I56</f>
        <v/>
      </c>
      <c r="P56" s="76">
        <f t="shared" si="106"/>
        <v>8094.061138</v>
      </c>
      <c r="Q56" s="76" t="str">
        <f t="shared" ref="Q56:R56" si="107">D56</f>
        <v/>
      </c>
      <c r="R56" s="76" t="str">
        <f t="shared" si="107"/>
        <v/>
      </c>
      <c r="S56" s="76">
        <f t="shared" si="6"/>
        <v>0</v>
      </c>
      <c r="T56" s="76">
        <f t="shared" si="7"/>
        <v>1796.513094</v>
      </c>
      <c r="U56" s="76">
        <f t="shared" si="8"/>
        <v>9539.538285</v>
      </c>
      <c r="V56" s="76">
        <f t="shared" si="9"/>
        <v>19445.19734</v>
      </c>
      <c r="W56" s="2"/>
      <c r="X56" s="2"/>
      <c r="Y56" s="2"/>
      <c r="Z56" s="2"/>
      <c r="AA56" s="2"/>
      <c r="AB56" s="2"/>
      <c r="AC56" s="2"/>
      <c r="AD56" s="2"/>
      <c r="AE56" s="2"/>
      <c r="AF56" s="2"/>
    </row>
    <row r="57" ht="12.0" customHeight="1">
      <c r="A57" s="2"/>
      <c r="B57" s="88" t="s">
        <v>75</v>
      </c>
      <c r="C57" s="74">
        <v>14.1915706955242</v>
      </c>
      <c r="D57" s="2"/>
      <c r="E57" s="2"/>
      <c r="F57" s="2"/>
      <c r="G57" s="74">
        <v>9693.76927901602</v>
      </c>
      <c r="H57" s="2"/>
      <c r="I57" s="36"/>
      <c r="J57" s="115">
        <v>8330.10406433438</v>
      </c>
      <c r="K57" s="36"/>
      <c r="L57" s="74">
        <v>1402.04562560432</v>
      </c>
      <c r="M57" s="2"/>
      <c r="N57" s="76">
        <f t="shared" si="3"/>
        <v>14.1915707</v>
      </c>
      <c r="O57" s="76" t="str">
        <f t="shared" ref="O57:P57" si="108">I57</f>
        <v/>
      </c>
      <c r="P57" s="76">
        <f t="shared" si="108"/>
        <v>8330.104064</v>
      </c>
      <c r="Q57" s="76" t="str">
        <f t="shared" ref="Q57:R57" si="109">D57</f>
        <v/>
      </c>
      <c r="R57" s="76" t="str">
        <f t="shared" si="109"/>
        <v/>
      </c>
      <c r="S57" s="76">
        <f t="shared" si="6"/>
        <v>0</v>
      </c>
      <c r="T57" s="76">
        <f t="shared" si="7"/>
        <v>1402.045626</v>
      </c>
      <c r="U57" s="76">
        <f t="shared" si="8"/>
        <v>9693.769279</v>
      </c>
      <c r="V57" s="76">
        <f t="shared" si="9"/>
        <v>19440.11054</v>
      </c>
      <c r="W57" s="2"/>
      <c r="X57" s="2"/>
      <c r="Y57" s="2"/>
      <c r="Z57" s="2"/>
      <c r="AA57" s="2"/>
      <c r="AB57" s="2"/>
      <c r="AC57" s="2"/>
      <c r="AD57" s="2"/>
      <c r="AE57" s="2"/>
      <c r="AF57" s="2"/>
    </row>
    <row r="58" ht="12.0" customHeight="1">
      <c r="A58" s="4" t="s">
        <v>168</v>
      </c>
      <c r="B58" s="88" t="s">
        <v>58</v>
      </c>
      <c r="C58" s="74">
        <v>6.99454187854703</v>
      </c>
      <c r="D58" s="2"/>
      <c r="E58" s="2"/>
      <c r="F58" s="2"/>
      <c r="G58" s="74">
        <v>10389.0767732236</v>
      </c>
      <c r="H58" s="2"/>
      <c r="I58" s="36"/>
      <c r="J58" s="115">
        <v>8479.66270314965</v>
      </c>
      <c r="K58" s="36"/>
      <c r="L58" s="74">
        <v>1101.72704136262</v>
      </c>
      <c r="M58" s="2"/>
      <c r="N58" s="76">
        <f t="shared" si="3"/>
        <v>6.994541879</v>
      </c>
      <c r="O58" s="76" t="str">
        <f t="shared" ref="O58:P58" si="110">I58</f>
        <v/>
      </c>
      <c r="P58" s="76">
        <f t="shared" si="110"/>
        <v>8479.662703</v>
      </c>
      <c r="Q58" s="76" t="str">
        <f t="shared" ref="Q58:R58" si="111">D58</f>
        <v/>
      </c>
      <c r="R58" s="76" t="str">
        <f t="shared" si="111"/>
        <v/>
      </c>
      <c r="S58" s="76">
        <f t="shared" si="6"/>
        <v>0</v>
      </c>
      <c r="T58" s="76">
        <f t="shared" si="7"/>
        <v>1101.727041</v>
      </c>
      <c r="U58" s="76">
        <f t="shared" si="8"/>
        <v>10389.07677</v>
      </c>
      <c r="V58" s="76">
        <f t="shared" si="9"/>
        <v>19977.46106</v>
      </c>
      <c r="W58" s="2"/>
      <c r="X58" s="2"/>
      <c r="Y58" s="2"/>
      <c r="Z58" s="2"/>
      <c r="AA58" s="2"/>
      <c r="AB58" s="2"/>
      <c r="AC58" s="2"/>
      <c r="AD58" s="2"/>
      <c r="AE58" s="2"/>
      <c r="AF58" s="2"/>
    </row>
    <row r="59" ht="12.0" customHeight="1">
      <c r="A59" s="2"/>
      <c r="B59" s="88" t="s">
        <v>66</v>
      </c>
      <c r="C59" s="74">
        <v>6.52824214925841</v>
      </c>
      <c r="D59" s="2"/>
      <c r="E59" s="2"/>
      <c r="F59" s="2"/>
      <c r="G59" s="74">
        <v>10541.3894660884</v>
      </c>
      <c r="H59" s="2"/>
      <c r="I59" s="36"/>
      <c r="J59" s="115">
        <v>8599.9756074366</v>
      </c>
      <c r="K59" s="36"/>
      <c r="L59" s="74">
        <v>989.800393913247</v>
      </c>
      <c r="M59" s="2"/>
      <c r="N59" s="76">
        <f t="shared" si="3"/>
        <v>6.528242149</v>
      </c>
      <c r="O59" s="76" t="str">
        <f t="shared" ref="O59:P59" si="112">I59</f>
        <v/>
      </c>
      <c r="P59" s="76">
        <f t="shared" si="112"/>
        <v>8599.975607</v>
      </c>
      <c r="Q59" s="76" t="str">
        <f t="shared" ref="Q59:R59" si="113">D59</f>
        <v/>
      </c>
      <c r="R59" s="76" t="str">
        <f t="shared" si="113"/>
        <v/>
      </c>
      <c r="S59" s="76">
        <f t="shared" si="6"/>
        <v>0</v>
      </c>
      <c r="T59" s="76">
        <f t="shared" si="7"/>
        <v>989.8003939</v>
      </c>
      <c r="U59" s="76">
        <f t="shared" si="8"/>
        <v>10541.38947</v>
      </c>
      <c r="V59" s="76">
        <f t="shared" si="9"/>
        <v>20137.69371</v>
      </c>
      <c r="W59" s="2"/>
      <c r="X59" s="2"/>
      <c r="Y59" s="2"/>
      <c r="Z59" s="2"/>
      <c r="AA59" s="2"/>
      <c r="AB59" s="2"/>
      <c r="AC59" s="2"/>
      <c r="AD59" s="2"/>
      <c r="AE59" s="2"/>
      <c r="AF59" s="2"/>
    </row>
    <row r="60" ht="12.0" customHeight="1">
      <c r="A60" s="2"/>
      <c r="B60" s="88" t="s">
        <v>74</v>
      </c>
      <c r="C60" s="74">
        <v>6.02864046998442</v>
      </c>
      <c r="D60" s="2"/>
      <c r="E60" s="2"/>
      <c r="F60" s="2"/>
      <c r="G60" s="74">
        <v>11301.8139202978</v>
      </c>
      <c r="H60" s="2"/>
      <c r="I60" s="36"/>
      <c r="J60" s="115">
        <v>8664.08322184609</v>
      </c>
      <c r="K60" s="36"/>
      <c r="L60" s="74">
        <v>920.038118292284</v>
      </c>
      <c r="M60" s="2"/>
      <c r="N60" s="76">
        <f t="shared" si="3"/>
        <v>6.02864047</v>
      </c>
      <c r="O60" s="76" t="str">
        <f t="shared" ref="O60:P60" si="114">I60</f>
        <v/>
      </c>
      <c r="P60" s="76">
        <f t="shared" si="114"/>
        <v>8664.083222</v>
      </c>
      <c r="Q60" s="76" t="str">
        <f t="shared" ref="Q60:R60" si="115">D60</f>
        <v/>
      </c>
      <c r="R60" s="76" t="str">
        <f t="shared" si="115"/>
        <v/>
      </c>
      <c r="S60" s="76">
        <f t="shared" si="6"/>
        <v>0</v>
      </c>
      <c r="T60" s="76">
        <f t="shared" si="7"/>
        <v>920.0381183</v>
      </c>
      <c r="U60" s="76">
        <f t="shared" si="8"/>
        <v>11301.81392</v>
      </c>
      <c r="V60" s="76">
        <f t="shared" si="9"/>
        <v>20891.9639</v>
      </c>
      <c r="W60" s="2"/>
      <c r="X60" s="2"/>
      <c r="Y60" s="2"/>
      <c r="Z60" s="2"/>
      <c r="AA60" s="2"/>
      <c r="AB60" s="2"/>
      <c r="AC60" s="2"/>
      <c r="AD60" s="2"/>
      <c r="AE60" s="2"/>
      <c r="AF60" s="2"/>
    </row>
    <row r="61" ht="12.0" customHeight="1">
      <c r="A61" s="2"/>
      <c r="B61" s="88" t="s">
        <v>75</v>
      </c>
      <c r="C61" s="74">
        <v>5.69640151464568</v>
      </c>
      <c r="D61" s="2"/>
      <c r="E61" s="2"/>
      <c r="F61" s="2"/>
      <c r="G61" s="74">
        <v>11480.2342741439</v>
      </c>
      <c r="H61" s="2"/>
      <c r="I61" s="36"/>
      <c r="J61" s="115">
        <v>8442.56983703636</v>
      </c>
      <c r="K61" s="36"/>
      <c r="L61" s="74">
        <v>859.508176961677</v>
      </c>
      <c r="M61" s="2"/>
      <c r="N61" s="76">
        <f t="shared" si="3"/>
        <v>5.696401515</v>
      </c>
      <c r="O61" s="76" t="str">
        <f t="shared" ref="O61:P61" si="116">I61</f>
        <v/>
      </c>
      <c r="P61" s="76">
        <f t="shared" si="116"/>
        <v>8442.569837</v>
      </c>
      <c r="Q61" s="76" t="str">
        <f t="shared" ref="Q61:R61" si="117">D61</f>
        <v/>
      </c>
      <c r="R61" s="76" t="str">
        <f t="shared" si="117"/>
        <v/>
      </c>
      <c r="S61" s="76">
        <f t="shared" si="6"/>
        <v>0</v>
      </c>
      <c r="T61" s="76">
        <f t="shared" si="7"/>
        <v>859.508177</v>
      </c>
      <c r="U61" s="76">
        <f t="shared" si="8"/>
        <v>11480.23427</v>
      </c>
      <c r="V61" s="76">
        <f t="shared" si="9"/>
        <v>20788.00869</v>
      </c>
      <c r="W61" s="2"/>
      <c r="X61" s="2"/>
      <c r="Y61" s="2"/>
      <c r="Z61" s="2"/>
      <c r="AA61" s="2"/>
      <c r="AB61" s="2"/>
      <c r="AC61" s="2"/>
      <c r="AD61" s="2"/>
      <c r="AE61" s="2"/>
      <c r="AF61" s="2"/>
    </row>
    <row r="62" ht="12.0" customHeight="1">
      <c r="A62" s="4" t="s">
        <v>173</v>
      </c>
      <c r="B62" s="88" t="s">
        <v>58</v>
      </c>
      <c r="C62" s="74">
        <v>3.04861419773948</v>
      </c>
      <c r="D62" s="2"/>
      <c r="E62" s="2"/>
      <c r="F62" s="2"/>
      <c r="G62" s="74">
        <v>12148.2027585792</v>
      </c>
      <c r="H62" s="2"/>
      <c r="I62" s="36"/>
      <c r="J62" s="115">
        <v>8714.90488428317</v>
      </c>
      <c r="K62" s="36"/>
      <c r="L62" s="74">
        <v>803.628801095974</v>
      </c>
      <c r="M62" s="2"/>
      <c r="N62" s="76">
        <f t="shared" si="3"/>
        <v>3.048614198</v>
      </c>
      <c r="O62" s="76" t="str">
        <f t="shared" ref="O62:P62" si="118">I62</f>
        <v/>
      </c>
      <c r="P62" s="76">
        <f t="shared" si="118"/>
        <v>8714.904884</v>
      </c>
      <c r="Q62" s="76" t="str">
        <f t="shared" ref="Q62:R62" si="119">D62</f>
        <v/>
      </c>
      <c r="R62" s="76" t="str">
        <f t="shared" si="119"/>
        <v/>
      </c>
      <c r="S62" s="76">
        <f t="shared" si="6"/>
        <v>0</v>
      </c>
      <c r="T62" s="76">
        <f t="shared" si="7"/>
        <v>803.6288011</v>
      </c>
      <c r="U62" s="76">
        <f t="shared" si="8"/>
        <v>12148.20276</v>
      </c>
      <c r="V62" s="76">
        <f t="shared" si="9"/>
        <v>21669.78506</v>
      </c>
      <c r="W62" s="2"/>
      <c r="X62" s="2"/>
      <c r="Y62" s="2"/>
      <c r="Z62" s="2"/>
      <c r="AA62" s="2"/>
      <c r="AB62" s="2"/>
      <c r="AC62" s="2"/>
      <c r="AD62" s="2"/>
      <c r="AE62" s="2"/>
      <c r="AF62" s="2"/>
    </row>
    <row r="63" ht="12.0" customHeight="1">
      <c r="A63" s="2"/>
      <c r="B63" s="88" t="s">
        <v>66</v>
      </c>
      <c r="C63" s="74">
        <v>2.41885120251408</v>
      </c>
      <c r="D63" s="2"/>
      <c r="E63" s="2"/>
      <c r="F63" s="2"/>
      <c r="G63" s="74">
        <v>12335.3685954011</v>
      </c>
      <c r="H63" s="2"/>
      <c r="I63" s="36"/>
      <c r="J63" s="115">
        <v>8715.7700626186</v>
      </c>
      <c r="K63" s="36"/>
      <c r="L63" s="74">
        <v>685.252537652702</v>
      </c>
      <c r="M63" s="2"/>
      <c r="N63" s="76">
        <f t="shared" si="3"/>
        <v>2.418851203</v>
      </c>
      <c r="O63" s="76" t="str">
        <f t="shared" ref="O63:P63" si="120">I63</f>
        <v/>
      </c>
      <c r="P63" s="76">
        <f t="shared" si="120"/>
        <v>8715.770063</v>
      </c>
      <c r="Q63" s="76" t="str">
        <f t="shared" ref="Q63:R63" si="121">D63</f>
        <v/>
      </c>
      <c r="R63" s="76" t="str">
        <f t="shared" si="121"/>
        <v/>
      </c>
      <c r="S63" s="76">
        <f t="shared" si="6"/>
        <v>0</v>
      </c>
      <c r="T63" s="76">
        <f t="shared" si="7"/>
        <v>685.2525377</v>
      </c>
      <c r="U63" s="76">
        <f t="shared" si="8"/>
        <v>12335.3686</v>
      </c>
      <c r="V63" s="76">
        <f t="shared" si="9"/>
        <v>21738.81005</v>
      </c>
      <c r="W63" s="2"/>
      <c r="X63" s="2"/>
      <c r="Y63" s="2"/>
      <c r="Z63" s="2"/>
      <c r="AA63" s="2"/>
      <c r="AB63" s="2"/>
      <c r="AC63" s="2"/>
      <c r="AD63" s="2"/>
      <c r="AE63" s="2"/>
      <c r="AF63" s="2"/>
    </row>
    <row r="64" ht="12.0" customHeight="1">
      <c r="A64" s="2"/>
      <c r="B64" s="88" t="s">
        <v>74</v>
      </c>
      <c r="C64" s="74">
        <v>2.20015823786478</v>
      </c>
      <c r="D64" s="2"/>
      <c r="E64" s="2"/>
      <c r="F64" s="2"/>
      <c r="G64" s="74">
        <v>13173.8842748258</v>
      </c>
      <c r="H64" s="2"/>
      <c r="I64" s="36"/>
      <c r="J64" s="115">
        <v>8359.50765927137</v>
      </c>
      <c r="K64" s="36"/>
      <c r="L64" s="74">
        <v>573.0250361877</v>
      </c>
      <c r="M64" s="2"/>
      <c r="N64" s="76">
        <f t="shared" si="3"/>
        <v>2.200158238</v>
      </c>
      <c r="O64" s="76" t="str">
        <f t="shared" ref="O64:P64" si="122">I64</f>
        <v/>
      </c>
      <c r="P64" s="76">
        <f t="shared" si="122"/>
        <v>8359.507659</v>
      </c>
      <c r="Q64" s="76" t="str">
        <f t="shared" ref="Q64:R64" si="123">D64</f>
        <v/>
      </c>
      <c r="R64" s="76" t="str">
        <f t="shared" si="123"/>
        <v/>
      </c>
      <c r="S64" s="76">
        <f t="shared" si="6"/>
        <v>0</v>
      </c>
      <c r="T64" s="76">
        <f t="shared" si="7"/>
        <v>573.0250362</v>
      </c>
      <c r="U64" s="76">
        <f t="shared" si="8"/>
        <v>13173.88427</v>
      </c>
      <c r="V64" s="76">
        <f t="shared" si="9"/>
        <v>22108.61713</v>
      </c>
      <c r="W64" s="2"/>
      <c r="X64" s="2"/>
      <c r="Y64" s="2"/>
      <c r="Z64" s="2"/>
      <c r="AA64" s="2"/>
      <c r="AB64" s="2"/>
      <c r="AC64" s="2"/>
      <c r="AD64" s="2"/>
      <c r="AE64" s="2"/>
      <c r="AF64" s="2"/>
    </row>
    <row r="65" ht="12.0" customHeight="1">
      <c r="A65" s="2"/>
      <c r="B65" s="88" t="s">
        <v>75</v>
      </c>
      <c r="C65" s="74">
        <v>0.46092909</v>
      </c>
      <c r="D65" s="2"/>
      <c r="E65" s="2"/>
      <c r="F65" s="2"/>
      <c r="G65" s="74">
        <v>13324.2851025929</v>
      </c>
      <c r="H65" s="2"/>
      <c r="I65" s="36"/>
      <c r="J65" s="115">
        <v>8251.76079263468</v>
      </c>
      <c r="K65" s="36"/>
      <c r="L65" s="74">
        <v>369.532103670011</v>
      </c>
      <c r="M65" s="2"/>
      <c r="N65" s="76">
        <f t="shared" si="3"/>
        <v>0.46092909</v>
      </c>
      <c r="O65" s="76" t="str">
        <f t="shared" ref="O65:P65" si="124">I65</f>
        <v/>
      </c>
      <c r="P65" s="76">
        <f t="shared" si="124"/>
        <v>8251.760793</v>
      </c>
      <c r="Q65" s="76" t="str">
        <f t="shared" ref="Q65:R65" si="125">D65</f>
        <v/>
      </c>
      <c r="R65" s="76" t="str">
        <f t="shared" si="125"/>
        <v/>
      </c>
      <c r="S65" s="76">
        <f t="shared" si="6"/>
        <v>0</v>
      </c>
      <c r="T65" s="76">
        <f t="shared" si="7"/>
        <v>369.5321037</v>
      </c>
      <c r="U65" s="76">
        <f t="shared" si="8"/>
        <v>13324.2851</v>
      </c>
      <c r="V65" s="76">
        <f t="shared" si="9"/>
        <v>21946.03893</v>
      </c>
      <c r="W65" s="2"/>
      <c r="X65" s="2"/>
      <c r="Y65" s="2"/>
      <c r="Z65" s="2"/>
      <c r="AA65" s="2"/>
      <c r="AB65" s="2"/>
      <c r="AC65" s="2"/>
      <c r="AD65" s="2"/>
      <c r="AE65" s="2"/>
      <c r="AF65" s="2"/>
    </row>
    <row r="66" ht="12.0" customHeight="1">
      <c r="A66" s="4" t="s">
        <v>174</v>
      </c>
      <c r="B66" s="88" t="s">
        <v>58</v>
      </c>
      <c r="C66" s="74">
        <v>0.15748358</v>
      </c>
      <c r="D66" s="2"/>
      <c r="E66" s="2"/>
      <c r="F66" s="2"/>
      <c r="G66" s="74">
        <v>13845.7356771782</v>
      </c>
      <c r="H66" s="2"/>
      <c r="I66" s="36"/>
      <c r="J66" s="115">
        <v>8185.65449502908</v>
      </c>
      <c r="K66" s="36"/>
      <c r="L66" s="74">
        <v>321.747460955483</v>
      </c>
      <c r="M66" s="2"/>
      <c r="N66" s="76">
        <f t="shared" si="3"/>
        <v>0.15748358</v>
      </c>
      <c r="O66" s="76" t="str">
        <f t="shared" ref="O66:P66" si="126">I66</f>
        <v/>
      </c>
      <c r="P66" s="76">
        <f t="shared" si="126"/>
        <v>8185.654495</v>
      </c>
      <c r="Q66" s="76" t="str">
        <f t="shared" ref="Q66:R66" si="127">D66</f>
        <v/>
      </c>
      <c r="R66" s="76" t="str">
        <f t="shared" si="127"/>
        <v/>
      </c>
      <c r="S66" s="76">
        <f t="shared" si="6"/>
        <v>0</v>
      </c>
      <c r="T66" s="76">
        <f t="shared" si="7"/>
        <v>321.747461</v>
      </c>
      <c r="U66" s="76">
        <f t="shared" si="8"/>
        <v>13845.73568</v>
      </c>
      <c r="V66" s="76">
        <f t="shared" si="9"/>
        <v>22353.29512</v>
      </c>
      <c r="W66" s="2"/>
      <c r="X66" s="2"/>
      <c r="Y66" s="2"/>
      <c r="Z66" s="2"/>
      <c r="AA66" s="2"/>
      <c r="AB66" s="2"/>
      <c r="AC66" s="2"/>
      <c r="AD66" s="2"/>
      <c r="AE66" s="2"/>
      <c r="AF66" s="2"/>
    </row>
    <row r="67" ht="12.0" customHeight="1">
      <c r="A67" s="2"/>
      <c r="B67" s="88" t="s">
        <v>66</v>
      </c>
      <c r="C67" s="74">
        <v>0.14563555</v>
      </c>
      <c r="D67" s="2"/>
      <c r="E67" s="2"/>
      <c r="F67" s="2"/>
      <c r="G67" s="74">
        <v>13818.5514496358</v>
      </c>
      <c r="H67" s="2"/>
      <c r="I67" s="36"/>
      <c r="J67" s="115">
        <v>7824.39569711698</v>
      </c>
      <c r="K67" s="36"/>
      <c r="L67" s="74">
        <v>272.495062880928</v>
      </c>
      <c r="M67" s="2"/>
      <c r="N67" s="76">
        <f t="shared" si="3"/>
        <v>0.14563555</v>
      </c>
      <c r="O67" s="76" t="str">
        <f t="shared" ref="O67:P67" si="128">I67</f>
        <v/>
      </c>
      <c r="P67" s="76">
        <f t="shared" si="128"/>
        <v>7824.395697</v>
      </c>
      <c r="Q67" s="76" t="str">
        <f t="shared" ref="Q67:R67" si="129">D67</f>
        <v/>
      </c>
      <c r="R67" s="76" t="str">
        <f t="shared" si="129"/>
        <v/>
      </c>
      <c r="S67" s="76">
        <f t="shared" si="6"/>
        <v>0</v>
      </c>
      <c r="T67" s="76">
        <f t="shared" si="7"/>
        <v>272.4950629</v>
      </c>
      <c r="U67" s="76">
        <f t="shared" si="8"/>
        <v>13818.55145</v>
      </c>
      <c r="V67" s="76">
        <f t="shared" si="9"/>
        <v>21915.58785</v>
      </c>
      <c r="W67" s="2"/>
      <c r="X67" s="2"/>
      <c r="Y67" s="2"/>
      <c r="Z67" s="2"/>
      <c r="AA67" s="2"/>
      <c r="AB67" s="2"/>
      <c r="AC67" s="2"/>
      <c r="AD67" s="2"/>
      <c r="AE67" s="2"/>
      <c r="AF67" s="2"/>
    </row>
    <row r="68" ht="12.0" customHeight="1">
      <c r="A68" s="2"/>
      <c r="B68" s="88" t="s">
        <v>74</v>
      </c>
      <c r="C68" s="74">
        <v>0.124603</v>
      </c>
      <c r="D68" s="2"/>
      <c r="E68" s="2"/>
      <c r="F68" s="2"/>
      <c r="G68" s="74">
        <v>14399.0851760961</v>
      </c>
      <c r="H68" s="2"/>
      <c r="I68" s="36"/>
      <c r="J68" s="115">
        <v>7640.63998946136</v>
      </c>
      <c r="K68" s="36"/>
      <c r="L68" s="74">
        <v>120.185603188056</v>
      </c>
      <c r="M68" s="2"/>
      <c r="N68" s="76">
        <f t="shared" si="3"/>
        <v>0.124603</v>
      </c>
      <c r="O68" s="76" t="str">
        <f t="shared" ref="O68:P68" si="130">I68</f>
        <v/>
      </c>
      <c r="P68" s="76">
        <f t="shared" si="130"/>
        <v>7640.639989</v>
      </c>
      <c r="Q68" s="76" t="str">
        <f t="shared" ref="Q68:R68" si="131">D68</f>
        <v/>
      </c>
      <c r="R68" s="76" t="str">
        <f t="shared" si="131"/>
        <v/>
      </c>
      <c r="S68" s="76">
        <f t="shared" si="6"/>
        <v>0</v>
      </c>
      <c r="T68" s="76">
        <f t="shared" si="7"/>
        <v>120.1856032</v>
      </c>
      <c r="U68" s="76">
        <f t="shared" si="8"/>
        <v>14399.08518</v>
      </c>
      <c r="V68" s="76">
        <f t="shared" si="9"/>
        <v>22160.03537</v>
      </c>
      <c r="W68" s="2"/>
      <c r="X68" s="2"/>
      <c r="Y68" s="2"/>
      <c r="Z68" s="2"/>
      <c r="AA68" s="2"/>
      <c r="AB68" s="2"/>
      <c r="AC68" s="2"/>
      <c r="AD68" s="2"/>
      <c r="AE68" s="2"/>
      <c r="AF68" s="2"/>
    </row>
    <row r="69" ht="12.0" customHeight="1">
      <c r="A69" s="2"/>
      <c r="B69" s="88" t="s">
        <v>75</v>
      </c>
      <c r="C69" s="74">
        <v>0.0</v>
      </c>
      <c r="D69" s="2"/>
      <c r="E69" s="2"/>
      <c r="F69" s="2"/>
      <c r="G69" s="74">
        <v>14521.3952779656</v>
      </c>
      <c r="H69" s="2"/>
      <c r="I69" s="36"/>
      <c r="J69" s="115">
        <v>7148.4074724389</v>
      </c>
      <c r="K69" s="36"/>
      <c r="L69" s="74">
        <v>83.86544448</v>
      </c>
      <c r="M69" s="2"/>
      <c r="N69" s="76">
        <f t="shared" si="3"/>
        <v>0</v>
      </c>
      <c r="O69" s="76" t="str">
        <f t="shared" ref="O69:P69" si="132">I69</f>
        <v/>
      </c>
      <c r="P69" s="76">
        <f t="shared" si="132"/>
        <v>7148.407472</v>
      </c>
      <c r="Q69" s="76" t="str">
        <f t="shared" ref="Q69:R69" si="133">D69</f>
        <v/>
      </c>
      <c r="R69" s="76" t="str">
        <f t="shared" si="133"/>
        <v/>
      </c>
      <c r="S69" s="76">
        <f t="shared" si="6"/>
        <v>0</v>
      </c>
      <c r="T69" s="76">
        <f t="shared" si="7"/>
        <v>83.86544448</v>
      </c>
      <c r="U69" s="76">
        <f t="shared" si="8"/>
        <v>14521.39528</v>
      </c>
      <c r="V69" s="76">
        <f t="shared" si="9"/>
        <v>21753.66819</v>
      </c>
      <c r="W69" s="2"/>
      <c r="X69" s="2"/>
      <c r="Y69" s="2"/>
      <c r="Z69" s="2"/>
      <c r="AA69" s="2"/>
      <c r="AB69" s="2"/>
      <c r="AC69" s="2"/>
      <c r="AD69" s="2"/>
      <c r="AE69" s="2"/>
      <c r="AF69" s="2"/>
    </row>
    <row r="70" ht="12.0" customHeight="1">
      <c r="A70" s="4" t="s">
        <v>175</v>
      </c>
      <c r="B70" s="88" t="s">
        <v>58</v>
      </c>
      <c r="C70" s="2"/>
      <c r="D70" s="2"/>
      <c r="E70" s="2"/>
      <c r="F70" s="2"/>
      <c r="G70" s="74">
        <v>15058.1330419092</v>
      </c>
      <c r="H70" s="2"/>
      <c r="I70" s="36"/>
      <c r="J70" s="115">
        <v>6928.14370211727</v>
      </c>
      <c r="K70" s="36"/>
      <c r="L70" s="74">
        <v>71.8976625999999</v>
      </c>
      <c r="M70" s="2"/>
      <c r="N70" s="76" t="str">
        <f t="shared" si="3"/>
        <v/>
      </c>
      <c r="O70" s="76" t="str">
        <f t="shared" ref="O70:P70" si="134">I70</f>
        <v/>
      </c>
      <c r="P70" s="76">
        <f t="shared" si="134"/>
        <v>6928.143702</v>
      </c>
      <c r="Q70" s="76" t="str">
        <f t="shared" ref="Q70:R70" si="135">D70</f>
        <v/>
      </c>
      <c r="R70" s="76" t="str">
        <f t="shared" si="135"/>
        <v/>
      </c>
      <c r="S70" s="76">
        <f t="shared" si="6"/>
        <v>0</v>
      </c>
      <c r="T70" s="76">
        <f t="shared" si="7"/>
        <v>71.8976626</v>
      </c>
      <c r="U70" s="76">
        <f t="shared" si="8"/>
        <v>15058.13304</v>
      </c>
      <c r="V70" s="76">
        <f t="shared" si="9"/>
        <v>22058.17441</v>
      </c>
      <c r="W70" s="2"/>
      <c r="X70" s="2"/>
      <c r="Y70" s="2"/>
      <c r="Z70" s="2"/>
      <c r="AA70" s="2"/>
      <c r="AB70" s="2"/>
      <c r="AC70" s="2"/>
      <c r="AD70" s="2"/>
      <c r="AE70" s="2"/>
      <c r="AF70" s="2"/>
    </row>
    <row r="71" ht="12.0" customHeight="1">
      <c r="A71" s="2"/>
      <c r="B71" s="88" t="s">
        <v>66</v>
      </c>
      <c r="C71" s="2"/>
      <c r="D71" s="2"/>
      <c r="E71" s="2"/>
      <c r="F71" s="2"/>
      <c r="G71" s="74">
        <v>15116.8082289062</v>
      </c>
      <c r="H71" s="2"/>
      <c r="I71" s="36"/>
      <c r="J71" s="115">
        <v>6359.63622324233</v>
      </c>
      <c r="K71" s="36"/>
      <c r="L71" s="74">
        <v>59.5341760299778</v>
      </c>
      <c r="M71" s="2"/>
      <c r="N71" s="76" t="str">
        <f t="shared" si="3"/>
        <v/>
      </c>
      <c r="O71" s="76" t="str">
        <f t="shared" ref="O71:P71" si="136">I71</f>
        <v/>
      </c>
      <c r="P71" s="76">
        <f t="shared" si="136"/>
        <v>6359.636223</v>
      </c>
      <c r="Q71" s="76" t="str">
        <f t="shared" ref="Q71:R71" si="137">D71</f>
        <v/>
      </c>
      <c r="R71" s="76" t="str">
        <f t="shared" si="137"/>
        <v/>
      </c>
      <c r="S71" s="76">
        <f t="shared" si="6"/>
        <v>0</v>
      </c>
      <c r="T71" s="76">
        <f t="shared" si="7"/>
        <v>59.53417603</v>
      </c>
      <c r="U71" s="76">
        <f t="shared" si="8"/>
        <v>15116.80823</v>
      </c>
      <c r="V71" s="76">
        <f t="shared" si="9"/>
        <v>21535.97863</v>
      </c>
      <c r="W71" s="2"/>
      <c r="X71" s="2"/>
      <c r="Y71" s="2"/>
      <c r="Z71" s="2"/>
      <c r="AA71" s="2"/>
      <c r="AB71" s="2"/>
      <c r="AC71" s="2"/>
      <c r="AD71" s="2"/>
      <c r="AE71" s="2"/>
      <c r="AF71" s="2"/>
    </row>
    <row r="72" ht="12.0" customHeight="1">
      <c r="A72" s="2"/>
      <c r="B72" s="88" t="s">
        <v>74</v>
      </c>
      <c r="C72" s="2"/>
      <c r="D72" s="2"/>
      <c r="E72" s="2"/>
      <c r="F72" s="2"/>
      <c r="G72" s="74">
        <v>15745.9772904063</v>
      </c>
      <c r="H72" s="2"/>
      <c r="I72" s="36"/>
      <c r="J72" s="115">
        <v>5782.05298726067</v>
      </c>
      <c r="K72" s="36"/>
      <c r="L72" s="74">
        <v>45.318232710028</v>
      </c>
      <c r="M72" s="2"/>
      <c r="N72" s="76" t="str">
        <f t="shared" si="3"/>
        <v/>
      </c>
      <c r="O72" s="76" t="str">
        <f t="shared" ref="O72:P72" si="138">I72</f>
        <v/>
      </c>
      <c r="P72" s="76">
        <f t="shared" si="138"/>
        <v>5782.052987</v>
      </c>
      <c r="Q72" s="76" t="str">
        <f t="shared" ref="Q72:R72" si="139">D72</f>
        <v/>
      </c>
      <c r="R72" s="76" t="str">
        <f t="shared" si="139"/>
        <v/>
      </c>
      <c r="S72" s="76">
        <f t="shared" si="6"/>
        <v>0</v>
      </c>
      <c r="T72" s="76">
        <f t="shared" si="7"/>
        <v>45.31823271</v>
      </c>
      <c r="U72" s="76">
        <f t="shared" si="8"/>
        <v>15745.97729</v>
      </c>
      <c r="V72" s="76">
        <f t="shared" si="9"/>
        <v>21573.34851</v>
      </c>
      <c r="W72" s="2"/>
      <c r="X72" s="2"/>
      <c r="Y72" s="2"/>
      <c r="Z72" s="2"/>
      <c r="AA72" s="2"/>
      <c r="AB72" s="2"/>
      <c r="AC72" s="2"/>
      <c r="AD72" s="2"/>
      <c r="AE72" s="2"/>
      <c r="AF72" s="2"/>
    </row>
    <row r="73" ht="12.0" customHeight="1">
      <c r="A73" s="2"/>
      <c r="B73" s="88" t="s">
        <v>75</v>
      </c>
      <c r="C73" s="2"/>
      <c r="D73" s="2"/>
      <c r="E73" s="2"/>
      <c r="F73" s="2"/>
      <c r="G73" s="74">
        <v>15726.7438575241</v>
      </c>
      <c r="H73" s="2"/>
      <c r="I73" s="36"/>
      <c r="J73" s="115">
        <v>5562.5131548534</v>
      </c>
      <c r="K73" s="36"/>
      <c r="L73" s="74">
        <v>34.1918834899822</v>
      </c>
      <c r="M73" s="2"/>
      <c r="N73" s="76" t="str">
        <f t="shared" si="3"/>
        <v/>
      </c>
      <c r="O73" s="76" t="str">
        <f t="shared" ref="O73:P73" si="140">I73</f>
        <v/>
      </c>
      <c r="P73" s="76">
        <f t="shared" si="140"/>
        <v>5562.513155</v>
      </c>
      <c r="Q73" s="76" t="str">
        <f t="shared" ref="Q73:R73" si="141">D73</f>
        <v/>
      </c>
      <c r="R73" s="76" t="str">
        <f t="shared" si="141"/>
        <v/>
      </c>
      <c r="S73" s="76">
        <f t="shared" si="6"/>
        <v>0</v>
      </c>
      <c r="T73" s="76">
        <f t="shared" si="7"/>
        <v>34.19188349</v>
      </c>
      <c r="U73" s="76">
        <f t="shared" si="8"/>
        <v>15726.74386</v>
      </c>
      <c r="V73" s="76">
        <f t="shared" si="9"/>
        <v>21323.4489</v>
      </c>
      <c r="W73" s="2"/>
      <c r="X73" s="2"/>
      <c r="Y73" s="2"/>
      <c r="Z73" s="2"/>
      <c r="AA73" s="2"/>
      <c r="AB73" s="2"/>
      <c r="AC73" s="2"/>
      <c r="AD73" s="2"/>
      <c r="AE73" s="2"/>
      <c r="AF73" s="2"/>
    </row>
    <row r="74" ht="12.0" customHeight="1">
      <c r="A74" s="4" t="s">
        <v>176</v>
      </c>
      <c r="B74" s="88" t="s">
        <v>58</v>
      </c>
      <c r="C74" s="2"/>
      <c r="D74" s="2"/>
      <c r="E74" s="2"/>
      <c r="F74" s="2"/>
      <c r="G74" s="74">
        <v>16258.9860785789</v>
      </c>
      <c r="H74" s="2"/>
      <c r="I74" s="36"/>
      <c r="J74" s="115">
        <v>5200.9421768964</v>
      </c>
      <c r="K74" s="36"/>
      <c r="L74" s="74">
        <v>0.0</v>
      </c>
      <c r="M74" s="2"/>
      <c r="N74" s="76" t="str">
        <f t="shared" si="3"/>
        <v/>
      </c>
      <c r="O74" s="76" t="str">
        <f t="shared" ref="O74:P74" si="142">I74</f>
        <v/>
      </c>
      <c r="P74" s="76">
        <f t="shared" si="142"/>
        <v>5200.942177</v>
      </c>
      <c r="Q74" s="76" t="str">
        <f t="shared" ref="Q74:R74" si="143">D74</f>
        <v/>
      </c>
      <c r="R74" s="76" t="str">
        <f t="shared" si="143"/>
        <v/>
      </c>
      <c r="S74" s="76">
        <f t="shared" si="6"/>
        <v>0</v>
      </c>
      <c r="T74" s="76">
        <f t="shared" si="7"/>
        <v>0</v>
      </c>
      <c r="U74" s="76">
        <f t="shared" si="8"/>
        <v>16258.98608</v>
      </c>
      <c r="V74" s="76">
        <f t="shared" si="9"/>
        <v>21459.92826</v>
      </c>
      <c r="W74" s="2"/>
      <c r="X74" s="2"/>
      <c r="Y74" s="2"/>
      <c r="Z74" s="2"/>
      <c r="AA74" s="2"/>
      <c r="AB74" s="2"/>
      <c r="AC74" s="2"/>
      <c r="AD74" s="2"/>
      <c r="AE74" s="2"/>
      <c r="AF74" s="2"/>
    </row>
    <row r="75" ht="12.0" customHeight="1">
      <c r="A75" s="2"/>
      <c r="B75" s="88" t="s">
        <v>66</v>
      </c>
      <c r="C75" s="2"/>
      <c r="D75" s="2"/>
      <c r="E75" s="2"/>
      <c r="F75" s="2"/>
      <c r="G75" s="74">
        <v>16370.4278464846</v>
      </c>
      <c r="H75" s="2"/>
      <c r="I75" s="36"/>
      <c r="J75" s="115">
        <v>4773.48995391034</v>
      </c>
      <c r="K75" s="36"/>
      <c r="L75" s="2"/>
      <c r="M75" s="2"/>
      <c r="N75" s="76" t="str">
        <f t="shared" si="3"/>
        <v/>
      </c>
      <c r="O75" s="76" t="str">
        <f t="shared" ref="O75:P75" si="144">I75</f>
        <v/>
      </c>
      <c r="P75" s="76">
        <f t="shared" si="144"/>
        <v>4773.489954</v>
      </c>
      <c r="Q75" s="76" t="str">
        <f t="shared" ref="Q75:R75" si="145">D75</f>
        <v/>
      </c>
      <c r="R75" s="76" t="str">
        <f t="shared" si="145"/>
        <v/>
      </c>
      <c r="S75" s="76">
        <f t="shared" si="6"/>
        <v>0</v>
      </c>
      <c r="T75" s="76" t="str">
        <f t="shared" si="7"/>
        <v/>
      </c>
      <c r="U75" s="76">
        <f t="shared" si="8"/>
        <v>16370.42785</v>
      </c>
      <c r="V75" s="76">
        <f t="shared" si="9"/>
        <v>21143.9178</v>
      </c>
      <c r="W75" s="2"/>
      <c r="X75" s="2"/>
      <c r="Y75" s="2"/>
      <c r="Z75" s="2"/>
      <c r="AA75" s="2"/>
      <c r="AB75" s="2"/>
      <c r="AC75" s="2"/>
      <c r="AD75" s="2"/>
      <c r="AE75" s="2"/>
      <c r="AF75" s="2"/>
    </row>
    <row r="76" ht="12.0" customHeight="1">
      <c r="A76" s="2"/>
      <c r="B76" s="88" t="s">
        <v>74</v>
      </c>
      <c r="C76" s="2"/>
      <c r="D76" s="2"/>
      <c r="E76" s="2"/>
      <c r="F76" s="2"/>
      <c r="G76" s="74">
        <v>17219.2885421357</v>
      </c>
      <c r="H76" s="2"/>
      <c r="I76" s="36"/>
      <c r="J76" s="115">
        <v>4374.47320684928</v>
      </c>
      <c r="K76" s="36"/>
      <c r="L76" s="2"/>
      <c r="M76" s="2"/>
      <c r="N76" s="76" t="str">
        <f t="shared" si="3"/>
        <v/>
      </c>
      <c r="O76" s="76" t="str">
        <f t="shared" ref="O76:P76" si="146">I76</f>
        <v/>
      </c>
      <c r="P76" s="76">
        <f t="shared" si="146"/>
        <v>4374.473207</v>
      </c>
      <c r="Q76" s="76" t="str">
        <f t="shared" ref="Q76:R76" si="147">D76</f>
        <v/>
      </c>
      <c r="R76" s="76" t="str">
        <f t="shared" si="147"/>
        <v/>
      </c>
      <c r="S76" s="76">
        <f t="shared" si="6"/>
        <v>0</v>
      </c>
      <c r="T76" s="76" t="str">
        <f t="shared" si="7"/>
        <v/>
      </c>
      <c r="U76" s="76">
        <f t="shared" si="8"/>
        <v>17219.28854</v>
      </c>
      <c r="V76" s="76">
        <f t="shared" si="9"/>
        <v>21593.76175</v>
      </c>
      <c r="W76" s="2"/>
      <c r="X76" s="2"/>
      <c r="Y76" s="2"/>
      <c r="Z76" s="2"/>
      <c r="AA76" s="2"/>
      <c r="AB76" s="2"/>
      <c r="AC76" s="2"/>
      <c r="AD76" s="2"/>
      <c r="AE76" s="2"/>
      <c r="AF76" s="2"/>
    </row>
    <row r="77" ht="12.0" customHeight="1">
      <c r="A77" s="2"/>
      <c r="B77" s="88" t="s">
        <v>75</v>
      </c>
      <c r="C77" s="2"/>
      <c r="D77" s="2"/>
      <c r="E77" s="2"/>
      <c r="F77" s="2"/>
      <c r="G77" s="74">
        <v>17514.9276878728</v>
      </c>
      <c r="H77" s="2"/>
      <c r="I77" s="36"/>
      <c r="J77" s="115">
        <v>4053.28356268681</v>
      </c>
      <c r="K77" s="36"/>
      <c r="L77" s="2"/>
      <c r="M77" s="2"/>
      <c r="N77" s="76" t="str">
        <f t="shared" si="3"/>
        <v/>
      </c>
      <c r="O77" s="76" t="str">
        <f t="shared" ref="O77:P77" si="148">I77</f>
        <v/>
      </c>
      <c r="P77" s="76">
        <f t="shared" si="148"/>
        <v>4053.283563</v>
      </c>
      <c r="Q77" s="76" t="str">
        <f t="shared" ref="Q77:R77" si="149">D77</f>
        <v/>
      </c>
      <c r="R77" s="76" t="str">
        <f t="shared" si="149"/>
        <v/>
      </c>
      <c r="S77" s="76">
        <f t="shared" si="6"/>
        <v>0</v>
      </c>
      <c r="T77" s="76" t="str">
        <f t="shared" si="7"/>
        <v/>
      </c>
      <c r="U77" s="76">
        <f t="shared" si="8"/>
        <v>17514.92769</v>
      </c>
      <c r="V77" s="76">
        <f t="shared" si="9"/>
        <v>21568.21125</v>
      </c>
      <c r="W77" s="2"/>
      <c r="X77" s="2"/>
      <c r="Y77" s="2"/>
      <c r="Z77" s="2"/>
      <c r="AA77" s="2"/>
      <c r="AB77" s="2"/>
      <c r="AC77" s="2"/>
      <c r="AD77" s="2"/>
      <c r="AE77" s="2"/>
      <c r="AF77" s="2"/>
    </row>
    <row r="78" ht="12.0" customHeight="1">
      <c r="A78" s="4" t="s">
        <v>177</v>
      </c>
      <c r="B78" s="88" t="s">
        <v>58</v>
      </c>
      <c r="C78" s="2"/>
      <c r="D78" s="2"/>
      <c r="E78" s="2"/>
      <c r="F78" s="2"/>
      <c r="G78" s="74">
        <v>18470.3312759711</v>
      </c>
      <c r="H78" s="2"/>
      <c r="I78" s="36"/>
      <c r="J78" s="115">
        <v>3763.81157521514</v>
      </c>
      <c r="K78" s="36"/>
      <c r="L78" s="2"/>
      <c r="M78" s="2"/>
      <c r="N78" s="76" t="str">
        <f t="shared" si="3"/>
        <v/>
      </c>
      <c r="O78" s="76" t="str">
        <f t="shared" ref="O78:P78" si="150">I78</f>
        <v/>
      </c>
      <c r="P78" s="76">
        <f t="shared" si="150"/>
        <v>3763.811575</v>
      </c>
      <c r="Q78" s="76" t="str">
        <f t="shared" ref="Q78:R78" si="151">D78</f>
        <v/>
      </c>
      <c r="R78" s="76" t="str">
        <f t="shared" si="151"/>
        <v/>
      </c>
      <c r="S78" s="76">
        <f t="shared" si="6"/>
        <v>0</v>
      </c>
      <c r="T78" s="76" t="str">
        <f t="shared" si="7"/>
        <v/>
      </c>
      <c r="U78" s="76">
        <f t="shared" si="8"/>
        <v>18470.33128</v>
      </c>
      <c r="V78" s="76">
        <f t="shared" si="9"/>
        <v>22234.14285</v>
      </c>
      <c r="W78" s="2"/>
      <c r="X78" s="2"/>
      <c r="Y78" s="2"/>
      <c r="Z78" s="2"/>
      <c r="AA78" s="2"/>
      <c r="AB78" s="2"/>
      <c r="AC78" s="2"/>
      <c r="AD78" s="2"/>
      <c r="AE78" s="2"/>
      <c r="AF78" s="2"/>
    </row>
    <row r="79" ht="12.0" customHeight="1">
      <c r="A79" s="2"/>
      <c r="B79" s="88" t="s">
        <v>66</v>
      </c>
      <c r="C79" s="2"/>
      <c r="D79" s="2"/>
      <c r="E79" s="2"/>
      <c r="F79" s="2"/>
      <c r="G79" s="74">
        <v>18754.8544035571</v>
      </c>
      <c r="H79" s="2"/>
      <c r="I79" s="36"/>
      <c r="J79" s="115">
        <v>3464.69023444394</v>
      </c>
      <c r="K79" s="36"/>
      <c r="L79" s="2"/>
      <c r="M79" s="2"/>
      <c r="N79" s="76" t="str">
        <f t="shared" si="3"/>
        <v/>
      </c>
      <c r="O79" s="76" t="str">
        <f t="shared" ref="O79:P79" si="152">I79</f>
        <v/>
      </c>
      <c r="P79" s="76">
        <f t="shared" si="152"/>
        <v>3464.690234</v>
      </c>
      <c r="Q79" s="76" t="str">
        <f t="shared" ref="Q79:R79" si="153">D79</f>
        <v/>
      </c>
      <c r="R79" s="76" t="str">
        <f t="shared" si="153"/>
        <v/>
      </c>
      <c r="S79" s="76">
        <f t="shared" si="6"/>
        <v>0</v>
      </c>
      <c r="T79" s="76" t="str">
        <f t="shared" si="7"/>
        <v/>
      </c>
      <c r="U79" s="76">
        <f t="shared" si="8"/>
        <v>18754.8544</v>
      </c>
      <c r="V79" s="76">
        <f t="shared" si="9"/>
        <v>22219.54464</v>
      </c>
      <c r="W79" s="2"/>
      <c r="X79" s="2"/>
      <c r="Y79" s="2"/>
      <c r="Z79" s="2"/>
      <c r="AA79" s="2"/>
      <c r="AB79" s="2"/>
      <c r="AC79" s="2"/>
      <c r="AD79" s="2"/>
      <c r="AE79" s="2"/>
      <c r="AF79" s="2"/>
    </row>
    <row r="80" ht="12.0" customHeight="1">
      <c r="A80" s="2"/>
      <c r="B80" s="88" t="s">
        <v>74</v>
      </c>
      <c r="C80" s="2"/>
      <c r="D80" s="2"/>
      <c r="E80" s="2"/>
      <c r="F80" s="2"/>
      <c r="G80" s="74">
        <v>19597.3383098804</v>
      </c>
      <c r="H80" s="2"/>
      <c r="I80" s="36"/>
      <c r="J80" s="115">
        <v>3192.6489173069</v>
      </c>
      <c r="K80" s="36"/>
      <c r="L80" s="2"/>
      <c r="M80" s="2"/>
      <c r="N80" s="76" t="str">
        <f t="shared" si="3"/>
        <v/>
      </c>
      <c r="O80" s="76" t="str">
        <f t="shared" ref="O80:P80" si="154">I80</f>
        <v/>
      </c>
      <c r="P80" s="76">
        <f t="shared" si="154"/>
        <v>3192.648917</v>
      </c>
      <c r="Q80" s="76" t="str">
        <f t="shared" ref="Q80:R80" si="155">D80</f>
        <v/>
      </c>
      <c r="R80" s="76" t="str">
        <f t="shared" si="155"/>
        <v/>
      </c>
      <c r="S80" s="76">
        <f t="shared" si="6"/>
        <v>0</v>
      </c>
      <c r="T80" s="76" t="str">
        <f t="shared" si="7"/>
        <v/>
      </c>
      <c r="U80" s="76">
        <f t="shared" si="8"/>
        <v>19597.33831</v>
      </c>
      <c r="V80" s="76">
        <f t="shared" si="9"/>
        <v>22789.98723</v>
      </c>
      <c r="W80" s="2"/>
      <c r="X80" s="2"/>
      <c r="Y80" s="2"/>
      <c r="Z80" s="2"/>
      <c r="AA80" s="2"/>
      <c r="AB80" s="2"/>
      <c r="AC80" s="2"/>
      <c r="AD80" s="2"/>
      <c r="AE80" s="2"/>
      <c r="AF80" s="2"/>
    </row>
    <row r="81" ht="12.0" customHeight="1">
      <c r="A81" s="2"/>
      <c r="B81" s="88" t="s">
        <v>75</v>
      </c>
      <c r="C81" s="2"/>
      <c r="D81" s="2"/>
      <c r="E81" s="2"/>
      <c r="F81" s="2"/>
      <c r="G81" s="74">
        <v>19936.9104621261</v>
      </c>
      <c r="H81" s="2"/>
      <c r="I81" s="36"/>
      <c r="J81" s="115">
        <v>2966.13830861742</v>
      </c>
      <c r="K81" s="36"/>
      <c r="L81" s="2"/>
      <c r="M81" s="2"/>
      <c r="N81" s="76" t="str">
        <f t="shared" si="3"/>
        <v/>
      </c>
      <c r="O81" s="76" t="str">
        <f t="shared" ref="O81:P81" si="156">I81</f>
        <v/>
      </c>
      <c r="P81" s="76">
        <f t="shared" si="156"/>
        <v>2966.138309</v>
      </c>
      <c r="Q81" s="76" t="str">
        <f t="shared" ref="Q81:R81" si="157">D81</f>
        <v/>
      </c>
      <c r="R81" s="76" t="str">
        <f t="shared" si="157"/>
        <v/>
      </c>
      <c r="S81" s="76">
        <f t="shared" si="6"/>
        <v>0</v>
      </c>
      <c r="T81" s="76" t="str">
        <f t="shared" si="7"/>
        <v/>
      </c>
      <c r="U81" s="76">
        <f t="shared" si="8"/>
        <v>19936.91046</v>
      </c>
      <c r="V81" s="76">
        <f t="shared" si="9"/>
        <v>22903.04877</v>
      </c>
      <c r="W81" s="2"/>
      <c r="X81" s="2"/>
      <c r="Y81" s="2"/>
      <c r="Z81" s="2"/>
      <c r="AA81" s="2"/>
      <c r="AB81" s="2"/>
      <c r="AC81" s="2"/>
      <c r="AD81" s="2"/>
      <c r="AE81" s="2"/>
      <c r="AF81" s="2"/>
    </row>
    <row r="82" ht="12.0" customHeight="1">
      <c r="A82" s="4" t="s">
        <v>178</v>
      </c>
      <c r="B82" s="88" t="s">
        <v>58</v>
      </c>
      <c r="C82" s="2"/>
      <c r="D82" s="2"/>
      <c r="E82" s="2"/>
      <c r="F82" s="2"/>
      <c r="G82" s="74">
        <v>20995.4013394712</v>
      </c>
      <c r="H82" s="2"/>
      <c r="I82" s="36"/>
      <c r="J82" s="115">
        <v>2797.53029694376</v>
      </c>
      <c r="K82" s="36"/>
      <c r="L82" s="2"/>
      <c r="M82" s="2"/>
      <c r="N82" s="76" t="str">
        <f t="shared" si="3"/>
        <v/>
      </c>
      <c r="O82" s="76" t="str">
        <f t="shared" ref="O82:P82" si="158">I82</f>
        <v/>
      </c>
      <c r="P82" s="76">
        <f t="shared" si="158"/>
        <v>2797.530297</v>
      </c>
      <c r="Q82" s="76" t="str">
        <f t="shared" ref="Q82:R82" si="159">D82</f>
        <v/>
      </c>
      <c r="R82" s="76" t="str">
        <f t="shared" si="159"/>
        <v/>
      </c>
      <c r="S82" s="76">
        <f t="shared" si="6"/>
        <v>0</v>
      </c>
      <c r="T82" s="76" t="str">
        <f t="shared" si="7"/>
        <v/>
      </c>
      <c r="U82" s="76">
        <f t="shared" si="8"/>
        <v>20995.40134</v>
      </c>
      <c r="V82" s="76">
        <f t="shared" si="9"/>
        <v>23792.93164</v>
      </c>
      <c r="W82" s="2"/>
      <c r="X82" s="2"/>
      <c r="Y82" s="2"/>
      <c r="Z82" s="2"/>
      <c r="AA82" s="2"/>
      <c r="AB82" s="2"/>
      <c r="AC82" s="2"/>
      <c r="AD82" s="2"/>
      <c r="AE82" s="2"/>
      <c r="AF82" s="2"/>
    </row>
    <row r="83" ht="12.0" customHeight="1">
      <c r="A83" s="2"/>
      <c r="B83" s="88" t="s">
        <v>66</v>
      </c>
      <c r="C83" s="2"/>
      <c r="D83" s="2"/>
      <c r="E83" s="2"/>
      <c r="F83" s="2"/>
      <c r="G83" s="74">
        <v>21537.8093739179</v>
      </c>
      <c r="H83" s="2"/>
      <c r="I83" s="36"/>
      <c r="J83" s="115">
        <v>2650.90379796385</v>
      </c>
      <c r="K83" s="36"/>
      <c r="L83" s="2"/>
      <c r="M83" s="2"/>
      <c r="N83" s="76" t="str">
        <f t="shared" si="3"/>
        <v/>
      </c>
      <c r="O83" s="76" t="str">
        <f t="shared" ref="O83:P83" si="160">I83</f>
        <v/>
      </c>
      <c r="P83" s="76">
        <f t="shared" si="160"/>
        <v>2650.903798</v>
      </c>
      <c r="Q83" s="76" t="str">
        <f t="shared" ref="Q83:R83" si="161">D83</f>
        <v/>
      </c>
      <c r="R83" s="76" t="str">
        <f t="shared" si="161"/>
        <v/>
      </c>
      <c r="S83" s="76">
        <f t="shared" si="6"/>
        <v>0</v>
      </c>
      <c r="T83" s="76" t="str">
        <f t="shared" si="7"/>
        <v/>
      </c>
      <c r="U83" s="76">
        <f t="shared" si="8"/>
        <v>21537.80937</v>
      </c>
      <c r="V83" s="76">
        <f t="shared" si="9"/>
        <v>24188.71317</v>
      </c>
      <c r="W83" s="2"/>
      <c r="X83" s="2"/>
      <c r="Y83" s="2"/>
      <c r="Z83" s="2"/>
      <c r="AA83" s="2"/>
      <c r="AB83" s="2"/>
      <c r="AC83" s="2"/>
      <c r="AD83" s="2"/>
      <c r="AE83" s="2"/>
      <c r="AF83" s="2"/>
    </row>
    <row r="84" ht="12.0" customHeight="1">
      <c r="A84" s="2"/>
      <c r="B84" s="88" t="s">
        <v>74</v>
      </c>
      <c r="C84" s="2"/>
      <c r="D84" s="2"/>
      <c r="E84" s="2"/>
      <c r="F84" s="2"/>
      <c r="G84" s="74">
        <v>22765.6957064116</v>
      </c>
      <c r="H84" s="2"/>
      <c r="I84" s="36"/>
      <c r="J84" s="115">
        <v>2509.05710915538</v>
      </c>
      <c r="K84" s="36"/>
      <c r="L84" s="2"/>
      <c r="M84" s="2"/>
      <c r="N84" s="76" t="str">
        <f t="shared" si="3"/>
        <v/>
      </c>
      <c r="O84" s="76" t="str">
        <f t="shared" ref="O84:P84" si="162">I84</f>
        <v/>
      </c>
      <c r="P84" s="76">
        <f t="shared" si="162"/>
        <v>2509.057109</v>
      </c>
      <c r="Q84" s="76" t="str">
        <f t="shared" ref="Q84:R84" si="163">D84</f>
        <v/>
      </c>
      <c r="R84" s="76" t="str">
        <f t="shared" si="163"/>
        <v/>
      </c>
      <c r="S84" s="76">
        <f t="shared" si="6"/>
        <v>0</v>
      </c>
      <c r="T84" s="76" t="str">
        <f t="shared" si="7"/>
        <v/>
      </c>
      <c r="U84" s="76">
        <f t="shared" si="8"/>
        <v>22765.69571</v>
      </c>
      <c r="V84" s="76">
        <f t="shared" si="9"/>
        <v>25274.75282</v>
      </c>
      <c r="W84" s="2"/>
      <c r="X84" s="2"/>
      <c r="Y84" s="2"/>
      <c r="Z84" s="2"/>
      <c r="AA84" s="2"/>
      <c r="AB84" s="2"/>
      <c r="AC84" s="2"/>
      <c r="AD84" s="2"/>
      <c r="AE84" s="2"/>
      <c r="AF84" s="2"/>
    </row>
    <row r="85" ht="12.0" customHeight="1">
      <c r="A85" s="2"/>
      <c r="B85" s="88" t="s">
        <v>75</v>
      </c>
      <c r="C85" s="2"/>
      <c r="D85" s="2"/>
      <c r="E85" s="2"/>
      <c r="F85" s="2"/>
      <c r="G85" s="74">
        <v>23225.1104994843</v>
      </c>
      <c r="H85" s="2"/>
      <c r="I85" s="36"/>
      <c r="J85" s="115">
        <v>2384.51228729319</v>
      </c>
      <c r="K85" s="36"/>
      <c r="L85" s="2"/>
      <c r="M85" s="2"/>
      <c r="N85" s="76" t="str">
        <f t="shared" si="3"/>
        <v/>
      </c>
      <c r="O85" s="76" t="str">
        <f t="shared" ref="O85:P85" si="164">I85</f>
        <v/>
      </c>
      <c r="P85" s="76">
        <f t="shared" si="164"/>
        <v>2384.512287</v>
      </c>
      <c r="Q85" s="76" t="str">
        <f t="shared" ref="Q85:R85" si="165">D85</f>
        <v/>
      </c>
      <c r="R85" s="76" t="str">
        <f t="shared" si="165"/>
        <v/>
      </c>
      <c r="S85" s="76">
        <f t="shared" si="6"/>
        <v>0</v>
      </c>
      <c r="T85" s="76" t="str">
        <f t="shared" si="7"/>
        <v/>
      </c>
      <c r="U85" s="76">
        <f t="shared" si="8"/>
        <v>23225.1105</v>
      </c>
      <c r="V85" s="76">
        <f t="shared" si="9"/>
        <v>25609.62279</v>
      </c>
      <c r="W85" s="2"/>
      <c r="X85" s="2"/>
      <c r="Y85" s="2"/>
      <c r="Z85" s="2"/>
      <c r="AA85" s="2"/>
      <c r="AB85" s="2"/>
      <c r="AC85" s="2"/>
      <c r="AD85" s="2"/>
      <c r="AE85" s="2"/>
      <c r="AF85" s="2"/>
    </row>
    <row r="86" ht="12.0" customHeight="1">
      <c r="A86" s="4" t="s">
        <v>179</v>
      </c>
      <c r="B86" s="88" t="s">
        <v>58</v>
      </c>
      <c r="C86" s="2"/>
      <c r="D86" s="2"/>
      <c r="E86" s="2"/>
      <c r="F86" s="2"/>
      <c r="G86" s="74">
        <v>24330.8555975581</v>
      </c>
      <c r="H86" s="2"/>
      <c r="I86" s="36"/>
      <c r="J86" s="115">
        <v>2284.35620027674</v>
      </c>
      <c r="K86" s="36"/>
      <c r="L86" s="2"/>
      <c r="M86" s="2"/>
      <c r="N86" s="76" t="str">
        <f t="shared" si="3"/>
        <v/>
      </c>
      <c r="O86" s="76" t="str">
        <f t="shared" ref="O86:P86" si="166">I86</f>
        <v/>
      </c>
      <c r="P86" s="76">
        <f t="shared" si="166"/>
        <v>2284.3562</v>
      </c>
      <c r="Q86" s="76" t="str">
        <f t="shared" ref="Q86:R86" si="167">D86</f>
        <v/>
      </c>
      <c r="R86" s="76" t="str">
        <f t="shared" si="167"/>
        <v/>
      </c>
      <c r="S86" s="76">
        <f t="shared" si="6"/>
        <v>0</v>
      </c>
      <c r="T86" s="76" t="str">
        <f t="shared" si="7"/>
        <v/>
      </c>
      <c r="U86" s="76">
        <f t="shared" si="8"/>
        <v>24330.8556</v>
      </c>
      <c r="V86" s="76">
        <f t="shared" si="9"/>
        <v>26615.2118</v>
      </c>
      <c r="W86" s="2"/>
      <c r="X86" s="2"/>
      <c r="Y86" s="2"/>
      <c r="Z86" s="2"/>
      <c r="AA86" s="2"/>
      <c r="AB86" s="2"/>
      <c r="AC86" s="2"/>
      <c r="AD86" s="2"/>
      <c r="AE86" s="2"/>
      <c r="AF86" s="2"/>
    </row>
    <row r="87" ht="12.0" customHeight="1">
      <c r="A87" s="2"/>
      <c r="B87" s="88" t="s">
        <v>66</v>
      </c>
      <c r="C87" s="2"/>
      <c r="D87" s="2"/>
      <c r="E87" s="2"/>
      <c r="F87" s="2"/>
      <c r="G87" s="74">
        <v>24864.750324639</v>
      </c>
      <c r="H87" s="2"/>
      <c r="I87" s="36"/>
      <c r="J87" s="115">
        <v>2184.97297919953</v>
      </c>
      <c r="K87" s="36"/>
      <c r="L87" s="2"/>
      <c r="M87" s="2"/>
      <c r="N87" s="76" t="str">
        <f t="shared" si="3"/>
        <v/>
      </c>
      <c r="O87" s="76" t="str">
        <f t="shared" ref="O87:P87" si="168">I87</f>
        <v/>
      </c>
      <c r="P87" s="76">
        <f t="shared" si="168"/>
        <v>2184.972979</v>
      </c>
      <c r="Q87" s="76" t="str">
        <f t="shared" ref="Q87:R87" si="169">D87</f>
        <v/>
      </c>
      <c r="R87" s="76" t="str">
        <f t="shared" si="169"/>
        <v/>
      </c>
      <c r="S87" s="76">
        <f t="shared" si="6"/>
        <v>0</v>
      </c>
      <c r="T87" s="76" t="str">
        <f t="shared" si="7"/>
        <v/>
      </c>
      <c r="U87" s="76">
        <f t="shared" si="8"/>
        <v>24864.75032</v>
      </c>
      <c r="V87" s="76">
        <f t="shared" si="9"/>
        <v>27049.7233</v>
      </c>
      <c r="W87" s="2"/>
      <c r="X87" s="2"/>
      <c r="Y87" s="2"/>
      <c r="Z87" s="2"/>
      <c r="AA87" s="2"/>
      <c r="AB87" s="2"/>
      <c r="AC87" s="2"/>
      <c r="AD87" s="2"/>
      <c r="AE87" s="2"/>
      <c r="AF87" s="2"/>
    </row>
    <row r="88" ht="12.0" customHeight="1">
      <c r="A88" s="2"/>
      <c r="B88" s="88" t="s">
        <v>74</v>
      </c>
      <c r="C88" s="2"/>
      <c r="D88" s="2"/>
      <c r="E88" s="2"/>
      <c r="F88" s="2"/>
      <c r="G88" s="74">
        <v>26017.9666549055</v>
      </c>
      <c r="H88" s="2"/>
      <c r="I88" s="36"/>
      <c r="J88" s="115">
        <v>2097.09003437456</v>
      </c>
      <c r="K88" s="36"/>
      <c r="L88" s="2"/>
      <c r="M88" s="2"/>
      <c r="N88" s="76" t="str">
        <f t="shared" si="3"/>
        <v/>
      </c>
      <c r="O88" s="76" t="str">
        <f t="shared" ref="O88:P88" si="170">I88</f>
        <v/>
      </c>
      <c r="P88" s="76">
        <f t="shared" si="170"/>
        <v>2097.090034</v>
      </c>
      <c r="Q88" s="76" t="str">
        <f t="shared" ref="Q88:R88" si="171">D88</f>
        <v/>
      </c>
      <c r="R88" s="76" t="str">
        <f t="shared" si="171"/>
        <v/>
      </c>
      <c r="S88" s="76">
        <f t="shared" si="6"/>
        <v>0</v>
      </c>
      <c r="T88" s="76" t="str">
        <f t="shared" si="7"/>
        <v/>
      </c>
      <c r="U88" s="76">
        <f t="shared" si="8"/>
        <v>26017.96665</v>
      </c>
      <c r="V88" s="76">
        <f t="shared" si="9"/>
        <v>28115.05669</v>
      </c>
      <c r="W88" s="2"/>
      <c r="X88" s="2"/>
      <c r="Y88" s="2"/>
      <c r="Z88" s="2"/>
      <c r="AA88" s="2"/>
      <c r="AB88" s="2"/>
      <c r="AC88" s="2"/>
      <c r="AD88" s="2"/>
      <c r="AE88" s="2"/>
      <c r="AF88" s="2"/>
    </row>
    <row r="89" ht="12.0" customHeight="1">
      <c r="A89" s="2"/>
      <c r="B89" s="88" t="s">
        <v>75</v>
      </c>
      <c r="C89" s="2"/>
      <c r="D89" s="2"/>
      <c r="E89" s="2"/>
      <c r="F89" s="2"/>
      <c r="G89" s="74">
        <v>26434.0697068472</v>
      </c>
      <c r="H89" s="2"/>
      <c r="I89" s="36"/>
      <c r="J89" s="115">
        <v>2035.88679875195</v>
      </c>
      <c r="K89" s="36"/>
      <c r="L89" s="2"/>
      <c r="M89" s="2"/>
      <c r="N89" s="76" t="str">
        <f t="shared" si="3"/>
        <v/>
      </c>
      <c r="O89" s="76" t="str">
        <f t="shared" ref="O89:P89" si="172">I89</f>
        <v/>
      </c>
      <c r="P89" s="76">
        <f t="shared" si="172"/>
        <v>2035.886799</v>
      </c>
      <c r="Q89" s="76" t="str">
        <f t="shared" ref="Q89:R89" si="173">D89</f>
        <v/>
      </c>
      <c r="R89" s="76" t="str">
        <f t="shared" si="173"/>
        <v/>
      </c>
      <c r="S89" s="76">
        <f t="shared" si="6"/>
        <v>0</v>
      </c>
      <c r="T89" s="76" t="str">
        <f t="shared" si="7"/>
        <v/>
      </c>
      <c r="U89" s="76">
        <f t="shared" si="8"/>
        <v>26434.06971</v>
      </c>
      <c r="V89" s="76">
        <f t="shared" si="9"/>
        <v>28469.95651</v>
      </c>
      <c r="W89" s="2"/>
      <c r="X89" s="2"/>
      <c r="Y89" s="2"/>
      <c r="Z89" s="2"/>
      <c r="AA89" s="2"/>
      <c r="AB89" s="2"/>
      <c r="AC89" s="2"/>
      <c r="AD89" s="2"/>
      <c r="AE89" s="2"/>
      <c r="AF89" s="2"/>
    </row>
    <row r="90" ht="12.0" customHeight="1">
      <c r="A90" s="4" t="s">
        <v>180</v>
      </c>
      <c r="B90" s="88" t="s">
        <v>58</v>
      </c>
      <c r="C90" s="2"/>
      <c r="D90" s="2"/>
      <c r="E90" s="2"/>
      <c r="F90" s="2"/>
      <c r="G90" s="74">
        <v>27282.9255009631</v>
      </c>
      <c r="H90" s="2"/>
      <c r="I90" s="36"/>
      <c r="J90" s="115">
        <v>1897.30074497447</v>
      </c>
      <c r="K90" s="36"/>
      <c r="L90" s="2"/>
      <c r="M90" s="2"/>
      <c r="N90" s="76" t="str">
        <f t="shared" si="3"/>
        <v/>
      </c>
      <c r="O90" s="76" t="str">
        <f t="shared" ref="O90:P90" si="174">I90</f>
        <v/>
      </c>
      <c r="P90" s="76">
        <f t="shared" si="174"/>
        <v>1897.300745</v>
      </c>
      <c r="Q90" s="76" t="str">
        <f t="shared" ref="Q90:R90" si="175">D90</f>
        <v/>
      </c>
      <c r="R90" s="76" t="str">
        <f t="shared" si="175"/>
        <v/>
      </c>
      <c r="S90" s="76">
        <f t="shared" si="6"/>
        <v>0</v>
      </c>
      <c r="T90" s="76" t="str">
        <f t="shared" si="7"/>
        <v/>
      </c>
      <c r="U90" s="76">
        <f t="shared" si="8"/>
        <v>27282.9255</v>
      </c>
      <c r="V90" s="76">
        <f t="shared" si="9"/>
        <v>29180.22625</v>
      </c>
      <c r="W90" s="2"/>
      <c r="X90" s="2"/>
      <c r="Y90" s="2"/>
      <c r="Z90" s="2"/>
      <c r="AA90" s="2"/>
      <c r="AB90" s="2"/>
      <c r="AC90" s="2"/>
      <c r="AD90" s="2"/>
      <c r="AE90" s="2"/>
      <c r="AF90" s="2"/>
    </row>
    <row r="91" ht="12.0" customHeight="1">
      <c r="A91" s="2"/>
      <c r="B91" s="88" t="s">
        <v>66</v>
      </c>
      <c r="C91" s="2"/>
      <c r="D91" s="2"/>
      <c r="E91" s="2"/>
      <c r="F91" s="2"/>
      <c r="G91" s="74">
        <v>27719.7451446171</v>
      </c>
      <c r="H91" s="2"/>
      <c r="I91" s="36"/>
      <c r="J91" s="115">
        <v>2022.49573570003</v>
      </c>
      <c r="K91" s="36"/>
      <c r="L91" s="2"/>
      <c r="M91" s="2"/>
      <c r="N91" s="76" t="str">
        <f t="shared" si="3"/>
        <v/>
      </c>
      <c r="O91" s="76" t="str">
        <f t="shared" ref="O91:P91" si="176">I91</f>
        <v/>
      </c>
      <c r="P91" s="76">
        <f t="shared" si="176"/>
        <v>2022.495736</v>
      </c>
      <c r="Q91" s="76" t="str">
        <f t="shared" ref="Q91:R91" si="177">D91</f>
        <v/>
      </c>
      <c r="R91" s="76" t="str">
        <f t="shared" si="177"/>
        <v/>
      </c>
      <c r="S91" s="76">
        <f t="shared" si="6"/>
        <v>0</v>
      </c>
      <c r="T91" s="76" t="str">
        <f t="shared" si="7"/>
        <v/>
      </c>
      <c r="U91" s="76">
        <f t="shared" si="8"/>
        <v>27719.74514</v>
      </c>
      <c r="V91" s="76">
        <f t="shared" si="9"/>
        <v>29742.24088</v>
      </c>
      <c r="W91" s="2"/>
      <c r="X91" s="2"/>
      <c r="Y91" s="2"/>
      <c r="Z91" s="2"/>
      <c r="AA91" s="2"/>
      <c r="AB91" s="2"/>
      <c r="AC91" s="2"/>
      <c r="AD91" s="2"/>
      <c r="AE91" s="2"/>
      <c r="AF91" s="2"/>
    </row>
    <row r="92" ht="12.0" customHeight="1">
      <c r="A92" s="2"/>
      <c r="B92" s="88" t="s">
        <v>74</v>
      </c>
      <c r="C92" s="2"/>
      <c r="D92" s="2"/>
      <c r="E92" s="2"/>
      <c r="F92" s="2"/>
      <c r="G92" s="74">
        <v>28703.4187480524</v>
      </c>
      <c r="H92" s="2"/>
      <c r="I92" s="36"/>
      <c r="J92" s="115">
        <v>1966.99267340975</v>
      </c>
      <c r="K92" s="36"/>
      <c r="L92" s="2"/>
      <c r="M92" s="2"/>
      <c r="N92" s="76" t="str">
        <f t="shared" si="3"/>
        <v/>
      </c>
      <c r="O92" s="76" t="str">
        <f t="shared" ref="O92:P92" si="178">I92</f>
        <v/>
      </c>
      <c r="P92" s="76">
        <f t="shared" si="178"/>
        <v>1966.992673</v>
      </c>
      <c r="Q92" s="76" t="str">
        <f t="shared" ref="Q92:R92" si="179">D92</f>
        <v/>
      </c>
      <c r="R92" s="76" t="str">
        <f t="shared" si="179"/>
        <v/>
      </c>
      <c r="S92" s="76">
        <f t="shared" si="6"/>
        <v>0</v>
      </c>
      <c r="T92" s="76" t="str">
        <f t="shared" si="7"/>
        <v/>
      </c>
      <c r="U92" s="76">
        <f t="shared" si="8"/>
        <v>28703.41875</v>
      </c>
      <c r="V92" s="76">
        <f t="shared" si="9"/>
        <v>30670.41142</v>
      </c>
      <c r="W92" s="2"/>
      <c r="X92" s="2"/>
      <c r="Y92" s="2"/>
      <c r="Z92" s="2"/>
      <c r="AA92" s="2"/>
      <c r="AB92" s="2"/>
      <c r="AC92" s="2"/>
      <c r="AD92" s="2"/>
      <c r="AE92" s="2"/>
      <c r="AF92" s="2"/>
    </row>
    <row r="93" ht="12.0" customHeight="1">
      <c r="A93" s="2"/>
      <c r="B93" s="88" t="s">
        <v>75</v>
      </c>
      <c r="C93" s="2"/>
      <c r="D93" s="2"/>
      <c r="E93" s="2"/>
      <c r="F93" s="2"/>
      <c r="G93" s="74">
        <v>29027.9308525423</v>
      </c>
      <c r="H93" s="2"/>
      <c r="I93" s="36"/>
      <c r="J93" s="115">
        <v>1917.67664354743</v>
      </c>
      <c r="K93" s="36"/>
      <c r="L93" s="2"/>
      <c r="M93" s="2"/>
      <c r="N93" s="76" t="str">
        <f t="shared" si="3"/>
        <v/>
      </c>
      <c r="O93" s="76" t="str">
        <f t="shared" ref="O93:P93" si="180">I93</f>
        <v/>
      </c>
      <c r="P93" s="76">
        <f t="shared" si="180"/>
        <v>1917.676644</v>
      </c>
      <c r="Q93" s="76" t="str">
        <f t="shared" ref="Q93:R93" si="181">D93</f>
        <v/>
      </c>
      <c r="R93" s="76" t="str">
        <f t="shared" si="181"/>
        <v/>
      </c>
      <c r="S93" s="76">
        <f t="shared" si="6"/>
        <v>0</v>
      </c>
      <c r="T93" s="76" t="str">
        <f t="shared" si="7"/>
        <v/>
      </c>
      <c r="U93" s="76">
        <f t="shared" si="8"/>
        <v>29027.93085</v>
      </c>
      <c r="V93" s="76">
        <f t="shared" si="9"/>
        <v>30945.6075</v>
      </c>
      <c r="W93" s="2"/>
      <c r="X93" s="2"/>
      <c r="Y93" s="2"/>
      <c r="Z93" s="2"/>
      <c r="AA93" s="2"/>
      <c r="AB93" s="2"/>
      <c r="AC93" s="2"/>
      <c r="AD93" s="2"/>
      <c r="AE93" s="2"/>
      <c r="AF93" s="2"/>
    </row>
    <row r="94" ht="12.0" customHeight="1">
      <c r="A94" s="4" t="s">
        <v>181</v>
      </c>
      <c r="B94" s="88" t="s">
        <v>58</v>
      </c>
      <c r="C94" s="2"/>
      <c r="D94" s="2"/>
      <c r="E94" s="2"/>
      <c r="F94" s="2"/>
      <c r="G94" s="74">
        <v>29574.011846138</v>
      </c>
      <c r="H94" s="2"/>
      <c r="I94" s="36"/>
      <c r="J94" s="115">
        <v>1874.40684135124</v>
      </c>
      <c r="K94" s="36"/>
      <c r="L94" s="2"/>
      <c r="M94" s="2"/>
      <c r="N94" s="76" t="str">
        <f t="shared" si="3"/>
        <v/>
      </c>
      <c r="O94" s="76" t="str">
        <f t="shared" ref="O94:P94" si="182">I94</f>
        <v/>
      </c>
      <c r="P94" s="76">
        <f t="shared" si="182"/>
        <v>1874.406841</v>
      </c>
      <c r="Q94" s="76" t="str">
        <f t="shared" ref="Q94:R94" si="183">D94</f>
        <v/>
      </c>
      <c r="R94" s="76" t="str">
        <f t="shared" si="183"/>
        <v/>
      </c>
      <c r="S94" s="76">
        <f t="shared" si="6"/>
        <v>0</v>
      </c>
      <c r="T94" s="76" t="str">
        <f t="shared" si="7"/>
        <v/>
      </c>
      <c r="U94" s="76">
        <f t="shared" si="8"/>
        <v>29574.01185</v>
      </c>
      <c r="V94" s="76">
        <f t="shared" si="9"/>
        <v>31448.41869</v>
      </c>
      <c r="W94" s="2"/>
      <c r="X94" s="2"/>
      <c r="Y94" s="2"/>
      <c r="Z94" s="2"/>
      <c r="AA94" s="2"/>
      <c r="AB94" s="2"/>
      <c r="AC94" s="2"/>
      <c r="AD94" s="2"/>
      <c r="AE94" s="2"/>
      <c r="AF94" s="2"/>
    </row>
    <row r="95" ht="12.0" customHeight="1">
      <c r="A95" s="2"/>
      <c r="B95" s="88" t="s">
        <v>66</v>
      </c>
      <c r="C95" s="2"/>
      <c r="D95" s="2"/>
      <c r="E95" s="2"/>
      <c r="F95" s="2"/>
      <c r="G95" s="74">
        <v>29577.7846474591</v>
      </c>
      <c r="H95" s="2"/>
      <c r="I95" s="36"/>
      <c r="J95" s="115">
        <v>1827.27180344016</v>
      </c>
      <c r="K95" s="36"/>
      <c r="L95" s="2"/>
      <c r="M95" s="2"/>
      <c r="N95" s="76" t="str">
        <f t="shared" si="3"/>
        <v/>
      </c>
      <c r="O95" s="76" t="str">
        <f t="shared" ref="O95:P95" si="184">I95</f>
        <v/>
      </c>
      <c r="P95" s="76">
        <f t="shared" si="184"/>
        <v>1827.271803</v>
      </c>
      <c r="Q95" s="76" t="str">
        <f t="shared" ref="Q95:R95" si="185">D95</f>
        <v/>
      </c>
      <c r="R95" s="76" t="str">
        <f t="shared" si="185"/>
        <v/>
      </c>
      <c r="S95" s="76">
        <f t="shared" si="6"/>
        <v>0</v>
      </c>
      <c r="T95" s="76" t="str">
        <f t="shared" si="7"/>
        <v/>
      </c>
      <c r="U95" s="76">
        <f t="shared" si="8"/>
        <v>29577.78465</v>
      </c>
      <c r="V95" s="76">
        <f t="shared" si="9"/>
        <v>31405.05645</v>
      </c>
      <c r="W95" s="2"/>
      <c r="X95" s="2"/>
      <c r="Y95" s="2"/>
      <c r="Z95" s="2"/>
      <c r="AA95" s="2"/>
      <c r="AB95" s="2"/>
      <c r="AC95" s="2"/>
      <c r="AD95" s="2"/>
      <c r="AE95" s="2"/>
      <c r="AF95" s="2"/>
    </row>
    <row r="96" ht="12.0" customHeight="1">
      <c r="A96" s="2"/>
      <c r="B96" s="88" t="s">
        <v>74</v>
      </c>
      <c r="C96" s="2"/>
      <c r="D96" s="2"/>
      <c r="E96" s="2"/>
      <c r="F96" s="2"/>
      <c r="G96" s="74">
        <v>29880.0871377621</v>
      </c>
      <c r="H96" s="2"/>
      <c r="I96" s="36"/>
      <c r="J96" s="115">
        <v>1777.39575084835</v>
      </c>
      <c r="K96" s="36"/>
      <c r="L96" s="2"/>
      <c r="M96" s="2"/>
      <c r="N96" s="76" t="str">
        <f t="shared" si="3"/>
        <v/>
      </c>
      <c r="O96" s="76" t="str">
        <f t="shared" ref="O96:P96" si="186">I96</f>
        <v/>
      </c>
      <c r="P96" s="76">
        <f t="shared" si="186"/>
        <v>1777.395751</v>
      </c>
      <c r="Q96" s="76" t="str">
        <f t="shared" ref="Q96:R96" si="187">D96</f>
        <v/>
      </c>
      <c r="R96" s="76" t="str">
        <f t="shared" si="187"/>
        <v/>
      </c>
      <c r="S96" s="76">
        <f t="shared" si="6"/>
        <v>0</v>
      </c>
      <c r="T96" s="76" t="str">
        <f t="shared" si="7"/>
        <v/>
      </c>
      <c r="U96" s="76">
        <f t="shared" si="8"/>
        <v>29880.08714</v>
      </c>
      <c r="V96" s="76">
        <f t="shared" si="9"/>
        <v>31657.48289</v>
      </c>
      <c r="W96" s="2"/>
      <c r="X96" s="2"/>
      <c r="Y96" s="2"/>
      <c r="Z96" s="2"/>
      <c r="AA96" s="2"/>
      <c r="AB96" s="2"/>
      <c r="AC96" s="2"/>
      <c r="AD96" s="2"/>
      <c r="AE96" s="2"/>
      <c r="AF96" s="2"/>
    </row>
    <row r="97" ht="12.0" customHeight="1">
      <c r="A97" s="2"/>
      <c r="B97" s="88" t="s">
        <v>75</v>
      </c>
      <c r="C97" s="2"/>
      <c r="D97" s="2"/>
      <c r="E97" s="2"/>
      <c r="F97" s="2"/>
      <c r="G97" s="74">
        <v>29947.8524261482</v>
      </c>
      <c r="H97" s="2"/>
      <c r="I97" s="36"/>
      <c r="J97" s="115">
        <v>1730.36588392377</v>
      </c>
      <c r="K97" s="36"/>
      <c r="L97" s="2"/>
      <c r="M97" s="2"/>
      <c r="N97" s="76" t="str">
        <f t="shared" si="3"/>
        <v/>
      </c>
      <c r="O97" s="76" t="str">
        <f t="shared" ref="O97:P97" si="188">I97</f>
        <v/>
      </c>
      <c r="P97" s="76">
        <f t="shared" si="188"/>
        <v>1730.365884</v>
      </c>
      <c r="Q97" s="76" t="str">
        <f t="shared" ref="Q97:R97" si="189">D97</f>
        <v/>
      </c>
      <c r="R97" s="76" t="str">
        <f t="shared" si="189"/>
        <v/>
      </c>
      <c r="S97" s="76">
        <f t="shared" si="6"/>
        <v>0</v>
      </c>
      <c r="T97" s="76" t="str">
        <f t="shared" si="7"/>
        <v/>
      </c>
      <c r="U97" s="76">
        <f t="shared" si="8"/>
        <v>29947.85243</v>
      </c>
      <c r="V97" s="76">
        <f t="shared" si="9"/>
        <v>31678.21831</v>
      </c>
      <c r="W97" s="2"/>
      <c r="X97" s="2"/>
      <c r="Y97" s="2"/>
      <c r="Z97" s="2"/>
      <c r="AA97" s="2"/>
      <c r="AB97" s="2"/>
      <c r="AC97" s="2"/>
      <c r="AD97" s="2"/>
      <c r="AE97" s="2"/>
      <c r="AF97" s="2"/>
    </row>
    <row r="98" ht="12.0" customHeight="1">
      <c r="A98" s="4" t="s">
        <v>182</v>
      </c>
      <c r="B98" s="88" t="s">
        <v>58</v>
      </c>
      <c r="C98" s="2"/>
      <c r="D98" s="2"/>
      <c r="E98" s="2"/>
      <c r="F98" s="2"/>
      <c r="G98" s="74">
        <v>29816.2946385223</v>
      </c>
      <c r="H98" s="2"/>
      <c r="I98" s="36"/>
      <c r="J98" s="115">
        <v>1692.62863188623</v>
      </c>
      <c r="K98" s="36"/>
      <c r="L98" s="2"/>
      <c r="M98" s="2"/>
      <c r="N98" s="76" t="str">
        <f t="shared" si="3"/>
        <v/>
      </c>
      <c r="O98" s="76" t="str">
        <f t="shared" ref="O98:P98" si="190">I98</f>
        <v/>
      </c>
      <c r="P98" s="76">
        <f t="shared" si="190"/>
        <v>1692.628632</v>
      </c>
      <c r="Q98" s="76" t="str">
        <f t="shared" ref="Q98:R98" si="191">D98</f>
        <v/>
      </c>
      <c r="R98" s="76" t="str">
        <f t="shared" si="191"/>
        <v/>
      </c>
      <c r="S98" s="76">
        <f t="shared" si="6"/>
        <v>0</v>
      </c>
      <c r="T98" s="76" t="str">
        <f t="shared" si="7"/>
        <v/>
      </c>
      <c r="U98" s="76">
        <f t="shared" si="8"/>
        <v>29816.29464</v>
      </c>
      <c r="V98" s="76">
        <f t="shared" si="9"/>
        <v>31508.92327</v>
      </c>
      <c r="W98" s="2"/>
      <c r="X98" s="2"/>
      <c r="Y98" s="2"/>
      <c r="Z98" s="2"/>
      <c r="AA98" s="2"/>
      <c r="AB98" s="2"/>
      <c r="AC98" s="2"/>
      <c r="AD98" s="2"/>
      <c r="AE98" s="2"/>
      <c r="AF98" s="2"/>
    </row>
    <row r="99" ht="12.0" customHeight="1">
      <c r="A99" s="2"/>
      <c r="B99" s="88" t="s">
        <v>66</v>
      </c>
      <c r="C99" s="2"/>
      <c r="D99" s="2"/>
      <c r="E99" s="2"/>
      <c r="F99" s="2"/>
      <c r="G99" s="74">
        <v>29648.7126058005</v>
      </c>
      <c r="H99" s="2"/>
      <c r="I99" s="36"/>
      <c r="J99" s="115">
        <v>1647.30206255094</v>
      </c>
      <c r="K99" s="36"/>
      <c r="L99" s="2"/>
      <c r="M99" s="2"/>
      <c r="N99" s="76" t="str">
        <f t="shared" si="3"/>
        <v/>
      </c>
      <c r="O99" s="76" t="str">
        <f t="shared" ref="O99:P99" si="192">I99</f>
        <v/>
      </c>
      <c r="P99" s="76">
        <f t="shared" si="192"/>
        <v>1647.302063</v>
      </c>
      <c r="Q99" s="76" t="str">
        <f t="shared" ref="Q99:R99" si="193">D99</f>
        <v/>
      </c>
      <c r="R99" s="76" t="str">
        <f t="shared" si="193"/>
        <v/>
      </c>
      <c r="S99" s="76">
        <f t="shared" si="6"/>
        <v>0</v>
      </c>
      <c r="T99" s="76" t="str">
        <f t="shared" si="7"/>
        <v/>
      </c>
      <c r="U99" s="76">
        <f t="shared" si="8"/>
        <v>29648.71261</v>
      </c>
      <c r="V99" s="76">
        <f t="shared" si="9"/>
        <v>31296.01467</v>
      </c>
      <c r="W99" s="2"/>
      <c r="X99" s="2"/>
      <c r="Y99" s="2"/>
      <c r="Z99" s="2"/>
      <c r="AA99" s="2"/>
      <c r="AB99" s="2"/>
      <c r="AC99" s="2"/>
      <c r="AD99" s="2"/>
      <c r="AE99" s="2"/>
      <c r="AF99" s="2"/>
    </row>
    <row r="100" ht="12.0" customHeight="1">
      <c r="A100" s="2"/>
      <c r="B100" s="88" t="s">
        <v>74</v>
      </c>
      <c r="C100" s="2"/>
      <c r="D100" s="2"/>
      <c r="E100" s="2"/>
      <c r="F100" s="2"/>
      <c r="G100" s="74">
        <v>29987.7933874707</v>
      </c>
      <c r="H100" s="2"/>
      <c r="I100" s="115">
        <v>462.180866702223</v>
      </c>
      <c r="J100" s="115">
        <v>1604.90881904309</v>
      </c>
      <c r="K100" s="36"/>
      <c r="L100" s="2"/>
      <c r="M100" s="2"/>
      <c r="N100" s="76" t="str">
        <f t="shared" si="3"/>
        <v/>
      </c>
      <c r="O100" s="76">
        <f t="shared" ref="O100:P100" si="194">I100</f>
        <v>462.1808667</v>
      </c>
      <c r="P100" s="76">
        <f t="shared" si="194"/>
        <v>1604.908819</v>
      </c>
      <c r="Q100" s="76" t="str">
        <f t="shared" ref="Q100:R100" si="195">D100</f>
        <v/>
      </c>
      <c r="R100" s="76" t="str">
        <f t="shared" si="195"/>
        <v/>
      </c>
      <c r="S100" s="76">
        <f t="shared" si="6"/>
        <v>0</v>
      </c>
      <c r="T100" s="76" t="str">
        <f t="shared" si="7"/>
        <v/>
      </c>
      <c r="U100" s="76">
        <f t="shared" si="8"/>
        <v>29987.79339</v>
      </c>
      <c r="V100" s="76">
        <f t="shared" si="9"/>
        <v>32054.88307</v>
      </c>
      <c r="W100" s="2"/>
      <c r="X100" s="2"/>
      <c r="Y100" s="2"/>
      <c r="Z100" s="2"/>
      <c r="AA100" s="2"/>
      <c r="AB100" s="2"/>
      <c r="AC100" s="2"/>
      <c r="AD100" s="2"/>
      <c r="AE100" s="2"/>
      <c r="AF100" s="2"/>
    </row>
    <row r="101" ht="12.0" customHeight="1">
      <c r="A101" s="2"/>
      <c r="B101" s="88" t="s">
        <v>75</v>
      </c>
      <c r="C101" s="2"/>
      <c r="D101" s="2"/>
      <c r="E101" s="2"/>
      <c r="F101" s="2"/>
      <c r="G101" s="74">
        <v>30048.3787348238</v>
      </c>
      <c r="H101" s="2"/>
      <c r="I101" s="115">
        <v>427.76405393301</v>
      </c>
      <c r="J101" s="115">
        <v>1563.41869429704</v>
      </c>
      <c r="K101" s="115">
        <v>13141.5216335931</v>
      </c>
      <c r="L101" s="2"/>
      <c r="M101" s="2"/>
      <c r="N101" s="76" t="str">
        <f t="shared" si="3"/>
        <v/>
      </c>
      <c r="O101" s="76">
        <f t="shared" ref="O101:P101" si="196">I101</f>
        <v>427.7640539</v>
      </c>
      <c r="P101" s="76">
        <f t="shared" si="196"/>
        <v>1563.418694</v>
      </c>
      <c r="Q101" s="76" t="str">
        <f t="shared" ref="Q101:R101" si="197">D101</f>
        <v/>
      </c>
      <c r="R101" s="76" t="str">
        <f t="shared" si="197"/>
        <v/>
      </c>
      <c r="S101" s="76">
        <f t="shared" si="6"/>
        <v>13141.52163</v>
      </c>
      <c r="T101" s="76" t="str">
        <f t="shared" si="7"/>
        <v/>
      </c>
      <c r="U101" s="76">
        <f t="shared" si="8"/>
        <v>30048.37873</v>
      </c>
      <c r="V101" s="76">
        <f t="shared" si="9"/>
        <v>45181.08312</v>
      </c>
      <c r="W101" s="2"/>
      <c r="X101" s="2"/>
      <c r="Y101" s="2"/>
      <c r="Z101" s="2"/>
      <c r="AA101" s="2"/>
      <c r="AB101" s="2"/>
      <c r="AC101" s="2"/>
      <c r="AD101" s="2"/>
      <c r="AE101" s="2"/>
      <c r="AF101" s="2"/>
    </row>
    <row r="102" ht="12.0" customHeight="1">
      <c r="A102" s="4" t="s">
        <v>183</v>
      </c>
      <c r="B102" s="88" t="s">
        <v>58</v>
      </c>
      <c r="C102" s="2"/>
      <c r="D102" s="2"/>
      <c r="E102" s="2"/>
      <c r="F102" s="2"/>
      <c r="G102" s="74">
        <v>30361.9901744145</v>
      </c>
      <c r="H102" s="2"/>
      <c r="I102" s="115">
        <v>412.57004584347</v>
      </c>
      <c r="J102" s="115">
        <v>1523.0809640913</v>
      </c>
      <c r="K102" s="115">
        <v>18156.0198355471</v>
      </c>
      <c r="L102" s="2"/>
      <c r="M102" s="2"/>
      <c r="N102" s="76" t="str">
        <f t="shared" si="3"/>
        <v/>
      </c>
      <c r="O102" s="76">
        <f t="shared" ref="O102:P102" si="198">I102</f>
        <v>412.5700458</v>
      </c>
      <c r="P102" s="76">
        <f t="shared" si="198"/>
        <v>1523.080964</v>
      </c>
      <c r="Q102" s="76" t="str">
        <f t="shared" ref="Q102:R102" si="199">D102</f>
        <v/>
      </c>
      <c r="R102" s="76" t="str">
        <f t="shared" si="199"/>
        <v/>
      </c>
      <c r="S102" s="76">
        <f t="shared" si="6"/>
        <v>18156.01984</v>
      </c>
      <c r="T102" s="76" t="str">
        <f t="shared" si="7"/>
        <v/>
      </c>
      <c r="U102" s="76">
        <f t="shared" si="8"/>
        <v>30361.99017</v>
      </c>
      <c r="V102" s="76">
        <f t="shared" si="9"/>
        <v>50453.66102</v>
      </c>
      <c r="W102" s="2"/>
      <c r="X102" s="2"/>
      <c r="Y102" s="2"/>
      <c r="Z102" s="2"/>
      <c r="AA102" s="2"/>
      <c r="AB102" s="2"/>
      <c r="AC102" s="2"/>
      <c r="AD102" s="2"/>
      <c r="AE102" s="2"/>
      <c r="AF102" s="2"/>
    </row>
    <row r="103" ht="12.0" customHeight="1">
      <c r="A103" s="2"/>
      <c r="B103" s="88" t="s">
        <v>66</v>
      </c>
      <c r="C103" s="2"/>
      <c r="D103" s="2"/>
      <c r="E103" s="2"/>
      <c r="F103" s="74">
        <v>2023.27891082</v>
      </c>
      <c r="G103" s="74">
        <v>30242.9640323028</v>
      </c>
      <c r="H103" s="2"/>
      <c r="I103" s="115">
        <v>693.218105920223</v>
      </c>
      <c r="J103" s="115">
        <v>1671.81855152003</v>
      </c>
      <c r="K103" s="115">
        <v>17477.9241333392</v>
      </c>
      <c r="L103" s="2"/>
      <c r="M103" s="2"/>
      <c r="N103" s="76" t="str">
        <f t="shared" si="3"/>
        <v/>
      </c>
      <c r="O103" s="76">
        <f t="shared" ref="O103:P103" si="200">I103</f>
        <v>693.2181059</v>
      </c>
      <c r="P103" s="76">
        <f t="shared" si="200"/>
        <v>1671.818552</v>
      </c>
      <c r="Q103" s="76" t="str">
        <f t="shared" ref="Q103:R103" si="201">D103</f>
        <v/>
      </c>
      <c r="R103" s="76" t="str">
        <f t="shared" si="201"/>
        <v/>
      </c>
      <c r="S103" s="76">
        <f t="shared" si="6"/>
        <v>19501.20304</v>
      </c>
      <c r="T103" s="76" t="str">
        <f t="shared" si="7"/>
        <v/>
      </c>
      <c r="U103" s="76">
        <f t="shared" si="8"/>
        <v>30242.96403</v>
      </c>
      <c r="V103" s="76">
        <f t="shared" si="9"/>
        <v>52109.20373</v>
      </c>
      <c r="W103" s="2"/>
      <c r="X103" s="2"/>
      <c r="Y103" s="2"/>
      <c r="Z103" s="2"/>
      <c r="AA103" s="2"/>
      <c r="AB103" s="2"/>
      <c r="AC103" s="2"/>
      <c r="AD103" s="2"/>
      <c r="AE103" s="2"/>
      <c r="AF103" s="2"/>
    </row>
    <row r="104" ht="12.0" customHeight="1">
      <c r="A104" s="2"/>
      <c r="B104" s="88" t="s">
        <v>74</v>
      </c>
      <c r="C104" s="2"/>
      <c r="D104" s="2"/>
      <c r="E104" s="2"/>
      <c r="F104" s="74">
        <v>1857.13979171922</v>
      </c>
      <c r="G104" s="74">
        <v>30594.3590374773</v>
      </c>
      <c r="H104" s="2"/>
      <c r="I104" s="115">
        <v>1091.78371479639</v>
      </c>
      <c r="J104" s="115">
        <v>1633.5345971916</v>
      </c>
      <c r="K104" s="115">
        <v>16674.2575065264</v>
      </c>
      <c r="L104" s="2"/>
      <c r="M104" s="2"/>
      <c r="N104" s="76" t="str">
        <f t="shared" si="3"/>
        <v/>
      </c>
      <c r="O104" s="76">
        <f t="shared" ref="O104:P104" si="202">I104</f>
        <v>1091.783715</v>
      </c>
      <c r="P104" s="76">
        <f t="shared" si="202"/>
        <v>1633.534597</v>
      </c>
      <c r="Q104" s="76" t="str">
        <f t="shared" ref="Q104:R104" si="203">D104</f>
        <v/>
      </c>
      <c r="R104" s="76" t="str">
        <f t="shared" si="203"/>
        <v/>
      </c>
      <c r="S104" s="76">
        <f t="shared" si="6"/>
        <v>18531.3973</v>
      </c>
      <c r="T104" s="76" t="str">
        <f t="shared" si="7"/>
        <v/>
      </c>
      <c r="U104" s="76">
        <f t="shared" si="8"/>
        <v>30594.35904</v>
      </c>
      <c r="V104" s="76">
        <f t="shared" si="9"/>
        <v>51851.07465</v>
      </c>
      <c r="W104" s="2"/>
      <c r="X104" s="2"/>
      <c r="Y104" s="2"/>
      <c r="Z104" s="2"/>
      <c r="AA104" s="2"/>
      <c r="AB104" s="2"/>
      <c r="AC104" s="2"/>
      <c r="AD104" s="2"/>
      <c r="AE104" s="2"/>
      <c r="AF104" s="2"/>
    </row>
    <row r="105" ht="12.0" customHeight="1">
      <c r="A105" s="2"/>
      <c r="B105" s="88" t="s">
        <v>75</v>
      </c>
      <c r="C105" s="2"/>
      <c r="D105" s="2"/>
      <c r="E105" s="2"/>
      <c r="F105" s="74">
        <v>1711.44197986022</v>
      </c>
      <c r="G105" s="74">
        <v>30742.1778190216</v>
      </c>
      <c r="H105" s="2"/>
      <c r="I105" s="115">
        <v>1345.16063650885</v>
      </c>
      <c r="J105" s="115">
        <v>1786.65416917595</v>
      </c>
      <c r="K105" s="115">
        <v>16076.7645541742</v>
      </c>
      <c r="L105" s="2"/>
      <c r="M105" s="2"/>
      <c r="N105" s="76" t="str">
        <f t="shared" si="3"/>
        <v/>
      </c>
      <c r="O105" s="76">
        <f t="shared" ref="O105:P105" si="204">I105</f>
        <v>1345.160637</v>
      </c>
      <c r="P105" s="76">
        <f t="shared" si="204"/>
        <v>1786.654169</v>
      </c>
      <c r="Q105" s="76" t="str">
        <f t="shared" ref="Q105:R105" si="205">D105</f>
        <v/>
      </c>
      <c r="R105" s="76" t="str">
        <f t="shared" si="205"/>
        <v/>
      </c>
      <c r="S105" s="76">
        <f t="shared" si="6"/>
        <v>17788.20653</v>
      </c>
      <c r="T105" s="76" t="str">
        <f t="shared" si="7"/>
        <v/>
      </c>
      <c r="U105" s="76">
        <f t="shared" si="8"/>
        <v>30742.17782</v>
      </c>
      <c r="V105" s="76">
        <f t="shared" si="9"/>
        <v>51662.19916</v>
      </c>
      <c r="W105" s="2"/>
      <c r="X105" s="2"/>
      <c r="Y105" s="2"/>
      <c r="Z105" s="2"/>
      <c r="AA105" s="2"/>
      <c r="AB105" s="2"/>
      <c r="AC105" s="2"/>
      <c r="AD105" s="2"/>
      <c r="AE105" s="2"/>
      <c r="AF105" s="2"/>
    </row>
    <row r="106" ht="12.0" customHeight="1">
      <c r="A106" s="4" t="s">
        <v>184</v>
      </c>
      <c r="B106" s="88" t="s">
        <v>58</v>
      </c>
      <c r="C106" s="2"/>
      <c r="D106" s="2"/>
      <c r="E106" s="2"/>
      <c r="F106" s="74">
        <v>1542.85863018964</v>
      </c>
      <c r="G106" s="74">
        <v>31208.1279551017</v>
      </c>
      <c r="H106" s="2"/>
      <c r="I106" s="115">
        <v>1266.02307917403</v>
      </c>
      <c r="J106" s="115">
        <v>1744.88072919445</v>
      </c>
      <c r="K106" s="115">
        <v>15332.5919875979</v>
      </c>
      <c r="L106" s="2"/>
      <c r="M106" s="2"/>
      <c r="N106" s="76" t="str">
        <f t="shared" si="3"/>
        <v/>
      </c>
      <c r="O106" s="76">
        <f t="shared" ref="O106:P106" si="206">I106</f>
        <v>1266.023079</v>
      </c>
      <c r="P106" s="76">
        <f t="shared" si="206"/>
        <v>1744.880729</v>
      </c>
      <c r="Q106" s="76" t="str">
        <f t="shared" ref="Q106:R106" si="207">D106</f>
        <v/>
      </c>
      <c r="R106" s="76" t="str">
        <f t="shared" si="207"/>
        <v/>
      </c>
      <c r="S106" s="76">
        <f t="shared" si="6"/>
        <v>16875.45062</v>
      </c>
      <c r="T106" s="76" t="str">
        <f t="shared" si="7"/>
        <v/>
      </c>
      <c r="U106" s="76">
        <f t="shared" si="8"/>
        <v>31208.12796</v>
      </c>
      <c r="V106" s="76">
        <f t="shared" si="9"/>
        <v>51094.48238</v>
      </c>
      <c r="W106" s="2"/>
      <c r="X106" s="2"/>
      <c r="Y106" s="2"/>
      <c r="Z106" s="2"/>
      <c r="AA106" s="2"/>
      <c r="AB106" s="2"/>
      <c r="AC106" s="2"/>
      <c r="AD106" s="2"/>
      <c r="AE106" s="2"/>
      <c r="AF106" s="2"/>
    </row>
    <row r="107" ht="12.0" customHeight="1">
      <c r="A107" s="2"/>
      <c r="B107" s="88" t="s">
        <v>66</v>
      </c>
      <c r="C107" s="2"/>
      <c r="D107" s="2"/>
      <c r="E107" s="2"/>
      <c r="F107" s="74">
        <v>1371.38682924942</v>
      </c>
      <c r="G107" s="74">
        <v>31272.6422462158</v>
      </c>
      <c r="H107" s="2"/>
      <c r="I107" s="115">
        <v>1527.65157761798</v>
      </c>
      <c r="J107" s="115">
        <v>1703.45222899984</v>
      </c>
      <c r="K107" s="115">
        <v>14676.2968086819</v>
      </c>
      <c r="L107" s="2"/>
      <c r="M107" s="2"/>
      <c r="N107" s="76" t="str">
        <f t="shared" si="3"/>
        <v/>
      </c>
      <c r="O107" s="76">
        <f t="shared" ref="O107:P107" si="208">I107</f>
        <v>1527.651578</v>
      </c>
      <c r="P107" s="76">
        <f t="shared" si="208"/>
        <v>1703.452229</v>
      </c>
      <c r="Q107" s="76" t="str">
        <f t="shared" ref="Q107:R107" si="209">D107</f>
        <v/>
      </c>
      <c r="R107" s="76" t="str">
        <f t="shared" si="209"/>
        <v/>
      </c>
      <c r="S107" s="76">
        <f t="shared" si="6"/>
        <v>16047.68364</v>
      </c>
      <c r="T107" s="76" t="str">
        <f t="shared" si="7"/>
        <v/>
      </c>
      <c r="U107" s="76">
        <f t="shared" si="8"/>
        <v>31272.64225</v>
      </c>
      <c r="V107" s="76">
        <f t="shared" si="9"/>
        <v>50551.42969</v>
      </c>
      <c r="W107" s="2"/>
      <c r="X107" s="2"/>
      <c r="Y107" s="2"/>
      <c r="Z107" s="2"/>
      <c r="AA107" s="2"/>
      <c r="AB107" s="2"/>
      <c r="AC107" s="2"/>
      <c r="AD107" s="2"/>
      <c r="AE107" s="2"/>
      <c r="AF107" s="2"/>
    </row>
    <row r="108" ht="12.0" customHeight="1">
      <c r="A108" s="2"/>
      <c r="B108" s="88" t="s">
        <v>74</v>
      </c>
      <c r="C108" s="2"/>
      <c r="D108" s="2"/>
      <c r="E108" s="2"/>
      <c r="F108" s="74">
        <v>1236.58629052938</v>
      </c>
      <c r="G108" s="74">
        <v>32208.4380929633</v>
      </c>
      <c r="H108" s="2"/>
      <c r="I108" s="115">
        <v>1432.55722101847</v>
      </c>
      <c r="J108" s="115">
        <v>1660.08580047602</v>
      </c>
      <c r="K108" s="115">
        <v>14318.400547396</v>
      </c>
      <c r="L108" s="2"/>
      <c r="M108" s="2"/>
      <c r="N108" s="76" t="str">
        <f t="shared" si="3"/>
        <v/>
      </c>
      <c r="O108" s="76">
        <f t="shared" ref="O108:P108" si="210">I108</f>
        <v>1432.557221</v>
      </c>
      <c r="P108" s="76">
        <f t="shared" si="210"/>
        <v>1660.0858</v>
      </c>
      <c r="Q108" s="76" t="str">
        <f t="shared" ref="Q108:R108" si="211">D108</f>
        <v/>
      </c>
      <c r="R108" s="76" t="str">
        <f t="shared" si="211"/>
        <v/>
      </c>
      <c r="S108" s="76">
        <f t="shared" si="6"/>
        <v>15554.98684</v>
      </c>
      <c r="T108" s="76" t="str">
        <f t="shared" si="7"/>
        <v/>
      </c>
      <c r="U108" s="76">
        <f t="shared" si="8"/>
        <v>32208.43809</v>
      </c>
      <c r="V108" s="76">
        <f t="shared" si="9"/>
        <v>50856.06795</v>
      </c>
      <c r="W108" s="2"/>
      <c r="X108" s="2"/>
      <c r="Y108" s="2"/>
      <c r="Z108" s="2"/>
      <c r="AA108" s="2"/>
      <c r="AB108" s="2"/>
      <c r="AC108" s="2"/>
      <c r="AD108" s="2"/>
      <c r="AE108" s="2"/>
      <c r="AF108" s="2"/>
    </row>
    <row r="109" ht="12.0" customHeight="1">
      <c r="A109" s="2"/>
      <c r="B109" s="88" t="s">
        <v>75</v>
      </c>
      <c r="C109" s="2"/>
      <c r="D109" s="2"/>
      <c r="E109" s="2"/>
      <c r="F109" s="74">
        <v>1058.62634366975</v>
      </c>
      <c r="G109" s="74">
        <v>32604.1068503226</v>
      </c>
      <c r="H109" s="2"/>
      <c r="I109" s="115">
        <v>1332.48835208462</v>
      </c>
      <c r="J109" s="115">
        <v>1615.84030633176</v>
      </c>
      <c r="K109" s="115">
        <v>13509.8081380415</v>
      </c>
      <c r="L109" s="2"/>
      <c r="M109" s="2"/>
      <c r="N109" s="76" t="str">
        <f t="shared" si="3"/>
        <v/>
      </c>
      <c r="O109" s="76">
        <f t="shared" ref="O109:P109" si="212">I109</f>
        <v>1332.488352</v>
      </c>
      <c r="P109" s="76">
        <f t="shared" si="212"/>
        <v>1615.840306</v>
      </c>
      <c r="Q109" s="76" t="str">
        <f t="shared" ref="Q109:R109" si="213">D109</f>
        <v/>
      </c>
      <c r="R109" s="76" t="str">
        <f t="shared" si="213"/>
        <v/>
      </c>
      <c r="S109" s="76">
        <f t="shared" si="6"/>
        <v>14568.43448</v>
      </c>
      <c r="T109" s="76" t="str">
        <f t="shared" si="7"/>
        <v/>
      </c>
      <c r="U109" s="76">
        <f t="shared" si="8"/>
        <v>32604.10685</v>
      </c>
      <c r="V109" s="76">
        <f t="shared" si="9"/>
        <v>50120.86999</v>
      </c>
      <c r="W109" s="2"/>
      <c r="X109" s="2"/>
      <c r="Y109" s="2"/>
      <c r="Z109" s="2"/>
      <c r="AA109" s="2"/>
      <c r="AB109" s="2"/>
      <c r="AC109" s="2"/>
      <c r="AD109" s="2"/>
      <c r="AE109" s="2"/>
      <c r="AF109" s="2"/>
    </row>
    <row r="110" ht="12.0" customHeight="1">
      <c r="A110" s="4" t="s">
        <v>185</v>
      </c>
      <c r="B110" s="88" t="s">
        <v>58</v>
      </c>
      <c r="C110" s="74">
        <v>17.142</v>
      </c>
      <c r="D110" s="2"/>
      <c r="E110" s="2"/>
      <c r="F110" s="74">
        <v>936.285569650644</v>
      </c>
      <c r="G110" s="74">
        <v>33839.7305646369</v>
      </c>
      <c r="H110" s="2"/>
      <c r="I110" s="115">
        <v>1798.41381307301</v>
      </c>
      <c r="J110" s="115">
        <v>1567.3739874623</v>
      </c>
      <c r="K110" s="115">
        <v>12985.0946570769</v>
      </c>
      <c r="L110" s="2"/>
      <c r="M110" s="2"/>
      <c r="N110" s="76">
        <f t="shared" si="3"/>
        <v>17.142</v>
      </c>
      <c r="O110" s="76">
        <f t="shared" ref="O110:P110" si="214">I110</f>
        <v>1798.413813</v>
      </c>
      <c r="P110" s="76">
        <f t="shared" si="214"/>
        <v>1567.373987</v>
      </c>
      <c r="Q110" s="76" t="str">
        <f t="shared" ref="Q110:R110" si="215">D110</f>
        <v/>
      </c>
      <c r="R110" s="76" t="str">
        <f t="shared" si="215"/>
        <v/>
      </c>
      <c r="S110" s="76">
        <f t="shared" si="6"/>
        <v>13921.38023</v>
      </c>
      <c r="T110" s="76" t="str">
        <f t="shared" si="7"/>
        <v/>
      </c>
      <c r="U110" s="76">
        <f t="shared" si="8"/>
        <v>33839.73056</v>
      </c>
      <c r="V110" s="76">
        <f t="shared" si="9"/>
        <v>51144.04059</v>
      </c>
      <c r="W110" s="2"/>
      <c r="X110" s="2"/>
      <c r="Y110" s="2"/>
      <c r="Z110" s="2"/>
      <c r="AA110" s="2"/>
      <c r="AB110" s="2"/>
      <c r="AC110" s="2"/>
      <c r="AD110" s="2"/>
      <c r="AE110" s="2"/>
      <c r="AF110" s="2"/>
    </row>
    <row r="111" ht="12.0" customHeight="1">
      <c r="A111" s="2"/>
      <c r="B111" s="88" t="s">
        <v>66</v>
      </c>
      <c r="C111" s="74">
        <v>17.107158389178</v>
      </c>
      <c r="D111" s="2"/>
      <c r="E111" s="2"/>
      <c r="F111" s="74">
        <v>770.0606624103</v>
      </c>
      <c r="G111" s="74">
        <v>33963.9838006348</v>
      </c>
      <c r="H111" s="2"/>
      <c r="I111" s="115">
        <v>1633.2629972528</v>
      </c>
      <c r="J111" s="115">
        <v>1518.54730459106</v>
      </c>
      <c r="K111" s="115">
        <v>12447.2624443281</v>
      </c>
      <c r="L111" s="2"/>
      <c r="M111" s="2"/>
      <c r="N111" s="76">
        <f t="shared" si="3"/>
        <v>17.10715839</v>
      </c>
      <c r="O111" s="76">
        <f t="shared" ref="O111:P111" si="216">I111</f>
        <v>1633.262997</v>
      </c>
      <c r="P111" s="76">
        <f t="shared" si="216"/>
        <v>1518.547305</v>
      </c>
      <c r="Q111" s="76" t="str">
        <f t="shared" ref="Q111:R111" si="217">D111</f>
        <v/>
      </c>
      <c r="R111" s="76" t="str">
        <f t="shared" si="217"/>
        <v/>
      </c>
      <c r="S111" s="76">
        <f t="shared" si="6"/>
        <v>13217.32311</v>
      </c>
      <c r="T111" s="76" t="str">
        <f t="shared" si="7"/>
        <v/>
      </c>
      <c r="U111" s="76">
        <f t="shared" si="8"/>
        <v>33963.9838</v>
      </c>
      <c r="V111" s="76">
        <f t="shared" si="9"/>
        <v>50350.22437</v>
      </c>
      <c r="W111" s="2"/>
      <c r="X111" s="2"/>
      <c r="Y111" s="2"/>
      <c r="Z111" s="2"/>
      <c r="AA111" s="2"/>
      <c r="AB111" s="2"/>
      <c r="AC111" s="2"/>
      <c r="AD111" s="2"/>
      <c r="AE111" s="2"/>
      <c r="AF111" s="2"/>
    </row>
    <row r="112" ht="12.0" customHeight="1">
      <c r="A112" s="2"/>
      <c r="B112" s="88" t="s">
        <v>74</v>
      </c>
      <c r="C112" s="74">
        <v>33.473798451675</v>
      </c>
      <c r="D112" s="74">
        <v>491.585</v>
      </c>
      <c r="E112" s="2"/>
      <c r="F112" s="74">
        <v>673.074065299365</v>
      </c>
      <c r="G112" s="74">
        <v>34248.5170467298</v>
      </c>
      <c r="H112" s="2"/>
      <c r="I112" s="115">
        <v>1478.94295527006</v>
      </c>
      <c r="J112" s="115">
        <v>1427.92588198967</v>
      </c>
      <c r="K112" s="115">
        <v>11905.0312814982</v>
      </c>
      <c r="L112" s="2"/>
      <c r="M112" s="2"/>
      <c r="N112" s="76">
        <f t="shared" si="3"/>
        <v>33.47379845</v>
      </c>
      <c r="O112" s="76">
        <f t="shared" ref="O112:P112" si="218">I112</f>
        <v>1478.942955</v>
      </c>
      <c r="P112" s="76">
        <f t="shared" si="218"/>
        <v>1427.925882</v>
      </c>
      <c r="Q112" s="76">
        <f t="shared" ref="Q112:R112" si="219">D112</f>
        <v>491.585</v>
      </c>
      <c r="R112" s="76" t="str">
        <f t="shared" si="219"/>
        <v/>
      </c>
      <c r="S112" s="76">
        <f t="shared" si="6"/>
        <v>12578.10535</v>
      </c>
      <c r="T112" s="76" t="str">
        <f t="shared" si="7"/>
        <v/>
      </c>
      <c r="U112" s="76">
        <f t="shared" si="8"/>
        <v>34248.51705</v>
      </c>
      <c r="V112" s="76">
        <f t="shared" si="9"/>
        <v>50258.55003</v>
      </c>
      <c r="W112" s="2"/>
      <c r="X112" s="2"/>
      <c r="Y112" s="2"/>
      <c r="Z112" s="2"/>
      <c r="AA112" s="2"/>
      <c r="AB112" s="2"/>
      <c r="AC112" s="2"/>
      <c r="AD112" s="2"/>
      <c r="AE112" s="2"/>
      <c r="AF112" s="2"/>
    </row>
    <row r="113" ht="12.0" customHeight="1">
      <c r="A113" s="2"/>
      <c r="B113" s="88" t="s">
        <v>75</v>
      </c>
      <c r="C113" s="74">
        <v>33.0325805</v>
      </c>
      <c r="D113" s="74">
        <v>1106.693011</v>
      </c>
      <c r="E113" s="74">
        <v>26614.5953008</v>
      </c>
      <c r="F113" s="74">
        <v>629.589427096165</v>
      </c>
      <c r="G113" s="74">
        <v>33158.1650994663</v>
      </c>
      <c r="H113" s="2"/>
      <c r="I113" s="115">
        <v>1296.43422977771</v>
      </c>
      <c r="J113" s="115">
        <v>1380.76163534018</v>
      </c>
      <c r="K113" s="115">
        <v>11565.7256009639</v>
      </c>
      <c r="L113" s="2"/>
      <c r="M113" s="2"/>
      <c r="N113" s="76">
        <f t="shared" si="3"/>
        <v>33.0325805</v>
      </c>
      <c r="O113" s="76">
        <f t="shared" ref="O113:P113" si="220">I113</f>
        <v>1296.43423</v>
      </c>
      <c r="P113" s="76">
        <f t="shared" si="220"/>
        <v>1380.761635</v>
      </c>
      <c r="Q113" s="76">
        <f t="shared" ref="Q113:R113" si="221">D113</f>
        <v>1106.693011</v>
      </c>
      <c r="R113" s="76">
        <f t="shared" si="221"/>
        <v>26614.5953</v>
      </c>
      <c r="S113" s="76">
        <f t="shared" si="6"/>
        <v>12195.31503</v>
      </c>
      <c r="T113" s="76" t="str">
        <f t="shared" si="7"/>
        <v/>
      </c>
      <c r="U113" s="76">
        <f t="shared" si="8"/>
        <v>33158.1651</v>
      </c>
      <c r="V113" s="76">
        <f t="shared" si="9"/>
        <v>75784.99688</v>
      </c>
      <c r="W113" s="2"/>
      <c r="X113" s="2"/>
      <c r="Y113" s="2"/>
      <c r="Z113" s="2"/>
      <c r="AA113" s="2"/>
      <c r="AB113" s="2"/>
      <c r="AC113" s="2"/>
      <c r="AD113" s="2"/>
      <c r="AE113" s="2"/>
      <c r="AF113" s="2"/>
    </row>
  </sheetData>
  <mergeCells count="3">
    <mergeCell ref="C4:G4"/>
    <mergeCell ref="I4:L4"/>
    <mergeCell ref="N4:U4"/>
  </mergeCells>
  <drawing r:id="rId1"/>
</worksheet>
</file>