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embeddings/oleObject3.bin" ContentType="application/vnd.openxmlformats-officedocument.oleObject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665" yWindow="-15" windowWidth="6870" windowHeight="8265" tabRatio="881"/>
  </bookViews>
  <sheets>
    <sheet name="Pipe-Valves" sheetId="36" r:id="rId1"/>
    <sheet name="Fittings" sheetId="37" r:id="rId2"/>
    <sheet name="Nut-Bolts" sheetId="38" r:id="rId3"/>
  </sheets>
  <definedNames>
    <definedName name="_xlnm.Print_Area" localSheetId="1">Fittings!$A$1:$N$82</definedName>
    <definedName name="_xlnm.Print_Area" localSheetId="2">'Nut-Bolts'!$A$1:$N$21</definedName>
    <definedName name="_xlnm.Print_Area" localSheetId="0">'Pipe-Valves'!$A$1:$N$48</definedName>
    <definedName name="_xlnm.Print_Titles" localSheetId="1">Fittings!$1:$2</definedName>
    <definedName name="_xlnm.Print_Titles" localSheetId="2">'Nut-Bolts'!$1:$2</definedName>
    <definedName name="_xlnm.Print_Titles" localSheetId="0">'Pipe-Valves'!$1:$2</definedName>
  </definedNames>
  <calcPr calcId="124519"/>
</workbook>
</file>

<file path=xl/calcChain.xml><?xml version="1.0" encoding="utf-8"?>
<calcChain xmlns="http://schemas.openxmlformats.org/spreadsheetml/2006/main">
  <c r="S41" i="36"/>
  <c r="P9" i="37"/>
  <c r="J18" i="38"/>
  <c r="J17"/>
  <c r="P16"/>
  <c r="O16"/>
  <c r="J16"/>
  <c r="P13"/>
  <c r="O13"/>
  <c r="J13"/>
  <c r="P10"/>
  <c r="O10"/>
  <c r="J10"/>
  <c r="P9"/>
  <c r="O9"/>
  <c r="J9"/>
  <c r="P8"/>
  <c r="O8"/>
  <c r="J8"/>
  <c r="Q21"/>
  <c r="K19"/>
  <c r="J19"/>
  <c r="K18"/>
  <c r="M17"/>
  <c r="M18" s="1"/>
  <c r="M19" s="1"/>
  <c r="K17"/>
  <c r="D17"/>
  <c r="K16"/>
  <c r="K13"/>
  <c r="K10"/>
  <c r="G10"/>
  <c r="F10"/>
  <c r="E10"/>
  <c r="D10"/>
  <c r="K9"/>
  <c r="D9"/>
  <c r="K8"/>
  <c r="P74" i="37"/>
  <c r="P73"/>
  <c r="P68"/>
  <c r="P66"/>
  <c r="P65"/>
  <c r="P17"/>
  <c r="P10"/>
  <c r="J15"/>
  <c r="J14"/>
  <c r="J13"/>
  <c r="J12"/>
  <c r="J11"/>
  <c r="J10"/>
  <c r="J9"/>
  <c r="P47" i="36"/>
  <c r="O47"/>
  <c r="P29"/>
  <c r="P25"/>
  <c r="P24"/>
  <c r="P21"/>
  <c r="P18"/>
  <c r="P17"/>
  <c r="Q82" i="37"/>
  <c r="J80"/>
  <c r="K78"/>
  <c r="J78"/>
  <c r="K77"/>
  <c r="J77"/>
  <c r="K75"/>
  <c r="G75"/>
  <c r="F75"/>
  <c r="E75"/>
  <c r="D75"/>
  <c r="O74"/>
  <c r="K74"/>
  <c r="D74"/>
  <c r="J74" s="1"/>
  <c r="O73"/>
  <c r="K73"/>
  <c r="J73"/>
  <c r="K71"/>
  <c r="I71"/>
  <c r="G71"/>
  <c r="F71"/>
  <c r="E71"/>
  <c r="J71" s="1"/>
  <c r="D71"/>
  <c r="K69"/>
  <c r="G69"/>
  <c r="F69"/>
  <c r="E69"/>
  <c r="D69"/>
  <c r="J69" s="1"/>
  <c r="O68"/>
  <c r="K68"/>
  <c r="J68"/>
  <c r="O66"/>
  <c r="K66"/>
  <c r="J66"/>
  <c r="O65"/>
  <c r="K65"/>
  <c r="J65"/>
  <c r="K63"/>
  <c r="G63"/>
  <c r="F63"/>
  <c r="E63"/>
  <c r="D63"/>
  <c r="J63" s="1"/>
  <c r="K62"/>
  <c r="I62"/>
  <c r="G62"/>
  <c r="F62"/>
  <c r="E62"/>
  <c r="D62"/>
  <c r="J62" s="1"/>
  <c r="K61"/>
  <c r="J61"/>
  <c r="K60"/>
  <c r="J60"/>
  <c r="K58"/>
  <c r="I58"/>
  <c r="G58"/>
  <c r="F58"/>
  <c r="E58"/>
  <c r="D58"/>
  <c r="K57"/>
  <c r="I57"/>
  <c r="G57"/>
  <c r="F57"/>
  <c r="E57"/>
  <c r="D57"/>
  <c r="K56"/>
  <c r="J56"/>
  <c r="D56"/>
  <c r="K55"/>
  <c r="J55"/>
  <c r="K54"/>
  <c r="G54"/>
  <c r="F54"/>
  <c r="E54"/>
  <c r="D54"/>
  <c r="J54" s="1"/>
  <c r="K53"/>
  <c r="J53"/>
  <c r="K52"/>
  <c r="D52"/>
  <c r="J52" s="1"/>
  <c r="K51"/>
  <c r="D51"/>
  <c r="J51" s="1"/>
  <c r="K50"/>
  <c r="J50"/>
  <c r="K49"/>
  <c r="J49"/>
  <c r="K48"/>
  <c r="J48"/>
  <c r="K47"/>
  <c r="J47"/>
  <c r="K45"/>
  <c r="J45"/>
  <c r="D45"/>
  <c r="K44"/>
  <c r="D44"/>
  <c r="J44" s="1"/>
  <c r="K43"/>
  <c r="G43"/>
  <c r="F43"/>
  <c r="E43"/>
  <c r="K42"/>
  <c r="J42"/>
  <c r="K41"/>
  <c r="J41"/>
  <c r="K40"/>
  <c r="J40"/>
  <c r="K38"/>
  <c r="G38"/>
  <c r="F38"/>
  <c r="E38"/>
  <c r="D38"/>
  <c r="K37"/>
  <c r="D37"/>
  <c r="J37" s="1"/>
  <c r="K36"/>
  <c r="D36"/>
  <c r="J36" s="1"/>
  <c r="K35"/>
  <c r="J35"/>
  <c r="K34"/>
  <c r="J34"/>
  <c r="M33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K33"/>
  <c r="D33"/>
  <c r="J33" s="1"/>
  <c r="K32"/>
  <c r="J32"/>
  <c r="G30"/>
  <c r="F30"/>
  <c r="E30"/>
  <c r="G29"/>
  <c r="F29"/>
  <c r="E29"/>
  <c r="D29"/>
  <c r="G28"/>
  <c r="F28"/>
  <c r="E28"/>
  <c r="G27"/>
  <c r="F27"/>
  <c r="E27"/>
  <c r="J26"/>
  <c r="J25"/>
  <c r="J24"/>
  <c r="J23"/>
  <c r="D22"/>
  <c r="J22" s="1"/>
  <c r="J21"/>
  <c r="J20"/>
  <c r="J19"/>
  <c r="K18"/>
  <c r="J18"/>
  <c r="O17"/>
  <c r="J17"/>
  <c r="K15"/>
  <c r="I15"/>
  <c r="K14"/>
  <c r="I14"/>
  <c r="K13"/>
  <c r="I13"/>
  <c r="G13"/>
  <c r="F13"/>
  <c r="E13"/>
  <c r="D13"/>
  <c r="K12"/>
  <c r="I12"/>
  <c r="G12"/>
  <c r="F12"/>
  <c r="E12"/>
  <c r="D12"/>
  <c r="K11"/>
  <c r="G11"/>
  <c r="F11"/>
  <c r="E11"/>
  <c r="D11"/>
  <c r="O10"/>
  <c r="K10"/>
  <c r="G10"/>
  <c r="F10"/>
  <c r="E10"/>
  <c r="D10"/>
  <c r="K9"/>
  <c r="D9"/>
  <c r="K8"/>
  <c r="J8"/>
  <c r="G15"/>
  <c r="F15"/>
  <c r="E15"/>
  <c r="D15"/>
  <c r="G14"/>
  <c r="F14"/>
  <c r="E14"/>
  <c r="D14"/>
  <c r="J28" l="1"/>
  <c r="J29"/>
  <c r="J30"/>
  <c r="J27"/>
  <c r="J38"/>
  <c r="J43"/>
  <c r="J57"/>
  <c r="J58"/>
  <c r="J75"/>
  <c r="L10" i="36"/>
  <c r="K8"/>
  <c r="L47"/>
  <c r="K47"/>
  <c r="L45"/>
  <c r="K45"/>
  <c r="L42"/>
  <c r="K42"/>
  <c r="L40"/>
  <c r="K40"/>
  <c r="L37"/>
  <c r="K37"/>
  <c r="L36"/>
  <c r="K36"/>
  <c r="L33"/>
  <c r="K33"/>
  <c r="L29"/>
  <c r="K29"/>
  <c r="L26" l="1"/>
  <c r="K26"/>
  <c r="L21"/>
  <c r="K21"/>
  <c r="L18"/>
  <c r="K18"/>
  <c r="L17"/>
  <c r="K17"/>
  <c r="L14"/>
  <c r="K14"/>
  <c r="L13"/>
  <c r="K13"/>
  <c r="L12"/>
  <c r="K12"/>
  <c r="L11"/>
  <c r="K11"/>
  <c r="K10"/>
  <c r="M10" s="1"/>
  <c r="L9"/>
  <c r="K9"/>
  <c r="L8"/>
  <c r="J8"/>
  <c r="J9"/>
  <c r="J10"/>
  <c r="J11"/>
  <c r="J47"/>
  <c r="J42"/>
  <c r="J37"/>
  <c r="J36"/>
  <c r="J33"/>
  <c r="J32"/>
  <c r="J26"/>
  <c r="J25"/>
  <c r="J24"/>
  <c r="J21"/>
  <c r="J18"/>
  <c r="J17"/>
  <c r="J7"/>
  <c r="I12"/>
  <c r="J12" s="1"/>
  <c r="G45"/>
  <c r="G40"/>
  <c r="G29"/>
  <c r="G14"/>
  <c r="G13"/>
  <c r="F45"/>
  <c r="F40"/>
  <c r="F29"/>
  <c r="F14"/>
  <c r="F13"/>
  <c r="D13"/>
  <c r="E13"/>
  <c r="E45"/>
  <c r="E40"/>
  <c r="E29"/>
  <c r="E14"/>
  <c r="D29"/>
  <c r="D14"/>
  <c r="J40" l="1"/>
  <c r="J45"/>
  <c r="J29"/>
  <c r="J14"/>
  <c r="J13"/>
  <c r="Q48" l="1"/>
</calcChain>
</file>

<file path=xl/sharedStrings.xml><?xml version="1.0" encoding="utf-8"?>
<sst xmlns="http://schemas.openxmlformats.org/spreadsheetml/2006/main" count="313" uniqueCount="139">
  <si>
    <t xml:space="preserve">SN  </t>
  </si>
  <si>
    <t>RM</t>
  </si>
  <si>
    <t>Nos.</t>
  </si>
  <si>
    <t xml:space="preserve">Description of works </t>
  </si>
  <si>
    <t>Unit</t>
  </si>
  <si>
    <t>150NB</t>
  </si>
  <si>
    <t>200NB</t>
  </si>
  <si>
    <t>25NB</t>
  </si>
  <si>
    <t>for 200 NB Pipe.</t>
  </si>
  <si>
    <t>for 150 NB Pipe.</t>
  </si>
  <si>
    <t>Nos</t>
  </si>
  <si>
    <t>100NB</t>
  </si>
  <si>
    <t>80NB</t>
  </si>
  <si>
    <t>50NB</t>
  </si>
  <si>
    <t>40NB</t>
  </si>
  <si>
    <t>50 x 15 NB [ U-BOLTED]</t>
  </si>
  <si>
    <t>25 X 15 NB [ U-BOLTED]</t>
  </si>
  <si>
    <t>for 100 NB Pipe.</t>
  </si>
  <si>
    <t>for 80 NB Pipe.</t>
  </si>
  <si>
    <t>for 50 NB Pipe.</t>
  </si>
  <si>
    <t>for 40 NB Pipe.</t>
  </si>
  <si>
    <t>100 x 80NB</t>
  </si>
  <si>
    <t>80X50X80NB</t>
  </si>
  <si>
    <t>for 25NB Pipe.</t>
  </si>
  <si>
    <t>50X25X50NB</t>
  </si>
  <si>
    <t>80 NB</t>
  </si>
  <si>
    <r>
      <t xml:space="preserve">
 </t>
    </r>
    <r>
      <rPr>
        <b/>
        <sz val="18"/>
        <rFont val="Calibri"/>
        <family val="2"/>
      </rPr>
      <t xml:space="preserve">                                              </t>
    </r>
    <r>
      <rPr>
        <sz val="18"/>
        <rFont val="Calibri"/>
        <family val="2"/>
      </rPr>
      <t xml:space="preserve">  </t>
    </r>
    <r>
      <rPr>
        <b/>
        <sz val="18"/>
        <rFont val="Calibri"/>
        <family val="2"/>
      </rPr>
      <t xml:space="preserve">                  </t>
    </r>
  </si>
  <si>
    <t>150 NB</t>
  </si>
  <si>
    <t>200 NB</t>
  </si>
  <si>
    <t>Blind Flange</t>
  </si>
  <si>
    <t>50X40X50NB</t>
  </si>
  <si>
    <t>25X15 NB(15 NB SIDE THREADE)</t>
  </si>
  <si>
    <t>100X50X100 NB</t>
  </si>
  <si>
    <t>150X50X150 NB</t>
  </si>
  <si>
    <t>Mechanical Tee (Threaded outlet)</t>
  </si>
  <si>
    <t>Mechanical Tee (Grooved outlet)</t>
  </si>
  <si>
    <t>40 x 15 NB [ U-BOLTED]</t>
  </si>
  <si>
    <t>150X80X150 NB</t>
  </si>
  <si>
    <t>80 x 20 NB [ U-BOLTED]</t>
  </si>
  <si>
    <t xml:space="preserve">150 x 25 NB </t>
  </si>
  <si>
    <t>End Cap</t>
  </si>
  <si>
    <t>GROUND FLOOR</t>
  </si>
  <si>
    <t>65NB</t>
  </si>
  <si>
    <t>FIRST FLOOR</t>
  </si>
  <si>
    <t>for 65NB Pipe</t>
  </si>
  <si>
    <t>U-BOLTED Mechanical Tee (Threaded for Fixing Sprinkler Nozzles)</t>
  </si>
  <si>
    <t>65 x 25 NB</t>
  </si>
  <si>
    <t>PRESSURE GAUGE</t>
  </si>
  <si>
    <t>FLOW SWITCH</t>
  </si>
  <si>
    <t>KG</t>
  </si>
  <si>
    <t>80 x 65NB</t>
  </si>
  <si>
    <t>80 x 25NB</t>
  </si>
  <si>
    <t>65 x 50NB</t>
  </si>
  <si>
    <t>50 x 25NB</t>
  </si>
  <si>
    <t>40 x 25NB</t>
  </si>
  <si>
    <t>50 x 40NB</t>
  </si>
  <si>
    <t>40X25X40NB</t>
  </si>
  <si>
    <t>65X40X65NB</t>
  </si>
  <si>
    <t>100X40X100 NB</t>
  </si>
  <si>
    <t>80X40X80NB</t>
  </si>
  <si>
    <t>SECOND FLOOR</t>
  </si>
  <si>
    <t>THIRD FLOOR</t>
  </si>
  <si>
    <t>FG WAREHOSE</t>
  </si>
  <si>
    <t>BONDED WAREHOSE</t>
  </si>
  <si>
    <t>200X150NB</t>
  </si>
  <si>
    <t>150x80NB</t>
  </si>
  <si>
    <t>150X50NB</t>
  </si>
  <si>
    <t>200 x 25 NB</t>
  </si>
  <si>
    <t>Q.B.Sprinkler-Pendent Type(68° C) K-80</t>
  </si>
  <si>
    <t>ESFR Sprinkler-Upright Type(68° C) K-200</t>
  </si>
  <si>
    <t>100X65X100 NB</t>
  </si>
  <si>
    <t>80X65X80NB</t>
  </si>
  <si>
    <t>65X50X65NB</t>
  </si>
  <si>
    <t>150x100NB</t>
  </si>
  <si>
    <t>65 x 40NB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</si>
  <si>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</si>
  <si>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</si>
  <si>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</si>
  <si>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</si>
  <si>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</si>
  <si>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</si>
  <si>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</si>
  <si>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</si>
  <si>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</si>
  <si>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</si>
  <si>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</si>
  <si>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</si>
  <si>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</si>
  <si>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</si>
  <si>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</si>
  <si>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</si>
  <si>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</si>
  <si>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</si>
  <si>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</si>
  <si>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</si>
  <si>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</si>
  <si>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</si>
  <si>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</si>
  <si>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PROPOSED COLORANT PLANT</t>
  </si>
  <si>
    <t>Existing Rates</t>
  </si>
  <si>
    <t>Supply</t>
  </si>
  <si>
    <t>Erection</t>
  </si>
  <si>
    <t xml:space="preserve"> Grooved Coupling (pipe to pipe)</t>
  </si>
  <si>
    <t>GROOVED UN EQUAL TEE</t>
  </si>
  <si>
    <t>Grooved 90° Elbow</t>
  </si>
  <si>
    <t>Grooved Equal Tee</t>
  </si>
  <si>
    <t>Grooved Concentric Reducer</t>
  </si>
  <si>
    <t>Grooved REDUCING ELBOW</t>
  </si>
  <si>
    <t>GROOVED FLANGE ADAPTOR</t>
  </si>
  <si>
    <t xml:space="preserve">            BERGER PAINTS INDIA         LIMITED,RISHRA        </t>
  </si>
  <si>
    <t>Supply 
(Rs)</t>
  </si>
  <si>
    <t>Erection 
(Rs)</t>
  </si>
  <si>
    <t>Escallation  %</t>
  </si>
  <si>
    <r>
      <rPr>
        <b/>
        <sz val="12"/>
        <rFont val="Calibri"/>
        <family val="2"/>
      </rPr>
      <t>Rev-</t>
    </r>
    <r>
      <rPr>
        <b/>
        <sz val="11"/>
        <rFont val="Calibri"/>
        <family val="2"/>
      </rPr>
      <t xml:space="preserve">
</t>
    </r>
    <r>
      <rPr>
        <b/>
        <sz val="14"/>
        <rFont val="Calibri"/>
        <family val="2"/>
      </rPr>
      <t>02</t>
    </r>
  </si>
  <si>
    <t>DESIGN QTY</t>
  </si>
  <si>
    <t>SOR QTY</t>
  </si>
  <si>
    <t>Date: 07.12.18</t>
  </si>
  <si>
    <t>150X100X150 NB</t>
  </si>
  <si>
    <t>PURCHASE QTY</t>
  </si>
  <si>
    <t>AS ON DATE 24/12/18</t>
  </si>
  <si>
    <t>GI Class "C" Pipe, confirming of IS 1239 (Part-I) , Make-Tata</t>
  </si>
  <si>
    <t>AIR RELEASE VALVE (SET WITH VALVE &amp; ECC.)(Make-Zoloto)</t>
  </si>
  <si>
    <t xml:space="preserve"> Structural for supporting Pipes (Details if Structural Items will be provided later on)
</t>
  </si>
  <si>
    <t xml:space="preserve">BOQ OF SPRINKLER SYSTEM AT BONDED GODWON, COLOUR &amp; PLANT AREA AND FG WAREHOUSE 
AT BERGER PAINTS (I) LTD, RISHRA </t>
  </si>
  <si>
    <t>Q.B SPRINKLER (Make-Newage)</t>
  </si>
  <si>
    <t>BUTTERFLY VALVE(Make-L&amp;T/AUDCO)</t>
  </si>
  <si>
    <t>Non-Return Valve(Make-Koley Valve)</t>
  </si>
  <si>
    <t>DRAIN VALVE (BALL Valve)</t>
  </si>
  <si>
    <t>ALARM VALVE VALVE (Make-Newage)</t>
  </si>
  <si>
    <t>CI GATE VALVE(Make-Koley Valve)</t>
  </si>
  <si>
    <t>PRESSURE GAUGE(Make-H.Guru)</t>
  </si>
  <si>
    <t>MS STRUCTURAL</t>
  </si>
  <si>
    <t>NUT BOLT</t>
  </si>
  <si>
    <t>M20-90LG</t>
  </si>
  <si>
    <t>M20-85LG</t>
  </si>
  <si>
    <t>M16-75LG</t>
  </si>
  <si>
    <t>STUD NUT WITH BOLT</t>
  </si>
  <si>
    <t>M16-140LG</t>
  </si>
  <si>
    <t>GASKET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</si>
</sst>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0.0%"/>
  </numFmts>
  <fonts count="17">
    <font>
      <sz val="10"/>
      <name val="Arial"/>
    </font>
    <font>
      <sz val="11"/>
      <name val="Calibri"/>
      <family val="2"/>
    </font>
    <font>
      <sz val="10"/>
      <name val="Calibri"/>
      <family val="2"/>
    </font>
    <font>
      <b/>
      <sz val="18"/>
      <name val="Calibri"/>
      <family val="2"/>
    </font>
    <font>
      <b/>
      <sz val="16"/>
      <name val="Calibri"/>
      <family val="2"/>
    </font>
    <font>
      <sz val="18"/>
      <name val="Calibri"/>
      <family val="2"/>
    </font>
    <font>
      <b/>
      <sz val="11"/>
      <name val="Calibri"/>
      <family val="2"/>
    </font>
    <font>
      <sz val="16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rgb="FFFF0000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b/>
      <sz val="18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87">
    <xf numFmtId="0" fontId="0" fillId="0" borderId="0" xfId="0"/>
    <xf numFmtId="0" fontId="7" fillId="0" borderId="0" xfId="0" applyFont="1" applyFill="1" applyBorder="1" applyAlignment="1" applyProtection="1">
      <alignment horizontal="justify" vertical="top" wrapText="1"/>
      <protection locked="0"/>
    </xf>
    <xf numFmtId="0" fontId="2" fillId="0" borderId="0" xfId="0" applyFont="1" applyFill="1" applyBorder="1" applyAlignment="1" applyProtection="1">
      <alignment horizontal="justify" vertical="top" wrapText="1"/>
      <protection locked="0"/>
    </xf>
    <xf numFmtId="0" fontId="1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Border="1" applyAlignment="1" applyProtection="1">
      <alignment horizontal="justify" vertical="center" wrapText="1"/>
      <protection locked="0"/>
    </xf>
    <xf numFmtId="0" fontId="1" fillId="0" borderId="0" xfId="0" applyFont="1" applyFill="1" applyBorder="1" applyAlignment="1" applyProtection="1">
      <alignment horizontal="justify" vertical="center" wrapText="1"/>
      <protection locked="0"/>
    </xf>
    <xf numFmtId="0" fontId="6" fillId="0" borderId="0" xfId="0" applyFont="1" applyFill="1" applyBorder="1" applyAlignment="1" applyProtection="1">
      <alignment horizontal="justify" vertical="top" wrapText="1"/>
      <protection locked="0"/>
    </xf>
    <xf numFmtId="0" fontId="2" fillId="0" borderId="0" xfId="0" applyFont="1" applyFill="1" applyBorder="1" applyAlignment="1" applyProtection="1">
      <alignment horizontal="center" vertical="top" wrapText="1"/>
      <protection locked="0"/>
    </xf>
    <xf numFmtId="164" fontId="6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top"/>
    </xf>
    <xf numFmtId="0" fontId="1" fillId="0" borderId="1" xfId="0" applyNumberFormat="1" applyFont="1" applyFill="1" applyBorder="1" applyAlignment="1" applyProtection="1">
      <alignment horizontal="justify" vertical="center" wrapText="1"/>
    </xf>
    <xf numFmtId="0" fontId="6" fillId="0" borderId="1" xfId="0" applyNumberFormat="1" applyFont="1" applyFill="1" applyBorder="1" applyAlignment="1" applyProtection="1">
      <alignment horizontal="justify" vertical="center" wrapText="1"/>
    </xf>
    <xf numFmtId="0" fontId="6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justify" vertical="center" wrapText="1"/>
    </xf>
    <xf numFmtId="1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justify"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0" fontId="10" fillId="0" borderId="1" xfId="0" applyFont="1" applyFill="1" applyBorder="1" applyAlignment="1" applyProtection="1">
      <alignment vertical="center"/>
    </xf>
    <xf numFmtId="1" fontId="1" fillId="0" borderId="1" xfId="0" applyNumberFormat="1" applyFont="1" applyFill="1" applyBorder="1" applyAlignment="1" applyProtection="1">
      <alignment horizontal="center" vertical="center" wrapText="1"/>
    </xf>
    <xf numFmtId="1" fontId="6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justify" vertical="center" wrapText="1"/>
      <protection locked="0"/>
    </xf>
    <xf numFmtId="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justify" vertical="center" wrapText="1"/>
      <protection locked="0"/>
    </xf>
    <xf numFmtId="0" fontId="6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right" vertical="center" wrapText="1"/>
      <protection locked="0"/>
    </xf>
    <xf numFmtId="4" fontId="1" fillId="0" borderId="1" xfId="0" applyNumberFormat="1" applyFont="1" applyFill="1" applyBorder="1" applyAlignment="1" applyProtection="1">
      <alignment horizontal="right" vertical="center" wrapText="1"/>
      <protection locked="0"/>
    </xf>
    <xf numFmtId="4" fontId="1" fillId="0" borderId="1" xfId="0" applyNumberFormat="1" applyFont="1" applyFill="1" applyBorder="1" applyAlignment="1" applyProtection="1">
      <alignment horizontal="right" vertical="top" wrapText="1"/>
      <protection locked="0"/>
    </xf>
    <xf numFmtId="4" fontId="6" fillId="0" borderId="1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1" xfId="0" applyNumberFormat="1" applyFont="1" applyFill="1" applyBorder="1" applyAlignment="1" applyProtection="1">
      <alignment horizontal="right" vertical="top" wrapText="1"/>
      <protection locked="0"/>
    </xf>
    <xf numFmtId="4" fontId="2" fillId="0" borderId="1" xfId="0" applyNumberFormat="1" applyFont="1" applyFill="1" applyBorder="1" applyAlignment="1" applyProtection="1">
      <alignment horizontal="right" vertical="top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43" fontId="1" fillId="0" borderId="1" xfId="2" applyFont="1" applyFill="1" applyBorder="1" applyAlignment="1" applyProtection="1">
      <alignment horizontal="justify" vertical="center" wrapText="1"/>
      <protection locked="0"/>
    </xf>
    <xf numFmtId="165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justify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6" fillId="0" borderId="1" xfId="0" applyNumberFormat="1" applyFont="1" applyFill="1" applyBorder="1" applyAlignment="1" applyProtection="1">
      <alignment horizontal="center" vertical="top" wrapText="1"/>
      <protection locked="0"/>
    </xf>
    <xf numFmtId="4" fontId="2" fillId="0" borderId="1" xfId="0" applyNumberFormat="1" applyFont="1" applyFill="1" applyBorder="1" applyAlignment="1" applyProtection="1">
      <alignment horizontal="center" vertical="top" wrapText="1"/>
      <protection locked="0"/>
    </xf>
    <xf numFmtId="4" fontId="1" fillId="0" borderId="1" xfId="0" applyNumberFormat="1" applyFont="1" applyFill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0" fontId="2" fillId="2" borderId="1" xfId="0" applyFont="1" applyFill="1" applyBorder="1" applyAlignment="1" applyProtection="1">
      <alignment horizontal="center" vertical="top" wrapText="1"/>
      <protection locked="0"/>
    </xf>
    <xf numFmtId="0" fontId="1" fillId="2" borderId="1" xfId="0" applyFont="1" applyFill="1" applyBorder="1" applyAlignment="1" applyProtection="1">
      <alignment horizontal="center" vertical="top" wrapText="1"/>
      <protection locked="0"/>
    </xf>
    <xf numFmtId="0" fontId="2" fillId="2" borderId="0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Fill="1" applyBorder="1" applyAlignment="1" applyProtection="1">
      <alignment vertical="center"/>
    </xf>
    <xf numFmtId="43" fontId="1" fillId="0" borderId="1" xfId="2" applyFont="1" applyFill="1" applyBorder="1" applyAlignment="1" applyProtection="1">
      <alignment horizontal="center" vertical="center" wrapText="1"/>
      <protection locked="0"/>
    </xf>
    <xf numFmtId="43" fontId="6" fillId="0" borderId="1" xfId="2" applyFont="1" applyFill="1" applyBorder="1" applyAlignment="1" applyProtection="1">
      <alignment horizontal="justify" vertical="center" wrapText="1"/>
      <protection locked="0"/>
    </xf>
    <xf numFmtId="0" fontId="6" fillId="0" borderId="1" xfId="0" applyFont="1" applyFill="1" applyBorder="1" applyAlignment="1" applyProtection="1">
      <alignment horizontal="justify" vertical="top" wrapText="1"/>
      <protection locked="0"/>
    </xf>
    <xf numFmtId="0" fontId="2" fillId="0" borderId="1" xfId="0" applyFont="1" applyFill="1" applyBorder="1" applyAlignment="1" applyProtection="1">
      <alignment horizontal="justify" vertical="top" wrapText="1"/>
      <protection locked="0"/>
    </xf>
    <xf numFmtId="0" fontId="1" fillId="0" borderId="1" xfId="0" applyFont="1" applyFill="1" applyBorder="1" applyAlignment="1" applyProtection="1">
      <alignment horizontal="justify" vertical="top" wrapText="1"/>
      <protection locked="0"/>
    </xf>
    <xf numFmtId="0" fontId="2" fillId="0" borderId="1" xfId="0" applyFont="1" applyFill="1" applyBorder="1" applyAlignment="1" applyProtection="1">
      <alignment horizontal="justify" vertical="center" wrapText="1"/>
      <protection locked="0"/>
    </xf>
    <xf numFmtId="43" fontId="15" fillId="0" borderId="1" xfId="0" applyNumberFormat="1" applyFont="1" applyFill="1" applyBorder="1" applyAlignment="1" applyProtection="1">
      <alignment horizontal="justify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49" fontId="3" fillId="0" borderId="10" xfId="0" applyNumberFormat="1" applyFont="1" applyFill="1" applyBorder="1" applyAlignment="1" applyProtection="1">
      <alignment vertical="center" wrapText="1"/>
      <protection locked="0"/>
    </xf>
    <xf numFmtId="49" fontId="3" fillId="0" borderId="10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left" vertical="center" wrapText="1"/>
    </xf>
    <xf numFmtId="49" fontId="16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1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Fill="1" applyBorder="1" applyAlignment="1" applyProtection="1">
      <alignment horizontal="center" vertical="center" wrapText="1"/>
    </xf>
    <xf numFmtId="0" fontId="6" fillId="0" borderId="9" xfId="0" applyFont="1" applyFill="1" applyBorder="1" applyAlignment="1" applyProtection="1">
      <alignment horizontal="center" vertical="center" wrapText="1"/>
    </xf>
    <xf numFmtId="0" fontId="6" fillId="0" borderId="4" xfId="0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 applyProtection="1">
      <alignment horizontal="center" vertical="center" wrapText="1"/>
    </xf>
    <xf numFmtId="0" fontId="6" fillId="0" borderId="5" xfId="0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 applyProtection="1">
      <alignment horizontal="center" vertical="center" wrapText="1"/>
    </xf>
    <xf numFmtId="0" fontId="6" fillId="0" borderId="6" xfId="0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49" fontId="3" fillId="0" borderId="10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76200</xdr:colOff>
      <xdr:row>15</xdr:row>
      <xdr:rowOff>57150</xdr:rowOff>
    </xdr:to>
    <xdr:sp macro="" textlink="">
      <xdr:nvSpPr>
        <xdr:cNvPr id="259754" name="Text Box 1"/>
        <xdr:cNvSpPr txBox="1">
          <a:spLocks noChangeArrowheads="1"/>
        </xdr:cNvSpPr>
      </xdr:nvSpPr>
      <xdr:spPr bwMode="auto">
        <a:xfrm>
          <a:off x="6591300" y="5000625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76200</xdr:colOff>
      <xdr:row>47</xdr:row>
      <xdr:rowOff>57150</xdr:rowOff>
    </xdr:to>
    <xdr:sp macro="" textlink="">
      <xdr:nvSpPr>
        <xdr:cNvPr id="259755" name="Text Box 1"/>
        <xdr:cNvSpPr txBox="1">
          <a:spLocks noChangeArrowheads="1"/>
        </xdr:cNvSpPr>
      </xdr:nvSpPr>
      <xdr:spPr bwMode="auto">
        <a:xfrm>
          <a:off x="6591300" y="3112770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76200</xdr:colOff>
      <xdr:row>15</xdr:row>
      <xdr:rowOff>47625</xdr:rowOff>
    </xdr:to>
    <xdr:sp macro="" textlink="">
      <xdr:nvSpPr>
        <xdr:cNvPr id="259756" name="Text Box 1"/>
        <xdr:cNvSpPr txBox="1">
          <a:spLocks noChangeArrowheads="1"/>
        </xdr:cNvSpPr>
      </xdr:nvSpPr>
      <xdr:spPr bwMode="auto">
        <a:xfrm>
          <a:off x="6591300" y="23717250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76200</xdr:colOff>
      <xdr:row>47</xdr:row>
      <xdr:rowOff>57150</xdr:rowOff>
    </xdr:to>
    <xdr:sp macro="" textlink="">
      <xdr:nvSpPr>
        <xdr:cNvPr id="259757" name="Text Box 1"/>
        <xdr:cNvSpPr txBox="1">
          <a:spLocks noChangeArrowheads="1"/>
        </xdr:cNvSpPr>
      </xdr:nvSpPr>
      <xdr:spPr bwMode="auto">
        <a:xfrm>
          <a:off x="6591300" y="3112770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76200</xdr:colOff>
      <xdr:row>19</xdr:row>
      <xdr:rowOff>47625</xdr:rowOff>
    </xdr:to>
    <xdr:sp macro="" textlink="">
      <xdr:nvSpPr>
        <xdr:cNvPr id="259758" name="Text Box 1"/>
        <xdr:cNvSpPr txBox="1">
          <a:spLocks noChangeArrowheads="1"/>
        </xdr:cNvSpPr>
      </xdr:nvSpPr>
      <xdr:spPr bwMode="auto">
        <a:xfrm>
          <a:off x="6591300" y="24545925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76200</xdr:colOff>
      <xdr:row>47</xdr:row>
      <xdr:rowOff>47625</xdr:rowOff>
    </xdr:to>
    <xdr:sp macro="" textlink="">
      <xdr:nvSpPr>
        <xdr:cNvPr id="259759" name="Text Box 1"/>
        <xdr:cNvSpPr txBox="1">
          <a:spLocks noChangeArrowheads="1"/>
        </xdr:cNvSpPr>
      </xdr:nvSpPr>
      <xdr:spPr bwMode="auto">
        <a:xfrm>
          <a:off x="6591300" y="31127700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76200</xdr:colOff>
      <xdr:row>47</xdr:row>
      <xdr:rowOff>47625</xdr:rowOff>
    </xdr:to>
    <xdr:sp macro="" textlink="">
      <xdr:nvSpPr>
        <xdr:cNvPr id="259760" name="Text Box 1"/>
        <xdr:cNvSpPr txBox="1">
          <a:spLocks noChangeArrowheads="1"/>
        </xdr:cNvSpPr>
      </xdr:nvSpPr>
      <xdr:spPr bwMode="auto">
        <a:xfrm>
          <a:off x="6591300" y="31127700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76200</xdr:colOff>
      <xdr:row>30</xdr:row>
      <xdr:rowOff>47625</xdr:rowOff>
    </xdr:to>
    <xdr:sp macro="" textlink="">
      <xdr:nvSpPr>
        <xdr:cNvPr id="259761" name="Text Box 1"/>
        <xdr:cNvSpPr txBox="1">
          <a:spLocks noChangeArrowheads="1"/>
        </xdr:cNvSpPr>
      </xdr:nvSpPr>
      <xdr:spPr bwMode="auto">
        <a:xfrm>
          <a:off x="6591300" y="26727150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76200</xdr:colOff>
      <xdr:row>47</xdr:row>
      <xdr:rowOff>57150</xdr:rowOff>
    </xdr:to>
    <xdr:sp macro="" textlink="">
      <xdr:nvSpPr>
        <xdr:cNvPr id="259762" name="Text Box 1"/>
        <xdr:cNvSpPr txBox="1">
          <a:spLocks noChangeArrowheads="1"/>
        </xdr:cNvSpPr>
      </xdr:nvSpPr>
      <xdr:spPr bwMode="auto">
        <a:xfrm>
          <a:off x="6591300" y="3112770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76200</xdr:colOff>
      <xdr:row>47</xdr:row>
      <xdr:rowOff>57150</xdr:rowOff>
    </xdr:to>
    <xdr:sp macro="" textlink="">
      <xdr:nvSpPr>
        <xdr:cNvPr id="259763" name="Text Box 1"/>
        <xdr:cNvSpPr txBox="1">
          <a:spLocks noChangeArrowheads="1"/>
        </xdr:cNvSpPr>
      </xdr:nvSpPr>
      <xdr:spPr bwMode="auto">
        <a:xfrm>
          <a:off x="6591300" y="3112770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76200</xdr:colOff>
      <xdr:row>47</xdr:row>
      <xdr:rowOff>47625</xdr:rowOff>
    </xdr:to>
    <xdr:sp macro="" textlink="">
      <xdr:nvSpPr>
        <xdr:cNvPr id="259764" name="Text Box 1"/>
        <xdr:cNvSpPr txBox="1">
          <a:spLocks noChangeArrowheads="1"/>
        </xdr:cNvSpPr>
      </xdr:nvSpPr>
      <xdr:spPr bwMode="auto">
        <a:xfrm>
          <a:off x="6591300" y="31127700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76200</xdr:colOff>
      <xdr:row>30</xdr:row>
      <xdr:rowOff>47625</xdr:rowOff>
    </xdr:to>
    <xdr:sp macro="" textlink="">
      <xdr:nvSpPr>
        <xdr:cNvPr id="259765" name="Text Box 1"/>
        <xdr:cNvSpPr txBox="1">
          <a:spLocks noChangeArrowheads="1"/>
        </xdr:cNvSpPr>
      </xdr:nvSpPr>
      <xdr:spPr bwMode="auto">
        <a:xfrm>
          <a:off x="6591300" y="26727150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76200</xdr:colOff>
      <xdr:row>34</xdr:row>
      <xdr:rowOff>47625</xdr:rowOff>
    </xdr:to>
    <xdr:sp macro="" textlink="">
      <xdr:nvSpPr>
        <xdr:cNvPr id="259766" name="Text Box 1"/>
        <xdr:cNvSpPr txBox="1">
          <a:spLocks noChangeArrowheads="1"/>
        </xdr:cNvSpPr>
      </xdr:nvSpPr>
      <xdr:spPr bwMode="auto">
        <a:xfrm>
          <a:off x="6591300" y="27593925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76200</xdr:colOff>
      <xdr:row>47</xdr:row>
      <xdr:rowOff>57150</xdr:rowOff>
    </xdr:to>
    <xdr:sp macro="" textlink="">
      <xdr:nvSpPr>
        <xdr:cNvPr id="259767" name="Text Box 1"/>
        <xdr:cNvSpPr txBox="1">
          <a:spLocks noChangeArrowheads="1"/>
        </xdr:cNvSpPr>
      </xdr:nvSpPr>
      <xdr:spPr bwMode="auto">
        <a:xfrm>
          <a:off x="6591300" y="3112770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</xdr:col>
      <xdr:colOff>76200</xdr:colOff>
      <xdr:row>6</xdr:row>
      <xdr:rowOff>57150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67175" y="554355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76200</xdr:colOff>
      <xdr:row>81</xdr:row>
      <xdr:rowOff>57150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4067175" y="32070675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76200</xdr:colOff>
      <xdr:row>80</xdr:row>
      <xdr:rowOff>47625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4067175" y="24526875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76200</xdr:colOff>
      <xdr:row>81</xdr:row>
      <xdr:rowOff>57150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4067175" y="32070675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76200</xdr:colOff>
      <xdr:row>80</xdr:row>
      <xdr:rowOff>47625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4067175" y="25355550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76200</xdr:colOff>
      <xdr:row>81</xdr:row>
      <xdr:rowOff>47625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4067175" y="32070675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76200</xdr:colOff>
      <xdr:row>81</xdr:row>
      <xdr:rowOff>47625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4067175" y="32070675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76200</xdr:colOff>
      <xdr:row>80</xdr:row>
      <xdr:rowOff>47625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4067175" y="27670125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76200</xdr:colOff>
      <xdr:row>81</xdr:row>
      <xdr:rowOff>57150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4067175" y="32070675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76200</xdr:colOff>
      <xdr:row>81</xdr:row>
      <xdr:rowOff>57150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4067175" y="32070675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76200</xdr:colOff>
      <xdr:row>81</xdr:row>
      <xdr:rowOff>47625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4067175" y="32070675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76200</xdr:colOff>
      <xdr:row>80</xdr:row>
      <xdr:rowOff>47625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4067175" y="27670125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76200</xdr:colOff>
      <xdr:row>80</xdr:row>
      <xdr:rowOff>47625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4067175" y="28536900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76200</xdr:colOff>
      <xdr:row>81</xdr:row>
      <xdr:rowOff>57150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4067175" y="32070675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</xdr:col>
      <xdr:colOff>76200</xdr:colOff>
      <xdr:row>6</xdr:row>
      <xdr:rowOff>57150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67175" y="3343275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76200</xdr:colOff>
      <xdr:row>20</xdr:row>
      <xdr:rowOff>57150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4067175" y="2263140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76200</xdr:colOff>
      <xdr:row>19</xdr:row>
      <xdr:rowOff>47625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4067175" y="22326600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76200</xdr:colOff>
      <xdr:row>20</xdr:row>
      <xdr:rowOff>57150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4067175" y="2263140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76200</xdr:colOff>
      <xdr:row>19</xdr:row>
      <xdr:rowOff>47625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4067175" y="22326600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76200</xdr:colOff>
      <xdr:row>20</xdr:row>
      <xdr:rowOff>47625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4067175" y="22631400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76200</xdr:colOff>
      <xdr:row>20</xdr:row>
      <xdr:rowOff>47625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4067175" y="22631400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76200</xdr:colOff>
      <xdr:row>19</xdr:row>
      <xdr:rowOff>47625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4067175" y="22326600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76200</xdr:colOff>
      <xdr:row>20</xdr:row>
      <xdr:rowOff>57150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4067175" y="2263140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76200</xdr:colOff>
      <xdr:row>20</xdr:row>
      <xdr:rowOff>57150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4067175" y="2263140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76200</xdr:colOff>
      <xdr:row>20</xdr:row>
      <xdr:rowOff>47625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4067175" y="22631400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76200</xdr:colOff>
      <xdr:row>19</xdr:row>
      <xdr:rowOff>47625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4067175" y="22326600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76200</xdr:colOff>
      <xdr:row>19</xdr:row>
      <xdr:rowOff>47625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4067175" y="22326600"/>
          <a:ext cx="7620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76200</xdr:colOff>
      <xdr:row>20</xdr:row>
      <xdr:rowOff>57150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4067175" y="2263140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S113"/>
  <sheetViews>
    <sheetView tabSelected="1" topLeftCell="A7" zoomScale="75" zoomScaleNormal="75" workbookViewId="0">
      <selection activeCell="P42" sqref="P42"/>
    </sheetView>
  </sheetViews>
  <sheetFormatPr defaultRowHeight="12.75"/>
  <cols>
    <col min="1" max="1" width="7.7109375" style="7" customWidth="1"/>
    <col min="2" max="2" width="53.28515625" style="2" customWidth="1"/>
    <col min="3" max="3" width="8" style="7" customWidth="1"/>
    <col min="4" max="4" width="11.85546875" style="2" hidden="1" customWidth="1"/>
    <col min="5" max="5" width="9.7109375" style="2" hidden="1" customWidth="1"/>
    <col min="6" max="6" width="11.42578125" style="2" hidden="1" customWidth="1"/>
    <col min="7" max="7" width="9.7109375" style="2" hidden="1" customWidth="1"/>
    <col min="8" max="8" width="14.5703125" style="2" hidden="1" customWidth="1"/>
    <col min="9" max="9" width="15" style="2" hidden="1" customWidth="1"/>
    <col min="10" max="10" width="8.85546875" style="2" customWidth="1"/>
    <col min="11" max="11" width="9.85546875" style="7" hidden="1" customWidth="1"/>
    <col min="12" max="12" width="8.7109375" style="2" hidden="1" customWidth="1"/>
    <col min="13" max="13" width="10.85546875" style="7" hidden="1" customWidth="1"/>
    <col min="14" max="14" width="10.28515625" style="56" hidden="1" customWidth="1"/>
    <col min="15" max="15" width="11.42578125" style="2" bestFit="1" customWidth="1"/>
    <col min="16" max="16" width="17.28515625" style="2" bestFit="1" customWidth="1"/>
    <col min="17" max="17" width="18.42578125" style="2" customWidth="1"/>
    <col min="18" max="16384" width="9.140625" style="2"/>
  </cols>
  <sheetData>
    <row r="1" spans="1:17" s="1" customFormat="1" ht="84" customHeight="1">
      <c r="A1" s="72" t="s">
        <v>123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4"/>
    </row>
    <row r="2" spans="1:17" ht="57" customHeight="1">
      <c r="A2" s="68" t="s">
        <v>26</v>
      </c>
      <c r="B2" s="69" t="s">
        <v>109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75" t="s">
        <v>116</v>
      </c>
      <c r="P2" s="76"/>
      <c r="Q2" s="65" t="s">
        <v>113</v>
      </c>
    </row>
    <row r="3" spans="1:17" ht="23.25" customHeight="1">
      <c r="A3" s="84" t="s">
        <v>0</v>
      </c>
      <c r="B3" s="85" t="s">
        <v>3</v>
      </c>
      <c r="C3" s="84" t="s">
        <v>4</v>
      </c>
      <c r="D3" s="84" t="s">
        <v>98</v>
      </c>
      <c r="E3" s="84"/>
      <c r="F3" s="84"/>
      <c r="G3" s="84"/>
      <c r="H3" s="84" t="s">
        <v>62</v>
      </c>
      <c r="I3" s="84" t="s">
        <v>63</v>
      </c>
      <c r="J3" s="84"/>
      <c r="K3" s="84" t="s">
        <v>99</v>
      </c>
      <c r="L3" s="84"/>
      <c r="M3" s="77" t="s">
        <v>112</v>
      </c>
      <c r="N3" s="79"/>
      <c r="O3" s="77"/>
      <c r="P3" s="78"/>
      <c r="Q3" s="79"/>
    </row>
    <row r="4" spans="1:17" s="3" customFormat="1" ht="14.25" customHeight="1">
      <c r="A4" s="84"/>
      <c r="B4" s="85"/>
      <c r="C4" s="84"/>
      <c r="D4" s="36" t="s">
        <v>41</v>
      </c>
      <c r="E4" s="36" t="s">
        <v>43</v>
      </c>
      <c r="F4" s="36" t="s">
        <v>60</v>
      </c>
      <c r="G4" s="36" t="s">
        <v>61</v>
      </c>
      <c r="H4" s="84"/>
      <c r="I4" s="84"/>
      <c r="J4" s="84"/>
      <c r="K4" s="84"/>
      <c r="L4" s="84"/>
      <c r="M4" s="80"/>
      <c r="N4" s="82"/>
      <c r="O4" s="80"/>
      <c r="P4" s="81"/>
      <c r="Q4" s="82"/>
    </row>
    <row r="5" spans="1:17" s="3" customFormat="1" ht="35.25" customHeight="1">
      <c r="A5" s="36"/>
      <c r="B5" s="37"/>
      <c r="C5" s="36"/>
      <c r="D5" s="36"/>
      <c r="E5" s="36"/>
      <c r="F5" s="36"/>
      <c r="G5" s="36"/>
      <c r="H5" s="36"/>
      <c r="I5" s="36"/>
      <c r="J5" s="26" t="s">
        <v>115</v>
      </c>
      <c r="K5" s="42" t="s">
        <v>110</v>
      </c>
      <c r="L5" s="41" t="s">
        <v>111</v>
      </c>
      <c r="M5" s="36" t="s">
        <v>100</v>
      </c>
      <c r="N5" s="48" t="s">
        <v>101</v>
      </c>
      <c r="O5" s="26" t="s">
        <v>114</v>
      </c>
      <c r="P5" s="26" t="s">
        <v>118</v>
      </c>
      <c r="Q5" s="26"/>
    </row>
    <row r="6" spans="1:17" s="5" customFormat="1" ht="40.5" customHeight="1">
      <c r="A6" s="36" t="s">
        <v>75</v>
      </c>
      <c r="B6" s="71" t="s">
        <v>120</v>
      </c>
      <c r="C6" s="10"/>
      <c r="D6" s="10"/>
      <c r="E6" s="10"/>
      <c r="F6" s="10"/>
      <c r="G6" s="10"/>
      <c r="H6" s="10"/>
      <c r="I6" s="10"/>
      <c r="J6" s="10"/>
      <c r="K6" s="23"/>
      <c r="L6" s="24"/>
      <c r="M6" s="23"/>
      <c r="N6" s="49"/>
      <c r="O6" s="24"/>
      <c r="P6" s="26" t="s">
        <v>119</v>
      </c>
      <c r="Q6" s="24"/>
    </row>
    <row r="7" spans="1:17" s="5" customFormat="1" ht="19.5" customHeight="1">
      <c r="A7" s="9">
        <v>1</v>
      </c>
      <c r="B7" s="15" t="s">
        <v>6</v>
      </c>
      <c r="C7" s="10" t="s">
        <v>1</v>
      </c>
      <c r="D7" s="10"/>
      <c r="E7" s="10"/>
      <c r="F7" s="10"/>
      <c r="G7" s="10"/>
      <c r="H7" s="10">
        <v>12</v>
      </c>
      <c r="I7" s="10"/>
      <c r="J7" s="10">
        <f>D7+E7+F7+G7+H7+I7</f>
        <v>12</v>
      </c>
      <c r="K7" s="43"/>
      <c r="L7" s="30"/>
      <c r="M7" s="23"/>
      <c r="N7" s="49"/>
      <c r="O7" s="23">
        <v>12</v>
      </c>
      <c r="P7" s="23">
        <v>12</v>
      </c>
      <c r="Q7" s="38"/>
    </row>
    <row r="8" spans="1:17" s="5" customFormat="1" ht="19.5" customHeight="1">
      <c r="A8" s="9">
        <v>2</v>
      </c>
      <c r="B8" s="15" t="s">
        <v>5</v>
      </c>
      <c r="C8" s="10" t="s">
        <v>1</v>
      </c>
      <c r="D8" s="10">
        <v>48</v>
      </c>
      <c r="E8" s="10"/>
      <c r="F8" s="10"/>
      <c r="G8" s="10"/>
      <c r="H8" s="10">
        <v>234</v>
      </c>
      <c r="I8" s="10">
        <v>18</v>
      </c>
      <c r="J8" s="10">
        <f t="shared" ref="J8:J14" si="0">D8+E8+F8+G8+H8+I8</f>
        <v>300</v>
      </c>
      <c r="K8" s="43">
        <f>1804.11</f>
        <v>1804.11</v>
      </c>
      <c r="L8" s="31">
        <f>551.16</f>
        <v>551.16</v>
      </c>
      <c r="M8" s="25">
        <v>0.15</v>
      </c>
      <c r="N8" s="50">
        <v>0.2</v>
      </c>
      <c r="O8" s="23">
        <v>300</v>
      </c>
      <c r="P8" s="23">
        <v>300</v>
      </c>
      <c r="Q8" s="38"/>
    </row>
    <row r="9" spans="1:17" s="5" customFormat="1" ht="19.5" customHeight="1">
      <c r="A9" s="9">
        <v>3</v>
      </c>
      <c r="B9" s="15" t="s">
        <v>11</v>
      </c>
      <c r="C9" s="10" t="s">
        <v>1</v>
      </c>
      <c r="D9" s="16">
        <v>18</v>
      </c>
      <c r="E9" s="16">
        <v>30</v>
      </c>
      <c r="F9" s="16">
        <v>30</v>
      </c>
      <c r="G9" s="16">
        <v>30</v>
      </c>
      <c r="H9" s="16"/>
      <c r="I9" s="16">
        <v>54</v>
      </c>
      <c r="J9" s="10">
        <f t="shared" si="0"/>
        <v>162</v>
      </c>
      <c r="K9" s="43">
        <f>1262.38</f>
        <v>1262.3800000000001</v>
      </c>
      <c r="L9" s="31">
        <f>367.44</f>
        <v>367.44</v>
      </c>
      <c r="M9" s="25">
        <v>0.15</v>
      </c>
      <c r="N9" s="50">
        <v>0.2</v>
      </c>
      <c r="O9" s="23">
        <v>162</v>
      </c>
      <c r="P9" s="23">
        <v>162</v>
      </c>
      <c r="Q9" s="38"/>
    </row>
    <row r="10" spans="1:17" s="3" customFormat="1" ht="19.5" customHeight="1">
      <c r="A10" s="9">
        <v>4</v>
      </c>
      <c r="B10" s="15" t="s">
        <v>12</v>
      </c>
      <c r="C10" s="10" t="s">
        <v>1</v>
      </c>
      <c r="D10" s="9">
        <v>12</v>
      </c>
      <c r="E10" s="9">
        <v>9</v>
      </c>
      <c r="F10" s="9">
        <v>9</v>
      </c>
      <c r="G10" s="9">
        <v>9</v>
      </c>
      <c r="H10" s="9">
        <v>1320</v>
      </c>
      <c r="I10" s="9">
        <v>12</v>
      </c>
      <c r="J10" s="10">
        <f t="shared" si="0"/>
        <v>1371</v>
      </c>
      <c r="K10" s="43">
        <f>1658.45</f>
        <v>1658.45</v>
      </c>
      <c r="L10" s="32">
        <f>275.58</f>
        <v>275.58</v>
      </c>
      <c r="M10" s="25" t="e">
        <f>(#REF!-K10)/K10</f>
        <v>#REF!</v>
      </c>
      <c r="N10" s="50">
        <v>0.2</v>
      </c>
      <c r="O10" s="29">
        <v>1362</v>
      </c>
      <c r="P10" s="29">
        <v>1362</v>
      </c>
      <c r="Q10" s="38"/>
    </row>
    <row r="11" spans="1:17" s="3" customFormat="1" ht="19.5" customHeight="1">
      <c r="A11" s="9">
        <v>5</v>
      </c>
      <c r="B11" s="15" t="s">
        <v>42</v>
      </c>
      <c r="C11" s="10" t="s">
        <v>1</v>
      </c>
      <c r="D11" s="9">
        <v>18</v>
      </c>
      <c r="E11" s="9">
        <v>24</v>
      </c>
      <c r="F11" s="9">
        <v>24</v>
      </c>
      <c r="G11" s="9">
        <v>24</v>
      </c>
      <c r="H11" s="9"/>
      <c r="I11" s="9">
        <v>12</v>
      </c>
      <c r="J11" s="10">
        <f t="shared" si="0"/>
        <v>102</v>
      </c>
      <c r="K11" s="43">
        <f>823.02</f>
        <v>823.02</v>
      </c>
      <c r="L11" s="32">
        <f>229.65</f>
        <v>229.65</v>
      </c>
      <c r="M11" s="25">
        <v>0.15</v>
      </c>
      <c r="N11" s="50">
        <v>0.2</v>
      </c>
      <c r="O11" s="29">
        <v>90</v>
      </c>
      <c r="P11" s="29">
        <v>90</v>
      </c>
      <c r="Q11" s="38"/>
    </row>
    <row r="12" spans="1:17" s="3" customFormat="1" ht="19.5" customHeight="1">
      <c r="A12" s="9">
        <v>6</v>
      </c>
      <c r="B12" s="15" t="s">
        <v>13</v>
      </c>
      <c r="C12" s="10" t="s">
        <v>1</v>
      </c>
      <c r="D12" s="9">
        <v>18</v>
      </c>
      <c r="E12" s="9">
        <v>12</v>
      </c>
      <c r="F12" s="9">
        <v>12</v>
      </c>
      <c r="G12" s="9">
        <v>12</v>
      </c>
      <c r="H12" s="9">
        <v>12</v>
      </c>
      <c r="I12" s="9">
        <f>17+10</f>
        <v>27</v>
      </c>
      <c r="J12" s="10">
        <f t="shared" si="0"/>
        <v>93</v>
      </c>
      <c r="K12" s="43">
        <f>604.84</f>
        <v>604.84</v>
      </c>
      <c r="L12" s="32">
        <f>183.72</f>
        <v>183.72</v>
      </c>
      <c r="M12" s="25">
        <v>0.15</v>
      </c>
      <c r="N12" s="50">
        <v>0.2</v>
      </c>
      <c r="O12" s="29">
        <v>78</v>
      </c>
      <c r="P12" s="29">
        <v>78</v>
      </c>
      <c r="Q12" s="38"/>
    </row>
    <row r="13" spans="1:17" s="3" customFormat="1" ht="19.5" customHeight="1">
      <c r="A13" s="9">
        <v>7</v>
      </c>
      <c r="B13" s="15" t="s">
        <v>14</v>
      </c>
      <c r="C13" s="10" t="s">
        <v>1</v>
      </c>
      <c r="D13" s="9">
        <f>18*4+25</f>
        <v>97</v>
      </c>
      <c r="E13" s="9">
        <f>50+10+36+25</f>
        <v>121</v>
      </c>
      <c r="F13" s="9">
        <f>50+10+36+25</f>
        <v>121</v>
      </c>
      <c r="G13" s="9">
        <f>50+10+36+25</f>
        <v>121</v>
      </c>
      <c r="H13" s="9"/>
      <c r="I13" s="9">
        <v>240</v>
      </c>
      <c r="J13" s="10">
        <f t="shared" si="0"/>
        <v>700</v>
      </c>
      <c r="K13" s="43">
        <f>428.68</f>
        <v>428.68</v>
      </c>
      <c r="L13" s="32">
        <f>114.82</f>
        <v>114.82</v>
      </c>
      <c r="M13" s="25">
        <v>0.15</v>
      </c>
      <c r="N13" s="50">
        <v>0.2</v>
      </c>
      <c r="O13" s="29">
        <v>498</v>
      </c>
      <c r="P13" s="29">
        <v>498</v>
      </c>
      <c r="Q13" s="38"/>
    </row>
    <row r="14" spans="1:17" s="3" customFormat="1" ht="20.25" customHeight="1">
      <c r="A14" s="9">
        <v>8</v>
      </c>
      <c r="B14" s="15" t="s">
        <v>7</v>
      </c>
      <c r="C14" s="10" t="s">
        <v>1</v>
      </c>
      <c r="D14" s="9">
        <f>18*7+18</f>
        <v>144</v>
      </c>
      <c r="E14" s="9">
        <f>18+6+8+54+24+40</f>
        <v>150</v>
      </c>
      <c r="F14" s="9">
        <f>18+6+8+54+24+40</f>
        <v>150</v>
      </c>
      <c r="G14" s="9">
        <f>18+6+8+54+24+40</f>
        <v>150</v>
      </c>
      <c r="H14" s="9">
        <v>12</v>
      </c>
      <c r="I14" s="9">
        <v>126</v>
      </c>
      <c r="J14" s="10">
        <f t="shared" si="0"/>
        <v>732</v>
      </c>
      <c r="K14" s="43">
        <f>342.74</f>
        <v>342.74</v>
      </c>
      <c r="L14" s="32">
        <f>109.08</f>
        <v>109.08</v>
      </c>
      <c r="M14" s="25">
        <v>0.25</v>
      </c>
      <c r="N14" s="50">
        <v>0.26</v>
      </c>
      <c r="O14" s="29">
        <v>762</v>
      </c>
      <c r="P14" s="29">
        <v>762</v>
      </c>
      <c r="Q14" s="38"/>
    </row>
    <row r="15" spans="1:17" s="3" customFormat="1" ht="20.25" customHeight="1">
      <c r="A15" s="9"/>
      <c r="B15" s="15"/>
      <c r="C15" s="10"/>
      <c r="D15" s="9"/>
      <c r="E15" s="9"/>
      <c r="F15" s="9"/>
      <c r="G15" s="9"/>
      <c r="H15" s="9"/>
      <c r="I15" s="9"/>
      <c r="J15" s="10"/>
      <c r="K15" s="43"/>
      <c r="L15" s="32"/>
      <c r="M15" s="25"/>
      <c r="N15" s="50"/>
      <c r="O15" s="29"/>
      <c r="P15" s="23"/>
      <c r="Q15" s="38"/>
    </row>
    <row r="16" spans="1:17" s="3" customFormat="1" ht="27.75" customHeight="1">
      <c r="A16" s="8" t="s">
        <v>88</v>
      </c>
      <c r="B16" s="71" t="s">
        <v>124</v>
      </c>
      <c r="C16" s="9"/>
      <c r="D16" s="36"/>
      <c r="E16" s="36"/>
      <c r="F16" s="36"/>
      <c r="G16" s="36"/>
      <c r="H16" s="36"/>
      <c r="I16" s="36"/>
      <c r="J16" s="10"/>
      <c r="K16" s="43"/>
      <c r="L16" s="31"/>
      <c r="M16" s="25"/>
      <c r="N16" s="50"/>
      <c r="O16" s="62"/>
      <c r="P16" s="23"/>
      <c r="Q16" s="38"/>
    </row>
    <row r="17" spans="1:17" s="3" customFormat="1" ht="22.5" customHeight="1">
      <c r="A17" s="8">
        <v>1</v>
      </c>
      <c r="B17" s="15" t="s">
        <v>69</v>
      </c>
      <c r="C17" s="10" t="s">
        <v>2</v>
      </c>
      <c r="D17" s="36"/>
      <c r="E17" s="36"/>
      <c r="F17" s="36"/>
      <c r="G17" s="36"/>
      <c r="H17" s="10">
        <v>435</v>
      </c>
      <c r="I17" s="36"/>
      <c r="J17" s="10">
        <f t="shared" ref="J17:J47" si="1">D17+E17+F17+G17+H17+I17</f>
        <v>435</v>
      </c>
      <c r="K17" s="43">
        <f>898.5</f>
        <v>898.5</v>
      </c>
      <c r="L17" s="31">
        <f>86.12</f>
        <v>86.12</v>
      </c>
      <c r="M17" s="39">
        <v>0.05</v>
      </c>
      <c r="N17" s="50"/>
      <c r="O17" s="23">
        <v>426</v>
      </c>
      <c r="P17" s="23">
        <f>426</f>
        <v>426</v>
      </c>
      <c r="Q17" s="38"/>
    </row>
    <row r="18" spans="1:17" s="3" customFormat="1" ht="20.25" customHeight="1">
      <c r="A18" s="21">
        <v>2</v>
      </c>
      <c r="B18" s="15" t="s">
        <v>68</v>
      </c>
      <c r="C18" s="10" t="s">
        <v>2</v>
      </c>
      <c r="D18" s="10">
        <v>81</v>
      </c>
      <c r="E18" s="10">
        <v>92</v>
      </c>
      <c r="F18" s="10">
        <v>92</v>
      </c>
      <c r="G18" s="10">
        <v>92</v>
      </c>
      <c r="H18" s="10"/>
      <c r="I18" s="10">
        <v>150</v>
      </c>
      <c r="J18" s="10">
        <f t="shared" si="1"/>
        <v>507</v>
      </c>
      <c r="K18" s="43">
        <f>898.5</f>
        <v>898.5</v>
      </c>
      <c r="L18" s="31">
        <f>86.12</f>
        <v>86.12</v>
      </c>
      <c r="M18" s="39">
        <v>0.05</v>
      </c>
      <c r="N18" s="50"/>
      <c r="O18" s="29">
        <v>498</v>
      </c>
      <c r="P18" s="29">
        <f>498</f>
        <v>498</v>
      </c>
      <c r="Q18" s="38"/>
    </row>
    <row r="19" spans="1:17" s="3" customFormat="1" ht="20.25" customHeight="1">
      <c r="A19" s="21"/>
      <c r="B19" s="15"/>
      <c r="C19" s="10"/>
      <c r="D19" s="10"/>
      <c r="E19" s="10"/>
      <c r="F19" s="10"/>
      <c r="G19" s="10"/>
      <c r="H19" s="10"/>
      <c r="I19" s="10"/>
      <c r="J19" s="10"/>
      <c r="K19" s="43"/>
      <c r="L19" s="31"/>
      <c r="M19" s="39"/>
      <c r="N19" s="50"/>
      <c r="O19" s="29"/>
      <c r="P19" s="29"/>
      <c r="Q19" s="38"/>
    </row>
    <row r="20" spans="1:17" s="3" customFormat="1" ht="32.25" customHeight="1">
      <c r="A20" s="8" t="s">
        <v>89</v>
      </c>
      <c r="B20" s="71" t="s">
        <v>125</v>
      </c>
      <c r="C20" s="10"/>
      <c r="D20" s="10"/>
      <c r="E20" s="10"/>
      <c r="F20" s="10"/>
      <c r="G20" s="10"/>
      <c r="H20" s="10"/>
      <c r="I20" s="10"/>
      <c r="J20" s="10"/>
      <c r="K20" s="47"/>
      <c r="L20" s="32"/>
      <c r="M20" s="29"/>
      <c r="N20" s="55"/>
      <c r="O20" s="62"/>
      <c r="P20" s="29"/>
      <c r="Q20" s="38"/>
    </row>
    <row r="21" spans="1:17" s="5" customFormat="1" ht="22.5" customHeight="1">
      <c r="A21" s="21">
        <v>1</v>
      </c>
      <c r="B21" s="15" t="s">
        <v>11</v>
      </c>
      <c r="C21" s="10" t="s">
        <v>2</v>
      </c>
      <c r="D21" s="10">
        <v>1</v>
      </c>
      <c r="E21" s="10">
        <v>1</v>
      </c>
      <c r="F21" s="10">
        <v>1</v>
      </c>
      <c r="G21" s="10">
        <v>1</v>
      </c>
      <c r="H21" s="10"/>
      <c r="I21" s="10"/>
      <c r="J21" s="10">
        <f t="shared" si="1"/>
        <v>4</v>
      </c>
      <c r="K21" s="43">
        <f>6530.63</f>
        <v>6530.63</v>
      </c>
      <c r="L21" s="31">
        <f>328.95</f>
        <v>328.95</v>
      </c>
      <c r="M21" s="39">
        <v>0.05</v>
      </c>
      <c r="N21" s="50">
        <v>0.4</v>
      </c>
      <c r="O21" s="23">
        <v>4</v>
      </c>
      <c r="P21" s="29">
        <f>4</f>
        <v>4</v>
      </c>
      <c r="Q21" s="38"/>
    </row>
    <row r="22" spans="1:17" s="5" customFormat="1" ht="22.5" customHeight="1">
      <c r="A22" s="21"/>
      <c r="B22" s="15"/>
      <c r="C22" s="10"/>
      <c r="D22" s="10"/>
      <c r="E22" s="10"/>
      <c r="F22" s="10"/>
      <c r="G22" s="10"/>
      <c r="H22" s="10"/>
      <c r="I22" s="10"/>
      <c r="J22" s="10"/>
      <c r="K22" s="43"/>
      <c r="L22" s="31"/>
      <c r="M22" s="39"/>
      <c r="N22" s="50"/>
      <c r="O22" s="23"/>
      <c r="P22" s="29"/>
      <c r="Q22" s="38"/>
    </row>
    <row r="23" spans="1:17" s="5" customFormat="1" ht="29.25" customHeight="1">
      <c r="A23" s="22" t="s">
        <v>90</v>
      </c>
      <c r="B23" s="71" t="s">
        <v>126</v>
      </c>
      <c r="C23" s="10"/>
      <c r="D23" s="10"/>
      <c r="E23" s="10"/>
      <c r="F23" s="10"/>
      <c r="G23" s="10"/>
      <c r="H23" s="10"/>
      <c r="I23" s="10"/>
      <c r="J23" s="10"/>
      <c r="K23" s="43"/>
      <c r="L23" s="31"/>
      <c r="M23" s="23"/>
      <c r="N23" s="49"/>
      <c r="O23" s="23"/>
      <c r="P23" s="23"/>
      <c r="Q23" s="38"/>
    </row>
    <row r="24" spans="1:17" s="5" customFormat="1" ht="22.5" customHeight="1">
      <c r="A24" s="21">
        <v>1</v>
      </c>
      <c r="B24" s="15" t="s">
        <v>6</v>
      </c>
      <c r="C24" s="10" t="s">
        <v>2</v>
      </c>
      <c r="D24" s="10"/>
      <c r="E24" s="10"/>
      <c r="F24" s="10"/>
      <c r="G24" s="10"/>
      <c r="H24" s="10">
        <v>1</v>
      </c>
      <c r="I24" s="10"/>
      <c r="J24" s="10">
        <f t="shared" si="1"/>
        <v>1</v>
      </c>
      <c r="K24" s="43"/>
      <c r="L24" s="31"/>
      <c r="M24" s="23"/>
      <c r="N24" s="49"/>
      <c r="O24" s="23">
        <v>0</v>
      </c>
      <c r="P24" s="23">
        <f>0</f>
        <v>0</v>
      </c>
      <c r="Q24" s="38"/>
    </row>
    <row r="25" spans="1:17" s="5" customFormat="1" ht="18" customHeight="1">
      <c r="A25" s="21">
        <v>2</v>
      </c>
      <c r="B25" s="15" t="s">
        <v>5</v>
      </c>
      <c r="C25" s="10" t="s">
        <v>2</v>
      </c>
      <c r="D25" s="10"/>
      <c r="E25" s="10"/>
      <c r="F25" s="10"/>
      <c r="G25" s="10"/>
      <c r="H25" s="10"/>
      <c r="I25" s="10">
        <v>1</v>
      </c>
      <c r="J25" s="10">
        <f t="shared" si="1"/>
        <v>1</v>
      </c>
      <c r="K25" s="43"/>
      <c r="L25" s="31"/>
      <c r="M25" s="25"/>
      <c r="N25" s="50"/>
      <c r="O25" s="23">
        <v>0</v>
      </c>
      <c r="P25" s="23">
        <f>0</f>
        <v>0</v>
      </c>
      <c r="Q25" s="38"/>
    </row>
    <row r="26" spans="1:17" s="5" customFormat="1" ht="20.25" customHeight="1">
      <c r="A26" s="21">
        <v>3</v>
      </c>
      <c r="B26" s="15" t="s">
        <v>11</v>
      </c>
      <c r="C26" s="10" t="s">
        <v>2</v>
      </c>
      <c r="D26" s="10">
        <v>1</v>
      </c>
      <c r="E26" s="10">
        <v>1</v>
      </c>
      <c r="F26" s="10">
        <v>1</v>
      </c>
      <c r="G26" s="10">
        <v>1</v>
      </c>
      <c r="H26" s="10"/>
      <c r="I26" s="10"/>
      <c r="J26" s="10">
        <f t="shared" si="1"/>
        <v>4</v>
      </c>
      <c r="K26" s="43">
        <f>5272.88</f>
        <v>5272.88</v>
      </c>
      <c r="L26" s="31">
        <f>328.95</f>
        <v>328.95</v>
      </c>
      <c r="M26" s="39">
        <v>0.05</v>
      </c>
      <c r="N26" s="50">
        <v>0.4</v>
      </c>
      <c r="O26" s="23">
        <v>4</v>
      </c>
      <c r="P26" s="29">
        <v>4</v>
      </c>
      <c r="Q26" s="38"/>
    </row>
    <row r="27" spans="1:17" s="5" customFormat="1" ht="20.25" customHeight="1">
      <c r="A27" s="21"/>
      <c r="B27" s="15"/>
      <c r="C27" s="10"/>
      <c r="D27" s="10"/>
      <c r="E27" s="10"/>
      <c r="F27" s="10"/>
      <c r="G27" s="10"/>
      <c r="H27" s="10"/>
      <c r="I27" s="10"/>
      <c r="J27" s="10"/>
      <c r="K27" s="43"/>
      <c r="L27" s="31"/>
      <c r="M27" s="39"/>
      <c r="N27" s="50"/>
      <c r="O27" s="23"/>
      <c r="P27" s="29"/>
      <c r="Q27" s="38"/>
    </row>
    <row r="28" spans="1:17" s="5" customFormat="1" ht="31.5" customHeight="1">
      <c r="A28" s="8" t="s">
        <v>91</v>
      </c>
      <c r="B28" s="71" t="s">
        <v>127</v>
      </c>
      <c r="C28" s="10"/>
      <c r="D28" s="10"/>
      <c r="E28" s="10"/>
      <c r="F28" s="10"/>
      <c r="G28" s="10"/>
      <c r="H28" s="10"/>
      <c r="I28" s="10"/>
      <c r="J28" s="10"/>
      <c r="K28" s="43"/>
      <c r="L28" s="31"/>
      <c r="M28" s="23"/>
      <c r="N28" s="49"/>
      <c r="O28" s="24"/>
      <c r="P28" s="29"/>
      <c r="Q28" s="38"/>
    </row>
    <row r="29" spans="1:17" s="5" customFormat="1" ht="21.75" customHeight="1">
      <c r="A29" s="21">
        <v>1</v>
      </c>
      <c r="B29" s="15" t="s">
        <v>7</v>
      </c>
      <c r="C29" s="10" t="s">
        <v>2</v>
      </c>
      <c r="D29" s="10">
        <f>1</f>
        <v>1</v>
      </c>
      <c r="E29" s="10">
        <f>1</f>
        <v>1</v>
      </c>
      <c r="F29" s="10">
        <f>1</f>
        <v>1</v>
      </c>
      <c r="G29" s="10">
        <f>1</f>
        <v>1</v>
      </c>
      <c r="H29" s="10">
        <v>1</v>
      </c>
      <c r="I29" s="10">
        <v>1</v>
      </c>
      <c r="J29" s="10">
        <f t="shared" si="1"/>
        <v>6</v>
      </c>
      <c r="K29" s="43">
        <f>435.38</f>
        <v>435.38</v>
      </c>
      <c r="L29" s="31">
        <f>138.87</f>
        <v>138.87</v>
      </c>
      <c r="M29" s="25">
        <v>0.1</v>
      </c>
      <c r="N29" s="50">
        <v>0.1</v>
      </c>
      <c r="O29" s="23">
        <v>6</v>
      </c>
      <c r="P29" s="29">
        <f>6</f>
        <v>6</v>
      </c>
      <c r="Q29" s="38"/>
    </row>
    <row r="30" spans="1:17" s="5" customFormat="1" ht="21.75" customHeight="1">
      <c r="A30" s="21"/>
      <c r="B30" s="15"/>
      <c r="C30" s="10"/>
      <c r="D30" s="10"/>
      <c r="E30" s="10"/>
      <c r="F30" s="10"/>
      <c r="G30" s="10"/>
      <c r="H30" s="10"/>
      <c r="I30" s="10"/>
      <c r="J30" s="10"/>
      <c r="K30" s="43"/>
      <c r="L30" s="31"/>
      <c r="M30" s="25"/>
      <c r="N30" s="50"/>
      <c r="O30" s="23"/>
      <c r="P30" s="29"/>
      <c r="Q30" s="38"/>
    </row>
    <row r="31" spans="1:17" s="3" customFormat="1" ht="26.25" customHeight="1">
      <c r="A31" s="22" t="s">
        <v>92</v>
      </c>
      <c r="B31" s="71" t="s">
        <v>128</v>
      </c>
      <c r="C31" s="10"/>
      <c r="D31" s="10"/>
      <c r="E31" s="10"/>
      <c r="F31" s="10"/>
      <c r="G31" s="10"/>
      <c r="H31" s="10"/>
      <c r="I31" s="10"/>
      <c r="J31" s="10"/>
      <c r="K31" s="47"/>
      <c r="L31" s="32"/>
      <c r="M31" s="29"/>
      <c r="N31" s="55"/>
      <c r="O31" s="62"/>
      <c r="P31" s="23"/>
      <c r="Q31" s="38"/>
    </row>
    <row r="32" spans="1:17" s="5" customFormat="1" ht="24" customHeight="1">
      <c r="A32" s="21">
        <v>1</v>
      </c>
      <c r="B32" s="15" t="s">
        <v>6</v>
      </c>
      <c r="C32" s="10" t="s">
        <v>2</v>
      </c>
      <c r="D32" s="10"/>
      <c r="E32" s="10"/>
      <c r="F32" s="10"/>
      <c r="G32" s="10"/>
      <c r="H32" s="10">
        <v>1</v>
      </c>
      <c r="I32" s="10"/>
      <c r="J32" s="10">
        <f t="shared" si="1"/>
        <v>1</v>
      </c>
      <c r="K32" s="43"/>
      <c r="L32" s="31"/>
      <c r="M32" s="25"/>
      <c r="N32" s="50"/>
      <c r="O32" s="23">
        <v>1</v>
      </c>
      <c r="P32" s="23">
        <v>1</v>
      </c>
      <c r="Q32" s="38"/>
    </row>
    <row r="33" spans="1:19" s="5" customFormat="1" ht="18.75" customHeight="1">
      <c r="A33" s="21">
        <v>2</v>
      </c>
      <c r="B33" s="15" t="s">
        <v>5</v>
      </c>
      <c r="C33" s="10" t="s">
        <v>2</v>
      </c>
      <c r="D33" s="10">
        <v>1</v>
      </c>
      <c r="E33" s="10"/>
      <c r="F33" s="10"/>
      <c r="G33" s="10"/>
      <c r="H33" s="10"/>
      <c r="I33" s="10">
        <v>1</v>
      </c>
      <c r="J33" s="10">
        <f t="shared" si="1"/>
        <v>2</v>
      </c>
      <c r="K33" s="43">
        <f>54106</f>
        <v>54106</v>
      </c>
      <c r="L33" s="31">
        <f>2870.62</f>
        <v>2870.62</v>
      </c>
      <c r="M33" s="39"/>
      <c r="N33" s="50"/>
      <c r="O33" s="23">
        <v>2</v>
      </c>
      <c r="P33" s="23">
        <v>2</v>
      </c>
      <c r="Q33" s="38"/>
    </row>
    <row r="34" spans="1:19" s="5" customFormat="1" ht="18.75" customHeight="1">
      <c r="A34" s="21"/>
      <c r="B34" s="15"/>
      <c r="C34" s="10"/>
      <c r="D34" s="10"/>
      <c r="E34" s="10"/>
      <c r="F34" s="10"/>
      <c r="G34" s="10"/>
      <c r="H34" s="10"/>
      <c r="I34" s="10"/>
      <c r="J34" s="10"/>
      <c r="K34" s="43"/>
      <c r="L34" s="31"/>
      <c r="M34" s="39"/>
      <c r="N34" s="50"/>
      <c r="O34" s="23"/>
      <c r="P34" s="29"/>
      <c r="Q34" s="38"/>
    </row>
    <row r="35" spans="1:19" s="3" customFormat="1" ht="28.5" customHeight="1">
      <c r="A35" s="22" t="s">
        <v>93</v>
      </c>
      <c r="B35" s="71" t="s">
        <v>129</v>
      </c>
      <c r="C35" s="10"/>
      <c r="D35" s="10"/>
      <c r="E35" s="10"/>
      <c r="F35" s="10"/>
      <c r="G35" s="10"/>
      <c r="H35" s="10"/>
      <c r="I35" s="10"/>
      <c r="J35" s="10"/>
      <c r="K35" s="47"/>
      <c r="L35" s="32"/>
      <c r="M35" s="29"/>
      <c r="N35" s="55"/>
      <c r="O35" s="62"/>
      <c r="P35" s="29"/>
      <c r="Q35" s="38"/>
    </row>
    <row r="36" spans="1:19" s="3" customFormat="1" ht="24.75" customHeight="1">
      <c r="A36" s="21">
        <v>1</v>
      </c>
      <c r="B36" s="15" t="s">
        <v>6</v>
      </c>
      <c r="C36" s="10" t="s">
        <v>10</v>
      </c>
      <c r="D36" s="10"/>
      <c r="E36" s="10"/>
      <c r="F36" s="10"/>
      <c r="G36" s="10"/>
      <c r="H36" s="10">
        <v>1</v>
      </c>
      <c r="I36" s="10"/>
      <c r="J36" s="10">
        <f t="shared" si="1"/>
        <v>1</v>
      </c>
      <c r="K36" s="43">
        <f>18885.21</f>
        <v>18885.21</v>
      </c>
      <c r="L36" s="31">
        <f>918.6</f>
        <v>918.6</v>
      </c>
      <c r="M36" s="25">
        <v>0.1</v>
      </c>
      <c r="N36" s="50">
        <v>0.3</v>
      </c>
      <c r="O36" s="23">
        <v>1</v>
      </c>
      <c r="P36" s="29">
        <v>1</v>
      </c>
      <c r="Q36" s="38"/>
    </row>
    <row r="37" spans="1:19" s="3" customFormat="1" ht="25.5" customHeight="1">
      <c r="A37" s="21">
        <v>2</v>
      </c>
      <c r="B37" s="15" t="s">
        <v>5</v>
      </c>
      <c r="C37" s="10" t="s">
        <v>10</v>
      </c>
      <c r="D37" s="10">
        <v>1</v>
      </c>
      <c r="E37" s="10"/>
      <c r="F37" s="10"/>
      <c r="G37" s="10"/>
      <c r="H37" s="10"/>
      <c r="I37" s="10">
        <v>1</v>
      </c>
      <c r="J37" s="10">
        <f t="shared" si="1"/>
        <v>2</v>
      </c>
      <c r="K37" s="43">
        <f>12413.97</f>
        <v>12413.97</v>
      </c>
      <c r="L37" s="31">
        <f>688.95</f>
        <v>688.95</v>
      </c>
      <c r="M37" s="25">
        <v>0.1</v>
      </c>
      <c r="N37" s="50">
        <v>0.3</v>
      </c>
      <c r="O37" s="23">
        <v>2</v>
      </c>
      <c r="P37" s="29">
        <v>2</v>
      </c>
      <c r="Q37" s="38"/>
    </row>
    <row r="38" spans="1:19" s="3" customFormat="1" ht="25.5" customHeight="1">
      <c r="A38" s="21"/>
      <c r="B38" s="15"/>
      <c r="C38" s="10"/>
      <c r="D38" s="10"/>
      <c r="E38" s="10"/>
      <c r="F38" s="10"/>
      <c r="G38" s="10"/>
      <c r="H38" s="10"/>
      <c r="I38" s="10"/>
      <c r="J38" s="10"/>
      <c r="K38" s="43"/>
      <c r="L38" s="31"/>
      <c r="M38" s="25"/>
      <c r="N38" s="50"/>
      <c r="O38" s="23"/>
      <c r="P38" s="29"/>
      <c r="Q38" s="38"/>
    </row>
    <row r="39" spans="1:19" s="3" customFormat="1" ht="25.5" customHeight="1">
      <c r="A39" s="22" t="s">
        <v>94</v>
      </c>
      <c r="B39" s="71" t="s">
        <v>130</v>
      </c>
      <c r="C39" s="10"/>
      <c r="D39" s="10"/>
      <c r="E39" s="10"/>
      <c r="F39" s="10"/>
      <c r="G39" s="10"/>
      <c r="H39" s="10"/>
      <c r="I39" s="10"/>
      <c r="J39" s="10"/>
      <c r="K39" s="47"/>
      <c r="L39" s="32"/>
      <c r="M39" s="29"/>
      <c r="N39" s="55"/>
      <c r="O39" s="62"/>
      <c r="P39" s="23"/>
      <c r="Q39" s="38"/>
    </row>
    <row r="40" spans="1:19" s="3" customFormat="1" ht="22.5" customHeight="1">
      <c r="A40" s="21">
        <v>1</v>
      </c>
      <c r="B40" s="15" t="s">
        <v>47</v>
      </c>
      <c r="C40" s="10" t="s">
        <v>10</v>
      </c>
      <c r="D40" s="10">
        <v>1</v>
      </c>
      <c r="E40" s="10">
        <f>1</f>
        <v>1</v>
      </c>
      <c r="F40" s="10">
        <f>1</f>
        <v>1</v>
      </c>
      <c r="G40" s="10">
        <f>1</f>
        <v>1</v>
      </c>
      <c r="H40" s="10">
        <v>1</v>
      </c>
      <c r="I40" s="10">
        <v>1</v>
      </c>
      <c r="J40" s="10">
        <f t="shared" si="1"/>
        <v>6</v>
      </c>
      <c r="K40" s="43">
        <f>1413.35</f>
        <v>1413.35</v>
      </c>
      <c r="L40" s="31">
        <f>172.24</f>
        <v>172.24</v>
      </c>
      <c r="M40" s="25">
        <v>0.1</v>
      </c>
      <c r="N40" s="50">
        <v>0.4</v>
      </c>
      <c r="O40" s="23">
        <v>6</v>
      </c>
      <c r="P40" s="23">
        <v>6</v>
      </c>
      <c r="Q40" s="38"/>
    </row>
    <row r="41" spans="1:19" s="3" customFormat="1" ht="22.5" customHeight="1">
      <c r="A41" s="21"/>
      <c r="B41" s="15"/>
      <c r="C41" s="10"/>
      <c r="D41" s="10"/>
      <c r="E41" s="10"/>
      <c r="F41" s="10"/>
      <c r="G41" s="10"/>
      <c r="H41" s="10"/>
      <c r="I41" s="10"/>
      <c r="J41" s="10"/>
      <c r="K41" s="43"/>
      <c r="L41" s="31"/>
      <c r="M41" s="25"/>
      <c r="N41" s="50"/>
      <c r="O41" s="23"/>
      <c r="P41" s="23"/>
      <c r="Q41" s="38"/>
      <c r="S41" s="3">
        <f>2130*87.5%</f>
        <v>1863.75</v>
      </c>
    </row>
    <row r="42" spans="1:19" s="3" customFormat="1" ht="42" customHeight="1">
      <c r="A42" s="22" t="s">
        <v>95</v>
      </c>
      <c r="B42" s="71" t="s">
        <v>121</v>
      </c>
      <c r="C42" s="10" t="s">
        <v>10</v>
      </c>
      <c r="D42" s="10">
        <v>1</v>
      </c>
      <c r="E42" s="10"/>
      <c r="F42" s="10"/>
      <c r="G42" s="10"/>
      <c r="H42" s="10">
        <v>1</v>
      </c>
      <c r="I42" s="10">
        <v>1</v>
      </c>
      <c r="J42" s="10">
        <f t="shared" si="1"/>
        <v>3</v>
      </c>
      <c r="K42" s="43">
        <f>1430.72</f>
        <v>1430.72</v>
      </c>
      <c r="L42" s="31">
        <f>114.82</f>
        <v>114.82</v>
      </c>
      <c r="M42" s="25">
        <v>0.1</v>
      </c>
      <c r="N42" s="50">
        <v>0.4</v>
      </c>
      <c r="O42" s="10">
        <v>3</v>
      </c>
      <c r="P42" s="29">
        <v>3</v>
      </c>
      <c r="Q42" s="38"/>
    </row>
    <row r="43" spans="1:19" s="3" customFormat="1" ht="18" customHeight="1">
      <c r="A43" s="22"/>
      <c r="B43" s="19"/>
      <c r="C43" s="10"/>
      <c r="D43" s="10"/>
      <c r="E43" s="10"/>
      <c r="F43" s="10"/>
      <c r="G43" s="10"/>
      <c r="H43" s="10"/>
      <c r="I43" s="10"/>
      <c r="J43" s="10"/>
      <c r="K43" s="43"/>
      <c r="L43" s="31"/>
      <c r="M43" s="25"/>
      <c r="N43" s="50"/>
      <c r="O43" s="10"/>
      <c r="P43" s="29"/>
      <c r="Q43" s="38"/>
    </row>
    <row r="44" spans="1:19" s="3" customFormat="1" ht="22.5" customHeight="1">
      <c r="A44" s="22" t="s">
        <v>96</v>
      </c>
      <c r="B44" s="71" t="s">
        <v>48</v>
      </c>
      <c r="C44" s="11"/>
      <c r="D44" s="11"/>
      <c r="E44" s="11"/>
      <c r="F44" s="11"/>
      <c r="G44" s="11"/>
      <c r="H44" s="11"/>
      <c r="I44" s="11"/>
      <c r="J44" s="10"/>
      <c r="K44" s="47"/>
      <c r="L44" s="32"/>
      <c r="M44" s="29"/>
      <c r="N44" s="55"/>
      <c r="O44" s="62"/>
      <c r="P44" s="29"/>
      <c r="Q44" s="38"/>
    </row>
    <row r="45" spans="1:19" s="5" customFormat="1" ht="24.75" customHeight="1">
      <c r="A45" s="21">
        <v>1</v>
      </c>
      <c r="B45" s="15" t="s">
        <v>48</v>
      </c>
      <c r="C45" s="10" t="s">
        <v>10</v>
      </c>
      <c r="D45" s="10">
        <v>1</v>
      </c>
      <c r="E45" s="10">
        <f>1</f>
        <v>1</v>
      </c>
      <c r="F45" s="10">
        <f>1</f>
        <v>1</v>
      </c>
      <c r="G45" s="10">
        <f>1</f>
        <v>1</v>
      </c>
      <c r="H45" s="10">
        <v>1</v>
      </c>
      <c r="I45" s="10">
        <v>1</v>
      </c>
      <c r="J45" s="10">
        <f t="shared" si="1"/>
        <v>6</v>
      </c>
      <c r="K45" s="43">
        <f>2653.6</f>
        <v>2653.6</v>
      </c>
      <c r="L45" s="31">
        <f>861.19</f>
        <v>861.19</v>
      </c>
      <c r="M45" s="25">
        <v>0.1</v>
      </c>
      <c r="N45" s="50">
        <v>0.1</v>
      </c>
      <c r="O45" s="23">
        <v>6</v>
      </c>
      <c r="P45" s="29">
        <v>6</v>
      </c>
      <c r="Q45" s="38"/>
    </row>
    <row r="46" spans="1:19" s="5" customFormat="1" ht="24.75" customHeight="1">
      <c r="A46" s="22" t="s">
        <v>97</v>
      </c>
      <c r="B46" s="71" t="s">
        <v>131</v>
      </c>
      <c r="C46" s="10"/>
      <c r="D46" s="10"/>
      <c r="E46" s="10"/>
      <c r="F46" s="10"/>
      <c r="G46" s="10"/>
      <c r="H46" s="10"/>
      <c r="I46" s="10"/>
      <c r="J46" s="10"/>
      <c r="K46" s="43"/>
      <c r="L46" s="31"/>
      <c r="M46" s="23"/>
      <c r="N46" s="49"/>
      <c r="O46" s="24"/>
      <c r="P46" s="29"/>
      <c r="Q46" s="38"/>
    </row>
    <row r="47" spans="1:19" s="5" customFormat="1" ht="32.25" customHeight="1">
      <c r="A47" s="21">
        <v>1</v>
      </c>
      <c r="B47" s="15" t="s">
        <v>122</v>
      </c>
      <c r="C47" s="10" t="s">
        <v>49</v>
      </c>
      <c r="D47" s="10">
        <v>400</v>
      </c>
      <c r="E47" s="10">
        <v>400</v>
      </c>
      <c r="F47" s="10">
        <v>400</v>
      </c>
      <c r="G47" s="10">
        <v>400</v>
      </c>
      <c r="H47" s="10">
        <v>1800</v>
      </c>
      <c r="I47" s="10">
        <v>600</v>
      </c>
      <c r="J47" s="10">
        <f t="shared" si="1"/>
        <v>4000</v>
      </c>
      <c r="K47" s="43">
        <f>48.71</f>
        <v>48.71</v>
      </c>
      <c r="L47" s="31">
        <f>20.67</f>
        <v>20.67</v>
      </c>
      <c r="M47" s="25">
        <v>0.3</v>
      </c>
      <c r="N47" s="50">
        <v>0.3</v>
      </c>
      <c r="O47" s="23">
        <f>3700</f>
        <v>3700</v>
      </c>
      <c r="P47" s="23">
        <f>3700</f>
        <v>3700</v>
      </c>
      <c r="Q47" s="38"/>
    </row>
    <row r="48" spans="1:19" s="40" customFormat="1" ht="26.25" customHeight="1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63"/>
      <c r="P48" s="64"/>
      <c r="Q48" s="64">
        <f>SUM(Q7:Q47)</f>
        <v>0</v>
      </c>
    </row>
    <row r="49" spans="14:14">
      <c r="N49" s="7"/>
    </row>
    <row r="50" spans="14:14">
      <c r="N50" s="7"/>
    </row>
    <row r="51" spans="14:14">
      <c r="N51" s="7"/>
    </row>
    <row r="52" spans="14:14">
      <c r="N52" s="7"/>
    </row>
    <row r="53" spans="14:14" ht="37.5" customHeight="1">
      <c r="N53" s="7"/>
    </row>
    <row r="54" spans="14:14">
      <c r="N54" s="7"/>
    </row>
    <row r="55" spans="14:14">
      <c r="N55" s="7"/>
    </row>
    <row r="56" spans="14:14">
      <c r="N56" s="7"/>
    </row>
    <row r="57" spans="14:14">
      <c r="N57" s="7"/>
    </row>
    <row r="58" spans="14:14">
      <c r="N58" s="7"/>
    </row>
    <row r="59" spans="14:14">
      <c r="N59" s="7"/>
    </row>
    <row r="60" spans="14:14">
      <c r="N60" s="7"/>
    </row>
    <row r="61" spans="14:14">
      <c r="N61" s="7"/>
    </row>
    <row r="62" spans="14:14">
      <c r="N62" s="7"/>
    </row>
    <row r="63" spans="14:14">
      <c r="N63" s="7"/>
    </row>
    <row r="64" spans="14:14">
      <c r="N64" s="7"/>
    </row>
    <row r="65" spans="14:14">
      <c r="N65" s="7"/>
    </row>
    <row r="66" spans="14:14">
      <c r="N66" s="7"/>
    </row>
    <row r="67" spans="14:14">
      <c r="N67" s="7"/>
    </row>
    <row r="68" spans="14:14">
      <c r="N68" s="7"/>
    </row>
    <row r="69" spans="14:14">
      <c r="N69" s="7"/>
    </row>
    <row r="70" spans="14:14">
      <c r="N70" s="7"/>
    </row>
    <row r="71" spans="14:14">
      <c r="N71" s="7"/>
    </row>
    <row r="72" spans="14:14">
      <c r="N72" s="7"/>
    </row>
    <row r="73" spans="14:14">
      <c r="N73" s="7"/>
    </row>
    <row r="74" spans="14:14">
      <c r="N74" s="7"/>
    </row>
    <row r="75" spans="14:14">
      <c r="N75" s="7"/>
    </row>
    <row r="76" spans="14:14">
      <c r="N76" s="7"/>
    </row>
    <row r="77" spans="14:14">
      <c r="N77" s="7"/>
    </row>
    <row r="78" spans="14:14">
      <c r="N78" s="7"/>
    </row>
    <row r="79" spans="14:14">
      <c r="N79" s="7"/>
    </row>
    <row r="80" spans="14:14">
      <c r="N80" s="7"/>
    </row>
    <row r="81" spans="14:14">
      <c r="N81" s="7"/>
    </row>
    <row r="82" spans="14:14">
      <c r="N82" s="7"/>
    </row>
    <row r="83" spans="14:14">
      <c r="N83" s="7"/>
    </row>
    <row r="84" spans="14:14">
      <c r="N84" s="7"/>
    </row>
    <row r="85" spans="14:14">
      <c r="N85" s="7"/>
    </row>
    <row r="86" spans="14:14">
      <c r="N86" s="7"/>
    </row>
    <row r="87" spans="14:14">
      <c r="N87" s="7"/>
    </row>
    <row r="88" spans="14:14">
      <c r="N88" s="7"/>
    </row>
    <row r="89" spans="14:14">
      <c r="N89" s="7"/>
    </row>
    <row r="90" spans="14:14">
      <c r="N90" s="7"/>
    </row>
    <row r="91" spans="14:14">
      <c r="N91" s="7"/>
    </row>
    <row r="92" spans="14:14">
      <c r="N92" s="7"/>
    </row>
    <row r="93" spans="14:14">
      <c r="N93" s="7"/>
    </row>
    <row r="94" spans="14:14">
      <c r="N94" s="7"/>
    </row>
    <row r="95" spans="14:14">
      <c r="N95" s="7"/>
    </row>
    <row r="96" spans="14:14">
      <c r="N96" s="7"/>
    </row>
    <row r="97" spans="14:14">
      <c r="N97" s="7"/>
    </row>
    <row r="98" spans="14:14">
      <c r="N98" s="7"/>
    </row>
    <row r="99" spans="14:14">
      <c r="N99" s="7"/>
    </row>
    <row r="100" spans="14:14">
      <c r="N100" s="7"/>
    </row>
    <row r="101" spans="14:14">
      <c r="N101" s="7"/>
    </row>
    <row r="102" spans="14:14">
      <c r="N102" s="7"/>
    </row>
    <row r="103" spans="14:14">
      <c r="N103" s="7"/>
    </row>
    <row r="104" spans="14:14">
      <c r="N104" s="7"/>
    </row>
    <row r="105" spans="14:14">
      <c r="N105" s="7"/>
    </row>
    <row r="106" spans="14:14">
      <c r="N106" s="7"/>
    </row>
    <row r="107" spans="14:14">
      <c r="N107" s="7"/>
    </row>
    <row r="108" spans="14:14">
      <c r="N108" s="7"/>
    </row>
    <row r="109" spans="14:14">
      <c r="N109" s="7"/>
    </row>
    <row r="110" spans="14:14">
      <c r="N110" s="7"/>
    </row>
    <row r="111" spans="14:14">
      <c r="N111" s="7"/>
    </row>
    <row r="112" spans="14:14">
      <c r="N112" s="7"/>
    </row>
    <row r="113" spans="14:14">
      <c r="N113" s="7"/>
    </row>
  </sheetData>
  <mergeCells count="16">
    <mergeCell ref="A1:Q1"/>
    <mergeCell ref="O2:P2"/>
    <mergeCell ref="O3:Q4"/>
    <mergeCell ref="M3:N4"/>
    <mergeCell ref="A48:N48"/>
    <mergeCell ref="C3:C4"/>
    <mergeCell ref="B3:B4"/>
    <mergeCell ref="K2:N2"/>
    <mergeCell ref="D3:G3"/>
    <mergeCell ref="C2:D2"/>
    <mergeCell ref="E2:J2"/>
    <mergeCell ref="H3:H4"/>
    <mergeCell ref="I3:I4"/>
    <mergeCell ref="J3:J4"/>
    <mergeCell ref="K3:L4"/>
    <mergeCell ref="A3:A4"/>
  </mergeCells>
  <printOptions horizontalCentered="1"/>
  <pageMargins left="0.17" right="0.11" top="0.42" bottom="0.47" header="0.3" footer="0.24"/>
  <pageSetup paperSize="9" scale="60" orientation="landscape" verticalDpi="300" r:id="rId1"/>
  <drawing r:id="rId2"/>
  <legacyDrawing r:id="rId3"/>
  <oleObjects>
    <oleObject progId="PBrush" shapeId="98889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Q147"/>
  <sheetViews>
    <sheetView topLeftCell="A67" zoomScale="75" zoomScaleNormal="75" workbookViewId="0">
      <selection activeCell="P10" sqref="P10"/>
    </sheetView>
  </sheetViews>
  <sheetFormatPr defaultRowHeight="12.75"/>
  <cols>
    <col min="1" max="1" width="7.7109375" style="7" customWidth="1"/>
    <col min="2" max="2" width="53.28515625" style="2" customWidth="1"/>
    <col min="3" max="3" width="9" style="7" customWidth="1"/>
    <col min="4" max="4" width="11.85546875" style="2" hidden="1" customWidth="1"/>
    <col min="5" max="5" width="9.7109375" style="2" hidden="1" customWidth="1"/>
    <col min="6" max="6" width="11.42578125" style="2" hidden="1" customWidth="1"/>
    <col min="7" max="7" width="9.7109375" style="2" hidden="1" customWidth="1"/>
    <col min="8" max="8" width="14.5703125" style="2" hidden="1" customWidth="1"/>
    <col min="9" max="9" width="15" style="2" hidden="1" customWidth="1"/>
    <col min="10" max="10" width="10.85546875" style="2" customWidth="1"/>
    <col min="11" max="11" width="9.85546875" style="7" hidden="1" customWidth="1"/>
    <col min="12" max="12" width="8.7109375" style="2" hidden="1" customWidth="1"/>
    <col min="13" max="13" width="10.85546875" style="7" hidden="1" customWidth="1"/>
    <col min="14" max="14" width="10.28515625" style="56" hidden="1" customWidth="1"/>
    <col min="15" max="15" width="11.42578125" style="2" bestFit="1" customWidth="1"/>
    <col min="16" max="16" width="17.28515625" style="2" bestFit="1" customWidth="1"/>
    <col min="17" max="17" width="18.42578125" style="2" customWidth="1"/>
    <col min="18" max="16384" width="9.140625" style="2"/>
  </cols>
  <sheetData>
    <row r="1" spans="1:17" s="1" customFormat="1" ht="75.75" customHeight="1">
      <c r="A1" s="72" t="s">
        <v>123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4"/>
    </row>
    <row r="2" spans="1:17" ht="74.25" customHeight="1">
      <c r="A2" s="68" t="s">
        <v>26</v>
      </c>
      <c r="B2" s="70" t="s">
        <v>109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75" t="s">
        <v>116</v>
      </c>
      <c r="P2" s="76"/>
      <c r="Q2" s="66" t="s">
        <v>113</v>
      </c>
    </row>
    <row r="3" spans="1:17" ht="23.25" customHeight="1">
      <c r="A3" s="84" t="s">
        <v>0</v>
      </c>
      <c r="B3" s="85" t="s">
        <v>3</v>
      </c>
      <c r="C3" s="84" t="s">
        <v>4</v>
      </c>
      <c r="D3" s="84" t="s">
        <v>98</v>
      </c>
      <c r="E3" s="84"/>
      <c r="F3" s="84"/>
      <c r="G3" s="84"/>
      <c r="H3" s="84" t="s">
        <v>62</v>
      </c>
      <c r="I3" s="84" t="s">
        <v>63</v>
      </c>
      <c r="J3" s="84"/>
      <c r="K3" s="84" t="s">
        <v>99</v>
      </c>
      <c r="L3" s="84"/>
      <c r="M3" s="77" t="s">
        <v>112</v>
      </c>
      <c r="N3" s="79"/>
      <c r="O3" s="77"/>
      <c r="P3" s="78"/>
      <c r="Q3" s="79"/>
    </row>
    <row r="4" spans="1:17" s="3" customFormat="1" ht="6" customHeight="1">
      <c r="A4" s="84"/>
      <c r="B4" s="85"/>
      <c r="C4" s="84"/>
      <c r="D4" s="66" t="s">
        <v>41</v>
      </c>
      <c r="E4" s="66" t="s">
        <v>43</v>
      </c>
      <c r="F4" s="66" t="s">
        <v>60</v>
      </c>
      <c r="G4" s="66" t="s">
        <v>61</v>
      </c>
      <c r="H4" s="84"/>
      <c r="I4" s="84"/>
      <c r="J4" s="84"/>
      <c r="K4" s="84"/>
      <c r="L4" s="84"/>
      <c r="M4" s="80"/>
      <c r="N4" s="82"/>
      <c r="O4" s="80"/>
      <c r="P4" s="81"/>
      <c r="Q4" s="82"/>
    </row>
    <row r="5" spans="1:17" s="3" customFormat="1" ht="43.5" customHeight="1">
      <c r="A5" s="66"/>
      <c r="B5" s="67"/>
      <c r="C5" s="66"/>
      <c r="D5" s="66"/>
      <c r="E5" s="66"/>
      <c r="F5" s="66"/>
      <c r="G5" s="66"/>
      <c r="H5" s="66"/>
      <c r="I5" s="66"/>
      <c r="J5" s="26" t="s">
        <v>115</v>
      </c>
      <c r="K5" s="66" t="s">
        <v>110</v>
      </c>
      <c r="L5" s="66" t="s">
        <v>111</v>
      </c>
      <c r="M5" s="66" t="s">
        <v>100</v>
      </c>
      <c r="N5" s="48" t="s">
        <v>101</v>
      </c>
      <c r="O5" s="26" t="s">
        <v>114</v>
      </c>
      <c r="P5" s="26" t="s">
        <v>118</v>
      </c>
      <c r="Q5" s="26"/>
    </row>
    <row r="6" spans="1:17" s="5" customFormat="1" ht="40.5" customHeight="1">
      <c r="A6" s="66"/>
      <c r="B6" s="19"/>
      <c r="C6" s="10"/>
      <c r="D6" s="10"/>
      <c r="E6" s="10"/>
      <c r="F6" s="10"/>
      <c r="G6" s="10"/>
      <c r="H6" s="10"/>
      <c r="I6" s="10"/>
      <c r="J6" s="10"/>
      <c r="K6" s="23"/>
      <c r="L6" s="24"/>
      <c r="M6" s="23"/>
      <c r="N6" s="49"/>
      <c r="O6" s="24"/>
      <c r="P6" s="26" t="s">
        <v>119</v>
      </c>
      <c r="Q6" s="24"/>
    </row>
    <row r="7" spans="1:17" s="4" customFormat="1" ht="19.5" customHeight="1">
      <c r="A7" s="66" t="s">
        <v>76</v>
      </c>
      <c r="B7" s="13" t="s">
        <v>102</v>
      </c>
      <c r="C7" s="14"/>
      <c r="D7" s="14"/>
      <c r="E7" s="14"/>
      <c r="F7" s="14"/>
      <c r="G7" s="14"/>
      <c r="H7" s="14"/>
      <c r="I7" s="14"/>
      <c r="J7" s="10"/>
      <c r="K7" s="44"/>
      <c r="L7" s="33"/>
      <c r="M7" s="26"/>
      <c r="N7" s="51"/>
      <c r="O7" s="27"/>
      <c r="P7" s="59"/>
      <c r="Q7" s="27"/>
    </row>
    <row r="8" spans="1:17" s="4" customFormat="1" ht="19.5" customHeight="1">
      <c r="A8" s="9">
        <v>1</v>
      </c>
      <c r="B8" s="12" t="s">
        <v>8</v>
      </c>
      <c r="C8" s="10" t="s">
        <v>2</v>
      </c>
      <c r="D8" s="10"/>
      <c r="E8" s="10"/>
      <c r="F8" s="10"/>
      <c r="G8" s="10"/>
      <c r="H8" s="10">
        <v>18</v>
      </c>
      <c r="I8" s="10"/>
      <c r="J8" s="10">
        <f t="shared" ref="J8:J63" si="0">D8+E8+F8+G8+H8+I8</f>
        <v>18</v>
      </c>
      <c r="K8" s="43">
        <f>972</f>
        <v>972</v>
      </c>
      <c r="L8" s="31"/>
      <c r="M8" s="39">
        <v>0.05</v>
      </c>
      <c r="N8" s="52"/>
      <c r="O8" s="26">
        <v>16</v>
      </c>
      <c r="P8" s="26">
        <v>16</v>
      </c>
      <c r="Q8" s="38"/>
    </row>
    <row r="9" spans="1:17" s="4" customFormat="1" ht="19.5" customHeight="1">
      <c r="A9" s="9">
        <v>2</v>
      </c>
      <c r="B9" s="12" t="s">
        <v>9</v>
      </c>
      <c r="C9" s="10" t="s">
        <v>2</v>
      </c>
      <c r="D9" s="16" t="e">
        <f>#REF!/6+4+4</f>
        <v>#REF!</v>
      </c>
      <c r="E9" s="10"/>
      <c r="F9" s="10"/>
      <c r="G9" s="10"/>
      <c r="H9" s="10">
        <v>120</v>
      </c>
      <c r="I9" s="10">
        <v>15</v>
      </c>
      <c r="J9" s="10">
        <f>151</f>
        <v>151</v>
      </c>
      <c r="K9" s="43">
        <f>754</f>
        <v>754</v>
      </c>
      <c r="L9" s="33"/>
      <c r="M9" s="39">
        <v>0.05</v>
      </c>
      <c r="N9" s="51"/>
      <c r="O9" s="26">
        <v>174</v>
      </c>
      <c r="P9" s="26">
        <f>174</f>
        <v>174</v>
      </c>
      <c r="Q9" s="38"/>
    </row>
    <row r="10" spans="1:17" s="5" customFormat="1" ht="19.5" customHeight="1">
      <c r="A10" s="9">
        <v>3</v>
      </c>
      <c r="B10" s="12" t="s">
        <v>17</v>
      </c>
      <c r="C10" s="10" t="s">
        <v>2</v>
      </c>
      <c r="D10" s="10">
        <f>3+2+4+1+20</f>
        <v>30</v>
      </c>
      <c r="E10" s="16" t="e">
        <f>#REF!/6+2+20+1</f>
        <v>#REF!</v>
      </c>
      <c r="F10" s="16" t="e">
        <f>#REF!/6+2+20+1</f>
        <v>#REF!</v>
      </c>
      <c r="G10" s="16" t="e">
        <f>#REF!/6+2+20+1</f>
        <v>#REF!</v>
      </c>
      <c r="H10" s="10"/>
      <c r="I10" s="10">
        <v>36</v>
      </c>
      <c r="J10" s="10">
        <f>150</f>
        <v>150</v>
      </c>
      <c r="K10" s="43">
        <f>238</f>
        <v>238</v>
      </c>
      <c r="L10" s="31"/>
      <c r="M10" s="39">
        <v>0.05</v>
      </c>
      <c r="N10" s="49"/>
      <c r="O10" s="23">
        <f>170</f>
        <v>170</v>
      </c>
      <c r="P10" s="23">
        <f>170</f>
        <v>170</v>
      </c>
      <c r="Q10" s="38"/>
    </row>
    <row r="11" spans="1:17" s="5" customFormat="1" ht="19.5" customHeight="1">
      <c r="A11" s="9">
        <v>4</v>
      </c>
      <c r="B11" s="12" t="s">
        <v>18</v>
      </c>
      <c r="C11" s="10" t="s">
        <v>2</v>
      </c>
      <c r="D11" s="10">
        <f>2+2+8</f>
        <v>12</v>
      </c>
      <c r="E11" s="16" t="e">
        <f>#REF!/6+8+2</f>
        <v>#REF!</v>
      </c>
      <c r="F11" s="16" t="e">
        <f>#REF!/6+8+2</f>
        <v>#REF!</v>
      </c>
      <c r="G11" s="16" t="e">
        <f>#REF!/6+8+2</f>
        <v>#REF!</v>
      </c>
      <c r="H11" s="10">
        <v>282</v>
      </c>
      <c r="I11" s="10">
        <v>14</v>
      </c>
      <c r="J11" s="16">
        <f>343</f>
        <v>343</v>
      </c>
      <c r="K11" s="43">
        <f>224</f>
        <v>224</v>
      </c>
      <c r="L11" s="31"/>
      <c r="M11" s="39">
        <v>0.05</v>
      </c>
      <c r="N11" s="49"/>
      <c r="O11" s="23">
        <v>390</v>
      </c>
      <c r="P11" s="23">
        <v>390</v>
      </c>
      <c r="Q11" s="38"/>
    </row>
    <row r="12" spans="1:17" s="5" customFormat="1" ht="19.5" customHeight="1">
      <c r="A12" s="9">
        <v>5</v>
      </c>
      <c r="B12" s="12" t="s">
        <v>44</v>
      </c>
      <c r="C12" s="10" t="s">
        <v>2</v>
      </c>
      <c r="D12" s="10" t="e">
        <f>#REF!/6+4+2+4</f>
        <v>#REF!</v>
      </c>
      <c r="E12" s="10" t="e">
        <f>#REF!/6+3+2+2+2+6+2</f>
        <v>#REF!</v>
      </c>
      <c r="F12" s="10" t="e">
        <f>#REF!/6+3+2+2+2+6+2</f>
        <v>#REF!</v>
      </c>
      <c r="G12" s="10" t="e">
        <f>#REF!/6+3+2+2+2+6+2</f>
        <v>#REF!</v>
      </c>
      <c r="H12" s="10"/>
      <c r="I12" s="10">
        <f>20+16</f>
        <v>36</v>
      </c>
      <c r="J12" s="10">
        <f>112</f>
        <v>112</v>
      </c>
      <c r="K12" s="43">
        <f>182</f>
        <v>182</v>
      </c>
      <c r="L12" s="31"/>
      <c r="M12" s="39">
        <v>0.05</v>
      </c>
      <c r="N12" s="49"/>
      <c r="O12" s="23">
        <v>98</v>
      </c>
      <c r="P12" s="23">
        <v>98</v>
      </c>
      <c r="Q12" s="38"/>
    </row>
    <row r="13" spans="1:17" s="5" customFormat="1" ht="19.5" customHeight="1">
      <c r="A13" s="9">
        <v>6</v>
      </c>
      <c r="B13" s="12" t="s">
        <v>19</v>
      </c>
      <c r="C13" s="10" t="s">
        <v>2</v>
      </c>
      <c r="D13" s="10">
        <f>3+3+1+4+2+2+2</f>
        <v>17</v>
      </c>
      <c r="E13" s="10" t="e">
        <f>#REF!/6+2+2+4+6+8+2</f>
        <v>#REF!</v>
      </c>
      <c r="F13" s="10" t="e">
        <f>#REF!/6+2+2+4+6+8+2</f>
        <v>#REF!</v>
      </c>
      <c r="G13" s="10" t="e">
        <f>#REF!/6+2+2+4+6+8+2</f>
        <v>#REF!</v>
      </c>
      <c r="H13" s="10">
        <v>18</v>
      </c>
      <c r="I13" s="10">
        <f>14+2+64+10</f>
        <v>90</v>
      </c>
      <c r="J13" s="10">
        <f>203</f>
        <v>203</v>
      </c>
      <c r="K13" s="43">
        <f>155.4</f>
        <v>155.4</v>
      </c>
      <c r="L13" s="31"/>
      <c r="M13" s="39">
        <v>0.05</v>
      </c>
      <c r="N13" s="49"/>
      <c r="O13" s="23">
        <v>171</v>
      </c>
      <c r="P13" s="23">
        <v>171</v>
      </c>
      <c r="Q13" s="38"/>
    </row>
    <row r="14" spans="1:17" s="5" customFormat="1" ht="19.5" customHeight="1">
      <c r="A14" s="9">
        <v>7</v>
      </c>
      <c r="B14" s="12" t="s">
        <v>20</v>
      </c>
      <c r="C14" s="10" t="s">
        <v>2</v>
      </c>
      <c r="D14" s="16" t="e">
        <f>#REF!/6+1+20+10+4+2+1</f>
        <v>#REF!</v>
      </c>
      <c r="E14" s="16" t="e">
        <f>#REF!/6+4+6+1+2+1+22+10+4+3+3</f>
        <v>#REF!</v>
      </c>
      <c r="F14" s="16" t="e">
        <f>#REF!/6+4+6+1+2+1+22+10+4+3+3</f>
        <v>#REF!</v>
      </c>
      <c r="G14" s="16" t="e">
        <f>#REF!/6+4+6+1+2+1+22+10+4+3+3</f>
        <v>#REF!</v>
      </c>
      <c r="H14" s="10"/>
      <c r="I14" s="10">
        <f>64+20</f>
        <v>84</v>
      </c>
      <c r="J14" s="16">
        <f>367</f>
        <v>367</v>
      </c>
      <c r="K14" s="43">
        <f>119</f>
        <v>119</v>
      </c>
      <c r="L14" s="31"/>
      <c r="M14" s="39">
        <v>0.05</v>
      </c>
      <c r="N14" s="49"/>
      <c r="O14" s="23">
        <v>310</v>
      </c>
      <c r="P14" s="23">
        <v>310</v>
      </c>
      <c r="Q14" s="38"/>
    </row>
    <row r="15" spans="1:17" s="5" customFormat="1" ht="19.5" customHeight="1">
      <c r="A15" s="9">
        <v>8</v>
      </c>
      <c r="B15" s="12" t="s">
        <v>23</v>
      </c>
      <c r="C15" s="10" t="s">
        <v>2</v>
      </c>
      <c r="D15" s="16" t="e">
        <f>#REF!/5+4+1+2+2+4+2+1+8+20+20+12</f>
        <v>#REF!</v>
      </c>
      <c r="E15" s="10" t="e">
        <f>#REF!/6+2+2+2+2+7+1+2+1+1+1+22+22+4+1</f>
        <v>#REF!</v>
      </c>
      <c r="F15" s="10" t="e">
        <f>#REF!/6+2+2+2+2+7+1+2+1+1+1+22+22+4+1</f>
        <v>#REF!</v>
      </c>
      <c r="G15" s="10" t="e">
        <f>#REF!/6+2+2+2+2+7+1+2+1+1+1+22+22+4+1</f>
        <v>#REF!</v>
      </c>
      <c r="H15" s="10">
        <v>18</v>
      </c>
      <c r="I15" s="10">
        <f>20+64+2+2</f>
        <v>88</v>
      </c>
      <c r="J15" s="16">
        <f>496</f>
        <v>496</v>
      </c>
      <c r="K15" s="43">
        <f>119</f>
        <v>119</v>
      </c>
      <c r="L15" s="31"/>
      <c r="M15" s="39">
        <v>0.05</v>
      </c>
      <c r="N15" s="49"/>
      <c r="O15" s="23">
        <v>385</v>
      </c>
      <c r="P15" s="23">
        <v>385</v>
      </c>
      <c r="Q15" s="38"/>
    </row>
    <row r="16" spans="1:17" s="4" customFormat="1" ht="21" customHeight="1">
      <c r="A16" s="66" t="s">
        <v>77</v>
      </c>
      <c r="B16" s="13" t="s">
        <v>103</v>
      </c>
      <c r="C16" s="14"/>
      <c r="D16" s="14"/>
      <c r="E16" s="14"/>
      <c r="F16" s="14"/>
      <c r="G16" s="14"/>
      <c r="H16" s="14"/>
      <c r="I16" s="14"/>
      <c r="J16" s="10"/>
      <c r="K16" s="44"/>
      <c r="L16" s="33"/>
      <c r="M16" s="26"/>
      <c r="N16" s="51"/>
      <c r="O16" s="27"/>
      <c r="P16" s="27"/>
      <c r="Q16" s="27"/>
    </row>
    <row r="17" spans="1:17" s="4" customFormat="1" ht="21" customHeight="1">
      <c r="A17" s="66"/>
      <c r="B17" s="12" t="s">
        <v>117</v>
      </c>
      <c r="C17" s="10" t="s">
        <v>2</v>
      </c>
      <c r="D17" s="14"/>
      <c r="E17" s="14"/>
      <c r="F17" s="14"/>
      <c r="G17" s="14"/>
      <c r="H17" s="14"/>
      <c r="I17" s="14"/>
      <c r="J17" s="10">
        <f>0</f>
        <v>0</v>
      </c>
      <c r="K17" s="44"/>
      <c r="L17" s="33"/>
      <c r="M17" s="26"/>
      <c r="N17" s="51"/>
      <c r="O17" s="23">
        <f>4</f>
        <v>4</v>
      </c>
      <c r="P17" s="23">
        <f>4</f>
        <v>4</v>
      </c>
      <c r="Q17" s="27"/>
    </row>
    <row r="18" spans="1:17" s="5" customFormat="1" ht="18.75" customHeight="1">
      <c r="A18" s="9">
        <v>1</v>
      </c>
      <c r="B18" s="12" t="s">
        <v>37</v>
      </c>
      <c r="C18" s="10" t="s">
        <v>2</v>
      </c>
      <c r="D18" s="10"/>
      <c r="E18" s="10"/>
      <c r="F18" s="10"/>
      <c r="G18" s="10"/>
      <c r="H18" s="10">
        <v>60</v>
      </c>
      <c r="I18" s="10"/>
      <c r="J18" s="10">
        <f t="shared" si="0"/>
        <v>60</v>
      </c>
      <c r="K18" s="43">
        <f>1169</f>
        <v>1169</v>
      </c>
      <c r="L18" s="31"/>
      <c r="M18" s="39">
        <v>0.05</v>
      </c>
      <c r="N18" s="49"/>
      <c r="O18" s="23">
        <v>55</v>
      </c>
      <c r="P18" s="23">
        <v>55</v>
      </c>
      <c r="Q18" s="38"/>
    </row>
    <row r="19" spans="1:17" s="5" customFormat="1" ht="18.75" customHeight="1">
      <c r="A19" s="9">
        <v>2</v>
      </c>
      <c r="B19" s="12" t="s">
        <v>33</v>
      </c>
      <c r="C19" s="10" t="s">
        <v>2</v>
      </c>
      <c r="D19" s="10"/>
      <c r="E19" s="10"/>
      <c r="F19" s="10"/>
      <c r="G19" s="10"/>
      <c r="H19" s="10">
        <v>2</v>
      </c>
      <c r="I19" s="10"/>
      <c r="J19" s="10">
        <f t="shared" si="0"/>
        <v>2</v>
      </c>
      <c r="K19" s="43"/>
      <c r="L19" s="31"/>
      <c r="M19" s="23"/>
      <c r="N19" s="49"/>
      <c r="O19" s="23">
        <v>2</v>
      </c>
      <c r="P19" s="23">
        <v>2</v>
      </c>
      <c r="Q19" s="38"/>
    </row>
    <row r="20" spans="1:17" s="5" customFormat="1" ht="18.75" customHeight="1">
      <c r="A20" s="9">
        <v>3</v>
      </c>
      <c r="B20" s="12" t="s">
        <v>70</v>
      </c>
      <c r="C20" s="10" t="s">
        <v>2</v>
      </c>
      <c r="D20" s="10"/>
      <c r="E20" s="10"/>
      <c r="F20" s="10"/>
      <c r="G20" s="10"/>
      <c r="H20" s="10"/>
      <c r="I20" s="10">
        <v>3</v>
      </c>
      <c r="J20" s="10">
        <f t="shared" si="0"/>
        <v>3</v>
      </c>
      <c r="K20" s="43"/>
      <c r="L20" s="31"/>
      <c r="M20" s="23"/>
      <c r="N20" s="49"/>
      <c r="O20" s="23">
        <v>4</v>
      </c>
      <c r="P20" s="23">
        <v>4</v>
      </c>
      <c r="Q20" s="38"/>
    </row>
    <row r="21" spans="1:17" s="5" customFormat="1" ht="18.75" customHeight="1">
      <c r="A21" s="9">
        <v>4</v>
      </c>
      <c r="B21" s="12" t="s">
        <v>32</v>
      </c>
      <c r="C21" s="10" t="s">
        <v>2</v>
      </c>
      <c r="D21" s="10"/>
      <c r="E21" s="10"/>
      <c r="F21" s="10"/>
      <c r="G21" s="10"/>
      <c r="H21" s="10"/>
      <c r="I21" s="10">
        <v>14</v>
      </c>
      <c r="J21" s="10">
        <f t="shared" si="0"/>
        <v>14</v>
      </c>
      <c r="K21" s="43"/>
      <c r="L21" s="31"/>
      <c r="M21" s="23"/>
      <c r="N21" s="49"/>
      <c r="O21" s="23">
        <v>10</v>
      </c>
      <c r="P21" s="23">
        <v>10</v>
      </c>
      <c r="Q21" s="38"/>
    </row>
    <row r="22" spans="1:17" s="5" customFormat="1" ht="18.75" customHeight="1">
      <c r="A22" s="9">
        <v>5</v>
      </c>
      <c r="B22" s="12" t="s">
        <v>58</v>
      </c>
      <c r="C22" s="10" t="s">
        <v>2</v>
      </c>
      <c r="D22" s="10">
        <f>10</f>
        <v>10</v>
      </c>
      <c r="E22" s="10">
        <v>10</v>
      </c>
      <c r="F22" s="10">
        <v>10</v>
      </c>
      <c r="G22" s="10">
        <v>10</v>
      </c>
      <c r="H22" s="10"/>
      <c r="I22" s="10"/>
      <c r="J22" s="10">
        <f t="shared" si="0"/>
        <v>40</v>
      </c>
      <c r="K22" s="43"/>
      <c r="L22" s="31"/>
      <c r="M22" s="23"/>
      <c r="N22" s="49"/>
      <c r="O22" s="23">
        <v>43</v>
      </c>
      <c r="P22" s="23">
        <v>43</v>
      </c>
      <c r="Q22" s="38"/>
    </row>
    <row r="23" spans="1:17" s="5" customFormat="1" ht="18.75" customHeight="1">
      <c r="A23" s="9">
        <v>6</v>
      </c>
      <c r="B23" s="12" t="s">
        <v>71</v>
      </c>
      <c r="C23" s="10" t="s">
        <v>2</v>
      </c>
      <c r="D23" s="10"/>
      <c r="E23" s="10"/>
      <c r="F23" s="10"/>
      <c r="G23" s="10"/>
      <c r="H23" s="10"/>
      <c r="I23" s="10">
        <v>2</v>
      </c>
      <c r="J23" s="10">
        <f t="shared" si="0"/>
        <v>2</v>
      </c>
      <c r="K23" s="43"/>
      <c r="L23" s="31"/>
      <c r="M23" s="23"/>
      <c r="N23" s="49"/>
      <c r="O23" s="23">
        <v>1</v>
      </c>
      <c r="P23" s="23">
        <v>1</v>
      </c>
      <c r="Q23" s="38"/>
    </row>
    <row r="24" spans="1:17" s="5" customFormat="1" ht="18.75" customHeight="1">
      <c r="A24" s="9">
        <v>7</v>
      </c>
      <c r="B24" s="12" t="s">
        <v>22</v>
      </c>
      <c r="C24" s="10" t="s">
        <v>2</v>
      </c>
      <c r="D24" s="10"/>
      <c r="E24" s="10"/>
      <c r="F24" s="10"/>
      <c r="G24" s="10"/>
      <c r="H24" s="10"/>
      <c r="I24" s="10">
        <v>2</v>
      </c>
      <c r="J24" s="10">
        <f t="shared" si="0"/>
        <v>2</v>
      </c>
      <c r="K24" s="43"/>
      <c r="L24" s="31"/>
      <c r="M24" s="23"/>
      <c r="N24" s="49"/>
      <c r="O24" s="23">
        <v>2</v>
      </c>
      <c r="P24" s="23">
        <v>2</v>
      </c>
      <c r="Q24" s="38"/>
    </row>
    <row r="25" spans="1:17" s="5" customFormat="1" ht="18.75" customHeight="1">
      <c r="A25" s="9">
        <v>8</v>
      </c>
      <c r="B25" s="12" t="s">
        <v>59</v>
      </c>
      <c r="C25" s="10" t="s">
        <v>2</v>
      </c>
      <c r="D25" s="10">
        <v>4</v>
      </c>
      <c r="E25" s="10">
        <v>4</v>
      </c>
      <c r="F25" s="10">
        <v>4</v>
      </c>
      <c r="G25" s="10">
        <v>4</v>
      </c>
      <c r="H25" s="10"/>
      <c r="I25" s="10"/>
      <c r="J25" s="10">
        <f t="shared" si="0"/>
        <v>16</v>
      </c>
      <c r="K25" s="43"/>
      <c r="L25" s="31"/>
      <c r="M25" s="23"/>
      <c r="N25" s="49"/>
      <c r="O25" s="23">
        <v>19</v>
      </c>
      <c r="P25" s="23">
        <v>19</v>
      </c>
      <c r="Q25" s="38"/>
    </row>
    <row r="26" spans="1:17" s="5" customFormat="1" ht="18.75" customHeight="1">
      <c r="A26" s="9">
        <v>9</v>
      </c>
      <c r="B26" s="12" t="s">
        <v>72</v>
      </c>
      <c r="C26" s="10" t="s">
        <v>2</v>
      </c>
      <c r="D26" s="10"/>
      <c r="E26" s="10"/>
      <c r="F26" s="10"/>
      <c r="G26" s="10"/>
      <c r="H26" s="10"/>
      <c r="I26" s="10">
        <v>2</v>
      </c>
      <c r="J26" s="10">
        <f t="shared" si="0"/>
        <v>2</v>
      </c>
      <c r="K26" s="43"/>
      <c r="L26" s="31"/>
      <c r="M26" s="23"/>
      <c r="N26" s="49"/>
      <c r="O26" s="23">
        <v>2</v>
      </c>
      <c r="P26" s="23">
        <v>2</v>
      </c>
      <c r="Q26" s="38"/>
    </row>
    <row r="27" spans="1:17" s="5" customFormat="1" ht="18.75" customHeight="1">
      <c r="A27" s="9">
        <v>10</v>
      </c>
      <c r="B27" s="12" t="s">
        <v>57</v>
      </c>
      <c r="C27" s="10" t="s">
        <v>2</v>
      </c>
      <c r="D27" s="10">
        <v>2</v>
      </c>
      <c r="E27" s="10">
        <f>1+2</f>
        <v>3</v>
      </c>
      <c r="F27" s="10">
        <f>1+2</f>
        <v>3</v>
      </c>
      <c r="G27" s="10">
        <f>1+2</f>
        <v>3</v>
      </c>
      <c r="H27" s="10"/>
      <c r="I27" s="10"/>
      <c r="J27" s="10">
        <f t="shared" si="0"/>
        <v>11</v>
      </c>
      <c r="K27" s="43"/>
      <c r="L27" s="31"/>
      <c r="M27" s="23"/>
      <c r="N27" s="49"/>
      <c r="O27" s="23">
        <v>8</v>
      </c>
      <c r="P27" s="23">
        <v>8</v>
      </c>
      <c r="Q27" s="38"/>
    </row>
    <row r="28" spans="1:17" s="5" customFormat="1" ht="18.75" customHeight="1">
      <c r="A28" s="9">
        <v>11</v>
      </c>
      <c r="B28" s="12" t="s">
        <v>30</v>
      </c>
      <c r="C28" s="10" t="s">
        <v>2</v>
      </c>
      <c r="D28" s="10">
        <v>1</v>
      </c>
      <c r="E28" s="10">
        <f>2+1</f>
        <v>3</v>
      </c>
      <c r="F28" s="10">
        <f>2+1</f>
        <v>3</v>
      </c>
      <c r="G28" s="10">
        <f>2+1</f>
        <v>3</v>
      </c>
      <c r="H28" s="10"/>
      <c r="I28" s="10"/>
      <c r="J28" s="10">
        <f t="shared" si="0"/>
        <v>10</v>
      </c>
      <c r="K28" s="43"/>
      <c r="L28" s="31"/>
      <c r="M28" s="23"/>
      <c r="N28" s="49"/>
      <c r="O28" s="23">
        <v>4</v>
      </c>
      <c r="P28" s="23">
        <v>4</v>
      </c>
      <c r="Q28" s="38"/>
    </row>
    <row r="29" spans="1:17" s="5" customFormat="1" ht="18.75" customHeight="1">
      <c r="A29" s="9">
        <v>12</v>
      </c>
      <c r="B29" s="12" t="s">
        <v>24</v>
      </c>
      <c r="C29" s="10" t="s">
        <v>2</v>
      </c>
      <c r="D29" s="10">
        <f>2+2</f>
        <v>4</v>
      </c>
      <c r="E29" s="10">
        <f>4</f>
        <v>4</v>
      </c>
      <c r="F29" s="10">
        <f>4</f>
        <v>4</v>
      </c>
      <c r="G29" s="10">
        <f>4</f>
        <v>4</v>
      </c>
      <c r="H29" s="10"/>
      <c r="I29" s="10"/>
      <c r="J29" s="10">
        <f t="shared" si="0"/>
        <v>16</v>
      </c>
      <c r="K29" s="43"/>
      <c r="L29" s="31"/>
      <c r="M29" s="23"/>
      <c r="N29" s="49"/>
      <c r="O29" s="23">
        <v>8</v>
      </c>
      <c r="P29" s="23">
        <v>8</v>
      </c>
      <c r="Q29" s="38"/>
    </row>
    <row r="30" spans="1:17" s="5" customFormat="1" ht="18.75" customHeight="1">
      <c r="A30" s="9">
        <v>13</v>
      </c>
      <c r="B30" s="12" t="s">
        <v>56</v>
      </c>
      <c r="C30" s="10" t="s">
        <v>2</v>
      </c>
      <c r="D30" s="10"/>
      <c r="E30" s="10">
        <f>3+1</f>
        <v>4</v>
      </c>
      <c r="F30" s="10">
        <f>3+1</f>
        <v>4</v>
      </c>
      <c r="G30" s="10">
        <f>3+1</f>
        <v>4</v>
      </c>
      <c r="H30" s="10"/>
      <c r="I30" s="10"/>
      <c r="J30" s="10">
        <f t="shared" si="0"/>
        <v>12</v>
      </c>
      <c r="K30" s="43"/>
      <c r="L30" s="31"/>
      <c r="M30" s="23"/>
      <c r="N30" s="49"/>
      <c r="O30" s="23">
        <v>9</v>
      </c>
      <c r="P30" s="23">
        <v>9</v>
      </c>
      <c r="Q30" s="38"/>
    </row>
    <row r="31" spans="1:17" s="4" customFormat="1" ht="20.25" customHeight="1">
      <c r="A31" s="66" t="s">
        <v>78</v>
      </c>
      <c r="B31" s="13" t="s">
        <v>104</v>
      </c>
      <c r="C31" s="14"/>
      <c r="D31" s="14"/>
      <c r="E31" s="14"/>
      <c r="F31" s="14"/>
      <c r="G31" s="14"/>
      <c r="H31" s="14"/>
      <c r="I31" s="14"/>
      <c r="J31" s="10"/>
      <c r="K31" s="44"/>
      <c r="L31" s="33"/>
      <c r="M31" s="26"/>
      <c r="N31" s="51"/>
      <c r="O31" s="27"/>
      <c r="P31" s="27"/>
      <c r="Q31" s="38"/>
    </row>
    <row r="32" spans="1:17" s="4" customFormat="1" ht="20.25" customHeight="1">
      <c r="A32" s="9">
        <v>1</v>
      </c>
      <c r="B32" s="12" t="s">
        <v>6</v>
      </c>
      <c r="C32" s="10" t="s">
        <v>2</v>
      </c>
      <c r="D32" s="10"/>
      <c r="E32" s="10"/>
      <c r="F32" s="10"/>
      <c r="G32" s="10"/>
      <c r="H32" s="10">
        <v>4</v>
      </c>
      <c r="I32" s="10"/>
      <c r="J32" s="10">
        <f t="shared" si="0"/>
        <v>4</v>
      </c>
      <c r="K32" s="43">
        <f>1545.6</f>
        <v>1545.6</v>
      </c>
      <c r="L32" s="31"/>
      <c r="M32" s="39">
        <v>0</v>
      </c>
      <c r="N32" s="49"/>
      <c r="O32" s="26">
        <v>2</v>
      </c>
      <c r="P32" s="26">
        <v>2</v>
      </c>
      <c r="Q32" s="38"/>
    </row>
    <row r="33" spans="1:17" s="5" customFormat="1" ht="20.25" customHeight="1">
      <c r="A33" s="9">
        <v>2</v>
      </c>
      <c r="B33" s="12" t="s">
        <v>5</v>
      </c>
      <c r="C33" s="10" t="s">
        <v>2</v>
      </c>
      <c r="D33" s="10">
        <f>2</f>
        <v>2</v>
      </c>
      <c r="E33" s="10"/>
      <c r="F33" s="10"/>
      <c r="G33" s="10"/>
      <c r="H33" s="10">
        <v>6</v>
      </c>
      <c r="I33" s="10">
        <v>3</v>
      </c>
      <c r="J33" s="10">
        <f t="shared" si="0"/>
        <v>11</v>
      </c>
      <c r="K33" s="43">
        <f>735</f>
        <v>735</v>
      </c>
      <c r="L33" s="31"/>
      <c r="M33" s="39">
        <f>M32</f>
        <v>0</v>
      </c>
      <c r="N33" s="49"/>
      <c r="O33" s="23">
        <v>9</v>
      </c>
      <c r="P33" s="23">
        <v>9</v>
      </c>
      <c r="Q33" s="38"/>
    </row>
    <row r="34" spans="1:17" s="5" customFormat="1" ht="20.25" customHeight="1">
      <c r="A34" s="9">
        <v>3</v>
      </c>
      <c r="B34" s="12" t="s">
        <v>11</v>
      </c>
      <c r="C34" s="10" t="s">
        <v>2</v>
      </c>
      <c r="D34" s="10">
        <v>1</v>
      </c>
      <c r="E34" s="10">
        <v>1</v>
      </c>
      <c r="F34" s="10">
        <v>1</v>
      </c>
      <c r="G34" s="10">
        <v>1</v>
      </c>
      <c r="H34" s="10"/>
      <c r="I34" s="10">
        <v>2</v>
      </c>
      <c r="J34" s="10">
        <f t="shared" si="0"/>
        <v>6</v>
      </c>
      <c r="K34" s="43">
        <f>364</f>
        <v>364</v>
      </c>
      <c r="L34" s="31"/>
      <c r="M34" s="39">
        <f t="shared" ref="M34:M57" si="1">M33</f>
        <v>0</v>
      </c>
      <c r="N34" s="49"/>
      <c r="O34" s="23">
        <v>1</v>
      </c>
      <c r="P34" s="23">
        <v>1</v>
      </c>
      <c r="Q34" s="38"/>
    </row>
    <row r="35" spans="1:17" s="5" customFormat="1" ht="20.25" customHeight="1">
      <c r="A35" s="9">
        <v>4</v>
      </c>
      <c r="B35" s="12" t="s">
        <v>12</v>
      </c>
      <c r="C35" s="10" t="s">
        <v>2</v>
      </c>
      <c r="D35" s="10"/>
      <c r="E35" s="10"/>
      <c r="F35" s="10"/>
      <c r="G35" s="10"/>
      <c r="H35" s="10">
        <v>10</v>
      </c>
      <c r="I35" s="10"/>
      <c r="J35" s="10">
        <f t="shared" si="0"/>
        <v>10</v>
      </c>
      <c r="K35" s="43">
        <f>364</f>
        <v>364</v>
      </c>
      <c r="L35" s="31"/>
      <c r="M35" s="39">
        <f t="shared" si="1"/>
        <v>0</v>
      </c>
      <c r="N35" s="49"/>
      <c r="O35" s="23">
        <v>4</v>
      </c>
      <c r="P35" s="23">
        <v>4</v>
      </c>
      <c r="Q35" s="38"/>
    </row>
    <row r="36" spans="1:17" s="5" customFormat="1" ht="20.25" customHeight="1">
      <c r="A36" s="9">
        <v>5</v>
      </c>
      <c r="B36" s="12" t="s">
        <v>42</v>
      </c>
      <c r="C36" s="10" t="s">
        <v>2</v>
      </c>
      <c r="D36" s="10">
        <f>2</f>
        <v>2</v>
      </c>
      <c r="E36" s="10">
        <v>1</v>
      </c>
      <c r="F36" s="10">
        <v>1</v>
      </c>
      <c r="G36" s="10">
        <v>1</v>
      </c>
      <c r="H36" s="10"/>
      <c r="I36" s="10">
        <v>2</v>
      </c>
      <c r="J36" s="10">
        <f t="shared" si="0"/>
        <v>7</v>
      </c>
      <c r="K36" s="43">
        <f>254</f>
        <v>254</v>
      </c>
      <c r="L36" s="31"/>
      <c r="M36" s="39">
        <f t="shared" si="1"/>
        <v>0</v>
      </c>
      <c r="N36" s="49"/>
      <c r="O36" s="23">
        <v>6</v>
      </c>
      <c r="P36" s="23">
        <v>6</v>
      </c>
      <c r="Q36" s="38"/>
    </row>
    <row r="37" spans="1:17" s="5" customFormat="1" ht="20.25" customHeight="1">
      <c r="A37" s="9">
        <v>6</v>
      </c>
      <c r="B37" s="12" t="s">
        <v>13</v>
      </c>
      <c r="C37" s="10" t="s">
        <v>2</v>
      </c>
      <c r="D37" s="10">
        <f>1</f>
        <v>1</v>
      </c>
      <c r="E37" s="10"/>
      <c r="F37" s="10"/>
      <c r="G37" s="10"/>
      <c r="H37" s="10">
        <v>5</v>
      </c>
      <c r="I37" s="10">
        <v>2</v>
      </c>
      <c r="J37" s="10">
        <f t="shared" si="0"/>
        <v>8</v>
      </c>
      <c r="K37" s="43">
        <f>210</f>
        <v>210</v>
      </c>
      <c r="L37" s="31"/>
      <c r="M37" s="39">
        <f t="shared" si="1"/>
        <v>0</v>
      </c>
      <c r="N37" s="49"/>
      <c r="O37" s="23">
        <v>7</v>
      </c>
      <c r="P37" s="23">
        <v>7</v>
      </c>
      <c r="Q37" s="38"/>
    </row>
    <row r="38" spans="1:17" s="5" customFormat="1" ht="20.25" customHeight="1">
      <c r="A38" s="9">
        <v>7</v>
      </c>
      <c r="B38" s="12" t="s">
        <v>7</v>
      </c>
      <c r="C38" s="10" t="s">
        <v>2</v>
      </c>
      <c r="D38" s="10">
        <f>2+1+4+6</f>
        <v>13</v>
      </c>
      <c r="E38" s="10">
        <f>2</f>
        <v>2</v>
      </c>
      <c r="F38" s="10">
        <f>2</f>
        <v>2</v>
      </c>
      <c r="G38" s="10">
        <f>2</f>
        <v>2</v>
      </c>
      <c r="H38" s="10">
        <v>6</v>
      </c>
      <c r="I38" s="10">
        <v>2</v>
      </c>
      <c r="J38" s="10">
        <f t="shared" si="0"/>
        <v>27</v>
      </c>
      <c r="K38" s="43">
        <f>126</f>
        <v>126</v>
      </c>
      <c r="L38" s="31"/>
      <c r="M38" s="39">
        <f t="shared" si="1"/>
        <v>0</v>
      </c>
      <c r="N38" s="49"/>
      <c r="O38" s="23">
        <v>19</v>
      </c>
      <c r="P38" s="23">
        <v>19</v>
      </c>
      <c r="Q38" s="38"/>
    </row>
    <row r="39" spans="1:17" s="6" customFormat="1" ht="20.25" customHeight="1">
      <c r="A39" s="66" t="s">
        <v>79</v>
      </c>
      <c r="B39" s="13" t="s">
        <v>105</v>
      </c>
      <c r="C39" s="10" t="s">
        <v>2</v>
      </c>
      <c r="D39" s="14"/>
      <c r="E39" s="14"/>
      <c r="F39" s="14"/>
      <c r="G39" s="14"/>
      <c r="H39" s="14"/>
      <c r="I39" s="14"/>
      <c r="J39" s="10"/>
      <c r="K39" s="45"/>
      <c r="L39" s="34"/>
      <c r="M39" s="39">
        <f>M38</f>
        <v>0</v>
      </c>
      <c r="N39" s="53"/>
      <c r="O39" s="60"/>
      <c r="P39" s="60"/>
      <c r="Q39" s="38"/>
    </row>
    <row r="40" spans="1:17" s="6" customFormat="1" ht="20.25" customHeight="1">
      <c r="A40" s="9">
        <v>1</v>
      </c>
      <c r="B40" s="12" t="s">
        <v>6</v>
      </c>
      <c r="C40" s="10" t="s">
        <v>2</v>
      </c>
      <c r="D40" s="10"/>
      <c r="E40" s="10"/>
      <c r="F40" s="10"/>
      <c r="G40" s="10"/>
      <c r="H40" s="10">
        <v>2</v>
      </c>
      <c r="I40" s="10"/>
      <c r="J40" s="10">
        <f t="shared" si="0"/>
        <v>2</v>
      </c>
      <c r="K40" s="43">
        <f>2527</f>
        <v>2527</v>
      </c>
      <c r="L40" s="34"/>
      <c r="M40" s="39">
        <f t="shared" si="1"/>
        <v>0</v>
      </c>
      <c r="N40" s="53"/>
      <c r="O40" s="28">
        <v>1</v>
      </c>
      <c r="P40" s="28">
        <v>1</v>
      </c>
      <c r="Q40" s="38"/>
    </row>
    <row r="41" spans="1:17" s="6" customFormat="1" ht="20.25" customHeight="1">
      <c r="A41" s="9">
        <v>2</v>
      </c>
      <c r="B41" s="12" t="s">
        <v>5</v>
      </c>
      <c r="C41" s="10" t="s">
        <v>2</v>
      </c>
      <c r="D41" s="10"/>
      <c r="E41" s="10"/>
      <c r="F41" s="10"/>
      <c r="G41" s="10"/>
      <c r="H41" s="10"/>
      <c r="I41" s="10">
        <v>2</v>
      </c>
      <c r="J41" s="10">
        <f t="shared" si="0"/>
        <v>2</v>
      </c>
      <c r="K41" s="43">
        <f>1736</f>
        <v>1736</v>
      </c>
      <c r="L41" s="34"/>
      <c r="M41" s="39">
        <f>M40</f>
        <v>0</v>
      </c>
      <c r="N41" s="53"/>
      <c r="O41" s="28">
        <v>1</v>
      </c>
      <c r="P41" s="28">
        <v>1</v>
      </c>
      <c r="Q41" s="38"/>
    </row>
    <row r="42" spans="1:17" s="6" customFormat="1" ht="20.25" customHeight="1">
      <c r="A42" s="9">
        <v>3</v>
      </c>
      <c r="B42" s="12" t="s">
        <v>11</v>
      </c>
      <c r="C42" s="10" t="s">
        <v>2</v>
      </c>
      <c r="D42" s="10"/>
      <c r="E42" s="10"/>
      <c r="F42" s="10"/>
      <c r="G42" s="10"/>
      <c r="H42" s="10"/>
      <c r="I42" s="10">
        <v>1</v>
      </c>
      <c r="J42" s="10">
        <f t="shared" si="0"/>
        <v>1</v>
      </c>
      <c r="K42" s="43">
        <f>1536</f>
        <v>1536</v>
      </c>
      <c r="L42" s="34"/>
      <c r="M42" s="39">
        <f t="shared" si="1"/>
        <v>0</v>
      </c>
      <c r="N42" s="53"/>
      <c r="O42" s="28">
        <v>5</v>
      </c>
      <c r="P42" s="28">
        <v>5</v>
      </c>
      <c r="Q42" s="38"/>
    </row>
    <row r="43" spans="1:17" s="6" customFormat="1" ht="20.25" customHeight="1">
      <c r="A43" s="9">
        <v>4</v>
      </c>
      <c r="B43" s="12" t="s">
        <v>42</v>
      </c>
      <c r="C43" s="10" t="s">
        <v>2</v>
      </c>
      <c r="D43" s="10"/>
      <c r="E43" s="10">
        <f>1</f>
        <v>1</v>
      </c>
      <c r="F43" s="10">
        <f>1</f>
        <v>1</v>
      </c>
      <c r="G43" s="10">
        <f>1</f>
        <v>1</v>
      </c>
      <c r="H43" s="10"/>
      <c r="I43" s="10">
        <v>5</v>
      </c>
      <c r="J43" s="10">
        <f t="shared" si="0"/>
        <v>8</v>
      </c>
      <c r="K43" s="43">
        <f>343</f>
        <v>343</v>
      </c>
      <c r="L43" s="34"/>
      <c r="M43" s="39">
        <f t="shared" si="1"/>
        <v>0</v>
      </c>
      <c r="N43" s="53"/>
      <c r="O43" s="28">
        <v>6</v>
      </c>
      <c r="P43" s="28">
        <v>6</v>
      </c>
      <c r="Q43" s="38"/>
    </row>
    <row r="44" spans="1:17" s="3" customFormat="1" ht="17.25" customHeight="1">
      <c r="A44" s="9">
        <v>5</v>
      </c>
      <c r="B44" s="12" t="s">
        <v>13</v>
      </c>
      <c r="C44" s="10" t="s">
        <v>2</v>
      </c>
      <c r="D44" s="10">
        <f>1</f>
        <v>1</v>
      </c>
      <c r="E44" s="10"/>
      <c r="F44" s="10"/>
      <c r="G44" s="10"/>
      <c r="H44" s="10"/>
      <c r="I44" s="10">
        <v>16</v>
      </c>
      <c r="J44" s="10">
        <f t="shared" si="0"/>
        <v>17</v>
      </c>
      <c r="K44" s="43">
        <f>322</f>
        <v>322</v>
      </c>
      <c r="L44" s="34"/>
      <c r="M44" s="39">
        <f t="shared" si="1"/>
        <v>0</v>
      </c>
      <c r="N44" s="53"/>
      <c r="O44" s="29">
        <v>17</v>
      </c>
      <c r="P44" s="29">
        <v>17</v>
      </c>
      <c r="Q44" s="38"/>
    </row>
    <row r="45" spans="1:17" s="3" customFormat="1" ht="21" customHeight="1">
      <c r="A45" s="9">
        <v>6</v>
      </c>
      <c r="B45" s="12" t="s">
        <v>7</v>
      </c>
      <c r="C45" s="10" t="s">
        <v>2</v>
      </c>
      <c r="D45" s="10">
        <f>1</f>
        <v>1</v>
      </c>
      <c r="E45" s="10"/>
      <c r="F45" s="10"/>
      <c r="G45" s="10"/>
      <c r="H45" s="10"/>
      <c r="I45" s="10"/>
      <c r="J45" s="10">
        <f t="shared" si="0"/>
        <v>1</v>
      </c>
      <c r="K45" s="43">
        <f>168</f>
        <v>168</v>
      </c>
      <c r="L45" s="34"/>
      <c r="M45" s="39">
        <f t="shared" si="1"/>
        <v>0</v>
      </c>
      <c r="N45" s="53"/>
      <c r="O45" s="29">
        <v>0</v>
      </c>
      <c r="P45" s="29">
        <v>0</v>
      </c>
      <c r="Q45" s="38"/>
    </row>
    <row r="46" spans="1:17" s="6" customFormat="1" ht="18.75" customHeight="1">
      <c r="A46" s="66" t="s">
        <v>80</v>
      </c>
      <c r="B46" s="13" t="s">
        <v>106</v>
      </c>
      <c r="C46" s="14"/>
      <c r="D46" s="14"/>
      <c r="E46" s="14"/>
      <c r="F46" s="14"/>
      <c r="G46" s="14"/>
      <c r="H46" s="14"/>
      <c r="I46" s="14"/>
      <c r="J46" s="10"/>
      <c r="K46" s="45"/>
      <c r="L46" s="34"/>
      <c r="M46" s="39">
        <f>M45</f>
        <v>0</v>
      </c>
      <c r="N46" s="53"/>
      <c r="O46" s="60"/>
      <c r="P46" s="60"/>
      <c r="Q46" s="38"/>
    </row>
    <row r="47" spans="1:17" s="6" customFormat="1" ht="18.75" customHeight="1">
      <c r="A47" s="9">
        <v>1</v>
      </c>
      <c r="B47" s="12" t="s">
        <v>64</v>
      </c>
      <c r="C47" s="10" t="s">
        <v>2</v>
      </c>
      <c r="D47" s="10"/>
      <c r="E47" s="10"/>
      <c r="F47" s="10"/>
      <c r="G47" s="10"/>
      <c r="H47" s="10">
        <v>2</v>
      </c>
      <c r="I47" s="10"/>
      <c r="J47" s="10">
        <f t="shared" si="0"/>
        <v>2</v>
      </c>
      <c r="K47" s="43">
        <f>683.2</f>
        <v>683.2</v>
      </c>
      <c r="L47" s="34"/>
      <c r="M47" s="39">
        <f t="shared" si="1"/>
        <v>0</v>
      </c>
      <c r="N47" s="53"/>
      <c r="O47" s="29">
        <v>2</v>
      </c>
      <c r="P47" s="29">
        <v>2</v>
      </c>
      <c r="Q47" s="38"/>
    </row>
    <row r="48" spans="1:17" s="6" customFormat="1" ht="18.75" customHeight="1">
      <c r="A48" s="9">
        <v>2</v>
      </c>
      <c r="B48" s="12" t="s">
        <v>73</v>
      </c>
      <c r="C48" s="10" t="s">
        <v>2</v>
      </c>
      <c r="D48" s="10"/>
      <c r="E48" s="10"/>
      <c r="F48" s="10"/>
      <c r="G48" s="10"/>
      <c r="H48" s="10"/>
      <c r="I48" s="10">
        <v>2</v>
      </c>
      <c r="J48" s="10">
        <f t="shared" si="0"/>
        <v>2</v>
      </c>
      <c r="K48" s="43">
        <f>588</f>
        <v>588</v>
      </c>
      <c r="L48" s="34"/>
      <c r="M48" s="39">
        <f t="shared" si="1"/>
        <v>0</v>
      </c>
      <c r="N48" s="53"/>
      <c r="O48" s="29">
        <v>2</v>
      </c>
      <c r="P48" s="29">
        <v>2</v>
      </c>
      <c r="Q48" s="38"/>
    </row>
    <row r="49" spans="1:17" s="6" customFormat="1" ht="18.75" customHeight="1">
      <c r="A49" s="9">
        <v>3</v>
      </c>
      <c r="B49" s="12" t="s">
        <v>65</v>
      </c>
      <c r="C49" s="10" t="s">
        <v>2</v>
      </c>
      <c r="D49" s="10"/>
      <c r="E49" s="10"/>
      <c r="F49" s="10"/>
      <c r="G49" s="10"/>
      <c r="H49" s="10">
        <v>2</v>
      </c>
      <c r="I49" s="10"/>
      <c r="J49" s="10">
        <f t="shared" si="0"/>
        <v>2</v>
      </c>
      <c r="K49" s="43">
        <f>588</f>
        <v>588</v>
      </c>
      <c r="L49" s="34"/>
      <c r="M49" s="39">
        <f t="shared" si="1"/>
        <v>0</v>
      </c>
      <c r="N49" s="53"/>
      <c r="O49" s="29">
        <v>2</v>
      </c>
      <c r="P49" s="29">
        <v>2</v>
      </c>
      <c r="Q49" s="38"/>
    </row>
    <row r="50" spans="1:17" s="6" customFormat="1" ht="18.75" customHeight="1">
      <c r="A50" s="9">
        <v>4</v>
      </c>
      <c r="B50" s="12" t="s">
        <v>66</v>
      </c>
      <c r="C50" s="10" t="s">
        <v>2</v>
      </c>
      <c r="D50" s="10"/>
      <c r="E50" s="10"/>
      <c r="F50" s="10"/>
      <c r="G50" s="10"/>
      <c r="H50" s="10">
        <v>2</v>
      </c>
      <c r="I50" s="10"/>
      <c r="J50" s="10">
        <f t="shared" si="0"/>
        <v>2</v>
      </c>
      <c r="K50" s="43">
        <f>588</f>
        <v>588</v>
      </c>
      <c r="L50" s="34"/>
      <c r="M50" s="39">
        <f t="shared" si="1"/>
        <v>0</v>
      </c>
      <c r="N50" s="53"/>
      <c r="O50" s="29">
        <v>2</v>
      </c>
      <c r="P50" s="29">
        <v>2</v>
      </c>
      <c r="Q50" s="38"/>
    </row>
    <row r="51" spans="1:17" s="6" customFormat="1" ht="18.75" customHeight="1">
      <c r="A51" s="9">
        <v>5</v>
      </c>
      <c r="B51" s="12" t="s">
        <v>21</v>
      </c>
      <c r="C51" s="10" t="s">
        <v>2</v>
      </c>
      <c r="D51" s="10">
        <f>1</f>
        <v>1</v>
      </c>
      <c r="E51" s="10">
        <v>1</v>
      </c>
      <c r="F51" s="10">
        <v>1</v>
      </c>
      <c r="G51" s="10">
        <v>1</v>
      </c>
      <c r="H51" s="10"/>
      <c r="I51" s="10">
        <v>3</v>
      </c>
      <c r="J51" s="10">
        <f t="shared" si="0"/>
        <v>7</v>
      </c>
      <c r="K51" s="43">
        <f>238</f>
        <v>238</v>
      </c>
      <c r="L51" s="34"/>
      <c r="M51" s="39">
        <f t="shared" si="1"/>
        <v>0</v>
      </c>
      <c r="N51" s="53"/>
      <c r="O51" s="29">
        <v>7</v>
      </c>
      <c r="P51" s="29">
        <v>7</v>
      </c>
      <c r="Q51" s="38"/>
    </row>
    <row r="52" spans="1:17" s="3" customFormat="1" ht="17.25" customHeight="1">
      <c r="A52" s="9">
        <v>6</v>
      </c>
      <c r="B52" s="12" t="s">
        <v>50</v>
      </c>
      <c r="C52" s="10" t="s">
        <v>2</v>
      </c>
      <c r="D52" s="10">
        <f>1</f>
        <v>1</v>
      </c>
      <c r="E52" s="10">
        <v>1</v>
      </c>
      <c r="F52" s="10">
        <v>1</v>
      </c>
      <c r="G52" s="10">
        <v>1</v>
      </c>
      <c r="H52" s="10"/>
      <c r="I52" s="10">
        <v>3</v>
      </c>
      <c r="J52" s="10">
        <f t="shared" si="0"/>
        <v>7</v>
      </c>
      <c r="K52" s="43">
        <f>182</f>
        <v>182</v>
      </c>
      <c r="L52" s="34"/>
      <c r="M52" s="39">
        <f>M51</f>
        <v>0</v>
      </c>
      <c r="N52" s="53"/>
      <c r="O52" s="29">
        <v>7</v>
      </c>
      <c r="P52" s="29">
        <v>7</v>
      </c>
      <c r="Q52" s="38"/>
    </row>
    <row r="53" spans="1:17" s="3" customFormat="1" ht="17.25" customHeight="1">
      <c r="A53" s="9">
        <v>7</v>
      </c>
      <c r="B53" s="12" t="s">
        <v>51</v>
      </c>
      <c r="C53" s="10" t="s">
        <v>2</v>
      </c>
      <c r="D53" s="10"/>
      <c r="E53" s="10"/>
      <c r="F53" s="10"/>
      <c r="G53" s="10"/>
      <c r="H53" s="10">
        <v>2</v>
      </c>
      <c r="I53" s="10"/>
      <c r="J53" s="10">
        <f t="shared" si="0"/>
        <v>2</v>
      </c>
      <c r="K53" s="43">
        <f>182</f>
        <v>182</v>
      </c>
      <c r="L53" s="34"/>
      <c r="M53" s="39">
        <f t="shared" si="1"/>
        <v>0</v>
      </c>
      <c r="N53" s="53"/>
      <c r="O53" s="29">
        <v>2</v>
      </c>
      <c r="P53" s="29">
        <v>2</v>
      </c>
      <c r="Q53" s="38"/>
    </row>
    <row r="54" spans="1:17" s="3" customFormat="1" ht="17.25" customHeight="1">
      <c r="A54" s="9">
        <v>8</v>
      </c>
      <c r="B54" s="12" t="s">
        <v>52</v>
      </c>
      <c r="C54" s="10" t="s">
        <v>2</v>
      </c>
      <c r="D54" s="10">
        <f>1</f>
        <v>1</v>
      </c>
      <c r="E54" s="10">
        <f>2+1</f>
        <v>3</v>
      </c>
      <c r="F54" s="10">
        <f>2+1</f>
        <v>3</v>
      </c>
      <c r="G54" s="10">
        <f>2+1</f>
        <v>3</v>
      </c>
      <c r="H54" s="10"/>
      <c r="I54" s="10">
        <v>5</v>
      </c>
      <c r="J54" s="10">
        <f t="shared" si="0"/>
        <v>15</v>
      </c>
      <c r="K54" s="43">
        <f>98</f>
        <v>98</v>
      </c>
      <c r="L54" s="34"/>
      <c r="M54" s="39">
        <f t="shared" si="1"/>
        <v>0</v>
      </c>
      <c r="N54" s="53"/>
      <c r="O54" s="29">
        <v>18</v>
      </c>
      <c r="P54" s="29">
        <v>18</v>
      </c>
      <c r="Q54" s="38"/>
    </row>
    <row r="55" spans="1:17" s="3" customFormat="1" ht="17.25" customHeight="1">
      <c r="A55" s="9">
        <v>9</v>
      </c>
      <c r="B55" s="12" t="s">
        <v>74</v>
      </c>
      <c r="C55" s="10" t="s">
        <v>2</v>
      </c>
      <c r="D55" s="10"/>
      <c r="E55" s="10"/>
      <c r="F55" s="10"/>
      <c r="G55" s="10"/>
      <c r="H55" s="10"/>
      <c r="I55" s="10">
        <v>5</v>
      </c>
      <c r="J55" s="10">
        <f t="shared" si="0"/>
        <v>5</v>
      </c>
      <c r="K55" s="43">
        <f>98</f>
        <v>98</v>
      </c>
      <c r="L55" s="34"/>
      <c r="M55" s="39">
        <f t="shared" si="1"/>
        <v>0</v>
      </c>
      <c r="N55" s="53"/>
      <c r="O55" s="29">
        <v>14</v>
      </c>
      <c r="P55" s="29">
        <v>14</v>
      </c>
      <c r="Q55" s="38"/>
    </row>
    <row r="56" spans="1:17" s="3" customFormat="1" ht="20.25" customHeight="1">
      <c r="A56" s="9">
        <v>10</v>
      </c>
      <c r="B56" s="12" t="s">
        <v>53</v>
      </c>
      <c r="C56" s="10" t="s">
        <v>2</v>
      </c>
      <c r="D56" s="10">
        <f>1</f>
        <v>1</v>
      </c>
      <c r="E56" s="10"/>
      <c r="F56" s="10"/>
      <c r="G56" s="10"/>
      <c r="H56" s="10"/>
      <c r="I56" s="10"/>
      <c r="J56" s="10">
        <f t="shared" si="0"/>
        <v>1</v>
      </c>
      <c r="K56" s="43">
        <f>91</f>
        <v>91</v>
      </c>
      <c r="L56" s="34"/>
      <c r="M56" s="39">
        <f t="shared" si="1"/>
        <v>0</v>
      </c>
      <c r="N56" s="53"/>
      <c r="O56" s="29">
        <v>5</v>
      </c>
      <c r="P56" s="29">
        <v>5</v>
      </c>
      <c r="Q56" s="38"/>
    </row>
    <row r="57" spans="1:17" s="3" customFormat="1" ht="20.25" customHeight="1">
      <c r="A57" s="9">
        <v>11</v>
      </c>
      <c r="B57" s="12" t="s">
        <v>55</v>
      </c>
      <c r="C57" s="10" t="s">
        <v>2</v>
      </c>
      <c r="D57" s="10">
        <f>1</f>
        <v>1</v>
      </c>
      <c r="E57" s="10">
        <f>2</f>
        <v>2</v>
      </c>
      <c r="F57" s="10">
        <f>2</f>
        <v>2</v>
      </c>
      <c r="G57" s="10">
        <f>2</f>
        <v>2</v>
      </c>
      <c r="H57" s="10"/>
      <c r="I57" s="10">
        <f>40</f>
        <v>40</v>
      </c>
      <c r="J57" s="10">
        <f t="shared" si="0"/>
        <v>47</v>
      </c>
      <c r="K57" s="43">
        <f>91</f>
        <v>91</v>
      </c>
      <c r="L57" s="34"/>
      <c r="M57" s="39">
        <f t="shared" si="1"/>
        <v>0</v>
      </c>
      <c r="N57" s="53"/>
      <c r="O57" s="29">
        <v>41</v>
      </c>
      <c r="P57" s="29">
        <v>41</v>
      </c>
      <c r="Q57" s="38"/>
    </row>
    <row r="58" spans="1:17" s="3" customFormat="1" ht="20.25" customHeight="1">
      <c r="A58" s="9">
        <v>12</v>
      </c>
      <c r="B58" s="12" t="s">
        <v>54</v>
      </c>
      <c r="C58" s="10" t="s">
        <v>2</v>
      </c>
      <c r="D58" s="10">
        <f>20</f>
        <v>20</v>
      </c>
      <c r="E58" s="10">
        <f>2+1+22+1</f>
        <v>26</v>
      </c>
      <c r="F58" s="10">
        <f>2+1+22+1</f>
        <v>26</v>
      </c>
      <c r="G58" s="10">
        <f>2+1+22+1</f>
        <v>26</v>
      </c>
      <c r="H58" s="10"/>
      <c r="I58" s="10">
        <f>45</f>
        <v>45</v>
      </c>
      <c r="J58" s="10">
        <f t="shared" si="0"/>
        <v>143</v>
      </c>
      <c r="K58" s="43">
        <f>91</f>
        <v>91</v>
      </c>
      <c r="L58" s="34"/>
      <c r="M58" s="39">
        <f>M57</f>
        <v>0</v>
      </c>
      <c r="N58" s="53"/>
      <c r="O58" s="29">
        <v>141</v>
      </c>
      <c r="P58" s="29">
        <v>141</v>
      </c>
      <c r="Q58" s="38"/>
    </row>
    <row r="59" spans="1:17" s="6" customFormat="1" ht="33" customHeight="1">
      <c r="A59" s="66" t="s">
        <v>81</v>
      </c>
      <c r="B59" s="13" t="s">
        <v>45</v>
      </c>
      <c r="C59" s="14"/>
      <c r="D59" s="14"/>
      <c r="E59" s="14"/>
      <c r="F59" s="14"/>
      <c r="G59" s="14"/>
      <c r="H59" s="14"/>
      <c r="I59" s="14"/>
      <c r="J59" s="10"/>
      <c r="K59" s="45"/>
      <c r="L59" s="34"/>
      <c r="M59" s="39">
        <f>M58</f>
        <v>0</v>
      </c>
      <c r="N59" s="53"/>
      <c r="O59" s="60"/>
      <c r="P59" s="60"/>
      <c r="Q59" s="38"/>
    </row>
    <row r="60" spans="1:17" s="6" customFormat="1" ht="18.75" customHeight="1">
      <c r="A60" s="9">
        <v>1</v>
      </c>
      <c r="B60" s="12" t="s">
        <v>38</v>
      </c>
      <c r="C60" s="10" t="s">
        <v>2</v>
      </c>
      <c r="D60" s="10"/>
      <c r="E60" s="10"/>
      <c r="F60" s="10"/>
      <c r="G60" s="10"/>
      <c r="H60" s="10">
        <v>435</v>
      </c>
      <c r="I60" s="10"/>
      <c r="J60" s="10">
        <f t="shared" si="0"/>
        <v>435</v>
      </c>
      <c r="K60" s="43">
        <f>490</f>
        <v>490</v>
      </c>
      <c r="L60" s="34"/>
      <c r="M60" s="39">
        <f t="shared" ref="M60:M63" si="2">M59</f>
        <v>0</v>
      </c>
      <c r="N60" s="53"/>
      <c r="O60" s="23">
        <v>426</v>
      </c>
      <c r="P60" s="23">
        <v>426</v>
      </c>
      <c r="Q60" s="38"/>
    </row>
    <row r="61" spans="1:17" ht="20.25" customHeight="1">
      <c r="A61" s="9">
        <v>2</v>
      </c>
      <c r="B61" s="12" t="s">
        <v>15</v>
      </c>
      <c r="C61" s="10" t="s">
        <v>2</v>
      </c>
      <c r="D61" s="17"/>
      <c r="E61" s="17"/>
      <c r="F61" s="17"/>
      <c r="G61" s="17"/>
      <c r="H61" s="17"/>
      <c r="I61" s="17">
        <v>5</v>
      </c>
      <c r="J61" s="10">
        <f t="shared" si="0"/>
        <v>5</v>
      </c>
      <c r="K61" s="43">
        <f>105</f>
        <v>105</v>
      </c>
      <c r="L61" s="34"/>
      <c r="M61" s="39">
        <f t="shared" si="2"/>
        <v>0</v>
      </c>
      <c r="N61" s="53"/>
      <c r="O61" s="23">
        <v>8</v>
      </c>
      <c r="P61" s="23">
        <v>8</v>
      </c>
      <c r="Q61" s="38"/>
    </row>
    <row r="62" spans="1:17" ht="20.25" customHeight="1">
      <c r="A62" s="9">
        <v>3</v>
      </c>
      <c r="B62" s="12" t="s">
        <v>36</v>
      </c>
      <c r="C62" s="10" t="s">
        <v>2</v>
      </c>
      <c r="D62" s="17">
        <f>20*2+20</f>
        <v>60</v>
      </c>
      <c r="E62" s="17">
        <f>5+1+66</f>
        <v>72</v>
      </c>
      <c r="F62" s="17">
        <f>5+1+66</f>
        <v>72</v>
      </c>
      <c r="G62" s="17">
        <f>5+1+66</f>
        <v>72</v>
      </c>
      <c r="H62" s="17"/>
      <c r="I62" s="17">
        <f>64+30</f>
        <v>94</v>
      </c>
      <c r="J62" s="10">
        <f t="shared" si="0"/>
        <v>370</v>
      </c>
      <c r="K62" s="43">
        <f>105</f>
        <v>105</v>
      </c>
      <c r="L62" s="34"/>
      <c r="M62" s="39">
        <f t="shared" si="2"/>
        <v>0</v>
      </c>
      <c r="N62" s="53"/>
      <c r="O62" s="23">
        <v>208</v>
      </c>
      <c r="P62" s="23">
        <v>208</v>
      </c>
      <c r="Q62" s="38"/>
    </row>
    <row r="63" spans="1:17" ht="20.25" customHeight="1">
      <c r="A63" s="9">
        <v>4</v>
      </c>
      <c r="B63" s="12" t="s">
        <v>16</v>
      </c>
      <c r="C63" s="10" t="s">
        <v>2</v>
      </c>
      <c r="D63" s="17">
        <f>3+1+20</f>
        <v>24</v>
      </c>
      <c r="E63" s="17">
        <f>5+1</f>
        <v>6</v>
      </c>
      <c r="F63" s="17">
        <f>5+1</f>
        <v>6</v>
      </c>
      <c r="G63" s="17">
        <f>5+1</f>
        <v>6</v>
      </c>
      <c r="H63" s="17"/>
      <c r="I63" s="17"/>
      <c r="J63" s="10">
        <f t="shared" si="0"/>
        <v>42</v>
      </c>
      <c r="K63" s="43">
        <f>105</f>
        <v>105</v>
      </c>
      <c r="L63" s="34"/>
      <c r="M63" s="39">
        <f t="shared" si="2"/>
        <v>0</v>
      </c>
      <c r="N63" s="53"/>
      <c r="O63" s="23">
        <v>110</v>
      </c>
      <c r="P63" s="23">
        <v>110</v>
      </c>
      <c r="Q63" s="38"/>
    </row>
    <row r="64" spans="1:17" ht="20.25" customHeight="1">
      <c r="A64" s="66" t="s">
        <v>82</v>
      </c>
      <c r="B64" s="13" t="s">
        <v>34</v>
      </c>
      <c r="C64" s="10"/>
      <c r="D64" s="17"/>
      <c r="E64" s="17"/>
      <c r="F64" s="17"/>
      <c r="G64" s="17"/>
      <c r="H64" s="17"/>
      <c r="I64" s="17"/>
      <c r="J64" s="10"/>
      <c r="K64" s="46"/>
      <c r="L64" s="35"/>
      <c r="M64" s="39">
        <f>M63</f>
        <v>0</v>
      </c>
      <c r="N64" s="54"/>
      <c r="O64" s="61"/>
      <c r="P64" s="61"/>
      <c r="Q64" s="38"/>
    </row>
    <row r="65" spans="1:17" ht="20.25" customHeight="1">
      <c r="A65" s="66">
        <v>1</v>
      </c>
      <c r="B65" s="12" t="s">
        <v>67</v>
      </c>
      <c r="C65" s="10" t="s">
        <v>2</v>
      </c>
      <c r="D65" s="17"/>
      <c r="E65" s="17"/>
      <c r="F65" s="17"/>
      <c r="G65" s="17"/>
      <c r="H65" s="17">
        <v>1</v>
      </c>
      <c r="I65" s="17"/>
      <c r="J65" s="10">
        <f t="shared" ref="J65:J80" si="3">D65+E65+F65+G65+H65+I65</f>
        <v>1</v>
      </c>
      <c r="K65" s="43">
        <f>870</f>
        <v>870</v>
      </c>
      <c r="L65" s="34"/>
      <c r="M65" s="39">
        <f t="shared" ref="M65:M67" si="4">M64</f>
        <v>0</v>
      </c>
      <c r="N65" s="53"/>
      <c r="O65" s="23">
        <f>0</f>
        <v>0</v>
      </c>
      <c r="P65" s="23">
        <f>0</f>
        <v>0</v>
      </c>
      <c r="Q65" s="38"/>
    </row>
    <row r="66" spans="1:17" ht="20.25" customHeight="1">
      <c r="A66" s="9">
        <v>2</v>
      </c>
      <c r="B66" s="12" t="s">
        <v>39</v>
      </c>
      <c r="C66" s="10" t="s">
        <v>2</v>
      </c>
      <c r="D66" s="17">
        <v>1</v>
      </c>
      <c r="E66" s="17">
        <v>1</v>
      </c>
      <c r="F66" s="17">
        <v>1</v>
      </c>
      <c r="G66" s="17">
        <v>1</v>
      </c>
      <c r="H66" s="17"/>
      <c r="I66" s="17">
        <v>1</v>
      </c>
      <c r="J66" s="10">
        <f t="shared" si="3"/>
        <v>5</v>
      </c>
      <c r="K66" s="43">
        <f>780</f>
        <v>780</v>
      </c>
      <c r="L66" s="34"/>
      <c r="M66" s="39">
        <f t="shared" si="4"/>
        <v>0</v>
      </c>
      <c r="N66" s="53"/>
      <c r="O66" s="23">
        <f>0</f>
        <v>0</v>
      </c>
      <c r="P66" s="23">
        <f>0</f>
        <v>0</v>
      </c>
      <c r="Q66" s="38"/>
    </row>
    <row r="67" spans="1:17" ht="20.25" customHeight="1">
      <c r="A67" s="66" t="s">
        <v>83</v>
      </c>
      <c r="B67" s="13" t="s">
        <v>35</v>
      </c>
      <c r="C67" s="10"/>
      <c r="D67" s="17"/>
      <c r="E67" s="17"/>
      <c r="F67" s="17"/>
      <c r="G67" s="17"/>
      <c r="H67" s="17"/>
      <c r="I67" s="17"/>
      <c r="J67" s="10"/>
      <c r="K67" s="46"/>
      <c r="L67" s="35"/>
      <c r="M67" s="39">
        <f t="shared" si="4"/>
        <v>0</v>
      </c>
      <c r="N67" s="54"/>
      <c r="O67" s="23"/>
      <c r="P67" s="23"/>
      <c r="Q67" s="38"/>
    </row>
    <row r="68" spans="1:17" ht="20.25" customHeight="1">
      <c r="A68" s="9">
        <v>1</v>
      </c>
      <c r="B68" s="12" t="s">
        <v>39</v>
      </c>
      <c r="C68" s="10" t="s">
        <v>2</v>
      </c>
      <c r="D68" s="17">
        <v>1</v>
      </c>
      <c r="E68" s="17">
        <v>1</v>
      </c>
      <c r="F68" s="17">
        <v>1</v>
      </c>
      <c r="G68" s="17">
        <v>1</v>
      </c>
      <c r="H68" s="17">
        <v>1</v>
      </c>
      <c r="I68" s="17">
        <v>1</v>
      </c>
      <c r="J68" s="10">
        <f t="shared" si="3"/>
        <v>6</v>
      </c>
      <c r="K68" s="43">
        <f>780</f>
        <v>780</v>
      </c>
      <c r="L68" s="34"/>
      <c r="M68" s="39">
        <f>M67</f>
        <v>0</v>
      </c>
      <c r="N68" s="53"/>
      <c r="O68" s="23">
        <f>0</f>
        <v>0</v>
      </c>
      <c r="P68" s="23">
        <f>0</f>
        <v>0</v>
      </c>
      <c r="Q68" s="38"/>
    </row>
    <row r="69" spans="1:17" ht="20.25" customHeight="1">
      <c r="A69" s="9">
        <v>2</v>
      </c>
      <c r="B69" s="12" t="s">
        <v>46</v>
      </c>
      <c r="C69" s="10" t="s">
        <v>2</v>
      </c>
      <c r="D69" s="17">
        <f>1</f>
        <v>1</v>
      </c>
      <c r="E69" s="17">
        <f>1+1</f>
        <v>2</v>
      </c>
      <c r="F69" s="17">
        <f>1+1</f>
        <v>2</v>
      </c>
      <c r="G69" s="17">
        <f>1+1</f>
        <v>2</v>
      </c>
      <c r="H69" s="17"/>
      <c r="I69" s="17"/>
      <c r="J69" s="10">
        <f t="shared" si="3"/>
        <v>7</v>
      </c>
      <c r="K69" s="43">
        <f>680</f>
        <v>680</v>
      </c>
      <c r="L69" s="34"/>
      <c r="M69" s="39">
        <f t="shared" ref="M69:M78" si="5">M68</f>
        <v>0</v>
      </c>
      <c r="N69" s="53"/>
      <c r="O69" s="23">
        <v>24</v>
      </c>
      <c r="P69" s="23">
        <v>24</v>
      </c>
      <c r="Q69" s="38"/>
    </row>
    <row r="70" spans="1:17" ht="20.25" customHeight="1">
      <c r="A70" s="66" t="s">
        <v>84</v>
      </c>
      <c r="B70" s="20" t="s">
        <v>107</v>
      </c>
      <c r="C70" s="10"/>
      <c r="D70" s="17"/>
      <c r="E70" s="17"/>
      <c r="F70" s="17"/>
      <c r="G70" s="17"/>
      <c r="H70" s="17"/>
      <c r="I70" s="17"/>
      <c r="J70" s="10"/>
      <c r="K70" s="46"/>
      <c r="L70" s="35"/>
      <c r="M70" s="39">
        <f t="shared" si="5"/>
        <v>0</v>
      </c>
      <c r="N70" s="54"/>
      <c r="O70" s="23"/>
      <c r="P70" s="23"/>
      <c r="Q70" s="38"/>
    </row>
    <row r="71" spans="1:17" s="40" customFormat="1" ht="20.25" customHeight="1">
      <c r="A71" s="9">
        <v>1</v>
      </c>
      <c r="B71" s="57" t="s">
        <v>31</v>
      </c>
      <c r="C71" s="10" t="s">
        <v>2</v>
      </c>
      <c r="D71" s="17">
        <f>1+3+2+1+20</f>
        <v>27</v>
      </c>
      <c r="E71" s="17">
        <f>7+1+1+1+1+22</f>
        <v>33</v>
      </c>
      <c r="F71" s="17">
        <f>7+1+1+1+1+22</f>
        <v>33</v>
      </c>
      <c r="G71" s="17">
        <f>7+1+1+1+1+22</f>
        <v>33</v>
      </c>
      <c r="H71" s="17"/>
      <c r="I71" s="17">
        <f>45</f>
        <v>45</v>
      </c>
      <c r="J71" s="10">
        <f t="shared" si="3"/>
        <v>171</v>
      </c>
      <c r="K71" s="43">
        <f>147</f>
        <v>147</v>
      </c>
      <c r="L71" s="33"/>
      <c r="M71" s="39">
        <f t="shared" si="5"/>
        <v>0</v>
      </c>
      <c r="N71" s="51"/>
      <c r="O71" s="23">
        <v>172</v>
      </c>
      <c r="P71" s="23">
        <v>172</v>
      </c>
      <c r="Q71" s="38"/>
    </row>
    <row r="72" spans="1:17" s="4" customFormat="1" ht="29.25" customHeight="1">
      <c r="A72" s="66" t="s">
        <v>85</v>
      </c>
      <c r="B72" s="13" t="s">
        <v>108</v>
      </c>
      <c r="C72" s="14"/>
      <c r="D72" s="14"/>
      <c r="E72" s="14"/>
      <c r="F72" s="14"/>
      <c r="G72" s="14"/>
      <c r="H72" s="14"/>
      <c r="I72" s="14"/>
      <c r="J72" s="10"/>
      <c r="K72" s="44"/>
      <c r="L72" s="33"/>
      <c r="M72" s="39">
        <f t="shared" si="5"/>
        <v>0</v>
      </c>
      <c r="N72" s="51"/>
      <c r="O72" s="27"/>
      <c r="P72" s="27"/>
      <c r="Q72" s="38"/>
    </row>
    <row r="73" spans="1:17" s="4" customFormat="1" ht="18.75" customHeight="1">
      <c r="A73" s="9">
        <v>1</v>
      </c>
      <c r="B73" s="12" t="s">
        <v>8</v>
      </c>
      <c r="C73" s="10" t="s">
        <v>2</v>
      </c>
      <c r="D73" s="10"/>
      <c r="E73" s="10"/>
      <c r="F73" s="10"/>
      <c r="G73" s="10"/>
      <c r="H73" s="10">
        <v>9</v>
      </c>
      <c r="I73" s="10"/>
      <c r="J73" s="10">
        <f t="shared" si="3"/>
        <v>9</v>
      </c>
      <c r="K73" s="43">
        <f>1512</f>
        <v>1512</v>
      </c>
      <c r="L73" s="34"/>
      <c r="M73" s="39">
        <f t="shared" si="5"/>
        <v>0</v>
      </c>
      <c r="N73" s="53"/>
      <c r="O73" s="23">
        <f>7-2</f>
        <v>5</v>
      </c>
      <c r="P73" s="23">
        <f>7-2</f>
        <v>5</v>
      </c>
      <c r="Q73" s="38"/>
    </row>
    <row r="74" spans="1:17" s="4" customFormat="1" ht="18.75" customHeight="1">
      <c r="A74" s="9">
        <v>2</v>
      </c>
      <c r="B74" s="12" t="s">
        <v>9</v>
      </c>
      <c r="C74" s="10" t="s">
        <v>2</v>
      </c>
      <c r="D74" s="10">
        <f>4</f>
        <v>4</v>
      </c>
      <c r="E74" s="10"/>
      <c r="F74" s="10"/>
      <c r="G74" s="10"/>
      <c r="H74" s="10"/>
      <c r="I74" s="10">
        <v>6</v>
      </c>
      <c r="J74" s="10">
        <f t="shared" si="3"/>
        <v>10</v>
      </c>
      <c r="K74" s="43">
        <f>791</f>
        <v>791</v>
      </c>
      <c r="L74" s="34"/>
      <c r="M74" s="39">
        <f t="shared" si="5"/>
        <v>0</v>
      </c>
      <c r="N74" s="53"/>
      <c r="O74" s="23">
        <f>12-2</f>
        <v>10</v>
      </c>
      <c r="P74" s="23">
        <f>12-2</f>
        <v>10</v>
      </c>
      <c r="Q74" s="38"/>
    </row>
    <row r="75" spans="1:17" s="3" customFormat="1" ht="24.75" customHeight="1">
      <c r="A75" s="9">
        <v>3</v>
      </c>
      <c r="B75" s="12" t="s">
        <v>17</v>
      </c>
      <c r="C75" s="10" t="s">
        <v>2</v>
      </c>
      <c r="D75" s="10">
        <f>4</f>
        <v>4</v>
      </c>
      <c r="E75" s="10">
        <f>4</f>
        <v>4</v>
      </c>
      <c r="F75" s="10">
        <f>4</f>
        <v>4</v>
      </c>
      <c r="G75" s="10">
        <f>4</f>
        <v>4</v>
      </c>
      <c r="H75" s="10"/>
      <c r="I75" s="10"/>
      <c r="J75" s="10">
        <f t="shared" si="3"/>
        <v>16</v>
      </c>
      <c r="K75" s="43">
        <f>630</f>
        <v>630</v>
      </c>
      <c r="L75" s="34"/>
      <c r="M75" s="39">
        <f t="shared" si="5"/>
        <v>0</v>
      </c>
      <c r="N75" s="53"/>
      <c r="O75" s="23">
        <v>16</v>
      </c>
      <c r="P75" s="23">
        <v>16</v>
      </c>
      <c r="Q75" s="38"/>
    </row>
    <row r="76" spans="1:17" s="3" customFormat="1" ht="24.75" customHeight="1">
      <c r="A76" s="66" t="s">
        <v>86</v>
      </c>
      <c r="B76" s="13" t="s">
        <v>29</v>
      </c>
      <c r="C76" s="10"/>
      <c r="D76" s="10"/>
      <c r="E76" s="10"/>
      <c r="F76" s="10"/>
      <c r="G76" s="10"/>
      <c r="H76" s="10"/>
      <c r="I76" s="10"/>
      <c r="J76" s="10"/>
      <c r="K76" s="47"/>
      <c r="L76" s="32"/>
      <c r="M76" s="39">
        <f t="shared" si="5"/>
        <v>0</v>
      </c>
      <c r="N76" s="55"/>
      <c r="O76" s="23"/>
      <c r="P76" s="23"/>
      <c r="Q76" s="38"/>
    </row>
    <row r="77" spans="1:17" s="3" customFormat="1" ht="24.75" customHeight="1">
      <c r="A77" s="9">
        <v>1</v>
      </c>
      <c r="B77" s="12" t="s">
        <v>28</v>
      </c>
      <c r="C77" s="10" t="s">
        <v>2</v>
      </c>
      <c r="D77" s="10"/>
      <c r="E77" s="10"/>
      <c r="F77" s="10"/>
      <c r="G77" s="10"/>
      <c r="H77" s="10">
        <v>1</v>
      </c>
      <c r="I77" s="10"/>
      <c r="J77" s="10">
        <f t="shared" si="3"/>
        <v>1</v>
      </c>
      <c r="K77" s="43">
        <f>2116</f>
        <v>2116</v>
      </c>
      <c r="L77" s="34"/>
      <c r="M77" s="39">
        <f t="shared" si="5"/>
        <v>0</v>
      </c>
      <c r="N77" s="53"/>
      <c r="O77" s="23">
        <v>1</v>
      </c>
      <c r="P77" s="23">
        <v>1</v>
      </c>
      <c r="Q77" s="38"/>
    </row>
    <row r="78" spans="1:17" s="3" customFormat="1" ht="24.75" customHeight="1">
      <c r="A78" s="9">
        <v>2</v>
      </c>
      <c r="B78" s="12" t="s">
        <v>27</v>
      </c>
      <c r="C78" s="10" t="s">
        <v>2</v>
      </c>
      <c r="D78" s="10">
        <v>1</v>
      </c>
      <c r="E78" s="10"/>
      <c r="F78" s="10"/>
      <c r="G78" s="10"/>
      <c r="H78" s="10"/>
      <c r="I78" s="10">
        <v>1</v>
      </c>
      <c r="J78" s="10">
        <f t="shared" si="3"/>
        <v>2</v>
      </c>
      <c r="K78" s="43">
        <f>1107.4</f>
        <v>1107.4000000000001</v>
      </c>
      <c r="L78" s="34"/>
      <c r="M78" s="39">
        <f t="shared" si="5"/>
        <v>0</v>
      </c>
      <c r="N78" s="53"/>
      <c r="O78" s="23">
        <v>2</v>
      </c>
      <c r="P78" s="23">
        <v>2</v>
      </c>
      <c r="Q78" s="38"/>
    </row>
    <row r="79" spans="1:17" s="3" customFormat="1" ht="24.75" customHeight="1">
      <c r="A79" s="66" t="s">
        <v>87</v>
      </c>
      <c r="B79" s="13" t="s">
        <v>40</v>
      </c>
      <c r="C79" s="10"/>
      <c r="D79" s="10"/>
      <c r="E79" s="10"/>
      <c r="F79" s="10"/>
      <c r="G79" s="10"/>
      <c r="H79" s="10"/>
      <c r="I79" s="10"/>
      <c r="J79" s="10"/>
      <c r="K79" s="47"/>
      <c r="L79" s="32"/>
      <c r="M79" s="29"/>
      <c r="N79" s="55"/>
      <c r="O79" s="62"/>
      <c r="P79" s="62"/>
      <c r="Q79" s="38"/>
    </row>
    <row r="80" spans="1:17" s="3" customFormat="1" ht="24.75" customHeight="1">
      <c r="A80" s="9">
        <v>1</v>
      </c>
      <c r="B80" s="12" t="s">
        <v>25</v>
      </c>
      <c r="C80" s="10" t="s">
        <v>2</v>
      </c>
      <c r="D80" s="10"/>
      <c r="E80" s="10"/>
      <c r="F80" s="10"/>
      <c r="G80" s="10"/>
      <c r="H80" s="10">
        <v>60</v>
      </c>
      <c r="I80" s="10"/>
      <c r="J80" s="10">
        <f t="shared" si="3"/>
        <v>60</v>
      </c>
      <c r="K80" s="43"/>
      <c r="L80" s="31"/>
      <c r="M80" s="25"/>
      <c r="N80" s="50"/>
      <c r="O80" s="23">
        <v>55</v>
      </c>
      <c r="P80" s="23">
        <v>55</v>
      </c>
      <c r="Q80" s="38"/>
    </row>
    <row r="81" spans="1:17" s="5" customFormat="1" ht="24" customHeight="1">
      <c r="A81" s="21"/>
      <c r="B81" s="18"/>
      <c r="C81" s="10"/>
      <c r="D81" s="10"/>
      <c r="E81" s="10"/>
      <c r="F81" s="10"/>
      <c r="G81" s="10"/>
      <c r="H81" s="10"/>
      <c r="I81" s="10"/>
      <c r="J81" s="10"/>
      <c r="K81" s="43"/>
      <c r="L81" s="31"/>
      <c r="M81" s="25"/>
      <c r="N81" s="50"/>
      <c r="O81" s="23"/>
      <c r="P81" s="58"/>
      <c r="Q81" s="38"/>
    </row>
    <row r="82" spans="1:17" s="40" customFormat="1" ht="26.25" customHeight="1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63"/>
      <c r="P82" s="64"/>
      <c r="Q82" s="64">
        <f>SUM(Q7:Q81)</f>
        <v>0</v>
      </c>
    </row>
    <row r="83" spans="1:17">
      <c r="N83" s="7"/>
    </row>
    <row r="84" spans="1:17">
      <c r="N84" s="7"/>
    </row>
    <row r="85" spans="1:17">
      <c r="N85" s="7"/>
    </row>
    <row r="86" spans="1:17">
      <c r="N86" s="7"/>
    </row>
    <row r="87" spans="1:17" ht="37.5" customHeight="1">
      <c r="N87" s="7"/>
    </row>
    <row r="88" spans="1:17">
      <c r="N88" s="7"/>
    </row>
    <row r="89" spans="1:17">
      <c r="N89" s="7"/>
    </row>
    <row r="90" spans="1:17">
      <c r="N90" s="7"/>
    </row>
    <row r="91" spans="1:17">
      <c r="N91" s="7"/>
    </row>
    <row r="92" spans="1:17">
      <c r="N92" s="7"/>
    </row>
    <row r="93" spans="1:17">
      <c r="N93" s="7"/>
    </row>
    <row r="94" spans="1:17">
      <c r="N94" s="7"/>
    </row>
    <row r="95" spans="1:17">
      <c r="N95" s="7"/>
    </row>
    <row r="96" spans="1:17">
      <c r="N96" s="7"/>
    </row>
    <row r="97" spans="14:14">
      <c r="N97" s="7"/>
    </row>
    <row r="98" spans="14:14">
      <c r="N98" s="7"/>
    </row>
    <row r="99" spans="14:14">
      <c r="N99" s="7"/>
    </row>
    <row r="100" spans="14:14">
      <c r="N100" s="7"/>
    </row>
    <row r="101" spans="14:14">
      <c r="N101" s="7"/>
    </row>
    <row r="102" spans="14:14">
      <c r="N102" s="7"/>
    </row>
    <row r="103" spans="14:14">
      <c r="N103" s="7"/>
    </row>
    <row r="104" spans="14:14">
      <c r="N104" s="7"/>
    </row>
    <row r="105" spans="14:14">
      <c r="N105" s="7"/>
    </row>
    <row r="106" spans="14:14">
      <c r="N106" s="7"/>
    </row>
    <row r="107" spans="14:14">
      <c r="N107" s="7"/>
    </row>
    <row r="108" spans="14:14">
      <c r="N108" s="7"/>
    </row>
    <row r="109" spans="14:14">
      <c r="N109" s="7"/>
    </row>
    <row r="110" spans="14:14">
      <c r="N110" s="7"/>
    </row>
    <row r="111" spans="14:14">
      <c r="N111" s="7"/>
    </row>
    <row r="112" spans="14:14">
      <c r="N112" s="7"/>
    </row>
    <row r="113" spans="14:14">
      <c r="N113" s="7"/>
    </row>
    <row r="114" spans="14:14">
      <c r="N114" s="7"/>
    </row>
    <row r="115" spans="14:14">
      <c r="N115" s="7"/>
    </row>
    <row r="116" spans="14:14">
      <c r="N116" s="7"/>
    </row>
    <row r="117" spans="14:14">
      <c r="N117" s="7"/>
    </row>
    <row r="118" spans="14:14">
      <c r="N118" s="7"/>
    </row>
    <row r="119" spans="14:14">
      <c r="N119" s="7"/>
    </row>
    <row r="120" spans="14:14">
      <c r="N120" s="7"/>
    </row>
    <row r="121" spans="14:14">
      <c r="N121" s="7"/>
    </row>
    <row r="122" spans="14:14">
      <c r="N122" s="7"/>
    </row>
    <row r="123" spans="14:14">
      <c r="N123" s="7"/>
    </row>
    <row r="124" spans="14:14">
      <c r="N124" s="7"/>
    </row>
    <row r="125" spans="14:14">
      <c r="N125" s="7"/>
    </row>
    <row r="126" spans="14:14">
      <c r="N126" s="7"/>
    </row>
    <row r="127" spans="14:14">
      <c r="N127" s="7"/>
    </row>
    <row r="128" spans="14:14">
      <c r="N128" s="7"/>
    </row>
    <row r="129" spans="14:14">
      <c r="N129" s="7"/>
    </row>
    <row r="130" spans="14:14">
      <c r="N130" s="7"/>
    </row>
    <row r="131" spans="14:14">
      <c r="N131" s="7"/>
    </row>
    <row r="132" spans="14:14">
      <c r="N132" s="7"/>
    </row>
    <row r="133" spans="14:14">
      <c r="N133" s="7"/>
    </row>
    <row r="134" spans="14:14">
      <c r="N134" s="7"/>
    </row>
    <row r="135" spans="14:14">
      <c r="N135" s="7"/>
    </row>
    <row r="136" spans="14:14">
      <c r="N136" s="7"/>
    </row>
    <row r="137" spans="14:14">
      <c r="N137" s="7"/>
    </row>
    <row r="138" spans="14:14">
      <c r="N138" s="7"/>
    </row>
    <row r="139" spans="14:14">
      <c r="N139" s="7"/>
    </row>
    <row r="140" spans="14:14">
      <c r="N140" s="7"/>
    </row>
    <row r="141" spans="14:14">
      <c r="N141" s="7"/>
    </row>
    <row r="142" spans="14:14">
      <c r="N142" s="7"/>
    </row>
    <row r="143" spans="14:14">
      <c r="N143" s="7"/>
    </row>
    <row r="144" spans="14:14">
      <c r="N144" s="7"/>
    </row>
    <row r="145" spans="14:14">
      <c r="N145" s="7"/>
    </row>
    <row r="146" spans="14:14">
      <c r="N146" s="7"/>
    </row>
    <row r="147" spans="14:14">
      <c r="N147" s="7"/>
    </row>
  </sheetData>
  <mergeCells count="16">
    <mergeCell ref="A82:N82"/>
    <mergeCell ref="C2:D2"/>
    <mergeCell ref="E2:J2"/>
    <mergeCell ref="K2:N2"/>
    <mergeCell ref="O2:P2"/>
    <mergeCell ref="A3:A4"/>
    <mergeCell ref="B3:B4"/>
    <mergeCell ref="C3:C4"/>
    <mergeCell ref="D3:G3"/>
    <mergeCell ref="H3:H4"/>
    <mergeCell ref="A1:Q1"/>
    <mergeCell ref="I3:I4"/>
    <mergeCell ref="J3:J4"/>
    <mergeCell ref="K3:L4"/>
    <mergeCell ref="M3:N4"/>
    <mergeCell ref="O3:Q4"/>
  </mergeCells>
  <printOptions horizontalCentered="1"/>
  <pageMargins left="0.17" right="0.11" top="0.42" bottom="0.47" header="0.3" footer="0.24"/>
  <pageSetup paperSize="9" scale="60" orientation="landscape" verticalDpi="300" r:id="rId1"/>
  <drawing r:id="rId2"/>
  <legacyDrawing r:id="rId3"/>
  <oleObjects>
    <oleObject progId="PBrush" shapeId="99329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Q86"/>
  <sheetViews>
    <sheetView topLeftCell="A10" zoomScale="75" zoomScaleNormal="75" workbookViewId="0">
      <selection activeCell="B23" sqref="B23"/>
    </sheetView>
  </sheetViews>
  <sheetFormatPr defaultRowHeight="12.75"/>
  <cols>
    <col min="1" max="1" width="7.7109375" style="7" customWidth="1"/>
    <col min="2" max="2" width="53.28515625" style="2" customWidth="1"/>
    <col min="3" max="3" width="9" style="7" customWidth="1"/>
    <col min="4" max="4" width="11.85546875" style="2" hidden="1" customWidth="1"/>
    <col min="5" max="5" width="9.7109375" style="2" hidden="1" customWidth="1"/>
    <col min="6" max="6" width="11.42578125" style="2" hidden="1" customWidth="1"/>
    <col min="7" max="7" width="9.7109375" style="2" hidden="1" customWidth="1"/>
    <col min="8" max="8" width="14.5703125" style="2" hidden="1" customWidth="1"/>
    <col min="9" max="9" width="15" style="2" hidden="1" customWidth="1"/>
    <col min="10" max="10" width="10.85546875" style="2" customWidth="1"/>
    <col min="11" max="11" width="9.85546875" style="7" hidden="1" customWidth="1"/>
    <col min="12" max="12" width="8.7109375" style="2" hidden="1" customWidth="1"/>
    <col min="13" max="13" width="10.85546875" style="7" hidden="1" customWidth="1"/>
    <col min="14" max="14" width="10.28515625" style="56" hidden="1" customWidth="1"/>
    <col min="15" max="15" width="11.42578125" style="2" bestFit="1" customWidth="1"/>
    <col min="16" max="16" width="17.28515625" style="2" bestFit="1" customWidth="1"/>
    <col min="17" max="17" width="18.42578125" style="2" customWidth="1"/>
    <col min="18" max="16384" width="9.140625" style="2"/>
  </cols>
  <sheetData>
    <row r="1" spans="1:17" s="1" customFormat="1" ht="75.75" customHeight="1">
      <c r="A1" s="72" t="s">
        <v>123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4"/>
    </row>
    <row r="2" spans="1:17" ht="74.25" customHeight="1">
      <c r="A2" s="68" t="s">
        <v>26</v>
      </c>
      <c r="B2" s="70" t="s">
        <v>109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75" t="s">
        <v>116</v>
      </c>
      <c r="P2" s="76"/>
      <c r="Q2" s="66" t="s">
        <v>113</v>
      </c>
    </row>
    <row r="3" spans="1:17" ht="23.25" customHeight="1">
      <c r="A3" s="84" t="s">
        <v>0</v>
      </c>
      <c r="B3" s="85" t="s">
        <v>3</v>
      </c>
      <c r="C3" s="84" t="s">
        <v>4</v>
      </c>
      <c r="D3" s="84" t="s">
        <v>98</v>
      </c>
      <c r="E3" s="84"/>
      <c r="F3" s="84"/>
      <c r="G3" s="84"/>
      <c r="H3" s="84" t="s">
        <v>62</v>
      </c>
      <c r="I3" s="84" t="s">
        <v>63</v>
      </c>
      <c r="J3" s="84"/>
      <c r="K3" s="84" t="s">
        <v>99</v>
      </c>
      <c r="L3" s="84"/>
      <c r="M3" s="77" t="s">
        <v>112</v>
      </c>
      <c r="N3" s="79"/>
      <c r="O3" s="77"/>
      <c r="P3" s="78"/>
      <c r="Q3" s="79"/>
    </row>
    <row r="4" spans="1:17" s="3" customFormat="1" ht="6" customHeight="1">
      <c r="A4" s="84"/>
      <c r="B4" s="85"/>
      <c r="C4" s="84"/>
      <c r="D4" s="66" t="s">
        <v>41</v>
      </c>
      <c r="E4" s="66" t="s">
        <v>43</v>
      </c>
      <c r="F4" s="66" t="s">
        <v>60</v>
      </c>
      <c r="G4" s="66" t="s">
        <v>61</v>
      </c>
      <c r="H4" s="84"/>
      <c r="I4" s="84"/>
      <c r="J4" s="84"/>
      <c r="K4" s="84"/>
      <c r="L4" s="84"/>
      <c r="M4" s="80"/>
      <c r="N4" s="82"/>
      <c r="O4" s="80"/>
      <c r="P4" s="81"/>
      <c r="Q4" s="82"/>
    </row>
    <row r="5" spans="1:17" s="3" customFormat="1" ht="43.5" customHeight="1">
      <c r="A5" s="66"/>
      <c r="B5" s="67"/>
      <c r="C5" s="66"/>
      <c r="D5" s="66"/>
      <c r="E5" s="66"/>
      <c r="F5" s="66"/>
      <c r="G5" s="66"/>
      <c r="H5" s="66"/>
      <c r="I5" s="66"/>
      <c r="J5" s="26" t="s">
        <v>115</v>
      </c>
      <c r="K5" s="66" t="s">
        <v>110</v>
      </c>
      <c r="L5" s="66" t="s">
        <v>111</v>
      </c>
      <c r="M5" s="66" t="s">
        <v>100</v>
      </c>
      <c r="N5" s="48" t="s">
        <v>101</v>
      </c>
      <c r="O5" s="26" t="s">
        <v>114</v>
      </c>
      <c r="P5" s="26" t="s">
        <v>118</v>
      </c>
      <c r="Q5" s="26"/>
    </row>
    <row r="6" spans="1:17" s="5" customFormat="1" ht="40.5" customHeight="1">
      <c r="A6" s="66"/>
      <c r="B6" s="19"/>
      <c r="C6" s="10"/>
      <c r="D6" s="10"/>
      <c r="E6" s="10"/>
      <c r="F6" s="10"/>
      <c r="G6" s="10"/>
      <c r="H6" s="10"/>
      <c r="I6" s="10"/>
      <c r="J6" s="10"/>
      <c r="K6" s="23"/>
      <c r="L6" s="24"/>
      <c r="M6" s="23"/>
      <c r="N6" s="49"/>
      <c r="O6" s="24"/>
      <c r="P6" s="26" t="s">
        <v>119</v>
      </c>
      <c r="Q6" s="24"/>
    </row>
    <row r="7" spans="1:17" s="4" customFormat="1" ht="19.5" customHeight="1">
      <c r="A7" s="66" t="s">
        <v>75</v>
      </c>
      <c r="B7" s="13" t="s">
        <v>132</v>
      </c>
      <c r="C7" s="14"/>
      <c r="D7" s="14"/>
      <c r="E7" s="14"/>
      <c r="F7" s="14"/>
      <c r="G7" s="14"/>
      <c r="H7" s="14"/>
      <c r="I7" s="14"/>
      <c r="J7" s="10"/>
      <c r="K7" s="44"/>
      <c r="L7" s="33"/>
      <c r="M7" s="26"/>
      <c r="N7" s="51"/>
      <c r="O7" s="27"/>
      <c r="P7" s="59"/>
      <c r="Q7" s="27"/>
    </row>
    <row r="8" spans="1:17" s="4" customFormat="1" ht="19.5" customHeight="1">
      <c r="A8" s="9">
        <v>1</v>
      </c>
      <c r="B8" s="12" t="s">
        <v>133</v>
      </c>
      <c r="C8" s="10" t="s">
        <v>2</v>
      </c>
      <c r="D8" s="10"/>
      <c r="E8" s="10"/>
      <c r="F8" s="10"/>
      <c r="G8" s="10"/>
      <c r="H8" s="10">
        <v>18</v>
      </c>
      <c r="I8" s="10"/>
      <c r="J8" s="10">
        <f>0</f>
        <v>0</v>
      </c>
      <c r="K8" s="43">
        <f>972</f>
        <v>972</v>
      </c>
      <c r="L8" s="31"/>
      <c r="M8" s="39">
        <v>0.05</v>
      </c>
      <c r="N8" s="52"/>
      <c r="O8" s="26">
        <f>40</f>
        <v>40</v>
      </c>
      <c r="P8" s="26">
        <f>40</f>
        <v>40</v>
      </c>
      <c r="Q8" s="38"/>
    </row>
    <row r="9" spans="1:17" s="4" customFormat="1" ht="19.5" customHeight="1">
      <c r="A9" s="9">
        <v>2</v>
      </c>
      <c r="B9" s="12" t="s">
        <v>134</v>
      </c>
      <c r="C9" s="10" t="s">
        <v>2</v>
      </c>
      <c r="D9" s="16" t="e">
        <f>#REF!/6+4+4</f>
        <v>#REF!</v>
      </c>
      <c r="E9" s="10"/>
      <c r="F9" s="10"/>
      <c r="G9" s="10"/>
      <c r="H9" s="10">
        <v>120</v>
      </c>
      <c r="I9" s="10">
        <v>15</v>
      </c>
      <c r="J9" s="10">
        <f>0</f>
        <v>0</v>
      </c>
      <c r="K9" s="43">
        <f>754</f>
        <v>754</v>
      </c>
      <c r="L9" s="33"/>
      <c r="M9" s="39">
        <v>0.05</v>
      </c>
      <c r="N9" s="51"/>
      <c r="O9" s="26">
        <f>80</f>
        <v>80</v>
      </c>
      <c r="P9" s="26">
        <f>80</f>
        <v>80</v>
      </c>
      <c r="Q9" s="38"/>
    </row>
    <row r="10" spans="1:17" s="5" customFormat="1" ht="19.5" customHeight="1">
      <c r="A10" s="9">
        <v>3</v>
      </c>
      <c r="B10" s="12" t="s">
        <v>135</v>
      </c>
      <c r="C10" s="10" t="s">
        <v>2</v>
      </c>
      <c r="D10" s="10">
        <f>3+2+4+1+20</f>
        <v>30</v>
      </c>
      <c r="E10" s="16" t="e">
        <f>#REF!/6+2+20+1</f>
        <v>#REF!</v>
      </c>
      <c r="F10" s="16" t="e">
        <f>#REF!/6+2+20+1</f>
        <v>#REF!</v>
      </c>
      <c r="G10" s="16" t="e">
        <f>#REF!/6+2+20+1</f>
        <v>#REF!</v>
      </c>
      <c r="H10" s="10"/>
      <c r="I10" s="10">
        <v>36</v>
      </c>
      <c r="J10" s="10">
        <f>0</f>
        <v>0</v>
      </c>
      <c r="K10" s="43">
        <f>238</f>
        <v>238</v>
      </c>
      <c r="L10" s="31"/>
      <c r="M10" s="39">
        <v>0.05</v>
      </c>
      <c r="N10" s="49"/>
      <c r="O10" s="23">
        <f>64</f>
        <v>64</v>
      </c>
      <c r="P10" s="23">
        <f>64</f>
        <v>64</v>
      </c>
      <c r="Q10" s="38"/>
    </row>
    <row r="11" spans="1:17" s="5" customFormat="1" ht="19.5" customHeight="1">
      <c r="A11" s="9"/>
      <c r="B11" s="12"/>
      <c r="C11" s="10"/>
      <c r="D11" s="16"/>
      <c r="E11" s="10"/>
      <c r="F11" s="10"/>
      <c r="G11" s="10"/>
      <c r="H11" s="10"/>
      <c r="I11" s="10"/>
      <c r="J11" s="16"/>
      <c r="K11" s="43"/>
      <c r="L11" s="31"/>
      <c r="M11" s="39"/>
      <c r="N11" s="49"/>
      <c r="O11" s="23"/>
      <c r="P11" s="23"/>
      <c r="Q11" s="38"/>
    </row>
    <row r="12" spans="1:17" s="4" customFormat="1" ht="21" customHeight="1">
      <c r="A12" s="66" t="s">
        <v>76</v>
      </c>
      <c r="B12" s="13" t="s">
        <v>136</v>
      </c>
      <c r="C12" s="14"/>
      <c r="D12" s="14"/>
      <c r="E12" s="14"/>
      <c r="F12" s="14"/>
      <c r="G12" s="14"/>
      <c r="H12" s="14"/>
      <c r="I12" s="14"/>
      <c r="J12" s="10"/>
      <c r="K12" s="44"/>
      <c r="L12" s="33"/>
      <c r="M12" s="26"/>
      <c r="N12" s="51"/>
      <c r="O12" s="27"/>
      <c r="P12" s="27"/>
      <c r="Q12" s="27"/>
    </row>
    <row r="13" spans="1:17" s="5" customFormat="1" ht="18.75" customHeight="1">
      <c r="A13" s="9">
        <v>1</v>
      </c>
      <c r="B13" s="12" t="s">
        <v>137</v>
      </c>
      <c r="C13" s="10" t="s">
        <v>2</v>
      </c>
      <c r="D13" s="10"/>
      <c r="E13" s="10"/>
      <c r="F13" s="10"/>
      <c r="G13" s="10"/>
      <c r="H13" s="10">
        <v>60</v>
      </c>
      <c r="I13" s="10"/>
      <c r="J13" s="10">
        <f>0</f>
        <v>0</v>
      </c>
      <c r="K13" s="43">
        <f>1169</f>
        <v>1169</v>
      </c>
      <c r="L13" s="31"/>
      <c r="M13" s="39">
        <v>0.05</v>
      </c>
      <c r="N13" s="49"/>
      <c r="O13" s="23">
        <f>64</f>
        <v>64</v>
      </c>
      <c r="P13" s="23">
        <f>64</f>
        <v>64</v>
      </c>
      <c r="Q13" s="38"/>
    </row>
    <row r="14" spans="1:17" s="5" customFormat="1" ht="18.75" customHeight="1">
      <c r="A14" s="9"/>
      <c r="B14" s="12"/>
      <c r="C14" s="10"/>
      <c r="D14" s="10"/>
      <c r="E14" s="10"/>
      <c r="F14" s="10"/>
      <c r="G14" s="10"/>
      <c r="H14" s="10"/>
      <c r="I14" s="10"/>
      <c r="J14" s="10"/>
      <c r="K14" s="43"/>
      <c r="L14" s="31"/>
      <c r="M14" s="23"/>
      <c r="N14" s="49"/>
      <c r="O14" s="23"/>
      <c r="P14" s="23"/>
      <c r="Q14" s="38"/>
    </row>
    <row r="15" spans="1:17" s="4" customFormat="1" ht="20.25" customHeight="1">
      <c r="A15" s="66" t="s">
        <v>77</v>
      </c>
      <c r="B15" s="13" t="s">
        <v>138</v>
      </c>
      <c r="C15" s="14"/>
      <c r="D15" s="14"/>
      <c r="E15" s="14"/>
      <c r="F15" s="14"/>
      <c r="G15" s="14"/>
      <c r="H15" s="14"/>
      <c r="I15" s="14"/>
      <c r="J15" s="10"/>
      <c r="K15" s="44"/>
      <c r="L15" s="33"/>
      <c r="M15" s="26"/>
      <c r="N15" s="51"/>
      <c r="O15" s="27"/>
      <c r="P15" s="27"/>
      <c r="Q15" s="38"/>
    </row>
    <row r="16" spans="1:17" s="4" customFormat="1" ht="20.25" customHeight="1">
      <c r="A16" s="9">
        <v>1</v>
      </c>
      <c r="B16" s="12" t="s">
        <v>6</v>
      </c>
      <c r="C16" s="10" t="s">
        <v>2</v>
      </c>
      <c r="D16" s="10"/>
      <c r="E16" s="10"/>
      <c r="F16" s="10"/>
      <c r="G16" s="10"/>
      <c r="H16" s="10">
        <v>4</v>
      </c>
      <c r="I16" s="10"/>
      <c r="J16" s="10">
        <f>0</f>
        <v>0</v>
      </c>
      <c r="K16" s="43">
        <f>1545.6</f>
        <v>1545.6</v>
      </c>
      <c r="L16" s="31"/>
      <c r="M16" s="39">
        <v>0</v>
      </c>
      <c r="N16" s="49"/>
      <c r="O16" s="26">
        <f>5</f>
        <v>5</v>
      </c>
      <c r="P16" s="26">
        <f>5</f>
        <v>5</v>
      </c>
      <c r="Q16" s="38"/>
    </row>
    <row r="17" spans="1:17" s="5" customFormat="1" ht="20.25" customHeight="1">
      <c r="A17" s="9">
        <v>2</v>
      </c>
      <c r="B17" s="12" t="s">
        <v>5</v>
      </c>
      <c r="C17" s="10" t="s">
        <v>2</v>
      </c>
      <c r="D17" s="10">
        <f>2</f>
        <v>2</v>
      </c>
      <c r="E17" s="10"/>
      <c r="F17" s="10"/>
      <c r="G17" s="10"/>
      <c r="H17" s="10">
        <v>6</v>
      </c>
      <c r="I17" s="10">
        <v>3</v>
      </c>
      <c r="J17" s="10">
        <f>0</f>
        <v>0</v>
      </c>
      <c r="K17" s="43">
        <f>735</f>
        <v>735</v>
      </c>
      <c r="L17" s="31"/>
      <c r="M17" s="39">
        <f>M16</f>
        <v>0</v>
      </c>
      <c r="N17" s="49"/>
      <c r="O17" s="23">
        <v>10</v>
      </c>
      <c r="P17" s="23">
        <v>10</v>
      </c>
      <c r="Q17" s="38"/>
    </row>
    <row r="18" spans="1:17" s="5" customFormat="1" ht="20.25" customHeight="1">
      <c r="A18" s="9">
        <v>3</v>
      </c>
      <c r="B18" s="12" t="s">
        <v>11</v>
      </c>
      <c r="C18" s="10" t="s">
        <v>2</v>
      </c>
      <c r="D18" s="10">
        <v>1</v>
      </c>
      <c r="E18" s="10">
        <v>1</v>
      </c>
      <c r="F18" s="10">
        <v>1</v>
      </c>
      <c r="G18" s="10">
        <v>1</v>
      </c>
      <c r="H18" s="10"/>
      <c r="I18" s="10">
        <v>2</v>
      </c>
      <c r="J18" s="10">
        <f>0</f>
        <v>0</v>
      </c>
      <c r="K18" s="43">
        <f>364</f>
        <v>364</v>
      </c>
      <c r="L18" s="31"/>
      <c r="M18" s="39">
        <f t="shared" ref="M18:M19" si="0">M17</f>
        <v>0</v>
      </c>
      <c r="N18" s="49"/>
      <c r="O18" s="23">
        <v>16</v>
      </c>
      <c r="P18" s="23">
        <v>16</v>
      </c>
      <c r="Q18" s="38"/>
    </row>
    <row r="19" spans="1:17" s="5" customFormat="1" ht="20.25" customHeight="1">
      <c r="A19" s="9">
        <v>4</v>
      </c>
      <c r="B19" s="12" t="s">
        <v>12</v>
      </c>
      <c r="C19" s="10" t="s">
        <v>2</v>
      </c>
      <c r="D19" s="10"/>
      <c r="E19" s="10"/>
      <c r="F19" s="10"/>
      <c r="G19" s="10"/>
      <c r="H19" s="10">
        <v>10</v>
      </c>
      <c r="I19" s="10"/>
      <c r="J19" s="10">
        <f t="shared" ref="J19" si="1">D19+E19+F19+G19+H19+I19</f>
        <v>10</v>
      </c>
      <c r="K19" s="43">
        <f>364</f>
        <v>364</v>
      </c>
      <c r="L19" s="31"/>
      <c r="M19" s="39">
        <f t="shared" si="0"/>
        <v>0</v>
      </c>
      <c r="N19" s="49"/>
      <c r="O19" s="23">
        <v>4</v>
      </c>
      <c r="P19" s="23">
        <v>4</v>
      </c>
      <c r="Q19" s="38"/>
    </row>
    <row r="20" spans="1:17" s="5" customFormat="1" ht="24" customHeight="1">
      <c r="A20" s="21"/>
      <c r="B20" s="18"/>
      <c r="C20" s="10"/>
      <c r="D20" s="10"/>
      <c r="E20" s="10"/>
      <c r="F20" s="10"/>
      <c r="G20" s="10"/>
      <c r="H20" s="10"/>
      <c r="I20" s="10"/>
      <c r="J20" s="10"/>
      <c r="K20" s="43"/>
      <c r="L20" s="31"/>
      <c r="M20" s="25"/>
      <c r="N20" s="50"/>
      <c r="O20" s="23"/>
      <c r="P20" s="58"/>
      <c r="Q20" s="38"/>
    </row>
    <row r="21" spans="1:17" s="40" customFormat="1" ht="26.25" customHeight="1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63"/>
      <c r="P21" s="64"/>
      <c r="Q21" s="64">
        <f>SUM(Q7:Q20)</f>
        <v>0</v>
      </c>
    </row>
    <row r="22" spans="1:17">
      <c r="N22" s="7"/>
    </row>
    <row r="23" spans="1:17">
      <c r="N23" s="7"/>
    </row>
    <row r="24" spans="1:17">
      <c r="N24" s="7"/>
    </row>
    <row r="25" spans="1:17">
      <c r="N25" s="7"/>
    </row>
    <row r="26" spans="1:17" ht="37.5" customHeight="1">
      <c r="N26" s="7"/>
    </row>
    <row r="27" spans="1:17">
      <c r="N27" s="7"/>
    </row>
    <row r="28" spans="1:17">
      <c r="N28" s="7"/>
    </row>
    <row r="29" spans="1:17">
      <c r="N29" s="7"/>
    </row>
    <row r="30" spans="1:17">
      <c r="N30" s="7"/>
    </row>
    <row r="31" spans="1:17">
      <c r="N31" s="7"/>
    </row>
    <row r="32" spans="1:17">
      <c r="N32" s="7"/>
    </row>
    <row r="33" spans="14:14">
      <c r="N33" s="7"/>
    </row>
    <row r="34" spans="14:14">
      <c r="N34" s="7"/>
    </row>
    <row r="35" spans="14:14">
      <c r="N35" s="7"/>
    </row>
    <row r="36" spans="14:14">
      <c r="N36" s="7"/>
    </row>
    <row r="37" spans="14:14">
      <c r="N37" s="7"/>
    </row>
    <row r="38" spans="14:14">
      <c r="N38" s="7"/>
    </row>
    <row r="39" spans="14:14">
      <c r="N39" s="7"/>
    </row>
    <row r="40" spans="14:14">
      <c r="N40" s="7"/>
    </row>
    <row r="41" spans="14:14">
      <c r="N41" s="7"/>
    </row>
    <row r="42" spans="14:14">
      <c r="N42" s="7"/>
    </row>
    <row r="43" spans="14:14">
      <c r="N43" s="7"/>
    </row>
    <row r="44" spans="14:14">
      <c r="N44" s="7"/>
    </row>
    <row r="45" spans="14:14">
      <c r="N45" s="7"/>
    </row>
    <row r="46" spans="14:14">
      <c r="N46" s="7"/>
    </row>
    <row r="47" spans="14:14">
      <c r="N47" s="7"/>
    </row>
    <row r="48" spans="14:14">
      <c r="N48" s="7"/>
    </row>
    <row r="49" spans="14:14">
      <c r="N49" s="7"/>
    </row>
    <row r="50" spans="14:14">
      <c r="N50" s="7"/>
    </row>
    <row r="51" spans="14:14">
      <c r="N51" s="7"/>
    </row>
    <row r="52" spans="14:14">
      <c r="N52" s="7"/>
    </row>
    <row r="53" spans="14:14">
      <c r="N53" s="7"/>
    </row>
    <row r="54" spans="14:14">
      <c r="N54" s="7"/>
    </row>
    <row r="55" spans="14:14">
      <c r="N55" s="7"/>
    </row>
    <row r="56" spans="14:14">
      <c r="N56" s="7"/>
    </row>
    <row r="57" spans="14:14">
      <c r="N57" s="7"/>
    </row>
    <row r="58" spans="14:14">
      <c r="N58" s="7"/>
    </row>
    <row r="59" spans="14:14">
      <c r="N59" s="7"/>
    </row>
    <row r="60" spans="14:14">
      <c r="N60" s="7"/>
    </row>
    <row r="61" spans="14:14">
      <c r="N61" s="7"/>
    </row>
    <row r="62" spans="14:14">
      <c r="N62" s="7"/>
    </row>
    <row r="63" spans="14:14">
      <c r="N63" s="7"/>
    </row>
    <row r="64" spans="14:14">
      <c r="N64" s="7"/>
    </row>
    <row r="65" spans="14:14">
      <c r="N65" s="7"/>
    </row>
    <row r="66" spans="14:14">
      <c r="N66" s="7"/>
    </row>
    <row r="67" spans="14:14">
      <c r="N67" s="7"/>
    </row>
    <row r="68" spans="14:14">
      <c r="N68" s="7"/>
    </row>
    <row r="69" spans="14:14">
      <c r="N69" s="7"/>
    </row>
    <row r="70" spans="14:14">
      <c r="N70" s="7"/>
    </row>
    <row r="71" spans="14:14">
      <c r="N71" s="7"/>
    </row>
    <row r="72" spans="14:14">
      <c r="N72" s="7"/>
    </row>
    <row r="73" spans="14:14">
      <c r="N73" s="7"/>
    </row>
    <row r="74" spans="14:14">
      <c r="N74" s="7"/>
    </row>
    <row r="75" spans="14:14">
      <c r="N75" s="7"/>
    </row>
    <row r="76" spans="14:14">
      <c r="N76" s="7"/>
    </row>
    <row r="77" spans="14:14">
      <c r="N77" s="7"/>
    </row>
    <row r="78" spans="14:14">
      <c r="N78" s="7"/>
    </row>
    <row r="79" spans="14:14">
      <c r="N79" s="7"/>
    </row>
    <row r="80" spans="14:14">
      <c r="N80" s="7"/>
    </row>
    <row r="81" spans="14:14">
      <c r="N81" s="7"/>
    </row>
    <row r="82" spans="14:14">
      <c r="N82" s="7"/>
    </row>
    <row r="83" spans="14:14">
      <c r="N83" s="7"/>
    </row>
    <row r="84" spans="14:14">
      <c r="N84" s="7"/>
    </row>
    <row r="85" spans="14:14">
      <c r="N85" s="7"/>
    </row>
    <row r="86" spans="14:14">
      <c r="N86" s="7"/>
    </row>
  </sheetData>
  <mergeCells count="16">
    <mergeCell ref="A21:N21"/>
    <mergeCell ref="A1:Q1"/>
    <mergeCell ref="C2:D2"/>
    <mergeCell ref="E2:J2"/>
    <mergeCell ref="K2:N2"/>
    <mergeCell ref="O2:P2"/>
    <mergeCell ref="A3:A4"/>
    <mergeCell ref="B3:B4"/>
    <mergeCell ref="C3:C4"/>
    <mergeCell ref="D3:G3"/>
    <mergeCell ref="H3:H4"/>
    <mergeCell ref="I3:I4"/>
    <mergeCell ref="J3:J4"/>
    <mergeCell ref="K3:L4"/>
    <mergeCell ref="M3:N4"/>
    <mergeCell ref="O3:Q4"/>
  </mergeCells>
  <printOptions horizontalCentered="1"/>
  <pageMargins left="0.17" right="0.11" top="0.42" bottom="0.47" header="0.3" footer="0.24"/>
  <pageSetup paperSize="9" scale="60" orientation="landscape" verticalDpi="300" r:id="rId1"/>
  <drawing r:id="rId2"/>
  <legacyDrawing r:id="rId3"/>
  <oleObjects>
    <oleObject progId="PBrush" shapeId="100353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Pipe-Valves</vt:lpstr>
      <vt:lpstr>Fittings</vt:lpstr>
      <vt:lpstr>Nut-Bolts</vt:lpstr>
      <vt:lpstr>Fittings!Print_Area</vt:lpstr>
      <vt:lpstr>'Nut-Bolts'!Print_Area</vt:lpstr>
      <vt:lpstr>'Pipe-Valves'!Print_Area</vt:lpstr>
      <vt:lpstr>Fittings!Print_Titles</vt:lpstr>
      <vt:lpstr>'Nut-Bolts'!Print_Titles</vt:lpstr>
      <vt:lpstr>'Pipe-Valves'!Print_Titles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GPSPC1</cp:lastModifiedBy>
  <cp:lastPrinted>2018-11-27T07:05:32Z</cp:lastPrinted>
  <dcterms:created xsi:type="dcterms:W3CDTF">2007-12-11T07:25:31Z</dcterms:created>
  <dcterms:modified xsi:type="dcterms:W3CDTF">2019-02-22T09:46:12Z</dcterms:modified>
</cp:coreProperties>
</file>