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Pap\Dropbox\GAMES\KSP\Git\RitS-RP1-MSA\Server\"/>
    </mc:Choice>
  </mc:AlternateContent>
  <xr:revisionPtr revIDLastSave="0" documentId="13_ncr:1_{39DE1D75-347C-432F-B7C2-9AE5540EA60B}" xr6:coauthVersionLast="40" xr6:coauthVersionMax="40" xr10:uidLastSave="{00000000-0000-0000-0000-000000000000}"/>
  <bookViews>
    <workbookView xWindow="0" yWindow="0" windowWidth="28800" windowHeight="11925" activeTab="6" xr2:uid="{988F3485-20E1-4533-B365-D30F020FB431}"/>
  </bookViews>
  <sheets>
    <sheet name="EngineFam" sheetId="2" r:id="rId1"/>
    <sheet name="Engines" sheetId="4" r:id="rId2"/>
    <sheet name="StageFam" sheetId="5" r:id="rId3"/>
    <sheet name="Stages" sheetId="6" r:id="rId4"/>
    <sheet name="LVFam" sheetId="7" r:id="rId5"/>
    <sheet name="LV" sheetId="8" r:id="rId6"/>
    <sheet name="Launches" sheetId="1"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8" l="1"/>
  <c r="F3" i="8"/>
  <c r="F4" i="8"/>
  <c r="F5" i="8"/>
  <c r="F6" i="8"/>
  <c r="F7" i="8"/>
  <c r="F8" i="8"/>
  <c r="F9" i="8"/>
  <c r="F10" i="8"/>
  <c r="F11" i="8"/>
  <c r="E3" i="7"/>
  <c r="E4" i="7"/>
  <c r="E5" i="7"/>
  <c r="E6" i="7"/>
  <c r="E2" i="7"/>
  <c r="F2" i="6"/>
  <c r="F3" i="6"/>
  <c r="F4" i="6"/>
  <c r="F5" i="6"/>
  <c r="F6" i="6"/>
  <c r="F7" i="6"/>
  <c r="F8" i="6"/>
  <c r="F9" i="6"/>
  <c r="F10" i="6"/>
  <c r="F11" i="6"/>
  <c r="F12" i="6"/>
  <c r="F2" i="5"/>
  <c r="F3" i="5"/>
  <c r="F4" i="5"/>
  <c r="F5" i="5"/>
  <c r="F6" i="5"/>
  <c r="F7" i="5"/>
  <c r="E3" i="4" l="1"/>
  <c r="E4" i="4"/>
  <c r="E5" i="4"/>
  <c r="E6" i="4"/>
  <c r="E7" i="4"/>
  <c r="E8" i="4"/>
  <c r="E2" i="4"/>
  <c r="E2" i="2"/>
  <c r="E3" i="2"/>
  <c r="E4" i="2"/>
  <c r="N43" i="1" l="1"/>
  <c r="O43" i="1" s="1"/>
  <c r="P43" i="1" s="1"/>
  <c r="M43" i="1"/>
  <c r="Q43" i="1"/>
  <c r="N42" i="1"/>
  <c r="M42" i="1"/>
  <c r="Q42" i="1"/>
  <c r="N41" i="1"/>
  <c r="O41" i="1" s="1"/>
  <c r="P41" i="1" s="1"/>
  <c r="L41" i="1"/>
  <c r="M41" i="1"/>
  <c r="Q41" i="1"/>
  <c r="N40" i="1"/>
  <c r="L40" i="1"/>
  <c r="Q40" i="1"/>
  <c r="N39" i="1"/>
  <c r="O39" i="1" s="1"/>
  <c r="P39" i="1" s="1"/>
  <c r="Q39" i="1"/>
  <c r="N38" i="1"/>
  <c r="O38" i="1" s="1"/>
  <c r="P38" i="1" s="1"/>
  <c r="Q38" i="1"/>
  <c r="N37" i="1"/>
  <c r="O37" i="1" s="1"/>
  <c r="P37" i="1" s="1"/>
  <c r="Q37" i="1"/>
  <c r="N36" i="1"/>
  <c r="O36" i="1" s="1"/>
  <c r="P36" i="1" s="1"/>
  <c r="Q36" i="1"/>
  <c r="O35" i="1"/>
  <c r="P35" i="1" s="1"/>
  <c r="Q35" i="1"/>
  <c r="K34" i="1"/>
  <c r="O34" i="1" s="1"/>
  <c r="P34" i="1" s="1"/>
  <c r="Q34" i="1"/>
  <c r="O33" i="1"/>
  <c r="P33" i="1" s="1"/>
  <c r="Q33" i="1"/>
  <c r="N32" i="1"/>
  <c r="O32" i="1"/>
  <c r="P32" i="1" s="1"/>
  <c r="N31" i="1"/>
  <c r="Q32" i="1"/>
  <c r="O42" i="1" l="1"/>
  <c r="P42" i="1" s="1"/>
  <c r="O40" i="1"/>
  <c r="P40" i="1" s="1"/>
  <c r="M31" i="1"/>
  <c r="O31" i="1" s="1"/>
  <c r="P31" i="1" s="1"/>
  <c r="Q31" i="1"/>
  <c r="N30" i="1"/>
  <c r="O30" i="1" s="1"/>
  <c r="P30" i="1" s="1"/>
  <c r="Q30" i="1"/>
  <c r="N29" i="1"/>
  <c r="O29" i="1" s="1"/>
  <c r="P29" i="1" s="1"/>
  <c r="Q29" i="1"/>
  <c r="M28" i="1"/>
  <c r="O28" i="1" s="1"/>
  <c r="P28" i="1" s="1"/>
  <c r="Q28" i="1"/>
  <c r="N27" i="1"/>
  <c r="O27" i="1" s="1"/>
  <c r="P27" i="1" s="1"/>
  <c r="Q27" i="1"/>
  <c r="N26" i="1"/>
  <c r="O26" i="1" s="1"/>
  <c r="P26" i="1" s="1"/>
  <c r="Q26" i="1"/>
  <c r="N25" i="1"/>
  <c r="O25" i="1" s="1"/>
  <c r="P25" i="1" s="1"/>
  <c r="Q25" i="1"/>
  <c r="N24" i="1"/>
  <c r="O24" i="1" s="1"/>
  <c r="P24" i="1" s="1"/>
  <c r="Q24" i="1"/>
  <c r="O23" i="1"/>
  <c r="P23" i="1" s="1"/>
  <c r="Q23" i="1"/>
  <c r="M22" i="1"/>
  <c r="O22" i="1" s="1"/>
  <c r="P22" i="1" s="1"/>
  <c r="Q22" i="1"/>
  <c r="M21" i="1"/>
  <c r="O21" i="1"/>
  <c r="P21" i="1" s="1"/>
  <c r="Q21" i="1"/>
  <c r="M20" i="1"/>
  <c r="N20" i="1"/>
  <c r="O7" i="1"/>
  <c r="O9" i="1"/>
  <c r="Q20" i="1"/>
  <c r="N19" i="1"/>
  <c r="M19" i="1"/>
  <c r="K19" i="1"/>
  <c r="Q19" i="1"/>
  <c r="N18" i="1"/>
  <c r="O18" i="1" s="1"/>
  <c r="O19" i="1" l="1"/>
  <c r="P19" i="1" s="1"/>
  <c r="O20" i="1"/>
  <c r="P20" i="1" s="1"/>
  <c r="Q18" i="1"/>
  <c r="P18" i="1"/>
  <c r="K17" i="1"/>
  <c r="O17" i="1" s="1"/>
  <c r="Q17" i="1"/>
  <c r="N16" i="1"/>
  <c r="Q16" i="1"/>
  <c r="N15" i="1"/>
  <c r="Q15" i="1"/>
  <c r="N14" i="1"/>
  <c r="Q14" i="1"/>
  <c r="N13" i="1"/>
  <c r="L13" i="1"/>
  <c r="N12" i="1"/>
  <c r="N11" i="1"/>
  <c r="Q12" i="1"/>
  <c r="Q13" i="1"/>
  <c r="N10" i="1"/>
  <c r="M11" i="1"/>
  <c r="Q11" i="1"/>
  <c r="Q10" i="1"/>
  <c r="N8" i="1"/>
  <c r="O8" i="1" s="1"/>
  <c r="P8" i="1" s="1"/>
  <c r="P9" i="1"/>
  <c r="Q9" i="1"/>
  <c r="Q8" i="1"/>
  <c r="P7" i="1"/>
  <c r="Q7" i="1"/>
  <c r="N6" i="1"/>
  <c r="Q6" i="1"/>
  <c r="N5" i="1"/>
  <c r="Q5" i="1"/>
  <c r="N4" i="1"/>
  <c r="Q4" i="1"/>
  <c r="N2" i="1"/>
  <c r="O2" i="1" s="1"/>
  <c r="N3" i="1"/>
  <c r="O3" i="1" s="1"/>
  <c r="P3" i="1" s="1"/>
  <c r="Q2" i="1"/>
  <c r="Q3" i="1"/>
  <c r="O13" i="1" l="1"/>
  <c r="P13" i="1" s="1"/>
  <c r="O14" i="1"/>
  <c r="P14" i="1" s="1"/>
  <c r="O4" i="1"/>
  <c r="P4" i="1" s="1"/>
  <c r="O10" i="1"/>
  <c r="P10" i="1" s="1"/>
  <c r="O5" i="1"/>
  <c r="P5" i="1" s="1"/>
  <c r="O11" i="1"/>
  <c r="P11" i="1" s="1"/>
  <c r="O15" i="1"/>
  <c r="P15" i="1" s="1"/>
  <c r="O6" i="1"/>
  <c r="P6" i="1" s="1"/>
  <c r="O12" i="1"/>
  <c r="P12" i="1" s="1"/>
  <c r="O16" i="1"/>
  <c r="P16" i="1" s="1"/>
  <c r="P17" i="1"/>
  <c r="P2" i="1"/>
</calcChain>
</file>

<file path=xl/sharedStrings.xml><?xml version="1.0" encoding="utf-8"?>
<sst xmlns="http://schemas.openxmlformats.org/spreadsheetml/2006/main" count="455" uniqueCount="257">
  <si>
    <t>Name</t>
  </si>
  <si>
    <t>Year</t>
  </si>
  <si>
    <t>Month</t>
  </si>
  <si>
    <t>Day</t>
  </si>
  <si>
    <t>LV</t>
  </si>
  <si>
    <t>Payload</t>
  </si>
  <si>
    <t>Dest</t>
  </si>
  <si>
    <t>Result</t>
  </si>
  <si>
    <t>Comments</t>
  </si>
  <si>
    <t>Images</t>
  </si>
  <si>
    <t>Cost</t>
  </si>
  <si>
    <t>RO Cost</t>
  </si>
  <si>
    <t>RB Cost</t>
  </si>
  <si>
    <t>Profit</t>
  </si>
  <si>
    <t>Rewards</t>
  </si>
  <si>
    <t>Wake Island II Echo</t>
  </si>
  <si>
    <t>WakeIslandII</t>
  </si>
  <si>
    <t>SO</t>
  </si>
  <si>
    <t>Successful mission completing the Sounding Rocket (Difficult) contract and setting a new Altitude record at 351km.</t>
  </si>
  <si>
    <t>% Profit</t>
  </si>
  <si>
    <t>Wake Island II Foxtrot</t>
  </si>
  <si>
    <t>Output</t>
  </si>
  <si>
    <t>Successful mission completing the Sounding Rocket (Difficult) contract and setting a new Altitude record at 421km.</t>
  </si>
  <si>
    <t>Wake Island II Golf</t>
  </si>
  <si>
    <t>Successful mission completing the Sounding Rocket (Difficult) contract.</t>
  </si>
  <si>
    <t>Wake Island II Hotel</t>
  </si>
  <si>
    <t>Coral Sea I Alpha</t>
  </si>
  <si>
    <t>CoralSeaI</t>
  </si>
  <si>
    <t>None</t>
  </si>
  <si>
    <t>Hope IV</t>
  </si>
  <si>
    <t>XASR-1 failed to ignite and the mission failed at 100km.</t>
  </si>
  <si>
    <t>Coral Sea I Bravo</t>
  </si>
  <si>
    <t>The crew of Jebediah Kerman and Bill Kerman reached an apoapsis of 158km and became the second crew to go to Space.</t>
  </si>
  <si>
    <t>Hope V</t>
  </si>
  <si>
    <t>EA</t>
  </si>
  <si>
    <t>Successful mission setting a new altitude record of 505km.</t>
  </si>
  <si>
    <t>Coral Sea I Charlie</t>
  </si>
  <si>
    <t>Successful flight that achieved an 80km apoapsis to fulfill a contract.</t>
  </si>
  <si>
    <t>paren("72 SRP")</t>
  </si>
  <si>
    <t>paren("36 SRP")</t>
  </si>
  <si>
    <t>paren("458 SRP")</t>
  </si>
  <si>
    <t>paren("562 SRP")</t>
  </si>
  <si>
    <t>paren("35 SRP")</t>
  </si>
  <si>
    <t>Successful mission setting a new altitude record of 650km and completing a Sounding Rocket (Easy) contract.</t>
  </si>
  <si>
    <t>Hope VI</t>
  </si>
  <si>
    <t>Payload("Hope Cockpit", "Mission to Reach Space", "Jebediah Kerman &amp; Bill Kerman")</t>
  </si>
  <si>
    <t>Payload("Hope Cockpit", "Mission to Reach 80km", "Valentina Kerman &amp; Traby Kerman")</t>
  </si>
  <si>
    <t>Coral Sea I Delta</t>
  </si>
  <si>
    <t>Wake Island II India</t>
  </si>
  <si>
    <t>paren("756 SRP")</t>
  </si>
  <si>
    <t>Successful mission, but our astronauts experienced a very difficult reentry and both wound up losing conciousness.</t>
  </si>
  <si>
    <t>paren("92 SRP")</t>
  </si>
  <si>
    <t>Successful mission completing the Sounding Rocket (Difficult) contract and setting a new Altitude record at 728km.</t>
  </si>
  <si>
    <t>Coral Sea I Echo</t>
  </si>
  <si>
    <t>paren("26 SRP")</t>
  </si>
  <si>
    <t>Successful mission completing the Sounding Rocket (Difficult) contract and setting a new Altitude record at 811km.</t>
  </si>
  <si>
    <t>Coral Sea I Foxtrot</t>
  </si>
  <si>
    <t>paren("30 SRP")</t>
  </si>
  <si>
    <t>Successful mission completing the Sounding Rocket (Difficult) contract and setting a new Altitude record at 1051km.</t>
  </si>
  <si>
    <t>Wake Island II Juliet</t>
  </si>
  <si>
    <t>LEO</t>
  </si>
  <si>
    <t>The second stage Wake Island II engine failed to ignite and range safety terminated the launch over the Pacific.</t>
  </si>
  <si>
    <t>MidwayI</t>
  </si>
  <si>
    <t>One of the first stage RD-101 engines shutdown early causing an unrecoverable trajectory that ended in a firey crash into the Pacific</t>
  </si>
  <si>
    <t>Payload("Yorktown 0-2", "First Orbital Satellite", "Modifed Lightning II Satellite Stage")</t>
  </si>
  <si>
    <t>Payload("Yorktown 0-1", "First Orbital Satellite", "Modifed Lightning II Satellite Stage")</t>
  </si>
  <si>
    <t>Payload("Yorktown 1", "First Orbital Satellite", "Modifed Lightning II Satellite Stage")</t>
  </si>
  <si>
    <t>The Yorktown became the MSA's first satellite after entering into a very eccentric orbit on February 16, 1952. With enough battery for 12 orbits, great science data was received.</t>
  </si>
  <si>
    <t>Midway Yorktown 0-1</t>
  </si>
  <si>
    <t>Midway Yorktown 0-2</t>
  </si>
  <si>
    <t>Midway Yorktown 1</t>
  </si>
  <si>
    <t>Midway Yorktown 2</t>
  </si>
  <si>
    <t>Payload("Yorktown 2", "Polar Orbital Satellite", "Modifed Lightning II Satellite Stage")</t>
  </si>
  <si>
    <t>Midway Yorktown 0-3</t>
  </si>
  <si>
    <t>Payload("Yorktown 0-3", "Polar Orbital Satellite", "Modifed Lightning II Satellite Stage")</t>
  </si>
  <si>
    <t>Poor coding in the launch script caused vapor in the feedlines of the Aerobee engines that failed to light.</t>
  </si>
  <si>
    <t>The angle of the probe when the final stage was fired was too high off the horizon and we missed orbit with an Ap 2380 km x Pe 135km. However, we made 10 orbits of Earth before burning up and returned a lot of science.</t>
  </si>
  <si>
    <t>Midway Yorktown 3</t>
  </si>
  <si>
    <t>Payload("Yorktown 3", "Polar Orbital Satellite", "Modifed Lightning II Satellite Stage")</t>
  </si>
  <si>
    <t>One XASR-1 engine failed in the 3rd stage causing a precession of the craft. The other engines managed to burn for an extended period of time, but the precession caused our inclination to go to 95.36 and we failed the mission.</t>
  </si>
  <si>
    <t>Midway Yorktown 0-4</t>
  </si>
  <si>
    <t>The fourth polar orbit attempt was finally successful! Despite the success, the Polar Orbiting Satellite was not a financially profitable mission, but the scientific returns were tremendous.</t>
  </si>
  <si>
    <t>WakeIslandIII</t>
  </si>
  <si>
    <t>paren("310 SRP")</t>
  </si>
  <si>
    <t>paren("1868 SRP")</t>
  </si>
  <si>
    <t>Wake Island III Alpha</t>
  </si>
  <si>
    <t>Wake Island III Bravo</t>
  </si>
  <si>
    <t>paren("2000 SRP")</t>
  </si>
  <si>
    <t>paren("954 SRP")</t>
  </si>
  <si>
    <t>Wake Island III Charlie</t>
  </si>
  <si>
    <t>Wake Island III Delta</t>
  </si>
  <si>
    <t>RD-101 Engine Failure</t>
  </si>
  <si>
    <t>Wake Island III Echo</t>
  </si>
  <si>
    <t>Wake Island III Foxtrot</t>
  </si>
  <si>
    <t>paren("1984 SRP")</t>
  </si>
  <si>
    <t>paren("944 SRP")</t>
  </si>
  <si>
    <t>Wake Island III Golf</t>
  </si>
  <si>
    <t>Wake Island III Hotel</t>
  </si>
  <si>
    <t>paren("938 SRP")</t>
  </si>
  <si>
    <t>paren("948 SRP to 550km")</t>
  </si>
  <si>
    <t>Wake Island III India</t>
  </si>
  <si>
    <t>Wake Island III Juliet</t>
  </si>
  <si>
    <t>paren("940 SRP to 660km")</t>
  </si>
  <si>
    <t>Did not have enough Delta-v and only reached 630km</t>
  </si>
  <si>
    <t>Wake Island IV Alpha</t>
  </si>
  <si>
    <t>RD-102 Engine Failure</t>
  </si>
  <si>
    <t>Wake Island IV Bravo</t>
  </si>
  <si>
    <t>Did not have enough Delta-v and only reached 650km</t>
  </si>
  <si>
    <t>Wake Island IV Charlie</t>
  </si>
  <si>
    <t>paren("940 SRP to 430km")</t>
  </si>
  <si>
    <t>Successful mission completing the Sounding Rocket (Intermediate) contract.</t>
  </si>
  <si>
    <t>Wake Island IV Delta</t>
  </si>
  <si>
    <t>paren("2000 SRP to 340km")</t>
  </si>
  <si>
    <t>paren("592 SRP to 520km")</t>
  </si>
  <si>
    <t>Wake Island IV Echo</t>
  </si>
  <si>
    <t>Wake Island IV Foxtrot</t>
  </si>
  <si>
    <t>paren("1984 SRP to 420km")</t>
  </si>
  <si>
    <t>paren("1994 SRP to 520km")</t>
  </si>
  <si>
    <t>Wake Island IV Golf</t>
  </si>
  <si>
    <t>MidwayII</t>
  </si>
  <si>
    <t>Midway II Alpha</t>
  </si>
  <si>
    <t>paren("2016 SRP to 640km")</t>
  </si>
  <si>
    <t>paren("2006 SRP to 800km")</t>
  </si>
  <si>
    <t>Midway II Bravo</t>
  </si>
  <si>
    <t>paren("2006 SRP to 960km")</t>
  </si>
  <si>
    <t>Midway II Charlie</t>
  </si>
  <si>
    <t>Title</t>
  </si>
  <si>
    <t>Description</t>
  </si>
  <si>
    <t>Vacuum</t>
  </si>
  <si>
    <t>Aerobee</t>
  </si>
  <si>
    <t>TinyTim</t>
  </si>
  <si>
    <t>RD100</t>
  </si>
  <si>
    <t>"Early pressure-fed hypergolic (aniline/furfuryl/nitric) engine originally for sounding rockets."</t>
  </si>
  <si>
    <t>True</t>
  </si>
  <si>
    <t>"Aerobee"</t>
  </si>
  <si>
    <t>"Tiny Tim Booster"</t>
  </si>
  <si>
    <t>"RD-100 Series"</t>
  </si>
  <si>
    <t>"Very early solid-fueled booster. Used for boosting first stages of Sounding Rockets."</t>
  </si>
  <si>
    <t>"Early LOx / Alcohol rocket engine family that is a copy of the German V-2."</t>
  </si>
  <si>
    <t>False</t>
  </si>
  <si>
    <t>WAC</t>
  </si>
  <si>
    <t>XASR</t>
  </si>
  <si>
    <t>RD_100</t>
  </si>
  <si>
    <t>Family</t>
  </si>
  <si>
    <t>TinyTimBooster</t>
  </si>
  <si>
    <t>RD_101</t>
  </si>
  <si>
    <t>RD_102</t>
  </si>
  <si>
    <t>RD_103</t>
  </si>
  <si>
    <t>"WAC Corporal"</t>
  </si>
  <si>
    <t>"XASR-1"</t>
  </si>
  <si>
    <t>"Tiny Tim"</t>
  </si>
  <si>
    <t>"RD-100"</t>
  </si>
  <si>
    <t>"RD-101"</t>
  </si>
  <si>
    <t>"RD-102"</t>
  </si>
  <si>
    <t>"RD-103"</t>
  </si>
  <si>
    <t>Engine Family</t>
  </si>
  <si>
    <t>FleaStgFamily</t>
  </si>
  <si>
    <t>LightningStgFamily</t>
  </si>
  <si>
    <t>EarlyBoostStgFamily</t>
  </si>
  <si>
    <t>WakeIslandStgFamily</t>
  </si>
  <si>
    <t>NimitzStgFamily</t>
  </si>
  <si>
    <t>Lightning</t>
  </si>
  <si>
    <t>Flea</t>
  </si>
  <si>
    <t>"Flea"</t>
  </si>
  <si>
    <t>"Lightning"</t>
  </si>
  <si>
    <t>"Early SR Boosters"</t>
  </si>
  <si>
    <t>"Wake Island"</t>
  </si>
  <si>
    <t>"Nimitz"</t>
  </si>
  <si>
    <t>"The Jumping Flea is a unique design created by our engineers."</t>
  </si>
  <si>
    <t>"Designation for the very early solid-fueled booster stages for Sounding Rockets."</t>
  </si>
  <si>
    <t>"This family of stages is 1.65m diameter using the RD-100 series of engines."</t>
  </si>
  <si>
    <t>"2m first stage using dual RD-100 Series engines."</t>
  </si>
  <si>
    <t>"Designation for the earliest sounding rocket stages with single Aerobee Engines."</t>
  </si>
  <si>
    <t>SpruanceStgFamily</t>
  </si>
  <si>
    <t>"Spruance"</t>
  </si>
  <si>
    <t>"Upper Stage consisting of 4 x Aerobee Engines used on early orbiters."</t>
  </si>
  <si>
    <t>Stage Family</t>
  </si>
  <si>
    <t>Engine</t>
  </si>
  <si>
    <t>FleaStage</t>
  </si>
  <si>
    <t>LightningWAC</t>
  </si>
  <si>
    <t>LightningXASR</t>
  </si>
  <si>
    <t>TinyTimStage</t>
  </si>
  <si>
    <t>WakeIslandIStage</t>
  </si>
  <si>
    <t>WakeIslandIIStage</t>
  </si>
  <si>
    <t>SpruanceStage</t>
  </si>
  <si>
    <t>WakeIslandIIIStage</t>
  </si>
  <si>
    <t>WakeIslandIV</t>
  </si>
  <si>
    <t>WakeIslandIVStage</t>
  </si>
  <si>
    <t>NimitzIStage</t>
  </si>
  <si>
    <t>NimitzIIStage</t>
  </si>
  <si>
    <t>"Flea Stage"</t>
  </si>
  <si>
    <t>"Spruance Stage"</t>
  </si>
  <si>
    <t>"Lightning-WAC"</t>
  </si>
  <si>
    <t>"Lightning-XASR"</t>
  </si>
  <si>
    <t>"Wake Island I"</t>
  </si>
  <si>
    <t>"Wake Island IV"</t>
  </si>
  <si>
    <t>"Wake Island II"</t>
  </si>
  <si>
    <t>"Wake Island III"</t>
  </si>
  <si>
    <t>"Nimitz I"</t>
  </si>
  <si>
    <t>"Nimitz II"</t>
  </si>
  <si>
    <t>WakeIslandI</t>
  </si>
  <si>
    <t>"First science craft."</t>
  </si>
  <si>
    <t>"Earliest sounding rocket stage."</t>
  </si>
  <si>
    <t>"Light sounding rocket stage which is an improvement on the Lightning-I and also used for the Yorktown Satellite missions."</t>
  </si>
  <si>
    <t>"Solid boost stage for early sounding rockets."</t>
  </si>
  <si>
    <t>"RD-100 powered first stage."</t>
  </si>
  <si>
    <t>"RD-101 powered first stage."</t>
  </si>
  <si>
    <t>"RD-103 powered 2m stage."</t>
  </si>
  <si>
    <t>"RD-102 powered 1.65m stage."</t>
  </si>
  <si>
    <t>"4 x XASR-1 Engine powered upper stage."</t>
  </si>
  <si>
    <t>"2 x RD-101 powered 2m first stage used on the early Midway launch vehicles."</t>
  </si>
  <si>
    <t>"2 x RD-103 powered 2m first stage used on the Midway launch vehicles."</t>
  </si>
  <si>
    <t>Stage Families</t>
  </si>
  <si>
    <t>WakeIsland</t>
  </si>
  <si>
    <t>CoralSea</t>
  </si>
  <si>
    <t>Midway</t>
  </si>
  <si>
    <t>"The Flea"</t>
  </si>
  <si>
    <t>"Lightning Stage"</t>
  </si>
  <si>
    <t>"Coral Sea"</t>
  </si>
  <si>
    <t>"Midway"</t>
  </si>
  <si>
    <t>"First sounding rocket family of launch vehicles."</t>
  </si>
  <si>
    <t>"Suborbital sounding rocket family of launch vehicles."</t>
  </si>
  <si>
    <t>"Family of two-stage sounding rockets."</t>
  </si>
  <si>
    <t>"Family of 60t early orbital rockets."</t>
  </si>
  <si>
    <t>EarlyBoostStgFamily, LightningStgFamily</t>
  </si>
  <si>
    <t>WakeIslandStgFamily, LightningStgFamily</t>
  </si>
  <si>
    <t>NimitzStgFamily, WakeIslandStgFamily, SpruanceStgFamily, LightningStgFamily</t>
  </si>
  <si>
    <t>LV Family</t>
  </si>
  <si>
    <t>Stages</t>
  </si>
  <si>
    <t>JumpingFlea</t>
  </si>
  <si>
    <t>LightningI</t>
  </si>
  <si>
    <t>LightningII</t>
  </si>
  <si>
    <t>"Jumping Flea"</t>
  </si>
  <si>
    <t>"Lightning-I"</t>
  </si>
  <si>
    <t>"Midway-I"</t>
  </si>
  <si>
    <t>"Lightning-II"</t>
  </si>
  <si>
    <t>"Midway-II"</t>
  </si>
  <si>
    <t>"Wake Island-I"</t>
  </si>
  <si>
    <t>"Wake Island-II"</t>
  </si>
  <si>
    <t>"Coral Sea-I"</t>
  </si>
  <si>
    <t>"Wake Island-III"</t>
  </si>
  <si>
    <t>"Wake Island-IV"</t>
  </si>
  <si>
    <t>"Specially designed launch vehicle designed for maximum science gain."</t>
  </si>
  <si>
    <t>"Earliest sounding rocket launch vehicle designed to get past the Karman Line and bring back valuable science."</t>
  </si>
  <si>
    <t>"Stretched Lightning-I light sounding rocket vehicle with improved performance."</t>
  </si>
  <si>
    <t>"Early 1.65m Wake Island sounding rocket designed to reach space and return science data."</t>
  </si>
  <si>
    <t>"2m version of the Wake Island launch vehicle used for heavy lift sounding rocket missions."</t>
  </si>
  <si>
    <t>"Stretched Wake Island launch vehicle used in both crewed missions and sounding rocket missions."</t>
  </si>
  <si>
    <t>"Stretched 2m version of the Wake Island heavy lift sounding rockets."</t>
  </si>
  <si>
    <t>"Two-stage Sounding Rocket that combines a Wake Island and Lightning stage for high altitude contracts."</t>
  </si>
  <si>
    <t>"First orbital rocket! This 4-stage design featured a Midway-I launch vehicle with the addition of a Sprunace Upper Stage and a Yorktown Satellite final stage."</t>
  </si>
  <si>
    <t>"Improved and stretched version of the Midway-I, this heavy sounding rocket features two-stages."</t>
  </si>
  <si>
    <t>TinyTimStage, LightningWAC</t>
  </si>
  <si>
    <t>TinyTimStage, LightningXASR</t>
  </si>
  <si>
    <t>WakeIslandIIStage, LightningXASR</t>
  </si>
  <si>
    <t>NimitzIIStage, WakeIslandIVStage</t>
  </si>
  <si>
    <t>NimitzIStage, WakeIslandIIStage, SpruanceStage, LightningXASR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</si>
</sst>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9" fontId="0" fillId="0" borderId="0" xfId="1" applyFont="1" applyAlignment="1">
      <alignment horizontal="center"/>
    </xf>
    <xf numFmtId="0" fontId="0" fillId="0" borderId="0" xfId="0" applyAlignment="1">
      <alignment horizontal="center"/>
    </xf>
    <xf numFmtId="6" fontId="0" fillId="0" borderId="0" xfId="0" applyNumberFormat="1" applyAlignment="1">
      <alignment horizontal="center"/>
    </xf>
    <xf numFmtId="0" fontId="0" fillId="0" borderId="0" xfId="0" quotePrefix="1"/>
  </cellXfs>
  <cellStyles count="2">
    <cellStyle name="Normal" xfId="0" builtinId="0"/>
    <cellStyle name="Percent" xfId="1" builtinId="5"/>
  </cellStyles>
  <dxfs count="15">
    <dxf>
      <numFmt numFmtId="0" formatCode="General"/>
    </dxf>
    <dxf>
      <numFmt numFmtId="0" formatCode="General"/>
    </dxf>
    <dxf>
      <numFmt numFmtId="0" formatCode="General"/>
    </dxf>
    <dxf>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0" formatCode="&quot;$&quot;#,##0_);[Red]\(&quot;$&quot;#,##0\)"/>
      <alignment horizontal="center" vertical="bottom" textRotation="0" wrapText="0" indent="0" justifyLastLine="0" shrinkToFit="0" readingOrder="0"/>
    </dxf>
    <dxf>
      <numFmt numFmtId="10" formatCode="&quot;$&quot;#,##0_);[Red]\(&quot;$&quot;#,##0\)"/>
      <alignment horizontal="center" vertical="bottom" textRotation="0" wrapText="0" indent="0" justifyLastLine="0" shrinkToFit="0" readingOrder="0"/>
    </dxf>
    <dxf>
      <numFmt numFmtId="10" formatCode="&quot;$&quot;#,##0_);[Red]\(&quot;$&quot;#,##0\)"/>
      <alignment horizontal="center" vertical="bottom" textRotation="0" wrapText="0" indent="0" justifyLastLine="0" shrinkToFit="0" readingOrder="0"/>
    </dxf>
    <dxf>
      <numFmt numFmtId="10" formatCode="&quot;$&quot;#,##0_);[Red]\(&quot;$&quot;#,##0\)"/>
      <alignment horizontal="center" vertical="bottom" textRotation="0" wrapText="0" indent="0" justifyLastLine="0" shrinkToFit="0" readingOrder="0"/>
    </dxf>
    <dxf>
      <numFmt numFmtId="10" formatCode="&quot;$&quot;#,##0_);[Red]\(&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B770F1-65C8-495E-9760-CB1972F50FDF}" name="Table2" displayName="Table2" ref="A1:E4" totalsRowShown="0">
  <autoFilter ref="A1:E4" xr:uid="{307E8F8E-87DF-4A4A-AD90-4F86533CC966}"/>
  <tableColumns count="5">
    <tableColumn id="1" xr3:uid="{58F9E520-113D-401C-8509-133C6EE9134A}" name="Name"/>
    <tableColumn id="2" xr3:uid="{E1F9CC7A-A898-43E2-A162-BAA911347160}" name="Title"/>
    <tableColumn id="3" xr3:uid="{EC283233-CEE2-4D4A-AAC6-9CCDE2695778}" name="Description"/>
    <tableColumn id="4" xr3:uid="{508A5A86-7433-48F0-9502-F6C60501A97C}" name="Vacuum"/>
    <tableColumn id="5" xr3:uid="{E5B58D94-3297-4EDB-A8BF-AF8C8FE59306}" name="Output" dataDxfId="2">
      <calculatedColumnFormula>Table2[[#This Row],[Name]]&amp;" = EngineFamily("&amp;Table2[[#This Row],[Title]]&amp;", "&amp;Table2[[#This Row],[Description]]&amp;", vac="&amp;Table2[[#This Row],[Vacuum]]&amp;")"</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9BDFFB-B6A4-4890-AFE0-26CFAD8E6188}" name="Table4" displayName="Table4" ref="A1:E8" totalsRowShown="0">
  <autoFilter ref="A1:E8" xr:uid="{C71286CD-E80B-4A98-9948-567167292327}"/>
  <tableColumns count="5">
    <tableColumn id="1" xr3:uid="{418E401A-E26B-407A-A929-C06C4DD41C6F}" name="Name"/>
    <tableColumn id="2" xr3:uid="{7EC5041F-F06F-45BD-8960-75A3B6C05AC8}" name="Title"/>
    <tableColumn id="3" xr3:uid="{10FC092D-849A-4A61-AC29-AAF52DE2EADD}" name="Family"/>
    <tableColumn id="4" xr3:uid="{D107E036-26D2-48BF-86FB-A99A85445E5E}" name="Vacuum"/>
    <tableColumn id="5" xr3:uid="{8DB77B1C-190E-4E36-8A29-6917C5C0DE44}" name="Output">
      <calculatedColumnFormula>A2&amp;" = Engine("&amp;B2&amp;", "&amp;C2&amp;", vac="&amp;D2&amp;")"</calculatedColumnFormula>
    </tableColumn>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EF417F-6F12-40B4-BA6B-BBD5506C484E}" name="Table3" displayName="Table3" ref="A1:F7" totalsRowShown="0">
  <autoFilter ref="A1:F7" xr:uid="{F99981E4-E2E7-48B6-87CA-12FDB140D686}"/>
  <tableColumns count="6">
    <tableColumn id="1" xr3:uid="{5CFA3497-B1E9-40F3-86AD-6574C9ECBA02}" name="Name"/>
    <tableColumn id="2" xr3:uid="{E10734AB-2CC9-491D-9A65-9A7DF6BF85F7}" name="Title"/>
    <tableColumn id="3" xr3:uid="{58B58C66-FC7F-4BAC-8147-9F6859C5DB83}" name="Engine Family"/>
    <tableColumn id="4" xr3:uid="{765A6658-E30D-488C-9165-CE2DF9F854D6}" name="Description"/>
    <tableColumn id="5" xr3:uid="{281AB56A-B094-4166-9B14-A8D6DD6E5348}" name="Vacuum"/>
    <tableColumn id="6" xr3:uid="{CCEB1FAF-4172-470E-AC69-A42F1DC35819}" name="Output" dataDxfId="1">
      <calculatedColumnFormula>Table3[[#This Row],[Name]]&amp;" = StageFamily("&amp;Table3[[#This Row],[Title]]&amp;", "&amp;Table3[[#This Row],[Engine Family]]&amp;", "&amp;Table3[[#This Row],[Description]]&amp;", vac="&amp;Table3[[#This Row],[Vacuum]]&amp;")"</calculatedColumnFormula>
    </tableColumn>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7AAF62-1119-48A0-8CFC-57601A57829C}" name="Table5" displayName="Table5" ref="A1:F12" totalsRowShown="0">
  <autoFilter ref="A1:F12" xr:uid="{2382E557-DC05-4F10-94C1-A250F2717671}"/>
  <tableColumns count="6">
    <tableColumn id="1" xr3:uid="{7B914B95-FEB1-48ED-81A9-CA128E675166}" name="Name"/>
    <tableColumn id="2" xr3:uid="{35C26902-EC5E-44E0-B1D5-FA1A06D368F5}" name="Title"/>
    <tableColumn id="3" xr3:uid="{AD288E12-4A45-41BD-BB06-D916DE3C7A80}" name="Stage Family"/>
    <tableColumn id="4" xr3:uid="{9B92491F-6D8D-462F-85CB-2805BF649F8C}" name="Engine"/>
    <tableColumn id="5" xr3:uid="{BE06B0D1-6861-494A-A178-A9A66972E823}" name="Description"/>
    <tableColumn id="6" xr3:uid="{6FD4AC2A-E64B-4490-8E49-6C00FB923E51}" name="Output" dataDxfId="0">
      <calculatedColumnFormula>Table5[[#This Row],[Name]]&amp;" = Stage("&amp;Table5[[#This Row],[Title]]&amp;", "&amp;Table5[[#This Row],[Stage Family]]&amp;", "&amp;Table5[[#This Row],[Engine]]&amp;", "&amp;Table5[[#This Row],[Description]]&amp;")"</calculatedColumnFormula>
    </tableColumn>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B70A824-D5E0-48D6-9FA1-DB0DC74BF056}" name="Table6" displayName="Table6" ref="A1:E6" totalsRowShown="0">
  <autoFilter ref="A1:E6" xr:uid="{6C991B86-DDE9-43E8-9E42-7BFDCCCC1CDD}"/>
  <tableColumns count="5">
    <tableColumn id="1" xr3:uid="{4B6E5356-EC1B-4F29-BE92-12707142E1BE}" name="Name"/>
    <tableColumn id="2" xr3:uid="{BB996BF0-E394-4945-A4B5-C98AB234EA17}" name="Title"/>
    <tableColumn id="3" xr3:uid="{BF77FF3C-A612-431C-BD6C-89AD63B5166E}" name="Description"/>
    <tableColumn id="4" xr3:uid="{2A1B9EE9-C56F-496A-A2CA-13DD05A68F1F}" name="Stage Families"/>
    <tableColumn id="5" xr3:uid="{0D1172E9-219C-42E9-A561-B393FC52989F}" name="Output">
      <calculatedColumnFormula>A2&amp;" = LVFamily("&amp;B2&amp;", "&amp;C2&amp;", "&amp;D2&amp;")"</calculatedColumnFormula>
    </tableColumn>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19C0312-E4B6-45FC-92B6-402E18B363D1}" name="Table7" displayName="Table7" ref="A1:F11" totalsRowShown="0">
  <autoFilter ref="A1:F11" xr:uid="{5CAC8453-0B82-4202-91C3-F73D2700F516}"/>
  <tableColumns count="6">
    <tableColumn id="1" xr3:uid="{E619DC75-561D-45E3-877A-117026B13E62}" name="Name"/>
    <tableColumn id="2" xr3:uid="{08357368-B20B-4F5D-A4F0-682FDECED6B5}" name="Title"/>
    <tableColumn id="3" xr3:uid="{F3E12519-DF04-4AA2-BB82-B2D6E85C271C}" name="LV Family"/>
    <tableColumn id="4" xr3:uid="{D94FADAA-A38E-4904-A6E7-3938731A66C3}" name="Description"/>
    <tableColumn id="5" xr3:uid="{1BD2C39A-94D0-4EC7-AC1B-99A2E6A90ECC}" name="Stages"/>
    <tableColumn id="6" xr3:uid="{25FCDF87-E2C9-4F42-A5EC-1207C00E73B7}" name="Output">
      <calculatedColumnFormula>A2&amp;" = LV("&amp;B2&amp;", "&amp;C2&amp;", "&amp;D2&amp;", "&amp;E2&amp;")"</calculatedColumnFormula>
    </tableColumn>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F7E0FB-9368-464C-8FB1-6FBB81C487EC}" name="Table1" displayName="Table1" ref="A1:Q43" totalsRowShown="0">
  <autoFilter ref="A1:Q43" xr:uid="{DD6BB9AF-34DE-4896-A56F-BE52C72DCFEE}"/>
  <tableColumns count="17">
    <tableColumn id="1" xr3:uid="{BD136624-6EBC-414F-8E9F-E926712A1AAD}" name="Name"/>
    <tableColumn id="2" xr3:uid="{96DBC543-7791-4569-8CA3-504411D11240}" name="Year" dataDxfId="14"/>
    <tableColumn id="3" xr3:uid="{B919A749-B506-4EED-937B-2A074B8E4645}" name="Month" dataDxfId="13"/>
    <tableColumn id="4" xr3:uid="{391AECD0-0223-48C5-A183-4AA4D397CCBA}" name="Day" dataDxfId="12"/>
    <tableColumn id="5" xr3:uid="{C9CF5B0B-2112-45F1-BFBD-03C9B82CF83B}" name="LV"/>
    <tableColumn id="6" xr3:uid="{C60B8BC3-1676-4BAE-A658-1570C7633540}" name="Payload"/>
    <tableColumn id="7" xr3:uid="{3FA0C583-9916-4D9A-A18B-699C95C601E5}" name="Dest" dataDxfId="11"/>
    <tableColumn id="8" xr3:uid="{4C998C55-F2A2-4B38-8D50-ED27419B65DE}" name="Result" dataDxfId="10"/>
    <tableColumn id="9" xr3:uid="{248CC5A2-0776-4157-8955-19A65030BA15}" name="Comments"/>
    <tableColumn id="10" xr3:uid="{AFEE6C80-9CFD-4808-B318-94CE6B57FBB4}" name="Images"/>
    <tableColumn id="11" xr3:uid="{99DB60F2-71DC-4BE2-AA2A-3CB51C18303C}" name="Cost" dataDxfId="9"/>
    <tableColumn id="12" xr3:uid="{7A83807A-A320-47E9-8BA2-B68E5C98BDDE}" name="RO Cost" dataDxfId="8"/>
    <tableColumn id="13" xr3:uid="{57CA3868-9DC7-4B8D-B4C7-E2447DA07945}" name="RB Cost" dataDxfId="7">
      <calculatedColumnFormula>80*5</calculatedColumnFormula>
    </tableColumn>
    <tableColumn id="14" xr3:uid="{9BD24E71-7AC9-4402-93C4-DC580838778F}" name="Rewards" dataDxfId="6">
      <calculatedColumnFormula>1866+1844+813</calculatedColumnFormula>
    </tableColumn>
    <tableColumn id="15" xr3:uid="{4634B5E6-16D1-420A-80B0-855A247EFC63}" name="Profit" dataDxfId="5">
      <calculatedColumnFormula>N2-M2-L2-K2</calculatedColumnFormula>
    </tableColumn>
    <tableColumn id="16" xr3:uid="{9C716E20-F127-4F6B-B841-28C2D9E0E0C9}" name="% Profit" dataDxfId="4" dataCellStyle="Percent">
      <calculatedColumnFormula>O2/SUM(K2:M2)</calculatedColumnFormula>
    </tableColumn>
    <tableColumn id="17" xr3:uid="{90ED4C78-FA4B-4F09-B133-319D7931B888}" name="Output" dataDxfId="3">
      <calculatedColumnFormula>"launch("""&amp;Table1[[#This Row],[Name]]&amp;""", "&amp;Table1[[#This Row],[Year]]&amp;", "&amp;Table1[[#This Row],[Month]]&amp;", "&amp;Table1[[#This Row],[Day]]&amp;", "&amp;Table1[[#This Row],[LV]]&amp;", "&amp;Table1[[#This Row],[Payload]]&amp;", "&amp;Table1[[#This Row],[Dest]]&amp;", "&amp;Table1[[#This Row],[Result]]&amp;", """&amp;Table1[[#This Row],[Comments]]&amp;""")"</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56AAB-D6FF-4A7B-B95F-F5467988BFF2}">
  <dimension ref="A1:E4"/>
  <sheetViews>
    <sheetView workbookViewId="0">
      <selection activeCell="E2" sqref="E2:E4"/>
    </sheetView>
  </sheetViews>
  <sheetFormatPr defaultRowHeight="15" x14ac:dyDescent="0.25"/>
  <cols>
    <col min="1" max="1" width="8.7109375" bestFit="1" customWidth="1"/>
    <col min="2" max="2" width="17.7109375" bestFit="1" customWidth="1"/>
    <col min="3" max="3" width="86.42578125" bestFit="1" customWidth="1"/>
    <col min="4" max="4" width="10.28515625" customWidth="1"/>
    <col min="5" max="5" width="9.42578125" customWidth="1"/>
  </cols>
  <sheetData>
    <row r="1" spans="1:5" x14ac:dyDescent="0.25">
      <c r="A1" t="s">
        <v>0</v>
      </c>
      <c r="B1" t="s">
        <v>126</v>
      </c>
      <c r="C1" t="s">
        <v>127</v>
      </c>
      <c r="D1" t="s">
        <v>128</v>
      </c>
      <c r="E1" t="s">
        <v>21</v>
      </c>
    </row>
    <row r="2" spans="1:5" x14ac:dyDescent="0.25">
      <c r="A2" t="s">
        <v>129</v>
      </c>
      <c r="B2" t="s">
        <v>134</v>
      </c>
      <c r="C2" t="s">
        <v>132</v>
      </c>
      <c r="D2" s="4" t="s">
        <v>133</v>
      </c>
      <c r="E2" t="str">
        <f>Table2[[#This Row],[Name]]&amp;" = EngineFamily("&amp;Table2[[#This Row],[Title]]&amp;", "&amp;Table2[[#This Row],[Description]]&amp;", vac="&amp;Table2[[#This Row],[Vacuum]]&amp;")"</f>
        <v>Aerobee = EngineFamily("Aerobee", "Early pressure-fed hypergolic (aniline/furfuryl/nitric) engine originally for sounding rockets.", vac=True)</v>
      </c>
    </row>
    <row r="3" spans="1:5" x14ac:dyDescent="0.25">
      <c r="A3" t="s">
        <v>130</v>
      </c>
      <c r="B3" t="s">
        <v>135</v>
      </c>
      <c r="C3" t="s">
        <v>137</v>
      </c>
      <c r="D3" s="4" t="s">
        <v>139</v>
      </c>
      <c r="E3" t="str">
        <f>Table2[[#This Row],[Name]]&amp;" = EngineFamily("&amp;Table2[[#This Row],[Title]]&amp;", "&amp;Table2[[#This Row],[Description]]&amp;", vac="&amp;Table2[[#This Row],[Vacuum]]&amp;")"</f>
        <v>TinyTim = EngineFamily("Tiny Tim Booster", "Very early solid-fueled booster. Used for boosting first stages of Sounding Rockets.", vac=False)</v>
      </c>
    </row>
    <row r="4" spans="1:5" x14ac:dyDescent="0.25">
      <c r="A4" t="s">
        <v>131</v>
      </c>
      <c r="B4" t="s">
        <v>136</v>
      </c>
      <c r="C4" t="s">
        <v>138</v>
      </c>
      <c r="D4" s="4" t="s">
        <v>139</v>
      </c>
      <c r="E4" t="str">
        <f>Table2[[#This Row],[Name]]&amp;" = EngineFamily("&amp;Table2[[#This Row],[Title]]&amp;", "&amp;Table2[[#This Row],[Description]]&amp;", vac="&amp;Table2[[#This Row],[Vacuum]]&amp;")"</f>
        <v>RD100 = EngineFamily("RD-100 Series", "Early LOx / Alcohol rocket engine family that is a copy of the German V-2.", vac=False)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B2A87-981A-4D1D-A5E7-4FEBE5EF2E09}">
  <dimension ref="A1:E8"/>
  <sheetViews>
    <sheetView workbookViewId="0">
      <selection activeCell="E2" sqref="E2:E8"/>
    </sheetView>
  </sheetViews>
  <sheetFormatPr defaultRowHeight="15" x14ac:dyDescent="0.25"/>
  <cols>
    <col min="1" max="1" width="15" bestFit="1" customWidth="1"/>
    <col min="2" max="2" width="15.140625" bestFit="1" customWidth="1"/>
    <col min="4" max="4" width="10.42578125" bestFit="1" customWidth="1"/>
    <col min="5" max="5" width="47.42578125" bestFit="1" customWidth="1"/>
  </cols>
  <sheetData>
    <row r="1" spans="1:5" x14ac:dyDescent="0.25">
      <c r="A1" t="s">
        <v>0</v>
      </c>
      <c r="B1" t="s">
        <v>126</v>
      </c>
      <c r="C1" t="s">
        <v>143</v>
      </c>
      <c r="D1" t="s">
        <v>128</v>
      </c>
      <c r="E1" t="s">
        <v>21</v>
      </c>
    </row>
    <row r="2" spans="1:5" x14ac:dyDescent="0.25">
      <c r="A2" t="s">
        <v>140</v>
      </c>
      <c r="B2" t="s">
        <v>148</v>
      </c>
      <c r="C2" t="s">
        <v>129</v>
      </c>
      <c r="D2" s="4" t="s">
        <v>133</v>
      </c>
      <c r="E2" t="str">
        <f>A2&amp;" = Engine("&amp;B2&amp;", "&amp;C2&amp;", vac="&amp;D2&amp;")"</f>
        <v>WAC = Engine("WAC Corporal", Aerobee, vac=True)</v>
      </c>
    </row>
    <row r="3" spans="1:5" x14ac:dyDescent="0.25">
      <c r="A3" t="s">
        <v>141</v>
      </c>
      <c r="B3" t="s">
        <v>149</v>
      </c>
      <c r="C3" t="s">
        <v>129</v>
      </c>
      <c r="D3" s="4" t="s">
        <v>133</v>
      </c>
      <c r="E3" t="str">
        <f t="shared" ref="E3:E8" si="0">A3&amp;" = Engine("&amp;B3&amp;", "&amp;C3&amp;", vac="&amp;D3&amp;")"</f>
        <v>XASR = Engine("XASR-1", Aerobee, vac=True)</v>
      </c>
    </row>
    <row r="4" spans="1:5" x14ac:dyDescent="0.25">
      <c r="A4" t="s">
        <v>144</v>
      </c>
      <c r="B4" t="s">
        <v>150</v>
      </c>
      <c r="C4" t="s">
        <v>130</v>
      </c>
      <c r="D4" s="4" t="s">
        <v>139</v>
      </c>
      <c r="E4" t="str">
        <f t="shared" si="0"/>
        <v>TinyTimBooster = Engine("Tiny Tim", TinyTim, vac=False)</v>
      </c>
    </row>
    <row r="5" spans="1:5" x14ac:dyDescent="0.25">
      <c r="A5" t="s">
        <v>142</v>
      </c>
      <c r="B5" t="s">
        <v>151</v>
      </c>
      <c r="C5" t="s">
        <v>131</v>
      </c>
      <c r="D5" s="4" t="s">
        <v>139</v>
      </c>
      <c r="E5" t="str">
        <f t="shared" si="0"/>
        <v>RD_100 = Engine("RD-100", RD100, vac=False)</v>
      </c>
    </row>
    <row r="6" spans="1:5" x14ac:dyDescent="0.25">
      <c r="A6" t="s">
        <v>145</v>
      </c>
      <c r="B6" t="s">
        <v>152</v>
      </c>
      <c r="C6" t="s">
        <v>131</v>
      </c>
      <c r="D6" s="4" t="s">
        <v>139</v>
      </c>
      <c r="E6" t="str">
        <f t="shared" si="0"/>
        <v>RD_101 = Engine("RD-101", RD100, vac=False)</v>
      </c>
    </row>
    <row r="7" spans="1:5" x14ac:dyDescent="0.25">
      <c r="A7" t="s">
        <v>146</v>
      </c>
      <c r="B7" t="s">
        <v>153</v>
      </c>
      <c r="C7" t="s">
        <v>131</v>
      </c>
      <c r="D7" s="4" t="s">
        <v>139</v>
      </c>
      <c r="E7" t="str">
        <f t="shared" si="0"/>
        <v>RD_102 = Engine("RD-102", RD100, vac=False)</v>
      </c>
    </row>
    <row r="8" spans="1:5" x14ac:dyDescent="0.25">
      <c r="A8" t="s">
        <v>147</v>
      </c>
      <c r="B8" t="s">
        <v>154</v>
      </c>
      <c r="C8" t="s">
        <v>131</v>
      </c>
      <c r="D8" s="4" t="s">
        <v>139</v>
      </c>
      <c r="E8" t="str">
        <f t="shared" si="0"/>
        <v>RD_103 = Engine("RD-103", RD100, vac=False)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510C-BADD-450A-B6B2-A481F3E94915}">
  <dimension ref="A1:F7"/>
  <sheetViews>
    <sheetView workbookViewId="0">
      <selection activeCell="B4" sqref="B4"/>
    </sheetView>
  </sheetViews>
  <sheetFormatPr defaultRowHeight="15" x14ac:dyDescent="0.25"/>
  <cols>
    <col min="1" max="1" width="20.140625" bestFit="1" customWidth="1"/>
    <col min="2" max="2" width="18" bestFit="1" customWidth="1"/>
    <col min="3" max="3" width="15.7109375" bestFit="1" customWidth="1"/>
    <col min="4" max="4" width="75.28515625" bestFit="1" customWidth="1"/>
    <col min="5" max="5" width="10.42578125" bestFit="1" customWidth="1"/>
    <col min="6" max="6" width="9.5703125" bestFit="1" customWidth="1"/>
  </cols>
  <sheetData>
    <row r="1" spans="1:6" x14ac:dyDescent="0.25">
      <c r="A1" t="s">
        <v>0</v>
      </c>
      <c r="B1" t="s">
        <v>126</v>
      </c>
      <c r="C1" t="s">
        <v>155</v>
      </c>
      <c r="D1" t="s">
        <v>127</v>
      </c>
      <c r="E1" t="s">
        <v>128</v>
      </c>
      <c r="F1" t="s">
        <v>21</v>
      </c>
    </row>
    <row r="2" spans="1:6" x14ac:dyDescent="0.25">
      <c r="A2" t="s">
        <v>156</v>
      </c>
      <c r="B2" t="s">
        <v>163</v>
      </c>
      <c r="C2" t="s">
        <v>129</v>
      </c>
      <c r="D2" t="s">
        <v>168</v>
      </c>
      <c r="E2" s="4" t="s">
        <v>139</v>
      </c>
      <c r="F2" t="str">
        <f>Table3[[#This Row],[Name]]&amp;" = StageFamily("&amp;Table3[[#This Row],[Title]]&amp;", "&amp;Table3[[#This Row],[Engine Family]]&amp;", "&amp;Table3[[#This Row],[Description]]&amp;", vac="&amp;Table3[[#This Row],[Vacuum]]&amp;")"</f>
        <v>FleaStgFamily = StageFamily("Flea", Aerobee, "The Jumping Flea is a unique design created by our engineers.", vac=False)</v>
      </c>
    </row>
    <row r="3" spans="1:6" x14ac:dyDescent="0.25">
      <c r="A3" t="s">
        <v>157</v>
      </c>
      <c r="B3" t="s">
        <v>217</v>
      </c>
      <c r="C3" t="s">
        <v>129</v>
      </c>
      <c r="D3" t="s">
        <v>172</v>
      </c>
      <c r="E3" s="4" t="s">
        <v>133</v>
      </c>
      <c r="F3" t="str">
        <f>Table3[[#This Row],[Name]]&amp;" = StageFamily("&amp;Table3[[#This Row],[Title]]&amp;", "&amp;Table3[[#This Row],[Engine Family]]&amp;", "&amp;Table3[[#This Row],[Description]]&amp;", vac="&amp;Table3[[#This Row],[Vacuum]]&amp;")"</f>
        <v>LightningStgFamily = StageFamily("Lightning Stage", Aerobee, "Designation for the earliest sounding rocket stages with single Aerobee Engines.", vac=True)</v>
      </c>
    </row>
    <row r="4" spans="1:6" x14ac:dyDescent="0.25">
      <c r="A4" t="s">
        <v>158</v>
      </c>
      <c r="B4" t="s">
        <v>165</v>
      </c>
      <c r="C4" t="s">
        <v>130</v>
      </c>
      <c r="D4" t="s">
        <v>169</v>
      </c>
      <c r="E4" s="4" t="s">
        <v>139</v>
      </c>
      <c r="F4" t="str">
        <f>Table3[[#This Row],[Name]]&amp;" = StageFamily("&amp;Table3[[#This Row],[Title]]&amp;", "&amp;Table3[[#This Row],[Engine Family]]&amp;", "&amp;Table3[[#This Row],[Description]]&amp;", vac="&amp;Table3[[#This Row],[Vacuum]]&amp;")"</f>
        <v>EarlyBoostStgFamily = StageFamily("Early SR Boosters", TinyTim, "Designation for the very early solid-fueled booster stages for Sounding Rockets.", vac=False)</v>
      </c>
    </row>
    <row r="5" spans="1:6" x14ac:dyDescent="0.25">
      <c r="A5" t="s">
        <v>159</v>
      </c>
      <c r="B5" t="s">
        <v>166</v>
      </c>
      <c r="C5" t="s">
        <v>131</v>
      </c>
      <c r="D5" t="s">
        <v>170</v>
      </c>
      <c r="E5" s="4" t="s">
        <v>139</v>
      </c>
      <c r="F5" t="str">
        <f>Table3[[#This Row],[Name]]&amp;" = StageFamily("&amp;Table3[[#This Row],[Title]]&amp;", "&amp;Table3[[#This Row],[Engine Family]]&amp;", "&amp;Table3[[#This Row],[Description]]&amp;", vac="&amp;Table3[[#This Row],[Vacuum]]&amp;")"</f>
        <v>WakeIslandStgFamily = StageFamily("Wake Island", RD100, "This family of stages is 1.65m diameter using the RD-100 series of engines.", vac=False)</v>
      </c>
    </row>
    <row r="6" spans="1:6" x14ac:dyDescent="0.25">
      <c r="A6" t="s">
        <v>160</v>
      </c>
      <c r="B6" t="s">
        <v>167</v>
      </c>
      <c r="C6" t="s">
        <v>131</v>
      </c>
      <c r="D6" t="s">
        <v>171</v>
      </c>
      <c r="E6" s="4" t="s">
        <v>139</v>
      </c>
      <c r="F6" t="str">
        <f>Table3[[#This Row],[Name]]&amp;" = StageFamily("&amp;Table3[[#This Row],[Title]]&amp;", "&amp;Table3[[#This Row],[Engine Family]]&amp;", "&amp;Table3[[#This Row],[Description]]&amp;", vac="&amp;Table3[[#This Row],[Vacuum]]&amp;")"</f>
        <v>NimitzStgFamily = StageFamily("Nimitz", RD100, "2m first stage using dual RD-100 Series engines.", vac=False)</v>
      </c>
    </row>
    <row r="7" spans="1:6" x14ac:dyDescent="0.25">
      <c r="A7" t="s">
        <v>173</v>
      </c>
      <c r="B7" t="s">
        <v>174</v>
      </c>
      <c r="C7" t="s">
        <v>129</v>
      </c>
      <c r="D7" t="s">
        <v>175</v>
      </c>
      <c r="E7" s="4" t="s">
        <v>133</v>
      </c>
      <c r="F7" t="str">
        <f>Table3[[#This Row],[Name]]&amp;" = StageFamily("&amp;Table3[[#This Row],[Title]]&amp;", "&amp;Table3[[#This Row],[Engine Family]]&amp;", "&amp;Table3[[#This Row],[Description]]&amp;", vac="&amp;Table3[[#This Row],[Vacuum]]&amp;")"</f>
        <v>SpruanceStgFamily = StageFamily("Spruance", Aerobee, "Upper Stage consisting of 4 x Aerobee Engines used on early orbiters.", vac=True)</v>
      </c>
    </row>
  </sheetData>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1907F-B186-4662-8137-FE6FA9816328}">
  <dimension ref="A1:F12"/>
  <sheetViews>
    <sheetView workbookViewId="0">
      <selection activeCell="F2" sqref="F2:F12"/>
    </sheetView>
  </sheetViews>
  <sheetFormatPr defaultRowHeight="15" x14ac:dyDescent="0.25"/>
  <cols>
    <col min="1" max="1" width="18.28515625" bestFit="1" customWidth="1"/>
    <col min="2" max="2" width="17.7109375" bestFit="1" customWidth="1"/>
    <col min="3" max="3" width="20.140625" bestFit="1" customWidth="1"/>
    <col min="4" max="4" width="15" bestFit="1" customWidth="1"/>
    <col min="5" max="5" width="113.28515625" bestFit="1" customWidth="1"/>
    <col min="6" max="6" width="11.85546875" customWidth="1"/>
  </cols>
  <sheetData>
    <row r="1" spans="1:6" x14ac:dyDescent="0.25">
      <c r="A1" t="s">
        <v>0</v>
      </c>
      <c r="B1" t="s">
        <v>126</v>
      </c>
      <c r="C1" t="s">
        <v>176</v>
      </c>
      <c r="D1" t="s">
        <v>177</v>
      </c>
      <c r="E1" t="s">
        <v>127</v>
      </c>
      <c r="F1" t="s">
        <v>21</v>
      </c>
    </row>
    <row r="2" spans="1:6" x14ac:dyDescent="0.25">
      <c r="A2" t="s">
        <v>178</v>
      </c>
      <c r="B2" t="s">
        <v>190</v>
      </c>
      <c r="C2" t="s">
        <v>156</v>
      </c>
      <c r="D2" t="s">
        <v>140</v>
      </c>
      <c r="E2" t="s">
        <v>201</v>
      </c>
      <c r="F2" t="str">
        <f>Table5[[#This Row],[Name]]&amp;" = Stage("&amp;Table5[[#This Row],[Title]]&amp;", "&amp;Table5[[#This Row],[Stage Family]]&amp;", "&amp;Table5[[#This Row],[Engine]]&amp;", "&amp;Table5[[#This Row],[Description]]&amp;")"</f>
        <v>FleaStage = Stage("Flea Stage", FleaStgFamily, WAC, "First science craft.")</v>
      </c>
    </row>
    <row r="3" spans="1:6" x14ac:dyDescent="0.25">
      <c r="A3" t="s">
        <v>179</v>
      </c>
      <c r="B3" t="s">
        <v>192</v>
      </c>
      <c r="C3" t="s">
        <v>157</v>
      </c>
      <c r="D3" t="s">
        <v>140</v>
      </c>
      <c r="E3" t="s">
        <v>202</v>
      </c>
      <c r="F3" t="str">
        <f>Table5[[#This Row],[Name]]&amp;" = Stage("&amp;Table5[[#This Row],[Title]]&amp;", "&amp;Table5[[#This Row],[Stage Family]]&amp;", "&amp;Table5[[#This Row],[Engine]]&amp;", "&amp;Table5[[#This Row],[Description]]&amp;")"</f>
        <v>LightningWAC = Stage("Lightning-WAC", LightningStgFamily, WAC, "Earliest sounding rocket stage.")</v>
      </c>
    </row>
    <row r="4" spans="1:6" x14ac:dyDescent="0.25">
      <c r="A4" t="s">
        <v>180</v>
      </c>
      <c r="B4" t="s">
        <v>193</v>
      </c>
      <c r="C4" t="s">
        <v>157</v>
      </c>
      <c r="D4" t="s">
        <v>141</v>
      </c>
      <c r="E4" t="s">
        <v>203</v>
      </c>
      <c r="F4" t="str">
        <f>Table5[[#This Row],[Name]]&amp;" = Stage("&amp;Table5[[#This Row],[Title]]&amp;", "&amp;Table5[[#This Row],[Stage Family]]&amp;", "&amp;Table5[[#This Row],[Engine]]&amp;", "&amp;Table5[[#This Row],[Description]]&amp;")"</f>
        <v>LightningXASR = Stage("Lightning-XASR", LightningStgFamily, XASR, "Light sounding rocket stage which is an improvement on the Lightning-I and also used for the Yorktown Satellite missions.")</v>
      </c>
    </row>
    <row r="5" spans="1:6" x14ac:dyDescent="0.25">
      <c r="A5" t="s">
        <v>181</v>
      </c>
      <c r="B5" t="s">
        <v>135</v>
      </c>
      <c r="C5" t="s">
        <v>158</v>
      </c>
      <c r="D5" t="s">
        <v>144</v>
      </c>
      <c r="E5" t="s">
        <v>204</v>
      </c>
      <c r="F5" t="str">
        <f>Table5[[#This Row],[Name]]&amp;" = Stage("&amp;Table5[[#This Row],[Title]]&amp;", "&amp;Table5[[#This Row],[Stage Family]]&amp;", "&amp;Table5[[#This Row],[Engine]]&amp;", "&amp;Table5[[#This Row],[Description]]&amp;")"</f>
        <v>TinyTimStage = Stage("Tiny Tim Booster", EarlyBoostStgFamily, TinyTimBooster, "Solid boost stage for early sounding rockets.")</v>
      </c>
    </row>
    <row r="6" spans="1:6" x14ac:dyDescent="0.25">
      <c r="A6" t="s">
        <v>182</v>
      </c>
      <c r="B6" t="s">
        <v>194</v>
      </c>
      <c r="C6" t="s">
        <v>159</v>
      </c>
      <c r="D6" t="s">
        <v>142</v>
      </c>
      <c r="E6" t="s">
        <v>205</v>
      </c>
      <c r="F6" t="str">
        <f>Table5[[#This Row],[Name]]&amp;" = Stage("&amp;Table5[[#This Row],[Title]]&amp;", "&amp;Table5[[#This Row],[Stage Family]]&amp;", "&amp;Table5[[#This Row],[Engine]]&amp;", "&amp;Table5[[#This Row],[Description]]&amp;")"</f>
        <v>WakeIslandIStage = Stage("Wake Island I", WakeIslandStgFamily, RD_100, "RD-100 powered first stage.")</v>
      </c>
    </row>
    <row r="7" spans="1:6" x14ac:dyDescent="0.25">
      <c r="A7" t="s">
        <v>183</v>
      </c>
      <c r="B7" t="s">
        <v>196</v>
      </c>
      <c r="C7" t="s">
        <v>159</v>
      </c>
      <c r="D7" t="s">
        <v>145</v>
      </c>
      <c r="E7" t="s">
        <v>206</v>
      </c>
      <c r="F7" t="str">
        <f>Table5[[#This Row],[Name]]&amp;" = Stage("&amp;Table5[[#This Row],[Title]]&amp;", "&amp;Table5[[#This Row],[Stage Family]]&amp;", "&amp;Table5[[#This Row],[Engine]]&amp;", "&amp;Table5[[#This Row],[Description]]&amp;")"</f>
        <v>WakeIslandIIStage = Stage("Wake Island II", WakeIslandStgFamily, RD_101, "RD-101 powered first stage.")</v>
      </c>
    </row>
    <row r="8" spans="1:6" x14ac:dyDescent="0.25">
      <c r="A8" t="s">
        <v>185</v>
      </c>
      <c r="B8" t="s">
        <v>197</v>
      </c>
      <c r="C8" t="s">
        <v>159</v>
      </c>
      <c r="D8" t="s">
        <v>146</v>
      </c>
      <c r="E8" t="s">
        <v>208</v>
      </c>
      <c r="F8" t="str">
        <f>Table5[[#This Row],[Name]]&amp;" = Stage("&amp;Table5[[#This Row],[Title]]&amp;", "&amp;Table5[[#This Row],[Stage Family]]&amp;", "&amp;Table5[[#This Row],[Engine]]&amp;", "&amp;Table5[[#This Row],[Description]]&amp;")"</f>
        <v>WakeIslandIIIStage = Stage("Wake Island III", WakeIslandStgFamily, RD_102, "RD-102 powered 1.65m stage.")</v>
      </c>
    </row>
    <row r="9" spans="1:6" x14ac:dyDescent="0.25">
      <c r="A9" t="s">
        <v>187</v>
      </c>
      <c r="B9" t="s">
        <v>195</v>
      </c>
      <c r="C9" t="s">
        <v>159</v>
      </c>
      <c r="D9" t="s">
        <v>147</v>
      </c>
      <c r="E9" t="s">
        <v>207</v>
      </c>
      <c r="F9" t="str">
        <f>Table5[[#This Row],[Name]]&amp;" = Stage("&amp;Table5[[#This Row],[Title]]&amp;", "&amp;Table5[[#This Row],[Stage Family]]&amp;", "&amp;Table5[[#This Row],[Engine]]&amp;", "&amp;Table5[[#This Row],[Description]]&amp;")"</f>
        <v>WakeIslandIVStage = Stage("Wake Island IV", WakeIslandStgFamily, RD_103, "RD-103 powered 2m stage.")</v>
      </c>
    </row>
    <row r="10" spans="1:6" x14ac:dyDescent="0.25">
      <c r="A10" t="s">
        <v>184</v>
      </c>
      <c r="B10" t="s">
        <v>191</v>
      </c>
      <c r="C10" t="s">
        <v>173</v>
      </c>
      <c r="D10" t="s">
        <v>141</v>
      </c>
      <c r="E10" t="s">
        <v>209</v>
      </c>
      <c r="F10" t="str">
        <f>Table5[[#This Row],[Name]]&amp;" = Stage("&amp;Table5[[#This Row],[Title]]&amp;", "&amp;Table5[[#This Row],[Stage Family]]&amp;", "&amp;Table5[[#This Row],[Engine]]&amp;", "&amp;Table5[[#This Row],[Description]]&amp;")"</f>
        <v>SpruanceStage = Stage("Spruance Stage", SpruanceStgFamily, XASR, "4 x XASR-1 Engine powered upper stage.")</v>
      </c>
    </row>
    <row r="11" spans="1:6" x14ac:dyDescent="0.25">
      <c r="A11" t="s">
        <v>188</v>
      </c>
      <c r="B11" t="s">
        <v>198</v>
      </c>
      <c r="C11" t="s">
        <v>160</v>
      </c>
      <c r="D11" t="s">
        <v>145</v>
      </c>
      <c r="E11" t="s">
        <v>210</v>
      </c>
      <c r="F11" t="str">
        <f>Table5[[#This Row],[Name]]&amp;" = Stage("&amp;Table5[[#This Row],[Title]]&amp;", "&amp;Table5[[#This Row],[Stage Family]]&amp;", "&amp;Table5[[#This Row],[Engine]]&amp;", "&amp;Table5[[#This Row],[Description]]&amp;")"</f>
        <v>NimitzIStage = Stage("Nimitz I", NimitzStgFamily, RD_101, "2 x RD-101 powered 2m first stage used on the early Midway launch vehicles.")</v>
      </c>
    </row>
    <row r="12" spans="1:6" x14ac:dyDescent="0.25">
      <c r="A12" t="s">
        <v>189</v>
      </c>
      <c r="B12" t="s">
        <v>199</v>
      </c>
      <c r="C12" t="s">
        <v>160</v>
      </c>
      <c r="D12" t="s">
        <v>147</v>
      </c>
      <c r="E12" t="s">
        <v>211</v>
      </c>
      <c r="F12" t="str">
        <f>Table5[[#This Row],[Name]]&amp;" = Stage("&amp;Table5[[#This Row],[Title]]&amp;", "&amp;Table5[[#This Row],[Stage Family]]&amp;", "&amp;Table5[[#This Row],[Engine]]&amp;", "&amp;Table5[[#This Row],[Description]]&amp;")"</f>
        <v>NimitzIIStage = Stage("Nimitz II", NimitzStgFamily, RD_103, "2 x RD-103 powered 2m first stage used on the Midway launch vehicles.")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A89A-9B65-456D-B4C2-4AEA58A9966B}">
  <dimension ref="A1:E6"/>
  <sheetViews>
    <sheetView workbookViewId="0">
      <selection activeCell="D5" sqref="D5"/>
    </sheetView>
  </sheetViews>
  <sheetFormatPr defaultRowHeight="15" x14ac:dyDescent="0.25"/>
  <cols>
    <col min="1" max="1" width="11.28515625" bestFit="1" customWidth="1"/>
    <col min="2" max="2" width="13.5703125" bestFit="1" customWidth="1"/>
    <col min="3" max="3" width="50.7109375" bestFit="1" customWidth="1"/>
    <col min="4" max="4" width="72.85546875" bestFit="1" customWidth="1"/>
    <col min="5" max="5" width="13.140625" customWidth="1"/>
  </cols>
  <sheetData>
    <row r="1" spans="1:5" x14ac:dyDescent="0.25">
      <c r="A1" t="s">
        <v>0</v>
      </c>
      <c r="B1" t="s">
        <v>126</v>
      </c>
      <c r="C1" t="s">
        <v>127</v>
      </c>
      <c r="D1" t="s">
        <v>212</v>
      </c>
      <c r="E1" t="s">
        <v>21</v>
      </c>
    </row>
    <row r="2" spans="1:5" x14ac:dyDescent="0.25">
      <c r="A2" t="s">
        <v>162</v>
      </c>
      <c r="B2" t="s">
        <v>216</v>
      </c>
      <c r="C2" t="s">
        <v>201</v>
      </c>
      <c r="D2" t="s">
        <v>156</v>
      </c>
      <c r="E2" t="str">
        <f>A2&amp;" = LVFamily("&amp;B2&amp;", "&amp;C2&amp;", "&amp;D2&amp;")"</f>
        <v>Flea = LVFamily("The Flea", "First science craft.", FleaStgFamily)</v>
      </c>
    </row>
    <row r="3" spans="1:5" x14ac:dyDescent="0.25">
      <c r="A3" t="s">
        <v>161</v>
      </c>
      <c r="B3" t="s">
        <v>164</v>
      </c>
      <c r="C3" t="s">
        <v>220</v>
      </c>
      <c r="D3" t="s">
        <v>224</v>
      </c>
      <c r="E3" t="str">
        <f t="shared" ref="E3:E6" si="0">A3&amp;" = LVFamily("&amp;B3&amp;", "&amp;C3&amp;", "&amp;D3&amp;")"</f>
        <v>Lightning = LVFamily("Lightning", "First sounding rocket family of launch vehicles.", EarlyBoostStgFamily, LightningStgFamily)</v>
      </c>
    </row>
    <row r="4" spans="1:5" x14ac:dyDescent="0.25">
      <c r="A4" t="s">
        <v>213</v>
      </c>
      <c r="B4" t="s">
        <v>166</v>
      </c>
      <c r="C4" t="s">
        <v>221</v>
      </c>
      <c r="D4" t="s">
        <v>159</v>
      </c>
      <c r="E4" t="str">
        <f t="shared" si="0"/>
        <v>WakeIsland = LVFamily("Wake Island", "Suborbital sounding rocket family of launch vehicles.", WakeIslandStgFamily)</v>
      </c>
    </row>
    <row r="5" spans="1:5" x14ac:dyDescent="0.25">
      <c r="A5" t="s">
        <v>214</v>
      </c>
      <c r="B5" t="s">
        <v>218</v>
      </c>
      <c r="C5" t="s">
        <v>222</v>
      </c>
      <c r="D5" t="s">
        <v>225</v>
      </c>
      <c r="E5" t="str">
        <f t="shared" si="0"/>
        <v>CoralSea = LVFamily("Coral Sea", "Family of two-stage sounding rockets.", WakeIslandStgFamily, LightningStgFamily)</v>
      </c>
    </row>
    <row r="6" spans="1:5" x14ac:dyDescent="0.25">
      <c r="A6" t="s">
        <v>215</v>
      </c>
      <c r="B6" t="s">
        <v>219</v>
      </c>
      <c r="C6" t="s">
        <v>223</v>
      </c>
      <c r="D6" t="s">
        <v>226</v>
      </c>
      <c r="E6" t="str">
        <f t="shared" si="0"/>
        <v>Midway = LVFamily("Midway", "Family of 60t early orbital rockets.", NimitzStgFamily, WakeIslandStgFamily, SpruanceStgFamily, LightningStgFamily)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D0C5-FEDF-4A81-A4B4-CD02EB56AD72}">
  <dimension ref="A1:F11"/>
  <sheetViews>
    <sheetView workbookViewId="0">
      <selection activeCell="E10" sqref="E10"/>
    </sheetView>
  </sheetViews>
  <sheetFormatPr defaultRowHeight="15" x14ac:dyDescent="0.25"/>
  <cols>
    <col min="1" max="1" width="16.5703125" bestFit="1" customWidth="1"/>
    <col min="2" max="2" width="19.140625" bestFit="1" customWidth="1"/>
    <col min="3" max="3" width="11.5703125" customWidth="1"/>
    <col min="4" max="4" width="89.140625" customWidth="1"/>
    <col min="5" max="5" width="58.28515625" bestFit="1" customWidth="1"/>
    <col min="6" max="6" width="9.42578125" customWidth="1"/>
  </cols>
  <sheetData>
    <row r="1" spans="1:6" x14ac:dyDescent="0.25">
      <c r="A1" t="s">
        <v>0</v>
      </c>
      <c r="B1" t="s">
        <v>126</v>
      </c>
      <c r="C1" t="s">
        <v>227</v>
      </c>
      <c r="D1" t="s">
        <v>127</v>
      </c>
      <c r="E1" t="s">
        <v>228</v>
      </c>
      <c r="F1" t="s">
        <v>21</v>
      </c>
    </row>
    <row r="2" spans="1:6" x14ac:dyDescent="0.25">
      <c r="A2" t="s">
        <v>229</v>
      </c>
      <c r="B2" t="s">
        <v>232</v>
      </c>
      <c r="C2" t="s">
        <v>162</v>
      </c>
      <c r="D2" t="s">
        <v>242</v>
      </c>
      <c r="E2" t="s">
        <v>178</v>
      </c>
      <c r="F2" t="str">
        <f>A2&amp;" = LV("&amp;B2&amp;", "&amp;C2&amp;", "&amp;D2&amp;", "&amp;E2&amp;")"</f>
        <v>JumpingFlea = LV("Jumping Flea", Flea, "Specially designed launch vehicle designed for maximum science gain.", FleaStage)</v>
      </c>
    </row>
    <row r="3" spans="1:6" x14ac:dyDescent="0.25">
      <c r="A3" t="s">
        <v>230</v>
      </c>
      <c r="B3" t="s">
        <v>233</v>
      </c>
      <c r="C3" t="s">
        <v>161</v>
      </c>
      <c r="D3" t="s">
        <v>243</v>
      </c>
      <c r="E3" t="s">
        <v>252</v>
      </c>
      <c r="F3" t="str">
        <f t="shared" ref="F3:F11" si="0">A3&amp;" = LV("&amp;B3&amp;", "&amp;C3&amp;", "&amp;D3&amp;", "&amp;E3&amp;")"</f>
        <v>LightningI = LV("Lightning-I", Lightning, "Earliest sounding rocket launch vehicle designed to get past the Karman Line and bring back valuable science.", TinyTimStage, LightningWAC)</v>
      </c>
    </row>
    <row r="4" spans="1:6" x14ac:dyDescent="0.25">
      <c r="A4" t="s">
        <v>231</v>
      </c>
      <c r="B4" t="s">
        <v>235</v>
      </c>
      <c r="C4" t="s">
        <v>161</v>
      </c>
      <c r="D4" t="s">
        <v>244</v>
      </c>
      <c r="E4" t="s">
        <v>253</v>
      </c>
      <c r="F4" t="str">
        <f t="shared" si="0"/>
        <v>LightningII = LV("Lightning-II", Lightning, "Stretched Lightning-I light sounding rocket vehicle with improved performance.", TinyTimStage, LightningXASR)</v>
      </c>
    </row>
    <row r="5" spans="1:6" x14ac:dyDescent="0.25">
      <c r="A5" t="s">
        <v>200</v>
      </c>
      <c r="B5" t="s">
        <v>237</v>
      </c>
      <c r="C5" t="s">
        <v>213</v>
      </c>
      <c r="D5" t="s">
        <v>245</v>
      </c>
      <c r="E5" t="s">
        <v>182</v>
      </c>
      <c r="F5" t="str">
        <f t="shared" si="0"/>
        <v>WakeIslandI = LV("Wake Island-I", WakeIsland, "Early 1.65m Wake Island sounding rocket designed to reach space and return science data.", WakeIslandIStage)</v>
      </c>
    </row>
    <row r="6" spans="1:6" x14ac:dyDescent="0.25">
      <c r="A6" t="s">
        <v>16</v>
      </c>
      <c r="B6" t="s">
        <v>238</v>
      </c>
      <c r="C6" t="s">
        <v>213</v>
      </c>
      <c r="D6" t="s">
        <v>247</v>
      </c>
      <c r="E6" t="s">
        <v>183</v>
      </c>
      <c r="F6" t="str">
        <f t="shared" si="0"/>
        <v>WakeIslandII = LV("Wake Island-II", WakeIsland, "Stretched Wake Island launch vehicle used in both crewed missions and sounding rocket missions.", WakeIslandIIStage)</v>
      </c>
    </row>
    <row r="7" spans="1:6" x14ac:dyDescent="0.25">
      <c r="A7" t="s">
        <v>82</v>
      </c>
      <c r="B7" t="s">
        <v>240</v>
      </c>
      <c r="C7" t="s">
        <v>213</v>
      </c>
      <c r="D7" t="s">
        <v>246</v>
      </c>
      <c r="E7" t="s">
        <v>185</v>
      </c>
      <c r="F7" t="str">
        <f t="shared" si="0"/>
        <v>WakeIslandIII = LV("Wake Island-III", WakeIsland, "2m version of the Wake Island launch vehicle used for heavy lift sounding rocket missions.", WakeIslandIIIStage)</v>
      </c>
    </row>
    <row r="8" spans="1:6" x14ac:dyDescent="0.25">
      <c r="A8" t="s">
        <v>186</v>
      </c>
      <c r="B8" t="s">
        <v>241</v>
      </c>
      <c r="C8" t="s">
        <v>213</v>
      </c>
      <c r="D8" t="s">
        <v>248</v>
      </c>
      <c r="E8" t="s">
        <v>187</v>
      </c>
      <c r="F8" t="str">
        <f t="shared" si="0"/>
        <v>WakeIslandIV = LV("Wake Island-IV", WakeIsland, "Stretched 2m version of the Wake Island heavy lift sounding rockets.", WakeIslandIVStage)</v>
      </c>
    </row>
    <row r="9" spans="1:6" x14ac:dyDescent="0.25">
      <c r="A9" t="s">
        <v>27</v>
      </c>
      <c r="B9" t="s">
        <v>239</v>
      </c>
      <c r="C9" t="s">
        <v>214</v>
      </c>
      <c r="D9" t="s">
        <v>249</v>
      </c>
      <c r="E9" t="s">
        <v>254</v>
      </c>
      <c r="F9" t="str">
        <f t="shared" si="0"/>
        <v>CoralSeaI = LV("Coral Sea-I", CoralSea, "Two-stage Sounding Rocket that combines a Wake Island and Lightning stage for high altitude contracts.", WakeIslandIIStage, LightningXASR)</v>
      </c>
    </row>
    <row r="10" spans="1:6" x14ac:dyDescent="0.25">
      <c r="A10" t="s">
        <v>62</v>
      </c>
      <c r="B10" t="s">
        <v>234</v>
      </c>
      <c r="C10" t="s">
        <v>215</v>
      </c>
      <c r="D10" t="s">
        <v>250</v>
      </c>
      <c r="E10" t="s">
        <v>256</v>
      </c>
      <c r="F10" t="str">
        <f t="shared" si="0"/>
        <v>MidwayI = LV("Midway-I", Midway, "First orbital rocket! This 4-stage design featured a Midway-I launch vehicle with the addition of a Sprunace Upper Stage and a Yorktown Satellite final stage.", NimitzIStage, WakeIslandIIStage, SpruanceStage, LightningXASR)</v>
      </c>
    </row>
    <row r="11" spans="1:6" x14ac:dyDescent="0.25">
      <c r="A11" t="s">
        <v>119</v>
      </c>
      <c r="B11" t="s">
        <v>236</v>
      </c>
      <c r="C11" t="s">
        <v>215</v>
      </c>
      <c r="D11" t="s">
        <v>251</v>
      </c>
      <c r="E11" t="s">
        <v>255</v>
      </c>
      <c r="F11" t="str">
        <f t="shared" si="0"/>
        <v>MidwayII = LV("Midway-II", Midway, "Improved and stretched version of the Midway-I, this heavy sounding rocket features two-stages.", NimitzIIStage, WakeIslandIVStage)</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E706-1788-43F5-BC12-550FDF7BE321}">
  <dimension ref="A1:Q43"/>
  <sheetViews>
    <sheetView tabSelected="1" topLeftCell="A4" workbookViewId="0">
      <selection activeCell="I17" sqref="I17"/>
    </sheetView>
  </sheetViews>
  <sheetFormatPr defaultRowHeight="15" x14ac:dyDescent="0.25"/>
  <cols>
    <col min="1" max="1" width="21.140625" bestFit="1" customWidth="1"/>
    <col min="2" max="2" width="7.140625" customWidth="1"/>
    <col min="5" max="5" width="13.140625" bestFit="1" customWidth="1"/>
    <col min="6" max="6" width="25" customWidth="1"/>
    <col min="7" max="7" width="7.140625" customWidth="1"/>
    <col min="8" max="8" width="8.7109375" customWidth="1"/>
    <col min="9" max="9" width="12.7109375" customWidth="1"/>
    <col min="10" max="10" width="9.42578125" customWidth="1"/>
    <col min="11" max="11" width="8.28515625" bestFit="1" customWidth="1"/>
    <col min="12" max="12" width="10" customWidth="1"/>
    <col min="13" max="13" width="9.7109375" customWidth="1"/>
    <col min="14" max="15" width="10.85546875" bestFit="1" customWidth="1"/>
    <col min="16" max="16" width="10.140625" customWidth="1"/>
    <col min="17" max="17" width="55.7109375" customWidth="1"/>
  </cols>
  <sheetData>
    <row r="1" spans="1:17" x14ac:dyDescent="0.25">
      <c r="A1" t="s">
        <v>0</v>
      </c>
      <c r="B1" t="s">
        <v>1</v>
      </c>
      <c r="C1" t="s">
        <v>2</v>
      </c>
      <c r="D1" t="s">
        <v>3</v>
      </c>
      <c r="E1" t="s">
        <v>4</v>
      </c>
      <c r="F1" t="s">
        <v>5</v>
      </c>
      <c r="G1" t="s">
        <v>6</v>
      </c>
      <c r="H1" t="s">
        <v>7</v>
      </c>
      <c r="I1" t="s">
        <v>8</v>
      </c>
      <c r="J1" t="s">
        <v>9</v>
      </c>
      <c r="K1" t="s">
        <v>10</v>
      </c>
      <c r="L1" t="s">
        <v>11</v>
      </c>
      <c r="M1" t="s">
        <v>12</v>
      </c>
      <c r="N1" t="s">
        <v>14</v>
      </c>
      <c r="O1" t="s">
        <v>13</v>
      </c>
      <c r="P1" t="s">
        <v>19</v>
      </c>
      <c r="Q1" t="s">
        <v>21</v>
      </c>
    </row>
    <row r="2" spans="1:17" x14ac:dyDescent="0.25">
      <c r="A2" t="s">
        <v>15</v>
      </c>
      <c r="B2" s="2">
        <v>1951</v>
      </c>
      <c r="C2" s="2">
        <v>7</v>
      </c>
      <c r="D2" s="2">
        <v>21</v>
      </c>
      <c r="E2" t="s">
        <v>16</v>
      </c>
      <c r="F2" t="s">
        <v>38</v>
      </c>
      <c r="G2" s="2" t="s">
        <v>17</v>
      </c>
      <c r="H2" s="2">
        <v>0</v>
      </c>
      <c r="I2" t="s">
        <v>18</v>
      </c>
      <c r="K2" s="3">
        <v>533</v>
      </c>
      <c r="L2" s="3">
        <v>759</v>
      </c>
      <c r="M2" s="3">
        <v>400</v>
      </c>
      <c r="N2" s="3">
        <f>1725+4125+4080+1270+2710</f>
        <v>13910</v>
      </c>
      <c r="O2" s="3">
        <f t="shared" ref="O2:O18" si="0">N2-M2-L2-K2</f>
        <v>12218</v>
      </c>
      <c r="P2" s="1">
        <f t="shared" ref="P2:P18" si="1">O2/SUM(K2:M2)</f>
        <v>7.2210401891252953</v>
      </c>
      <c r="Q2" s="3" t="str">
        <f>"launch("""&amp;Table1[[#This Row],[Name]]&amp;""", "&amp;Table1[[#This Row],[Year]]&amp;", "&amp;Table1[[#This Row],[Month]]&amp;", "&amp;Table1[[#This Row],[Day]]&amp;", "&amp;Table1[[#This Row],[LV]]&amp;", "&amp;Table1[[#This Row],[Payload]]&amp;", "&amp;Table1[[#This Row],[Dest]]&amp;", "&amp;Table1[[#This Row],[Result]]&amp;", """&amp;Table1[[#This Row],[Comments]]&amp;""")"</f>
        <v>launch("Wake Island II Echo", 1951, 7, 21, WakeIslandII, paren("72 SRP"), SO, 0, "Successful mission completing the Sounding Rocket (Difficult) contract and setting a new Altitude record at 351km.")</v>
      </c>
    </row>
    <row r="3" spans="1:17" x14ac:dyDescent="0.25">
      <c r="A3" t="s">
        <v>20</v>
      </c>
      <c r="B3" s="2">
        <v>1951</v>
      </c>
      <c r="C3" s="2">
        <v>8</v>
      </c>
      <c r="D3" s="2">
        <v>5</v>
      </c>
      <c r="E3" t="s">
        <v>16</v>
      </c>
      <c r="F3" t="s">
        <v>39</v>
      </c>
      <c r="G3" s="2" t="s">
        <v>17</v>
      </c>
      <c r="H3" s="2">
        <v>0</v>
      </c>
      <c r="I3" t="s">
        <v>22</v>
      </c>
      <c r="K3" s="3">
        <v>402</v>
      </c>
      <c r="L3" s="3">
        <v>758</v>
      </c>
      <c r="M3" s="3">
        <v>400</v>
      </c>
      <c r="N3" s="3">
        <f>1866+4266+5280+1844+4244+813+1533</f>
        <v>19846</v>
      </c>
      <c r="O3" s="3">
        <f t="shared" si="0"/>
        <v>18286</v>
      </c>
      <c r="P3" s="1">
        <f t="shared" si="1"/>
        <v>11.721794871794872</v>
      </c>
      <c r="Q3" s="3" t="str">
        <f>"launch("""&amp;Table1[[#This Row],[Name]]&amp;""", "&amp;Table1[[#This Row],[Year]]&amp;", "&amp;Table1[[#This Row],[Month]]&amp;", "&amp;Table1[[#This Row],[Day]]&amp;", "&amp;Table1[[#This Row],[LV]]&amp;", "&amp;Table1[[#This Row],[Payload]]&amp;", "&amp;Table1[[#This Row],[Dest]]&amp;", "&amp;Table1[[#This Row],[Result]]&amp;", """&amp;Table1[[#This Row],[Comments]]&amp;""")"</f>
        <v>launch("Wake Island II Foxtrot", 1951, 8, 5, WakeIslandII, paren("36 SRP"), SO, 0, "Successful mission completing the Sounding Rocket (Difficult) contract and setting a new Altitude record at 421km.")</v>
      </c>
    </row>
    <row r="4" spans="1:17" x14ac:dyDescent="0.25">
      <c r="A4" t="s">
        <v>23</v>
      </c>
      <c r="B4" s="2">
        <v>1951</v>
      </c>
      <c r="C4" s="2">
        <v>8</v>
      </c>
      <c r="D4" s="2">
        <v>19</v>
      </c>
      <c r="E4" t="s">
        <v>16</v>
      </c>
      <c r="F4" t="s">
        <v>40</v>
      </c>
      <c r="G4" s="2" t="s">
        <v>17</v>
      </c>
      <c r="H4" s="2">
        <v>0</v>
      </c>
      <c r="I4" t="s">
        <v>24</v>
      </c>
      <c r="K4" s="3">
        <v>423</v>
      </c>
      <c r="L4" s="3">
        <v>759</v>
      </c>
      <c r="M4" s="3">
        <v>420</v>
      </c>
      <c r="N4" s="3">
        <f>2040+1370+2810+4440</f>
        <v>10660</v>
      </c>
      <c r="O4" s="3">
        <f t="shared" si="0"/>
        <v>9058</v>
      </c>
      <c r="P4" s="1">
        <f t="shared" si="1"/>
        <v>5.6541822721598001</v>
      </c>
      <c r="Q4" s="3" t="str">
        <f>"launch("""&amp;Table1[[#This Row],[Name]]&amp;""", "&amp;Table1[[#This Row],[Year]]&amp;", "&amp;Table1[[#This Row],[Month]]&amp;", "&amp;Table1[[#This Row],[Day]]&amp;", "&amp;Table1[[#This Row],[LV]]&amp;", "&amp;Table1[[#This Row],[Payload]]&amp;", "&amp;Table1[[#This Row],[Dest]]&amp;", "&amp;Table1[[#This Row],[Result]]&amp;", """&amp;Table1[[#This Row],[Comments]]&amp;""")"</f>
        <v>launch("Wake Island II Golf", 1951, 8, 19, WakeIslandII, paren("458 SRP"), SO, 0, "Successful mission completing the Sounding Rocket (Difficult) contract.")</v>
      </c>
    </row>
    <row r="5" spans="1:17" x14ac:dyDescent="0.25">
      <c r="A5" t="s">
        <v>25</v>
      </c>
      <c r="B5" s="2">
        <v>1951</v>
      </c>
      <c r="C5" s="2">
        <v>9</v>
      </c>
      <c r="D5" s="2">
        <v>1</v>
      </c>
      <c r="E5" t="s">
        <v>16</v>
      </c>
      <c r="F5" t="s">
        <v>41</v>
      </c>
      <c r="G5" s="2" t="s">
        <v>17</v>
      </c>
      <c r="H5" s="2">
        <v>0</v>
      </c>
      <c r="I5" t="s">
        <v>24</v>
      </c>
      <c r="K5" s="3">
        <v>421</v>
      </c>
      <c r="L5" s="3">
        <v>772</v>
      </c>
      <c r="M5" s="3">
        <v>425</v>
      </c>
      <c r="N5" s="3">
        <f>1866+1844+813+4629+2967</f>
        <v>12119</v>
      </c>
      <c r="O5" s="3">
        <f t="shared" si="0"/>
        <v>10501</v>
      </c>
      <c r="P5" s="1">
        <f t="shared" si="1"/>
        <v>6.4901112484548822</v>
      </c>
      <c r="Q5" s="3" t="str">
        <f>"launch("""&amp;Table1[[#This Row],[Name]]&amp;""", "&amp;Table1[[#This Row],[Year]]&amp;", "&amp;Table1[[#This Row],[Month]]&amp;", "&amp;Table1[[#This Row],[Day]]&amp;", "&amp;Table1[[#This Row],[LV]]&amp;", "&amp;Table1[[#This Row],[Payload]]&amp;", "&amp;Table1[[#This Row],[Dest]]&amp;", "&amp;Table1[[#This Row],[Result]]&amp;", """&amp;Table1[[#This Row],[Comments]]&amp;""")"</f>
        <v>launch("Wake Island II Hotel", 1951, 9, 1, WakeIslandII, paren("562 SRP"), SO, 0, "Successful mission completing the Sounding Rocket (Difficult) contract.")</v>
      </c>
    </row>
    <row r="6" spans="1:17" x14ac:dyDescent="0.25">
      <c r="A6" t="s">
        <v>26</v>
      </c>
      <c r="B6" s="2">
        <v>1951</v>
      </c>
      <c r="C6" s="2">
        <v>9</v>
      </c>
      <c r="D6" s="2">
        <v>24</v>
      </c>
      <c r="E6" t="s">
        <v>27</v>
      </c>
      <c r="F6" t="s">
        <v>28</v>
      </c>
      <c r="G6" s="2" t="s">
        <v>17</v>
      </c>
      <c r="H6" s="2">
        <v>2</v>
      </c>
      <c r="I6" t="s">
        <v>30</v>
      </c>
      <c r="K6" s="3">
        <v>760</v>
      </c>
      <c r="L6" s="3">
        <v>1300</v>
      </c>
      <c r="M6" s="3">
        <v>760</v>
      </c>
      <c r="N6" s="3">
        <f>1980+0</f>
        <v>1980</v>
      </c>
      <c r="O6" s="3">
        <f t="shared" si="0"/>
        <v>-840</v>
      </c>
      <c r="P6" s="1">
        <f t="shared" si="1"/>
        <v>-0.2978723404255319</v>
      </c>
      <c r="Q6" s="3" t="str">
        <f>"launch("""&amp;Table1[[#This Row],[Name]]&amp;""", "&amp;Table1[[#This Row],[Year]]&amp;", "&amp;Table1[[#This Row],[Month]]&amp;", "&amp;Table1[[#This Row],[Day]]&amp;", "&amp;Table1[[#This Row],[LV]]&amp;", "&amp;Table1[[#This Row],[Payload]]&amp;", "&amp;Table1[[#This Row],[Dest]]&amp;", "&amp;Table1[[#This Row],[Result]]&amp;", """&amp;Table1[[#This Row],[Comments]]&amp;""")"</f>
        <v>launch("Coral Sea I Alpha", 1951, 9, 24, CoralSeaI, None, SO, 2, "XASR-1 failed to ignite and the mission failed at 100km.")</v>
      </c>
    </row>
    <row r="7" spans="1:17" x14ac:dyDescent="0.25">
      <c r="A7" t="s">
        <v>29</v>
      </c>
      <c r="B7" s="2">
        <v>1951</v>
      </c>
      <c r="C7" s="2">
        <v>10</v>
      </c>
      <c r="D7" s="2">
        <v>9</v>
      </c>
      <c r="E7" t="s">
        <v>16</v>
      </c>
      <c r="F7" t="s">
        <v>45</v>
      </c>
      <c r="G7" s="2" t="s">
        <v>17</v>
      </c>
      <c r="H7" s="2">
        <v>0</v>
      </c>
      <c r="I7" t="s">
        <v>32</v>
      </c>
      <c r="K7" s="3">
        <v>617</v>
      </c>
      <c r="L7" s="3">
        <v>866</v>
      </c>
      <c r="M7" s="3">
        <v>615</v>
      </c>
      <c r="N7" s="3">
        <v>27000</v>
      </c>
      <c r="O7" s="3">
        <f t="shared" si="0"/>
        <v>24902</v>
      </c>
      <c r="P7" s="1">
        <f t="shared" si="1"/>
        <v>11.869399428026693</v>
      </c>
      <c r="Q7" s="3" t="str">
        <f>"launch("""&amp;Table1[[#This Row],[Name]]&amp;""", "&amp;Table1[[#This Row],[Year]]&amp;", "&amp;Table1[[#This Row],[Month]]&amp;", "&amp;Table1[[#This Row],[Day]]&amp;", "&amp;Table1[[#This Row],[LV]]&amp;", "&amp;Table1[[#This Row],[Payload]]&amp;", "&amp;Table1[[#This Row],[Dest]]&amp;", "&amp;Table1[[#This Row],[Result]]&amp;", """&amp;Table1[[#This Row],[Comments]]&amp;""")"</f>
        <v>launch("Hope IV", 1951, 10, 9, WakeIslandII, Payload("Hope Cockpit", "Mission to Reach Space", "Jebediah Kerman &amp; Bill Kerman"), SO, 0, "The crew of Jebediah Kerman and Bill Kerman reached an apoapsis of 158km and became the second crew to go to Space.")</v>
      </c>
    </row>
    <row r="8" spans="1:17" x14ac:dyDescent="0.25">
      <c r="A8" t="s">
        <v>31</v>
      </c>
      <c r="B8" s="2">
        <v>1951</v>
      </c>
      <c r="C8" s="2">
        <v>10</v>
      </c>
      <c r="D8" s="2">
        <v>18</v>
      </c>
      <c r="E8" t="s">
        <v>27</v>
      </c>
      <c r="F8" t="s">
        <v>28</v>
      </c>
      <c r="G8" s="2" t="s">
        <v>17</v>
      </c>
      <c r="H8" s="2">
        <v>0</v>
      </c>
      <c r="I8" t="s">
        <v>35</v>
      </c>
      <c r="K8" s="3">
        <v>760</v>
      </c>
      <c r="L8" s="3">
        <v>1300</v>
      </c>
      <c r="M8" s="3">
        <v>760</v>
      </c>
      <c r="N8" s="3">
        <f>4380+6480</f>
        <v>10860</v>
      </c>
      <c r="O8" s="3">
        <f t="shared" si="0"/>
        <v>8040</v>
      </c>
      <c r="P8" s="1">
        <f t="shared" si="1"/>
        <v>2.8510638297872339</v>
      </c>
      <c r="Q8" s="3" t="str">
        <f>"launch("""&amp;Table1[[#This Row],[Name]]&amp;""", "&amp;Table1[[#This Row],[Year]]&amp;", "&amp;Table1[[#This Row],[Month]]&amp;", "&amp;Table1[[#This Row],[Day]]&amp;", "&amp;Table1[[#This Row],[LV]]&amp;", "&amp;Table1[[#This Row],[Payload]]&amp;", "&amp;Table1[[#This Row],[Dest]]&amp;", "&amp;Table1[[#This Row],[Result]]&amp;", """&amp;Table1[[#This Row],[Comments]]&amp;""")"</f>
        <v>launch("Coral Sea I Bravo", 1951, 10, 18, CoralSeaI, None, SO, 0, "Successful mission setting a new altitude record of 505km.")</v>
      </c>
    </row>
    <row r="9" spans="1:17" x14ac:dyDescent="0.25">
      <c r="A9" t="s">
        <v>33</v>
      </c>
      <c r="B9" s="2">
        <v>1951</v>
      </c>
      <c r="C9" s="2">
        <v>10</v>
      </c>
      <c r="D9" s="2">
        <v>24</v>
      </c>
      <c r="E9" t="s">
        <v>16</v>
      </c>
      <c r="F9" t="s">
        <v>46</v>
      </c>
      <c r="G9" s="2" t="s">
        <v>34</v>
      </c>
      <c r="H9" s="2">
        <v>0</v>
      </c>
      <c r="I9" t="s">
        <v>37</v>
      </c>
      <c r="K9" s="3">
        <v>617</v>
      </c>
      <c r="L9" s="3">
        <v>866</v>
      </c>
      <c r="M9" s="3">
        <v>615</v>
      </c>
      <c r="N9" s="3">
        <v>18000</v>
      </c>
      <c r="O9" s="3">
        <f t="shared" si="0"/>
        <v>15902</v>
      </c>
      <c r="P9" s="1">
        <f t="shared" si="1"/>
        <v>7.579599618684461</v>
      </c>
      <c r="Q9" s="3" t="str">
        <f>"launch("""&amp;Table1[[#This Row],[Name]]&amp;""", "&amp;Table1[[#This Row],[Year]]&amp;", "&amp;Table1[[#This Row],[Month]]&amp;", "&amp;Table1[[#This Row],[Day]]&amp;", "&amp;Table1[[#This Row],[LV]]&amp;", "&amp;Table1[[#This Row],[Payload]]&amp;", "&amp;Table1[[#This Row],[Dest]]&amp;", "&amp;Table1[[#This Row],[Result]]&amp;", """&amp;Table1[[#This Row],[Comments]]&amp;""")"</f>
        <v>launch("Hope V", 1951, 10, 24, WakeIslandII, Payload("Hope Cockpit", "Mission to Reach 80km", "Valentina Kerman &amp; Traby Kerman"), EA, 0, "Successful flight that achieved an 80km apoapsis to fulfill a contract.")</v>
      </c>
    </row>
    <row r="10" spans="1:17" x14ac:dyDescent="0.25">
      <c r="A10" t="s">
        <v>36</v>
      </c>
      <c r="B10" s="2">
        <v>1951</v>
      </c>
      <c r="C10" s="2">
        <v>11</v>
      </c>
      <c r="D10" s="2">
        <v>2</v>
      </c>
      <c r="E10" t="s">
        <v>27</v>
      </c>
      <c r="F10" t="s">
        <v>42</v>
      </c>
      <c r="G10" s="2" t="s">
        <v>17</v>
      </c>
      <c r="H10" s="2">
        <v>0</v>
      </c>
      <c r="I10" t="s">
        <v>43</v>
      </c>
      <c r="K10" s="3">
        <v>760</v>
      </c>
      <c r="L10" s="3">
        <v>1300</v>
      </c>
      <c r="M10" s="3">
        <v>1520</v>
      </c>
      <c r="N10" s="3">
        <f>2191+933+1653+7680+4591</f>
        <v>17048</v>
      </c>
      <c r="O10" s="3">
        <f t="shared" si="0"/>
        <v>13468</v>
      </c>
      <c r="P10" s="1">
        <f t="shared" si="1"/>
        <v>3.7620111731843577</v>
      </c>
      <c r="Q10" s="3" t="str">
        <f>"launch("""&amp;Table1[[#This Row],[Name]]&amp;""", "&amp;Table1[[#This Row],[Year]]&amp;", "&amp;Table1[[#This Row],[Month]]&amp;", "&amp;Table1[[#This Row],[Day]]&amp;", "&amp;Table1[[#This Row],[LV]]&amp;", "&amp;Table1[[#This Row],[Payload]]&amp;", "&amp;Table1[[#This Row],[Dest]]&amp;", "&amp;Table1[[#This Row],[Result]]&amp;", """&amp;Table1[[#This Row],[Comments]]&amp;""")"</f>
        <v>launch("Coral Sea I Charlie", 1951, 11, 2, CoralSeaI, paren("35 SRP"), SO, 0, "Successful mission setting a new altitude record of 650km and completing a Sounding Rocket (Easy) contract.")</v>
      </c>
    </row>
    <row r="11" spans="1:17" x14ac:dyDescent="0.25">
      <c r="A11" t="s">
        <v>44</v>
      </c>
      <c r="B11" s="2">
        <v>1951</v>
      </c>
      <c r="C11" s="2">
        <v>11</v>
      </c>
      <c r="D11" s="2">
        <v>8</v>
      </c>
      <c r="E11" t="s">
        <v>16</v>
      </c>
      <c r="F11" t="s">
        <v>45</v>
      </c>
      <c r="G11" s="2" t="s">
        <v>17</v>
      </c>
      <c r="H11" s="2">
        <v>0</v>
      </c>
      <c r="I11" t="s">
        <v>50</v>
      </c>
      <c r="K11" s="3">
        <v>617</v>
      </c>
      <c r="L11" s="3">
        <v>886</v>
      </c>
      <c r="M11" s="3">
        <f>123*5</f>
        <v>615</v>
      </c>
      <c r="N11" s="3">
        <f>13800-9370+13800</f>
        <v>18230</v>
      </c>
      <c r="O11" s="3">
        <f t="shared" si="0"/>
        <v>16112</v>
      </c>
      <c r="P11" s="1">
        <f t="shared" si="1"/>
        <v>7.6071765816808306</v>
      </c>
      <c r="Q11" s="3" t="str">
        <f>"launch("""&amp;Table1[[#This Row],[Name]]&amp;""", "&amp;Table1[[#This Row],[Year]]&amp;", "&amp;Table1[[#This Row],[Month]]&amp;", "&amp;Table1[[#This Row],[Day]]&amp;", "&amp;Table1[[#This Row],[LV]]&amp;", "&amp;Table1[[#This Row],[Payload]]&amp;", "&amp;Table1[[#This Row],[Dest]]&amp;", "&amp;Table1[[#This Row],[Result]]&amp;", """&amp;Table1[[#This Row],[Comments]]&amp;""")"</f>
        <v>launch("Hope VI", 1951, 11, 8, WakeIslandII, Payload("Hope Cockpit", "Mission to Reach Space", "Jebediah Kerman &amp; Bill Kerman"), SO, 0, "Successful mission, but our astronauts experienced a very difficult reentry and both wound up losing conciousness.")</v>
      </c>
    </row>
    <row r="12" spans="1:17" x14ac:dyDescent="0.25">
      <c r="A12" t="s">
        <v>48</v>
      </c>
      <c r="B12" s="2">
        <v>1951</v>
      </c>
      <c r="C12" s="2">
        <v>11</v>
      </c>
      <c r="D12" s="2">
        <v>14</v>
      </c>
      <c r="E12" t="s">
        <v>16</v>
      </c>
      <c r="F12" t="s">
        <v>49</v>
      </c>
      <c r="G12" s="2" t="s">
        <v>17</v>
      </c>
      <c r="H12" s="2">
        <v>0</v>
      </c>
      <c r="I12" t="s">
        <v>24</v>
      </c>
      <c r="K12" s="3">
        <v>407</v>
      </c>
      <c r="L12" s="3">
        <v>778</v>
      </c>
      <c r="M12" s="3">
        <v>435</v>
      </c>
      <c r="N12" s="3">
        <f>2587+4987</f>
        <v>7574</v>
      </c>
      <c r="O12" s="3">
        <f t="shared" si="0"/>
        <v>5954</v>
      </c>
      <c r="P12" s="1">
        <f t="shared" si="1"/>
        <v>3.6753086419753087</v>
      </c>
      <c r="Q12" s="3" t="str">
        <f>"launch("""&amp;Table1[[#This Row],[Name]]&amp;""", "&amp;Table1[[#This Row],[Year]]&amp;", "&amp;Table1[[#This Row],[Month]]&amp;", "&amp;Table1[[#This Row],[Day]]&amp;", "&amp;Table1[[#This Row],[LV]]&amp;", "&amp;Table1[[#This Row],[Payload]]&amp;", "&amp;Table1[[#This Row],[Dest]]&amp;", "&amp;Table1[[#This Row],[Result]]&amp;", """&amp;Table1[[#This Row],[Comments]]&amp;""")"</f>
        <v>launch("Wake Island II India", 1951, 11, 14, WakeIslandII, paren("756 SRP"), SO, 0, "Successful mission completing the Sounding Rocket (Difficult) contract.")</v>
      </c>
    </row>
    <row r="13" spans="1:17" x14ac:dyDescent="0.25">
      <c r="A13" t="s">
        <v>47</v>
      </c>
      <c r="B13" s="2">
        <v>1951</v>
      </c>
      <c r="C13" s="2">
        <v>11</v>
      </c>
      <c r="D13" s="2">
        <v>23</v>
      </c>
      <c r="E13" t="s">
        <v>27</v>
      </c>
      <c r="F13" t="s">
        <v>51</v>
      </c>
      <c r="G13" s="2" t="s">
        <v>17</v>
      </c>
      <c r="H13" s="2">
        <v>0</v>
      </c>
      <c r="I13" t="s">
        <v>52</v>
      </c>
      <c r="K13" s="3">
        <v>760</v>
      </c>
      <c r="L13" s="3">
        <f>764+203</f>
        <v>967</v>
      </c>
      <c r="M13" s="3">
        <v>760</v>
      </c>
      <c r="N13" s="3">
        <f>2383+2784+4783+8880+5184+4800</f>
        <v>28814</v>
      </c>
      <c r="O13" s="3">
        <f t="shared" si="0"/>
        <v>26327</v>
      </c>
      <c r="P13" s="1">
        <f t="shared" si="1"/>
        <v>10.585846401286691</v>
      </c>
      <c r="Q13" s="3" t="str">
        <f>"launch("""&amp;Table1[[#This Row],[Name]]&amp;""", "&amp;Table1[[#This Row],[Year]]&amp;", "&amp;Table1[[#This Row],[Month]]&amp;", "&amp;Table1[[#This Row],[Day]]&amp;", "&amp;Table1[[#This Row],[LV]]&amp;", "&amp;Table1[[#This Row],[Payload]]&amp;", "&amp;Table1[[#This Row],[Dest]]&amp;", "&amp;Table1[[#This Row],[Result]]&amp;", """&amp;Table1[[#This Row],[Comments]]&amp;""")"</f>
        <v>launch("Coral Sea I Delta", 1951, 11, 23, CoralSeaI, paren("92 SRP"), SO, 0, "Successful mission completing the Sounding Rocket (Difficult) contract and setting a new Altitude record at 728km.")</v>
      </c>
    </row>
    <row r="14" spans="1:17" x14ac:dyDescent="0.25">
      <c r="A14" t="s">
        <v>53</v>
      </c>
      <c r="B14" s="2">
        <v>1951</v>
      </c>
      <c r="C14" s="2">
        <v>12</v>
      </c>
      <c r="D14" s="2">
        <v>2</v>
      </c>
      <c r="E14" t="s">
        <v>27</v>
      </c>
      <c r="F14" t="s">
        <v>57</v>
      </c>
      <c r="G14" s="2" t="s">
        <v>17</v>
      </c>
      <c r="H14" s="2">
        <v>0</v>
      </c>
      <c r="I14" t="s">
        <v>55</v>
      </c>
      <c r="K14" s="3">
        <v>761</v>
      </c>
      <c r="L14" s="3">
        <v>1300</v>
      </c>
      <c r="M14" s="3">
        <v>760</v>
      </c>
      <c r="N14" s="3">
        <f>2691+2575+4975+10080+5091</f>
        <v>25412</v>
      </c>
      <c r="O14" s="3">
        <f t="shared" si="0"/>
        <v>22591</v>
      </c>
      <c r="P14" s="1">
        <f t="shared" si="1"/>
        <v>8.0081531371853956</v>
      </c>
      <c r="Q14" s="3" t="str">
        <f>"launch("""&amp;Table1[[#This Row],[Name]]&amp;""", "&amp;Table1[[#This Row],[Year]]&amp;", "&amp;Table1[[#This Row],[Month]]&amp;", "&amp;Table1[[#This Row],[Day]]&amp;", "&amp;Table1[[#This Row],[LV]]&amp;", "&amp;Table1[[#This Row],[Payload]]&amp;", "&amp;Table1[[#This Row],[Dest]]&amp;", "&amp;Table1[[#This Row],[Result]]&amp;", """&amp;Table1[[#This Row],[Comments]]&amp;""")"</f>
        <v>launch("Coral Sea I Echo", 1951, 12, 2, CoralSeaI, paren("30 SRP"), SO, 0, "Successful mission completing the Sounding Rocket (Difficult) contract and setting a new Altitude record at 811km.")</v>
      </c>
    </row>
    <row r="15" spans="1:17" x14ac:dyDescent="0.25">
      <c r="A15" t="s">
        <v>56</v>
      </c>
      <c r="B15" s="2">
        <v>1951</v>
      </c>
      <c r="C15" s="2">
        <v>12</v>
      </c>
      <c r="D15" s="2">
        <v>9</v>
      </c>
      <c r="E15" t="s">
        <v>27</v>
      </c>
      <c r="F15" t="s">
        <v>54</v>
      </c>
      <c r="G15" s="2" t="s">
        <v>17</v>
      </c>
      <c r="H15" s="2">
        <v>0</v>
      </c>
      <c r="I15" t="s">
        <v>58</v>
      </c>
      <c r="K15" s="3">
        <v>761</v>
      </c>
      <c r="L15" s="3">
        <v>1300</v>
      </c>
      <c r="M15" s="3">
        <v>760</v>
      </c>
      <c r="N15" s="3">
        <f>2926+2959+5359+12480+11280+5326</f>
        <v>40330</v>
      </c>
      <c r="O15" s="3">
        <f t="shared" si="0"/>
        <v>37509</v>
      </c>
      <c r="P15" s="1">
        <f t="shared" si="1"/>
        <v>13.296348812477845</v>
      </c>
      <c r="Q15" s="3" t="str">
        <f>"launch("""&amp;Table1[[#This Row],[Name]]&amp;""", "&amp;Table1[[#This Row],[Year]]&amp;", "&amp;Table1[[#This Row],[Month]]&amp;", "&amp;Table1[[#This Row],[Day]]&amp;", "&amp;Table1[[#This Row],[LV]]&amp;", "&amp;Table1[[#This Row],[Payload]]&amp;", "&amp;Table1[[#This Row],[Dest]]&amp;", "&amp;Table1[[#This Row],[Result]]&amp;", """&amp;Table1[[#This Row],[Comments]]&amp;""")"</f>
        <v>launch("Coral Sea I Foxtrot", 1951, 12, 9, CoralSeaI, paren("26 SRP"), SO, 0, "Successful mission completing the Sounding Rocket (Difficult) contract and setting a new Altitude record at 1051km.")</v>
      </c>
    </row>
    <row r="16" spans="1:17" x14ac:dyDescent="0.25">
      <c r="A16" t="s">
        <v>59</v>
      </c>
      <c r="B16" s="2">
        <v>1951</v>
      </c>
      <c r="C16" s="2">
        <v>12</v>
      </c>
      <c r="D16" s="2">
        <v>13</v>
      </c>
      <c r="E16" t="s">
        <v>16</v>
      </c>
      <c r="F16" t="s">
        <v>49</v>
      </c>
      <c r="G16" s="2" t="s">
        <v>17</v>
      </c>
      <c r="H16" s="2">
        <v>0</v>
      </c>
      <c r="I16" t="s">
        <v>24</v>
      </c>
      <c r="K16" s="3">
        <v>463</v>
      </c>
      <c r="L16" s="3">
        <v>793</v>
      </c>
      <c r="M16" s="3">
        <v>460</v>
      </c>
      <c r="N16" s="3">
        <f>3656+6056</f>
        <v>9712</v>
      </c>
      <c r="O16" s="3">
        <f t="shared" si="0"/>
        <v>7996</v>
      </c>
      <c r="P16" s="1">
        <f t="shared" si="1"/>
        <v>4.6596736596736594</v>
      </c>
      <c r="Q16" s="3" t="str">
        <f>"launch("""&amp;Table1[[#This Row],[Name]]&amp;""", "&amp;Table1[[#This Row],[Year]]&amp;", "&amp;Table1[[#This Row],[Month]]&amp;", "&amp;Table1[[#This Row],[Day]]&amp;", "&amp;Table1[[#This Row],[LV]]&amp;", "&amp;Table1[[#This Row],[Payload]]&amp;", "&amp;Table1[[#This Row],[Dest]]&amp;", "&amp;Table1[[#This Row],[Result]]&amp;", """&amp;Table1[[#This Row],[Comments]]&amp;""")"</f>
        <v>launch("Wake Island II Juliet", 1951, 12, 13, WakeIslandII, paren("756 SRP"), SO, 0, "Successful mission completing the Sounding Rocket (Difficult) contract.")</v>
      </c>
    </row>
    <row r="17" spans="1:17" x14ac:dyDescent="0.25">
      <c r="A17" t="s">
        <v>68</v>
      </c>
      <c r="B17" s="2">
        <v>1952</v>
      </c>
      <c r="C17" s="2">
        <v>1</v>
      </c>
      <c r="D17" s="2">
        <v>6</v>
      </c>
      <c r="E17" t="s">
        <v>62</v>
      </c>
      <c r="F17" t="s">
        <v>65</v>
      </c>
      <c r="G17" s="2" t="s">
        <v>60</v>
      </c>
      <c r="H17" s="2">
        <v>2</v>
      </c>
      <c r="I17" t="s">
        <v>61</v>
      </c>
      <c r="K17" s="3">
        <f>2223+13850+1725+209+5350+666+16174</f>
        <v>40197</v>
      </c>
      <c r="L17" s="3">
        <v>4923</v>
      </c>
      <c r="M17" s="3">
        <v>2225</v>
      </c>
      <c r="N17" s="3">
        <v>0</v>
      </c>
      <c r="O17" s="3">
        <f t="shared" si="0"/>
        <v>-47345</v>
      </c>
      <c r="P17" s="1">
        <f t="shared" si="1"/>
        <v>-1</v>
      </c>
      <c r="Q17" s="3" t="str">
        <f>"launch("""&amp;Table1[[#This Row],[Name]]&amp;""", "&amp;Table1[[#This Row],[Year]]&amp;", "&amp;Table1[[#This Row],[Month]]&amp;", "&amp;Table1[[#This Row],[Day]]&amp;", "&amp;Table1[[#This Row],[LV]]&amp;", "&amp;Table1[[#This Row],[Payload]]&amp;", "&amp;Table1[[#This Row],[Dest]]&amp;", "&amp;Table1[[#This Row],[Result]]&amp;", """&amp;Table1[[#This Row],[Comments]]&amp;""")"</f>
        <v>launch("Midway Yorktown 0-1", 1952, 1, 6, MidwayI, Payload("Yorktown 0-1", "First Orbital Satellite", "Modifed Lightning II Satellite Stage"), LEO, 2, "The second stage Wake Island II engine failed to ignite and range safety terminated the launch over the Pacific.")</v>
      </c>
    </row>
    <row r="18" spans="1:17" x14ac:dyDescent="0.25">
      <c r="A18" t="s">
        <v>69</v>
      </c>
      <c r="B18" s="2">
        <v>1952</v>
      </c>
      <c r="C18" s="2">
        <v>1</v>
      </c>
      <c r="D18" s="2">
        <v>26</v>
      </c>
      <c r="E18" t="s">
        <v>62</v>
      </c>
      <c r="F18" t="s">
        <v>64</v>
      </c>
      <c r="G18" s="2" t="s">
        <v>60</v>
      </c>
      <c r="H18" s="2">
        <v>1</v>
      </c>
      <c r="I18" t="s">
        <v>63</v>
      </c>
      <c r="K18" s="3">
        <v>2225</v>
      </c>
      <c r="L18" s="3">
        <v>4923</v>
      </c>
      <c r="M18" s="3">
        <v>2225</v>
      </c>
      <c r="N18" s="3">
        <f>3228+0</f>
        <v>3228</v>
      </c>
      <c r="O18" s="3">
        <f t="shared" si="0"/>
        <v>-6145</v>
      </c>
      <c r="P18" s="1">
        <f t="shared" si="1"/>
        <v>-0.65560652939293718</v>
      </c>
      <c r="Q18" s="3" t="str">
        <f>"launch("""&amp;Table1[[#This Row],[Name]]&amp;""", "&amp;Table1[[#This Row],[Year]]&amp;", "&amp;Table1[[#This Row],[Month]]&amp;", "&amp;Table1[[#This Row],[Day]]&amp;", "&amp;Table1[[#This Row],[LV]]&amp;", "&amp;Table1[[#This Row],[Payload]]&amp;", "&amp;Table1[[#This Row],[Dest]]&amp;", "&amp;Table1[[#This Row],[Result]]&amp;", """&amp;Table1[[#This Row],[Comments]]&amp;""")"</f>
        <v>launch("Midway Yorktown 0-2", 1952, 1, 26, MidwayI, Payload("Yorktown 0-2", "First Orbital Satellite", "Modifed Lightning II Satellite Stage"), LEO, 1, "One of the first stage RD-101 engines shutdown early causing an unrecoverable trajectory that ended in a firey crash into the Pacific")</v>
      </c>
    </row>
    <row r="19" spans="1:17" x14ac:dyDescent="0.25">
      <c r="A19" t="s">
        <v>70</v>
      </c>
      <c r="B19" s="2">
        <v>1952</v>
      </c>
      <c r="C19" s="2">
        <v>2</v>
      </c>
      <c r="D19" s="2">
        <v>16</v>
      </c>
      <c r="E19" t="s">
        <v>62</v>
      </c>
      <c r="F19" t="s">
        <v>66</v>
      </c>
      <c r="G19" s="2" t="s">
        <v>60</v>
      </c>
      <c r="H19" s="2">
        <v>0</v>
      </c>
      <c r="I19" t="s">
        <v>67</v>
      </c>
      <c r="K19" s="3">
        <f>2272+6900</f>
        <v>9172</v>
      </c>
      <c r="L19" s="3">
        <v>4923</v>
      </c>
      <c r="M19" s="3">
        <f>454*5</f>
        <v>2270</v>
      </c>
      <c r="N19" s="3">
        <f>19680+1840+162000+17280+16080+14880+5628+9600+7200</f>
        <v>254188</v>
      </c>
      <c r="O19" s="3">
        <f t="shared" ref="O19:O31" si="2">N19-M19-L19-K19</f>
        <v>237823</v>
      </c>
      <c r="P19" s="1">
        <f t="shared" ref="P19:P31" si="3">O19/SUM(K19:M19)</f>
        <v>14.53241674304919</v>
      </c>
      <c r="Q19" s="3" t="str">
        <f>"launch("""&amp;Table1[[#This Row],[Name]]&amp;""", "&amp;Table1[[#This Row],[Year]]&amp;", "&amp;Table1[[#This Row],[Month]]&amp;", "&amp;Table1[[#This Row],[Day]]&amp;", "&amp;Table1[[#This Row],[LV]]&amp;", "&amp;Table1[[#This Row],[Payload]]&amp;", "&amp;Table1[[#This Row],[Dest]]&amp;", "&amp;Table1[[#This Row],[Result]]&amp;", """&amp;Table1[[#This Row],[Comments]]&amp;""")"</f>
        <v>launch("Midway Yorktown 1", 1952, 2, 16, MidwayI, Payload("Yorktown 1", "First Orbital Satellite", "Modifed Lightning II Satellite Stage"), LEO, 0, "The Yorktown became the MSA's first satellite after entering into a very eccentric orbit on February 16, 1952. With enough battery for 12 orbits, great science data was received.")</v>
      </c>
    </row>
    <row r="20" spans="1:17" x14ac:dyDescent="0.25">
      <c r="A20" t="s">
        <v>73</v>
      </c>
      <c r="B20" s="2">
        <v>1952</v>
      </c>
      <c r="C20" s="2">
        <v>3</v>
      </c>
      <c r="D20" s="2">
        <v>7</v>
      </c>
      <c r="E20" t="s">
        <v>62</v>
      </c>
      <c r="F20" t="s">
        <v>74</v>
      </c>
      <c r="G20" s="2" t="s">
        <v>60</v>
      </c>
      <c r="H20" s="2">
        <v>3</v>
      </c>
      <c r="I20" t="s">
        <v>75</v>
      </c>
      <c r="K20" s="3">
        <v>2270</v>
      </c>
      <c r="L20" s="3">
        <v>4954</v>
      </c>
      <c r="M20" s="3">
        <f>454*5</f>
        <v>2270</v>
      </c>
      <c r="N20" s="3">
        <f>12000+0</f>
        <v>12000</v>
      </c>
      <c r="O20" s="3">
        <f t="shared" si="2"/>
        <v>2506</v>
      </c>
      <c r="P20" s="1">
        <f t="shared" si="3"/>
        <v>0.2639561828523278</v>
      </c>
      <c r="Q20" s="3" t="str">
        <f>"launch("""&amp;Table1[[#This Row],[Name]]&amp;""", "&amp;Table1[[#This Row],[Year]]&amp;", "&amp;Table1[[#This Row],[Month]]&amp;", "&amp;Table1[[#This Row],[Day]]&amp;", "&amp;Table1[[#This Row],[LV]]&amp;", "&amp;Table1[[#This Row],[Payload]]&amp;", "&amp;Table1[[#This Row],[Dest]]&amp;", "&amp;Table1[[#This Row],[Result]]&amp;", """&amp;Table1[[#This Row],[Comments]]&amp;""")"</f>
        <v>launch("Midway Yorktown 0-3", 1952, 3, 7, MidwayI, Payload("Yorktown 0-3", "Polar Orbital Satellite", "Modifed Lightning II Satellite Stage"), LEO, 3, "Poor coding in the launch script caused vapor in the feedlines of the Aerobee engines that failed to light.")</v>
      </c>
    </row>
    <row r="21" spans="1:17" x14ac:dyDescent="0.25">
      <c r="A21" t="s">
        <v>71</v>
      </c>
      <c r="B21" s="2">
        <v>1952</v>
      </c>
      <c r="C21" s="2">
        <v>3</v>
      </c>
      <c r="D21" s="2">
        <v>29</v>
      </c>
      <c r="E21" t="s">
        <v>62</v>
      </c>
      <c r="F21" t="s">
        <v>72</v>
      </c>
      <c r="G21" s="2" t="s">
        <v>60</v>
      </c>
      <c r="H21" s="2">
        <v>-1</v>
      </c>
      <c r="I21" t="s">
        <v>76</v>
      </c>
      <c r="K21" s="3">
        <v>2472</v>
      </c>
      <c r="L21" s="3">
        <v>4954</v>
      </c>
      <c r="M21" s="3">
        <f>454*5</f>
        <v>2270</v>
      </c>
      <c r="N21" s="3">
        <v>0</v>
      </c>
      <c r="O21" s="3">
        <f t="shared" si="2"/>
        <v>-9696</v>
      </c>
      <c r="P21" s="1">
        <f t="shared" si="3"/>
        <v>-1</v>
      </c>
      <c r="Q21" s="3" t="str">
        <f>"launch("""&amp;Table1[[#This Row],[Name]]&amp;""", "&amp;Table1[[#This Row],[Year]]&amp;", "&amp;Table1[[#This Row],[Month]]&amp;", "&amp;Table1[[#This Row],[Day]]&amp;", "&amp;Table1[[#This Row],[LV]]&amp;", "&amp;Table1[[#This Row],[Payload]]&amp;", "&amp;Table1[[#This Row],[Dest]]&amp;", "&amp;Table1[[#This Row],[Result]]&amp;", """&amp;Table1[[#This Row],[Comments]]&amp;""")"</f>
        <v>launch("Midway Yorktown 2", 1952, 3, 29, MidwayI, Payload("Yorktown 2", "Polar Orbital Satellite", "Modifed Lightning II Satellite Stage"), LEO, -1, "The angle of the probe when the final stage was fired was too high off the horizon and we missed orbit with an Ap 2380 km x Pe 135km. However, we made 10 orbits of Earth before burning up and returned a lot of science.")</v>
      </c>
    </row>
    <row r="22" spans="1:17" x14ac:dyDescent="0.25">
      <c r="A22" t="s">
        <v>80</v>
      </c>
      <c r="B22" s="2">
        <v>1952</v>
      </c>
      <c r="C22" s="2">
        <v>4</v>
      </c>
      <c r="D22" s="2">
        <v>14</v>
      </c>
      <c r="E22" t="s">
        <v>62</v>
      </c>
      <c r="F22" t="s">
        <v>78</v>
      </c>
      <c r="G22" s="2" t="s">
        <v>60</v>
      </c>
      <c r="H22" s="2">
        <v>3</v>
      </c>
      <c r="I22" t="s">
        <v>79</v>
      </c>
      <c r="K22" s="3">
        <v>2472</v>
      </c>
      <c r="L22" s="3">
        <v>5079</v>
      </c>
      <c r="M22" s="3">
        <f>454*5</f>
        <v>2270</v>
      </c>
      <c r="N22" s="3">
        <v>0</v>
      </c>
      <c r="O22" s="3">
        <f t="shared" si="2"/>
        <v>-9821</v>
      </c>
      <c r="P22" s="1">
        <f t="shared" si="3"/>
        <v>-1</v>
      </c>
      <c r="Q22" s="3" t="str">
        <f>"launch("""&amp;Table1[[#This Row],[Name]]&amp;""", "&amp;Table1[[#This Row],[Year]]&amp;", "&amp;Table1[[#This Row],[Month]]&amp;", "&amp;Table1[[#This Row],[Day]]&amp;", "&amp;Table1[[#This Row],[LV]]&amp;", "&amp;Table1[[#This Row],[Payload]]&amp;", "&amp;Table1[[#This Row],[Dest]]&amp;", "&amp;Table1[[#This Row],[Result]]&amp;", """&amp;Table1[[#This Row],[Comments]]&amp;""")"</f>
        <v>launch("Midway Yorktown 0-4", 1952, 4, 14, MidwayI, Payload("Yorktown 3", "Polar Orbital Satellite", "Modifed Lightning II Satellite Stage"), LEO, 3, "One XASR-1 engine failed in the 3rd stage causing a precession of the craft. The other engines managed to burn for an extended period of time, but the precession caused our inclination to go to 95.36 and we failed the mission.")</v>
      </c>
    </row>
    <row r="23" spans="1:17" x14ac:dyDescent="0.25">
      <c r="A23" t="s">
        <v>77</v>
      </c>
      <c r="B23" s="2">
        <v>1952</v>
      </c>
      <c r="C23" s="2">
        <v>5</v>
      </c>
      <c r="D23" s="2">
        <v>2</v>
      </c>
      <c r="E23" t="s">
        <v>62</v>
      </c>
      <c r="F23" t="s">
        <v>78</v>
      </c>
      <c r="G23" s="2" t="s">
        <v>60</v>
      </c>
      <c r="H23" s="2">
        <v>0</v>
      </c>
      <c r="I23" t="s">
        <v>81</v>
      </c>
      <c r="K23" s="3">
        <v>2472</v>
      </c>
      <c r="L23" s="3">
        <v>5079</v>
      </c>
      <c r="M23" s="3">
        <v>2470</v>
      </c>
      <c r="N23" s="3">
        <v>36000</v>
      </c>
      <c r="O23" s="3">
        <f t="shared" si="2"/>
        <v>25979</v>
      </c>
      <c r="P23" s="1">
        <f t="shared" si="3"/>
        <v>2.5924558427302666</v>
      </c>
      <c r="Q23" s="3" t="str">
        <f>"launch("""&amp;Table1[[#This Row],[Name]]&amp;""", "&amp;Table1[[#This Row],[Year]]&amp;", "&amp;Table1[[#This Row],[Month]]&amp;", "&amp;Table1[[#This Row],[Day]]&amp;", "&amp;Table1[[#This Row],[LV]]&amp;", "&amp;Table1[[#This Row],[Payload]]&amp;", "&amp;Table1[[#This Row],[Dest]]&amp;", "&amp;Table1[[#This Row],[Result]]&amp;", """&amp;Table1[[#This Row],[Comments]]&amp;""")"</f>
        <v>launch("Midway Yorktown 3", 1952, 5, 2, MidwayI, Payload("Yorktown 3", "Polar Orbital Satellite", "Modifed Lightning II Satellite Stage"), LEO, 0, "The fourth polar orbit attempt was finally successful! Despite the success, the Polar Orbiting Satellite was not a financially profitable mission, but the scientific returns were tremendous.")</v>
      </c>
    </row>
    <row r="24" spans="1:17" x14ac:dyDescent="0.25">
      <c r="A24" t="s">
        <v>85</v>
      </c>
      <c r="B24" s="2">
        <v>1952</v>
      </c>
      <c r="C24" s="2">
        <v>5</v>
      </c>
      <c r="D24" s="2">
        <v>5</v>
      </c>
      <c r="E24" t="s">
        <v>82</v>
      </c>
      <c r="F24" t="s">
        <v>83</v>
      </c>
      <c r="G24" s="2" t="s">
        <v>17</v>
      </c>
      <c r="H24" s="2">
        <v>0</v>
      </c>
      <c r="I24" t="s">
        <v>24</v>
      </c>
      <c r="K24" s="3">
        <v>425</v>
      </c>
      <c r="L24" s="3">
        <v>747</v>
      </c>
      <c r="M24" s="3">
        <v>425</v>
      </c>
      <c r="N24" s="3">
        <f>3679+6079</f>
        <v>9758</v>
      </c>
      <c r="O24" s="3">
        <f t="shared" si="2"/>
        <v>8161</v>
      </c>
      <c r="P24" s="1">
        <f t="shared" si="3"/>
        <v>5.1102066374452102</v>
      </c>
      <c r="Q24" s="3" t="str">
        <f>"launch("""&amp;Table1[[#This Row],[Name]]&amp;""", "&amp;Table1[[#This Row],[Year]]&amp;", "&amp;Table1[[#This Row],[Month]]&amp;", "&amp;Table1[[#This Row],[Day]]&amp;", "&amp;Table1[[#This Row],[LV]]&amp;", "&amp;Table1[[#This Row],[Payload]]&amp;", "&amp;Table1[[#This Row],[Dest]]&amp;", "&amp;Table1[[#This Row],[Result]]&amp;", """&amp;Table1[[#This Row],[Comments]]&amp;""")"</f>
        <v>launch("Wake Island III Alpha", 1952, 5, 5, WakeIslandIII, paren("310 SRP"), SO, 0, "Successful mission completing the Sounding Rocket (Difficult) contract.")</v>
      </c>
    </row>
    <row r="25" spans="1:17" x14ac:dyDescent="0.25">
      <c r="A25" t="s">
        <v>86</v>
      </c>
      <c r="B25" s="2">
        <v>1952</v>
      </c>
      <c r="C25" s="2">
        <v>5</v>
      </c>
      <c r="D25" s="2">
        <v>8</v>
      </c>
      <c r="E25" t="s">
        <v>82</v>
      </c>
      <c r="F25" t="s">
        <v>84</v>
      </c>
      <c r="G25" s="2" t="s">
        <v>34</v>
      </c>
      <c r="H25" s="2">
        <v>0</v>
      </c>
      <c r="I25" t="s">
        <v>24</v>
      </c>
      <c r="K25" s="3">
        <v>423</v>
      </c>
      <c r="L25" s="3">
        <v>790</v>
      </c>
      <c r="M25" s="3">
        <v>500</v>
      </c>
      <c r="N25" s="3">
        <f>4333+6733</f>
        <v>11066</v>
      </c>
      <c r="O25" s="3">
        <f t="shared" si="2"/>
        <v>9353</v>
      </c>
      <c r="P25" s="1">
        <f t="shared" si="3"/>
        <v>5.4600116754232344</v>
      </c>
      <c r="Q25" s="3" t="str">
        <f>"launch("""&amp;Table1[[#This Row],[Name]]&amp;""", "&amp;Table1[[#This Row],[Year]]&amp;", "&amp;Table1[[#This Row],[Month]]&amp;", "&amp;Table1[[#This Row],[Day]]&amp;", "&amp;Table1[[#This Row],[LV]]&amp;", "&amp;Table1[[#This Row],[Payload]]&amp;", "&amp;Table1[[#This Row],[Dest]]&amp;", "&amp;Table1[[#This Row],[Result]]&amp;", """&amp;Table1[[#This Row],[Comments]]&amp;""")"</f>
        <v>launch("Wake Island III Bravo", 1952, 5, 8, WakeIslandIII, paren("1868 SRP"), EA, 0, "Successful mission completing the Sounding Rocket (Difficult) contract.")</v>
      </c>
    </row>
    <row r="26" spans="1:17" x14ac:dyDescent="0.25">
      <c r="A26" t="s">
        <v>89</v>
      </c>
      <c r="B26" s="2">
        <v>1952</v>
      </c>
      <c r="C26" s="2">
        <v>5</v>
      </c>
      <c r="D26" s="2">
        <v>11</v>
      </c>
      <c r="E26" t="s">
        <v>82</v>
      </c>
      <c r="F26" t="s">
        <v>87</v>
      </c>
      <c r="G26" s="2" t="s">
        <v>34</v>
      </c>
      <c r="H26" s="2">
        <v>0</v>
      </c>
      <c r="I26" t="s">
        <v>24</v>
      </c>
      <c r="K26" s="3">
        <v>499</v>
      </c>
      <c r="L26" s="3">
        <v>794</v>
      </c>
      <c r="M26" s="3">
        <v>505</v>
      </c>
      <c r="N26" s="3">
        <f>4916+7316</f>
        <v>12232</v>
      </c>
      <c r="O26" s="3">
        <f t="shared" si="2"/>
        <v>10434</v>
      </c>
      <c r="P26" s="1">
        <f t="shared" si="3"/>
        <v>5.8031145717463852</v>
      </c>
      <c r="Q26" s="3" t="str">
        <f>"launch("""&amp;Table1[[#This Row],[Name]]&amp;""", "&amp;Table1[[#This Row],[Year]]&amp;", "&amp;Table1[[#This Row],[Month]]&amp;", "&amp;Table1[[#This Row],[Day]]&amp;", "&amp;Table1[[#This Row],[LV]]&amp;", "&amp;Table1[[#This Row],[Payload]]&amp;", "&amp;Table1[[#This Row],[Dest]]&amp;", "&amp;Table1[[#This Row],[Result]]&amp;", """&amp;Table1[[#This Row],[Comments]]&amp;""")"</f>
        <v>launch("Wake Island III Charlie", 1952, 5, 11, WakeIslandIII, paren("2000 SRP"), EA, 0, "Successful mission completing the Sounding Rocket (Difficult) contract.")</v>
      </c>
    </row>
    <row r="27" spans="1:17" x14ac:dyDescent="0.25">
      <c r="A27" t="s">
        <v>90</v>
      </c>
      <c r="B27" s="2">
        <v>1952</v>
      </c>
      <c r="C27" s="2">
        <v>5</v>
      </c>
      <c r="D27" s="2">
        <v>15</v>
      </c>
      <c r="E27" t="s">
        <v>82</v>
      </c>
      <c r="F27" t="s">
        <v>88</v>
      </c>
      <c r="G27" s="2" t="s">
        <v>17</v>
      </c>
      <c r="H27" s="2">
        <v>1</v>
      </c>
      <c r="I27" t="s">
        <v>91</v>
      </c>
      <c r="K27" s="3">
        <v>453</v>
      </c>
      <c r="L27" s="3">
        <v>764</v>
      </c>
      <c r="M27" s="3">
        <v>455</v>
      </c>
      <c r="N27" s="3">
        <f>5353+0</f>
        <v>5353</v>
      </c>
      <c r="O27" s="3">
        <f t="shared" si="2"/>
        <v>3681</v>
      </c>
      <c r="P27" s="1">
        <f t="shared" si="3"/>
        <v>2.2015550239234449</v>
      </c>
      <c r="Q27" s="3" t="str">
        <f>"launch("""&amp;Table1[[#This Row],[Name]]&amp;""", "&amp;Table1[[#This Row],[Year]]&amp;", "&amp;Table1[[#This Row],[Month]]&amp;", "&amp;Table1[[#This Row],[Day]]&amp;", "&amp;Table1[[#This Row],[LV]]&amp;", "&amp;Table1[[#This Row],[Payload]]&amp;", "&amp;Table1[[#This Row],[Dest]]&amp;", "&amp;Table1[[#This Row],[Result]]&amp;", """&amp;Table1[[#This Row],[Comments]]&amp;""")"</f>
        <v>launch("Wake Island III Delta", 1952, 5, 15, WakeIslandIII, paren("954 SRP"), SO, 1, "RD-101 Engine Failure")</v>
      </c>
    </row>
    <row r="28" spans="1:17" x14ac:dyDescent="0.25">
      <c r="A28" t="s">
        <v>92</v>
      </c>
      <c r="B28" s="2">
        <v>1952</v>
      </c>
      <c r="C28" s="2">
        <v>5</v>
      </c>
      <c r="D28" s="2">
        <v>17</v>
      </c>
      <c r="E28" t="s">
        <v>82</v>
      </c>
      <c r="F28" t="s">
        <v>88</v>
      </c>
      <c r="G28" s="2" t="s">
        <v>17</v>
      </c>
      <c r="H28" s="2">
        <v>0</v>
      </c>
      <c r="I28" t="s">
        <v>24</v>
      </c>
      <c r="K28" s="3">
        <v>453</v>
      </c>
      <c r="L28" s="3">
        <v>764</v>
      </c>
      <c r="M28" s="3">
        <f>91*5</f>
        <v>455</v>
      </c>
      <c r="N28" s="3">
        <v>7753</v>
      </c>
      <c r="O28" s="3">
        <f t="shared" si="2"/>
        <v>6081</v>
      </c>
      <c r="P28" s="1">
        <f t="shared" si="3"/>
        <v>3.6369617224880382</v>
      </c>
      <c r="Q28" s="3" t="str">
        <f>"launch("""&amp;Table1[[#This Row],[Name]]&amp;""", "&amp;Table1[[#This Row],[Year]]&amp;", "&amp;Table1[[#This Row],[Month]]&amp;", "&amp;Table1[[#This Row],[Day]]&amp;", "&amp;Table1[[#This Row],[LV]]&amp;", "&amp;Table1[[#This Row],[Payload]]&amp;", "&amp;Table1[[#This Row],[Dest]]&amp;", "&amp;Table1[[#This Row],[Result]]&amp;", """&amp;Table1[[#This Row],[Comments]]&amp;""")"</f>
        <v>launch("Wake Island III Echo", 1952, 5, 17, WakeIslandIII, paren("954 SRP"), SO, 0, "Successful mission completing the Sounding Rocket (Difficult) contract.")</v>
      </c>
    </row>
    <row r="29" spans="1:17" x14ac:dyDescent="0.25">
      <c r="A29" t="s">
        <v>93</v>
      </c>
      <c r="B29" s="2">
        <v>1952</v>
      </c>
      <c r="C29" s="2">
        <v>5</v>
      </c>
      <c r="D29" s="2">
        <v>21</v>
      </c>
      <c r="E29" t="s">
        <v>82</v>
      </c>
      <c r="F29" t="s">
        <v>94</v>
      </c>
      <c r="G29" s="2" t="s">
        <v>17</v>
      </c>
      <c r="H29" s="2">
        <v>0</v>
      </c>
      <c r="I29" t="s">
        <v>24</v>
      </c>
      <c r="K29" s="3">
        <v>505</v>
      </c>
      <c r="L29" s="3">
        <v>794</v>
      </c>
      <c r="M29" s="3">
        <v>505</v>
      </c>
      <c r="N29" s="3">
        <f>5992+8392</f>
        <v>14384</v>
      </c>
      <c r="O29" s="3">
        <f t="shared" si="2"/>
        <v>12580</v>
      </c>
      <c r="P29" s="1">
        <f t="shared" si="3"/>
        <v>6.9733924611973395</v>
      </c>
      <c r="Q29" s="3" t="str">
        <f>"launch("""&amp;Table1[[#This Row],[Name]]&amp;""", "&amp;Table1[[#This Row],[Year]]&amp;", "&amp;Table1[[#This Row],[Month]]&amp;", "&amp;Table1[[#This Row],[Day]]&amp;", "&amp;Table1[[#This Row],[LV]]&amp;", "&amp;Table1[[#This Row],[Payload]]&amp;", "&amp;Table1[[#This Row],[Dest]]&amp;", "&amp;Table1[[#This Row],[Result]]&amp;", """&amp;Table1[[#This Row],[Comments]]&amp;""")"</f>
        <v>launch("Wake Island III Foxtrot", 1952, 5, 21, WakeIslandIII, paren("1984 SRP"), SO, 0, "Successful mission completing the Sounding Rocket (Difficult) contract.")</v>
      </c>
    </row>
    <row r="30" spans="1:17" x14ac:dyDescent="0.25">
      <c r="A30" t="s">
        <v>96</v>
      </c>
      <c r="B30" s="2">
        <v>1952</v>
      </c>
      <c r="C30" s="2">
        <v>5</v>
      </c>
      <c r="D30" s="2">
        <v>24</v>
      </c>
      <c r="E30" t="s">
        <v>82</v>
      </c>
      <c r="F30" t="s">
        <v>95</v>
      </c>
      <c r="G30" s="2" t="s">
        <v>17</v>
      </c>
      <c r="H30" s="2">
        <v>0</v>
      </c>
      <c r="I30" t="s">
        <v>24</v>
      </c>
      <c r="K30" s="3">
        <v>505</v>
      </c>
      <c r="L30" s="3">
        <v>794</v>
      </c>
      <c r="M30" s="3">
        <v>505</v>
      </c>
      <c r="N30" s="3">
        <f>7011+9411</f>
        <v>16422</v>
      </c>
      <c r="O30" s="3">
        <f t="shared" si="2"/>
        <v>14618</v>
      </c>
      <c r="P30" s="1">
        <f t="shared" si="3"/>
        <v>8.1031042128603108</v>
      </c>
      <c r="Q30" s="3" t="str">
        <f>"launch("""&amp;Table1[[#This Row],[Name]]&amp;""", "&amp;Table1[[#This Row],[Year]]&amp;", "&amp;Table1[[#This Row],[Month]]&amp;", "&amp;Table1[[#This Row],[Day]]&amp;", "&amp;Table1[[#This Row],[LV]]&amp;", "&amp;Table1[[#This Row],[Payload]]&amp;", "&amp;Table1[[#This Row],[Dest]]&amp;", "&amp;Table1[[#This Row],[Result]]&amp;", """&amp;Table1[[#This Row],[Comments]]&amp;""")"</f>
        <v>launch("Wake Island III Golf", 1952, 5, 24, WakeIslandIII, paren("944 SRP"), SO, 0, "Successful mission completing the Sounding Rocket (Difficult) contract.")</v>
      </c>
    </row>
    <row r="31" spans="1:17" x14ac:dyDescent="0.25">
      <c r="A31" t="s">
        <v>97</v>
      </c>
      <c r="B31" s="2">
        <v>1952</v>
      </c>
      <c r="C31" s="2">
        <v>5</v>
      </c>
      <c r="D31" s="2">
        <v>30</v>
      </c>
      <c r="E31" t="s">
        <v>82</v>
      </c>
      <c r="F31" t="s">
        <v>98</v>
      </c>
      <c r="G31" s="2" t="s">
        <v>17</v>
      </c>
      <c r="H31" s="2">
        <v>0</v>
      </c>
      <c r="I31" t="s">
        <v>24</v>
      </c>
      <c r="K31" s="3">
        <v>450</v>
      </c>
      <c r="L31" s="3">
        <v>764</v>
      </c>
      <c r="M31" s="3">
        <f>90*5</f>
        <v>450</v>
      </c>
      <c r="N31" s="3">
        <f>8259+10659</f>
        <v>18918</v>
      </c>
      <c r="O31" s="3">
        <f t="shared" si="2"/>
        <v>17254</v>
      </c>
      <c r="P31" s="1">
        <f t="shared" si="3"/>
        <v>10.368990384615385</v>
      </c>
      <c r="Q31" s="3" t="str">
        <f>"launch("""&amp;Table1[[#This Row],[Name]]&amp;""", "&amp;Table1[[#This Row],[Year]]&amp;", "&amp;Table1[[#This Row],[Month]]&amp;", "&amp;Table1[[#This Row],[Day]]&amp;", "&amp;Table1[[#This Row],[LV]]&amp;", "&amp;Table1[[#This Row],[Payload]]&amp;", "&amp;Table1[[#This Row],[Dest]]&amp;", "&amp;Table1[[#This Row],[Result]]&amp;", """&amp;Table1[[#This Row],[Comments]]&amp;""")"</f>
        <v>launch("Wake Island III Hotel", 1952, 5, 30, WakeIslandIII, paren("938 SRP"), SO, 0, "Successful mission completing the Sounding Rocket (Difficult) contract.")</v>
      </c>
    </row>
    <row r="32" spans="1:17" x14ac:dyDescent="0.25">
      <c r="A32" t="s">
        <v>100</v>
      </c>
      <c r="B32" s="2">
        <v>1952</v>
      </c>
      <c r="C32" s="2">
        <v>6</v>
      </c>
      <c r="D32" s="2">
        <v>2</v>
      </c>
      <c r="E32" t="s">
        <v>82</v>
      </c>
      <c r="F32" t="s">
        <v>99</v>
      </c>
      <c r="G32" s="2" t="s">
        <v>17</v>
      </c>
      <c r="H32" s="2">
        <v>0</v>
      </c>
      <c r="I32" t="s">
        <v>24</v>
      </c>
      <c r="K32" s="3">
        <v>452</v>
      </c>
      <c r="L32" s="3">
        <v>764</v>
      </c>
      <c r="M32" s="3">
        <v>455</v>
      </c>
      <c r="N32" s="3">
        <f>9951+12351</f>
        <v>22302</v>
      </c>
      <c r="O32" s="3">
        <f t="shared" ref="O32" si="4">N32-M32-L32-K32</f>
        <v>20631</v>
      </c>
      <c r="P32" s="1">
        <f t="shared" ref="P32" si="5">O32/SUM(K32:M32)</f>
        <v>12.346499102333931</v>
      </c>
      <c r="Q32" s="3" t="str">
        <f>"launch("""&amp;Table1[[#This Row],[Name]]&amp;""", "&amp;Table1[[#This Row],[Year]]&amp;", "&amp;Table1[[#This Row],[Month]]&amp;", "&amp;Table1[[#This Row],[Day]]&amp;", "&amp;Table1[[#This Row],[LV]]&amp;", "&amp;Table1[[#This Row],[Payload]]&amp;", "&amp;Table1[[#This Row],[Dest]]&amp;", "&amp;Table1[[#This Row],[Result]]&amp;", """&amp;Table1[[#This Row],[Comments]]&amp;""")"</f>
        <v>launch("Wake Island III India", 1952, 6, 2, WakeIslandIII, paren("948 SRP to 550km"), SO, 0, "Successful mission completing the Sounding Rocket (Difficult) contract.")</v>
      </c>
    </row>
    <row r="33" spans="1:17" x14ac:dyDescent="0.25">
      <c r="A33" t="s">
        <v>101</v>
      </c>
      <c r="B33" s="2">
        <v>1952</v>
      </c>
      <c r="C33" s="2">
        <v>6</v>
      </c>
      <c r="D33" s="2">
        <v>4</v>
      </c>
      <c r="E33" t="s">
        <v>82</v>
      </c>
      <c r="F33" t="s">
        <v>102</v>
      </c>
      <c r="G33" s="2" t="s">
        <v>17</v>
      </c>
      <c r="H33" s="2">
        <v>-1</v>
      </c>
      <c r="I33" t="s">
        <v>103</v>
      </c>
      <c r="K33" s="3">
        <v>452</v>
      </c>
      <c r="L33" s="3">
        <v>765</v>
      </c>
      <c r="M33" s="3">
        <v>455</v>
      </c>
      <c r="N33" s="3">
        <v>0</v>
      </c>
      <c r="O33" s="3">
        <f t="shared" ref="O33" si="6">N33-M33-L33-K33</f>
        <v>-1672</v>
      </c>
      <c r="P33" s="1">
        <f t="shared" ref="P33" si="7">O33/SUM(K33:M33)</f>
        <v>-1</v>
      </c>
      <c r="Q33" s="3" t="str">
        <f>"launch("""&amp;Table1[[#This Row],[Name]]&amp;""", "&amp;Table1[[#This Row],[Year]]&amp;", "&amp;Table1[[#This Row],[Month]]&amp;", "&amp;Table1[[#This Row],[Day]]&amp;", "&amp;Table1[[#This Row],[LV]]&amp;", "&amp;Table1[[#This Row],[Payload]]&amp;", "&amp;Table1[[#This Row],[Dest]]&amp;", "&amp;Table1[[#This Row],[Result]]&amp;", """&amp;Table1[[#This Row],[Comments]]&amp;""")"</f>
        <v>launch("Wake Island III Juliet", 1952, 6, 4, WakeIslandIII, paren("940 SRP to 660km"), SO, -1, "Did not have enough Delta-v and only reached 630km")</v>
      </c>
    </row>
    <row r="34" spans="1:17" x14ac:dyDescent="0.25">
      <c r="A34" t="s">
        <v>104</v>
      </c>
      <c r="B34" s="2">
        <v>1952</v>
      </c>
      <c r="C34" s="2">
        <v>6</v>
      </c>
      <c r="D34" s="2">
        <v>8</v>
      </c>
      <c r="E34" t="s">
        <v>186</v>
      </c>
      <c r="F34" t="s">
        <v>102</v>
      </c>
      <c r="G34" s="2" t="s">
        <v>17</v>
      </c>
      <c r="H34" s="2">
        <v>1</v>
      </c>
      <c r="I34" t="s">
        <v>105</v>
      </c>
      <c r="K34" s="3">
        <f>501+15000</f>
        <v>15501</v>
      </c>
      <c r="L34" s="3">
        <v>868</v>
      </c>
      <c r="M34" s="3">
        <v>500</v>
      </c>
      <c r="N34" s="3">
        <v>0</v>
      </c>
      <c r="O34" s="3">
        <f t="shared" ref="O34" si="8">N34-M34-L34-K34</f>
        <v>-16869</v>
      </c>
      <c r="P34" s="1">
        <f t="shared" ref="P34" si="9">O34/SUM(K34:M34)</f>
        <v>-1</v>
      </c>
      <c r="Q34" s="3" t="str">
        <f>"launch("""&amp;Table1[[#This Row],[Name]]&amp;""", "&amp;Table1[[#This Row],[Year]]&amp;", "&amp;Table1[[#This Row],[Month]]&amp;", "&amp;Table1[[#This Row],[Day]]&amp;", "&amp;Table1[[#This Row],[LV]]&amp;", "&amp;Table1[[#This Row],[Payload]]&amp;", "&amp;Table1[[#This Row],[Dest]]&amp;", "&amp;Table1[[#This Row],[Result]]&amp;", """&amp;Table1[[#This Row],[Comments]]&amp;""")"</f>
        <v>launch("Wake Island IV Alpha", 1952, 6, 8, WakeIslandIV, paren("940 SRP to 660km"), SO, 1, "RD-102 Engine Failure")</v>
      </c>
    </row>
    <row r="35" spans="1:17" x14ac:dyDescent="0.25">
      <c r="A35" t="s">
        <v>106</v>
      </c>
      <c r="B35" s="2">
        <v>1952</v>
      </c>
      <c r="C35" s="2">
        <v>6</v>
      </c>
      <c r="D35" s="2">
        <v>11</v>
      </c>
      <c r="E35" t="s">
        <v>186</v>
      </c>
      <c r="F35" t="s">
        <v>102</v>
      </c>
      <c r="G35" s="2" t="s">
        <v>17</v>
      </c>
      <c r="H35" s="2">
        <v>-1</v>
      </c>
      <c r="I35" t="s">
        <v>107</v>
      </c>
      <c r="K35" s="3">
        <v>501</v>
      </c>
      <c r="L35" s="3">
        <v>868</v>
      </c>
      <c r="M35" s="3">
        <v>500</v>
      </c>
      <c r="N35" s="3">
        <v>0</v>
      </c>
      <c r="O35" s="3">
        <f t="shared" ref="O35" si="10">N35-M35-L35-K35</f>
        <v>-1869</v>
      </c>
      <c r="P35" s="1">
        <f t="shared" ref="P35" si="11">O35/SUM(K35:M35)</f>
        <v>-1</v>
      </c>
      <c r="Q35" s="3" t="str">
        <f>"launch("""&amp;Table1[[#This Row],[Name]]&amp;""", "&amp;Table1[[#This Row],[Year]]&amp;", "&amp;Table1[[#This Row],[Month]]&amp;", "&amp;Table1[[#This Row],[Day]]&amp;", "&amp;Table1[[#This Row],[LV]]&amp;", "&amp;Table1[[#This Row],[Payload]]&amp;", "&amp;Table1[[#This Row],[Dest]]&amp;", "&amp;Table1[[#This Row],[Result]]&amp;", """&amp;Table1[[#This Row],[Comments]]&amp;""")"</f>
        <v>launch("Wake Island IV Bravo", 1952, 6, 11, WakeIslandIV, paren("940 SRP to 660km"), SO, -1, "Did not have enough Delta-v and only reached 650km")</v>
      </c>
    </row>
    <row r="36" spans="1:17" x14ac:dyDescent="0.25">
      <c r="A36" t="s">
        <v>108</v>
      </c>
      <c r="B36" s="2">
        <v>1952</v>
      </c>
      <c r="C36" s="2">
        <v>6</v>
      </c>
      <c r="D36" s="2">
        <v>14</v>
      </c>
      <c r="E36" t="s">
        <v>186</v>
      </c>
      <c r="F36" t="s">
        <v>109</v>
      </c>
      <c r="G36" s="2" t="s">
        <v>17</v>
      </c>
      <c r="H36" s="2">
        <v>0</v>
      </c>
      <c r="I36" t="s">
        <v>110</v>
      </c>
      <c r="K36" s="3">
        <v>501</v>
      </c>
      <c r="L36" s="3">
        <v>868</v>
      </c>
      <c r="M36" s="3">
        <v>500</v>
      </c>
      <c r="N36" s="3">
        <f>7711+9151</f>
        <v>16862</v>
      </c>
      <c r="O36" s="3">
        <f t="shared" ref="O36" si="12">N36-M36-L36-K36</f>
        <v>14993</v>
      </c>
      <c r="P36" s="1">
        <f t="shared" ref="P36" si="13">O36/SUM(K36:M36)</f>
        <v>8.0219368646334939</v>
      </c>
      <c r="Q36" s="3" t="str">
        <f>"launch("""&amp;Table1[[#This Row],[Name]]&amp;""", "&amp;Table1[[#This Row],[Year]]&amp;", "&amp;Table1[[#This Row],[Month]]&amp;", "&amp;Table1[[#This Row],[Day]]&amp;", "&amp;Table1[[#This Row],[LV]]&amp;", "&amp;Table1[[#This Row],[Payload]]&amp;", "&amp;Table1[[#This Row],[Dest]]&amp;", "&amp;Table1[[#This Row],[Result]]&amp;", """&amp;Table1[[#This Row],[Comments]]&amp;""")"</f>
        <v>launch("Wake Island IV Charlie", 1952, 6, 14, WakeIslandIV, paren("940 SRP to 430km"), SO, 0, "Successful mission completing the Sounding Rocket (Intermediate) contract.")</v>
      </c>
    </row>
    <row r="37" spans="1:17" x14ac:dyDescent="0.25">
      <c r="A37" t="s">
        <v>111</v>
      </c>
      <c r="B37" s="2">
        <v>1952</v>
      </c>
      <c r="C37" s="2">
        <v>6</v>
      </c>
      <c r="D37" s="2">
        <v>17</v>
      </c>
      <c r="E37" t="s">
        <v>186</v>
      </c>
      <c r="F37" t="s">
        <v>112</v>
      </c>
      <c r="G37" s="2" t="s">
        <v>17</v>
      </c>
      <c r="H37" s="2">
        <v>0</v>
      </c>
      <c r="I37" t="s">
        <v>24</v>
      </c>
      <c r="K37" s="3">
        <v>552</v>
      </c>
      <c r="L37" s="3">
        <v>897</v>
      </c>
      <c r="M37" s="3">
        <v>555</v>
      </c>
      <c r="N37" s="3">
        <f>12356+14756</f>
        <v>27112</v>
      </c>
      <c r="O37" s="3">
        <f t="shared" ref="O37" si="14">N37-M37-L37-K37</f>
        <v>25108</v>
      </c>
      <c r="P37" s="1">
        <f t="shared" ref="P37" si="15">O37/SUM(K37:M37)</f>
        <v>12.528942115768464</v>
      </c>
      <c r="Q37" s="3" t="str">
        <f>"launch("""&amp;Table1[[#This Row],[Name]]&amp;""", "&amp;Table1[[#This Row],[Year]]&amp;", "&amp;Table1[[#This Row],[Month]]&amp;", "&amp;Table1[[#This Row],[Day]]&amp;", "&amp;Table1[[#This Row],[LV]]&amp;", "&amp;Table1[[#This Row],[Payload]]&amp;", "&amp;Table1[[#This Row],[Dest]]&amp;", "&amp;Table1[[#This Row],[Result]]&amp;", """&amp;Table1[[#This Row],[Comments]]&amp;""")"</f>
        <v>launch("Wake Island IV Delta", 1952, 6, 17, WakeIslandIV, paren("2000 SRP to 340km"), SO, 0, "Successful mission completing the Sounding Rocket (Difficult) contract.")</v>
      </c>
    </row>
    <row r="38" spans="1:17" x14ac:dyDescent="0.25">
      <c r="A38" t="s">
        <v>114</v>
      </c>
      <c r="B38" s="2">
        <v>1952</v>
      </c>
      <c r="C38" s="2">
        <v>6</v>
      </c>
      <c r="D38" s="2">
        <v>24</v>
      </c>
      <c r="E38" t="s">
        <v>186</v>
      </c>
      <c r="F38" t="s">
        <v>113</v>
      </c>
      <c r="G38" s="2" t="s">
        <v>17</v>
      </c>
      <c r="H38" s="2">
        <v>0</v>
      </c>
      <c r="I38" t="s">
        <v>110</v>
      </c>
      <c r="K38" s="3">
        <v>480</v>
      </c>
      <c r="L38" s="3">
        <v>856</v>
      </c>
      <c r="M38" s="3">
        <v>480</v>
      </c>
      <c r="N38" s="3">
        <f>6303+7743</f>
        <v>14046</v>
      </c>
      <c r="O38" s="3">
        <f t="shared" ref="O38" si="16">N38-M38-L38-K38</f>
        <v>12230</v>
      </c>
      <c r="P38" s="1">
        <f t="shared" ref="P38" si="17">O38/SUM(K38:M38)</f>
        <v>6.7345814977973566</v>
      </c>
      <c r="Q38" s="3" t="str">
        <f>"launch("""&amp;Table1[[#This Row],[Name]]&amp;""", "&amp;Table1[[#This Row],[Year]]&amp;", "&amp;Table1[[#This Row],[Month]]&amp;", "&amp;Table1[[#This Row],[Day]]&amp;", "&amp;Table1[[#This Row],[LV]]&amp;", "&amp;Table1[[#This Row],[Payload]]&amp;", "&amp;Table1[[#This Row],[Dest]]&amp;", "&amp;Table1[[#This Row],[Result]]&amp;", """&amp;Table1[[#This Row],[Comments]]&amp;""")"</f>
        <v>launch("Wake Island IV Echo", 1952, 6, 24, WakeIslandIV, paren("592 SRP to 520km"), SO, 0, "Successful mission completing the Sounding Rocket (Intermediate) contract.")</v>
      </c>
    </row>
    <row r="39" spans="1:17" x14ac:dyDescent="0.25">
      <c r="A39" t="s">
        <v>115</v>
      </c>
      <c r="B39" s="2">
        <v>1952</v>
      </c>
      <c r="C39" s="2">
        <v>6</v>
      </c>
      <c r="D39" s="2">
        <v>25</v>
      </c>
      <c r="E39" t="s">
        <v>186</v>
      </c>
      <c r="F39" t="s">
        <v>116</v>
      </c>
      <c r="G39" s="2" t="s">
        <v>17</v>
      </c>
      <c r="H39" s="2">
        <v>0</v>
      </c>
      <c r="I39" t="s">
        <v>24</v>
      </c>
      <c r="K39" s="3">
        <v>550</v>
      </c>
      <c r="L39" s="3">
        <v>897</v>
      </c>
      <c r="M39" s="3">
        <v>480</v>
      </c>
      <c r="N39" s="3">
        <f>14908+17308</f>
        <v>32216</v>
      </c>
      <c r="O39" s="3">
        <f t="shared" ref="O39" si="18">N39-M39-L39-K39</f>
        <v>30289</v>
      </c>
      <c r="P39" s="1">
        <f t="shared" ref="P39" si="19">O39/SUM(K39:M39)</f>
        <v>15.718214841722885</v>
      </c>
      <c r="Q39" s="3" t="str">
        <f>"launch("""&amp;Table1[[#This Row],[Name]]&amp;""", "&amp;Table1[[#This Row],[Year]]&amp;", "&amp;Table1[[#This Row],[Month]]&amp;", "&amp;Table1[[#This Row],[Day]]&amp;", "&amp;Table1[[#This Row],[LV]]&amp;", "&amp;Table1[[#This Row],[Payload]]&amp;", "&amp;Table1[[#This Row],[Dest]]&amp;", "&amp;Table1[[#This Row],[Result]]&amp;", """&amp;Table1[[#This Row],[Comments]]&amp;""")"</f>
        <v>launch("Wake Island IV Foxtrot", 1952, 6, 25, WakeIslandIV, paren("1984 SRP to 420km"), SO, 0, "Successful mission completing the Sounding Rocket (Difficult) contract.")</v>
      </c>
    </row>
    <row r="40" spans="1:17" x14ac:dyDescent="0.25">
      <c r="A40" t="s">
        <v>118</v>
      </c>
      <c r="B40" s="2">
        <v>1952</v>
      </c>
      <c r="C40" s="2">
        <v>6</v>
      </c>
      <c r="D40" s="2">
        <v>28</v>
      </c>
      <c r="E40" t="s">
        <v>186</v>
      </c>
      <c r="F40" t="s">
        <v>117</v>
      </c>
      <c r="G40" s="2" t="s">
        <v>17</v>
      </c>
      <c r="H40" s="2">
        <v>0</v>
      </c>
      <c r="I40" t="s">
        <v>24</v>
      </c>
      <c r="K40" s="3">
        <v>566</v>
      </c>
      <c r="L40" s="3">
        <f>896+905</f>
        <v>1801</v>
      </c>
      <c r="M40" s="3">
        <v>550</v>
      </c>
      <c r="N40" s="3">
        <f>18295+20695</f>
        <v>38990</v>
      </c>
      <c r="O40" s="3">
        <f t="shared" ref="O40" si="20">N40-M40-L40-K40</f>
        <v>36073</v>
      </c>
      <c r="P40" s="1">
        <f t="shared" ref="P40" si="21">O40/SUM(K40:M40)</f>
        <v>12.366472403153926</v>
      </c>
      <c r="Q40" s="3" t="str">
        <f>"launch("""&amp;Table1[[#This Row],[Name]]&amp;""", "&amp;Table1[[#This Row],[Year]]&amp;", "&amp;Table1[[#This Row],[Month]]&amp;", "&amp;Table1[[#This Row],[Day]]&amp;", "&amp;Table1[[#This Row],[LV]]&amp;", "&amp;Table1[[#This Row],[Payload]]&amp;", "&amp;Table1[[#This Row],[Dest]]&amp;", "&amp;Table1[[#This Row],[Result]]&amp;", """&amp;Table1[[#This Row],[Comments]]&amp;""")"</f>
        <v>launch("Wake Island IV Golf", 1952, 6, 28, WakeIslandIV, paren("1994 SRP to 520km"), SO, 0, "Successful mission completing the Sounding Rocket (Difficult) contract.")</v>
      </c>
    </row>
    <row r="41" spans="1:17" x14ac:dyDescent="0.25">
      <c r="A41" t="s">
        <v>120</v>
      </c>
      <c r="B41" s="2">
        <v>1952</v>
      </c>
      <c r="C41" s="2">
        <v>7</v>
      </c>
      <c r="D41" s="2">
        <v>12</v>
      </c>
      <c r="E41" t="s">
        <v>119</v>
      </c>
      <c r="F41" t="s">
        <v>121</v>
      </c>
      <c r="G41" s="2" t="s">
        <v>17</v>
      </c>
      <c r="H41" s="2">
        <v>0</v>
      </c>
      <c r="I41" t="s">
        <v>24</v>
      </c>
      <c r="K41" s="3">
        <v>1685</v>
      </c>
      <c r="L41" s="3">
        <f>3695+3759</f>
        <v>7454</v>
      </c>
      <c r="M41" s="3">
        <f>1415+1520</f>
        <v>2935</v>
      </c>
      <c r="N41" s="3">
        <f>22510+24910</f>
        <v>47420</v>
      </c>
      <c r="O41" s="3">
        <f>N41-M41-L41-K41</f>
        <v>35346</v>
      </c>
      <c r="P41" s="1">
        <f>O41/SUM(K41:M41)</f>
        <v>2.9274474076528079</v>
      </c>
      <c r="Q41" s="3" t="str">
        <f>"launch("""&amp;Table1[[#This Row],[Name]]&amp;""", "&amp;Table1[[#This Row],[Year]]&amp;", "&amp;Table1[[#This Row],[Month]]&amp;", "&amp;Table1[[#This Row],[Day]]&amp;", "&amp;Table1[[#This Row],[LV]]&amp;", "&amp;Table1[[#This Row],[Payload]]&amp;", "&amp;Table1[[#This Row],[Dest]]&amp;", "&amp;Table1[[#This Row],[Result]]&amp;", """&amp;Table1[[#This Row],[Comments]]&amp;""")"</f>
        <v>launch("Midway II Alpha", 1952, 7, 12, MidwayII, paren("2016 SRP to 640km"), SO, 0, "Successful mission completing the Sounding Rocket (Difficult) contract.")</v>
      </c>
    </row>
    <row r="42" spans="1:17" x14ac:dyDescent="0.25">
      <c r="A42" t="s">
        <v>123</v>
      </c>
      <c r="B42" s="2">
        <v>1952</v>
      </c>
      <c r="C42" s="2">
        <v>7</v>
      </c>
      <c r="D42" s="2">
        <v>21</v>
      </c>
      <c r="E42" t="s">
        <v>119</v>
      </c>
      <c r="F42" t="s">
        <v>122</v>
      </c>
      <c r="G42" s="2" t="s">
        <v>17</v>
      </c>
      <c r="H42" s="2">
        <v>0</v>
      </c>
      <c r="I42" t="s">
        <v>24</v>
      </c>
      <c r="K42" s="3">
        <v>1517</v>
      </c>
      <c r="L42" s="3">
        <v>3758</v>
      </c>
      <c r="M42" s="3">
        <f>303*5</f>
        <v>1515</v>
      </c>
      <c r="N42" s="3">
        <f>27745+30145</f>
        <v>57890</v>
      </c>
      <c r="O42" s="3">
        <f>N42-M42-L42-K42</f>
        <v>51100</v>
      </c>
      <c r="P42" s="1">
        <f>O42/SUM(K42:M42)</f>
        <v>7.5257731958762886</v>
      </c>
      <c r="Q42" s="3" t="str">
        <f>"launch("""&amp;Table1[[#This Row],[Name]]&amp;""", "&amp;Table1[[#This Row],[Year]]&amp;", "&amp;Table1[[#This Row],[Month]]&amp;", "&amp;Table1[[#This Row],[Day]]&amp;", "&amp;Table1[[#This Row],[LV]]&amp;", "&amp;Table1[[#This Row],[Payload]]&amp;", "&amp;Table1[[#This Row],[Dest]]&amp;", "&amp;Table1[[#This Row],[Result]]&amp;", """&amp;Table1[[#This Row],[Comments]]&amp;""")"</f>
        <v>launch("Midway II Bravo", 1952, 7, 21, MidwayII, paren("2006 SRP to 800km"), SO, 0, "Successful mission completing the Sounding Rocket (Difficult) contract.")</v>
      </c>
    </row>
    <row r="43" spans="1:17" x14ac:dyDescent="0.25">
      <c r="A43" t="s">
        <v>125</v>
      </c>
      <c r="B43" s="2">
        <v>1952</v>
      </c>
      <c r="C43" s="2">
        <v>7</v>
      </c>
      <c r="D43" s="2">
        <v>28</v>
      </c>
      <c r="E43" t="s">
        <v>119</v>
      </c>
      <c r="F43" t="s">
        <v>124</v>
      </c>
      <c r="G43" s="2" t="s">
        <v>17</v>
      </c>
      <c r="H43" s="2">
        <v>0</v>
      </c>
      <c r="I43" t="s">
        <v>24</v>
      </c>
      <c r="K43" s="3">
        <v>1517</v>
      </c>
      <c r="L43" s="3">
        <v>3758</v>
      </c>
      <c r="M43" s="3">
        <f>303*5</f>
        <v>1515</v>
      </c>
      <c r="N43" s="3">
        <f>33023+16823+18263+35423</f>
        <v>103532</v>
      </c>
      <c r="O43" s="3">
        <f>N43-M43-L43-K43</f>
        <v>96742</v>
      </c>
      <c r="P43" s="1">
        <f>O43/SUM(K43:M43)</f>
        <v>14.247717231222385</v>
      </c>
      <c r="Q43" s="3" t="str">
        <f>"launch("""&amp;Table1[[#This Row],[Name]]&amp;""", "&amp;Table1[[#This Row],[Year]]&amp;", "&amp;Table1[[#This Row],[Month]]&amp;", "&amp;Table1[[#This Row],[Day]]&amp;", "&amp;Table1[[#This Row],[LV]]&amp;", "&amp;Table1[[#This Row],[Payload]]&amp;", "&amp;Table1[[#This Row],[Dest]]&amp;", "&amp;Table1[[#This Row],[Result]]&amp;", """&amp;Table1[[#This Row],[Comments]]&amp;""")"</f>
        <v>launch("Midway II Charlie", 1952, 7, 28, MidwayII, paren("2006 SRP to 960km"), SO, 0, "Successful mission completing the Sounding Rocket (Difficult) contract.")</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EngineFam</vt:lpstr>
      <vt:lpstr>Engines</vt:lpstr>
      <vt:lpstr>StageFam</vt:lpstr>
      <vt:lpstr>Stages</vt:lpstr>
      <vt:lpstr>LVFam</vt:lpstr>
      <vt:lpstr>LV</vt:lpstr>
      <vt:lpstr>Launches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dc:creator>
  <cp:lastModifiedBy>Pap</cp:lastModifiedBy>
  <dcterms:created xsi:type="dcterms:W3CDTF">2018-12-15T04:46:13Z</dcterms:created>
  <dcterms:modified xsi:type="dcterms:W3CDTF">2018-12-20T06:15:21Z</dcterms:modified>
</cp:coreProperties>
</file>