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p\Dropbox\GAMES\KSP\Git\RitS-RP1-MSA\Server\"/>
    </mc:Choice>
  </mc:AlternateContent>
  <xr:revisionPtr revIDLastSave="0" documentId="13_ncr:1_{3FE75E4E-0F9C-4816-A0D9-01E5931ECDDC}" xr6:coauthVersionLast="40" xr6:coauthVersionMax="40" xr10:uidLastSave="{00000000-0000-0000-0000-000000000000}"/>
  <bookViews>
    <workbookView xWindow="0" yWindow="0" windowWidth="28800" windowHeight="11925" xr2:uid="{988F3485-20E1-4533-B365-D30F020FB4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" i="1" l="1"/>
  <c r="M20" i="1"/>
  <c r="K20" i="1"/>
  <c r="Q20" i="1"/>
  <c r="N19" i="1"/>
  <c r="O20" i="1" l="1"/>
  <c r="P20" i="1" s="1"/>
  <c r="Q19" i="1"/>
  <c r="O19" i="1"/>
  <c r="P19" i="1" s="1"/>
  <c r="K18" i="1"/>
  <c r="Q18" i="1"/>
  <c r="N33" i="1"/>
  <c r="Q17" i="1"/>
  <c r="O17" i="1"/>
  <c r="P17" i="1" s="1"/>
  <c r="N16" i="1"/>
  <c r="O16" i="1" s="1"/>
  <c r="P16" i="1" s="1"/>
  <c r="Q16" i="1"/>
  <c r="N15" i="1"/>
  <c r="O15" i="1" s="1"/>
  <c r="P15" i="1" s="1"/>
  <c r="Q15" i="1"/>
  <c r="N14" i="1"/>
  <c r="O14" i="1" s="1"/>
  <c r="P14" i="1" s="1"/>
  <c r="Q14" i="1"/>
  <c r="N13" i="1"/>
  <c r="L13" i="1"/>
  <c r="N12" i="1"/>
  <c r="O12" i="1" s="1"/>
  <c r="P12" i="1" s="1"/>
  <c r="O13" i="1"/>
  <c r="P13" i="1" s="1"/>
  <c r="N11" i="1"/>
  <c r="Q12" i="1"/>
  <c r="Q13" i="1"/>
  <c r="N10" i="1"/>
  <c r="O10" i="1" s="1"/>
  <c r="P10" i="1" s="1"/>
  <c r="M11" i="1"/>
  <c r="Q11" i="1"/>
  <c r="Q10" i="1"/>
  <c r="N8" i="1"/>
  <c r="O9" i="1"/>
  <c r="P9" i="1" s="1"/>
  <c r="Q9" i="1"/>
  <c r="Q8" i="1"/>
  <c r="O8" i="1"/>
  <c r="P8" i="1" s="1"/>
  <c r="O7" i="1"/>
  <c r="P7" i="1" s="1"/>
  <c r="Q7" i="1"/>
  <c r="N6" i="1"/>
  <c r="O6" i="1" s="1"/>
  <c r="P6" i="1" s="1"/>
  <c r="Q6" i="1"/>
  <c r="N5" i="1"/>
  <c r="O5" i="1" s="1"/>
  <c r="P5" i="1" s="1"/>
  <c r="Q5" i="1"/>
  <c r="N4" i="1"/>
  <c r="O4" i="1" s="1"/>
  <c r="P4" i="1" s="1"/>
  <c r="Q4" i="1"/>
  <c r="N2" i="1"/>
  <c r="N3" i="1"/>
  <c r="Q2" i="1"/>
  <c r="Q3" i="1"/>
  <c r="O3" i="1"/>
  <c r="P3" i="1" s="1"/>
  <c r="O18" i="1" l="1"/>
  <c r="P18" i="1" s="1"/>
  <c r="O11" i="1"/>
  <c r="P11" i="1" s="1"/>
  <c r="O2" i="1"/>
  <c r="P2" i="1" s="1"/>
</calcChain>
</file>

<file path=xl/sharedStrings.xml><?xml version="1.0" encoding="utf-8"?>
<sst xmlns="http://schemas.openxmlformats.org/spreadsheetml/2006/main" count="112" uniqueCount="72">
  <si>
    <t>Name</t>
  </si>
  <si>
    <t>Year</t>
  </si>
  <si>
    <t>Month</t>
  </si>
  <si>
    <t>Day</t>
  </si>
  <si>
    <t>LV</t>
  </si>
  <si>
    <t>Payload</t>
  </si>
  <si>
    <t>Dest</t>
  </si>
  <si>
    <t>Result</t>
  </si>
  <si>
    <t>Comments</t>
  </si>
  <si>
    <t>Images</t>
  </si>
  <si>
    <t>Cost</t>
  </si>
  <si>
    <t>RO Cost</t>
  </si>
  <si>
    <t>RB Cost</t>
  </si>
  <si>
    <t>Profit</t>
  </si>
  <si>
    <t>Rewards</t>
  </si>
  <si>
    <t>Wake Island II Echo</t>
  </si>
  <si>
    <t>WakeIslandII</t>
  </si>
  <si>
    <t>SO</t>
  </si>
  <si>
    <t>Successful mission completing the Sounding Rocket (Difficult) contract and setting a new Altitude record at 351km.</t>
  </si>
  <si>
    <t>% Profit</t>
  </si>
  <si>
    <t>Wake Island II Foxtrot</t>
  </si>
  <si>
    <t>Output</t>
  </si>
  <si>
    <t>Successful mission completing the Sounding Rocket (Difficult) contract and setting a new Altitude record at 421km.</t>
  </si>
  <si>
    <t>Wake Island II Golf</t>
  </si>
  <si>
    <t>Successful mission completing the Sounding Rocket (Difficult) contract.</t>
  </si>
  <si>
    <t>Wake Island II Hotel</t>
  </si>
  <si>
    <t>Coral Sea I Alpha</t>
  </si>
  <si>
    <t>CoralSeaI</t>
  </si>
  <si>
    <t>None</t>
  </si>
  <si>
    <t>Hope IV</t>
  </si>
  <si>
    <t>XASR-1 failed to ignite and the mission failed at 100km.</t>
  </si>
  <si>
    <t>Coral Sea I Bravo</t>
  </si>
  <si>
    <t>The crew of Jebediah Kerman and Bill Kerman reached an apoapsis of 158km and became the second crew to go to Space.</t>
  </si>
  <si>
    <t>Hope V</t>
  </si>
  <si>
    <t>EA</t>
  </si>
  <si>
    <t>Successful mission setting a new altitude record of 505km.</t>
  </si>
  <si>
    <t>Coral Sea I Charlie</t>
  </si>
  <si>
    <t>Successful flight that achieved an 80km apoapsis to fulfill a contract.</t>
  </si>
  <si>
    <t>paren("72 SRP")</t>
  </si>
  <si>
    <t>paren("36 SRP")</t>
  </si>
  <si>
    <t>paren("458 SRP")</t>
  </si>
  <si>
    <t>paren("562 SRP")</t>
  </si>
  <si>
    <t>paren("35 SRP")</t>
  </si>
  <si>
    <t>Successful mission setting a new altitude record of 650km and completing a Sounding Rocket (Easy) contract.</t>
  </si>
  <si>
    <t>Hope VI</t>
  </si>
  <si>
    <t>Payload("Hope Cockpit", "Mission to Reach Space", "Jebediah Kerman &amp; Bill Kerman")</t>
  </si>
  <si>
    <t>Payload("Hope Cockpit", "Mission to Reach 80km", "Valentina Kerman &amp; Traby Kerman")</t>
  </si>
  <si>
    <t>Coral Sea I Delta</t>
  </si>
  <si>
    <t>Wake Island II India</t>
  </si>
  <si>
    <t>paren("756 SRP")</t>
  </si>
  <si>
    <t>Successful mission, but our astronauts experienced a very difficult reentry and both wound up losing conciousness.</t>
  </si>
  <si>
    <t>paren("92 SRP")</t>
  </si>
  <si>
    <t>Successful mission completing the Sounding Rocket (Difficult) contract and setting a new Altitude record at 728km.</t>
  </si>
  <si>
    <t>Coral Sea I Echo</t>
  </si>
  <si>
    <t>paren("26 SRP")</t>
  </si>
  <si>
    <t>Successful mission completing the Sounding Rocket (Difficult) contract and setting a new Altitude record at 811km.</t>
  </si>
  <si>
    <t>Coral Sea I Foxtrot</t>
  </si>
  <si>
    <t>paren("30 SRP")</t>
  </si>
  <si>
    <t>Successful mission completing the Sounding Rocket (Difficult) contract and setting a new Altitude record at 1051km.</t>
  </si>
  <si>
    <t>Wake Island II Juliet</t>
  </si>
  <si>
    <t>Coral Sea I Golf</t>
  </si>
  <si>
    <t>Midway Alpha</t>
  </si>
  <si>
    <t>Midway Bravo</t>
  </si>
  <si>
    <t>LEO</t>
  </si>
  <si>
    <t>The second stage Wake Island II engine failed to ignite and range safety terminated the launch over the Pacific.</t>
  </si>
  <si>
    <t>MidwayI</t>
  </si>
  <si>
    <t>One of the first stage RD-101 engines shutdown early causing an unrecoverable trajectory that ended in a firey crash into the Pacific</t>
  </si>
  <si>
    <t>Midway Charlie</t>
  </si>
  <si>
    <t>Payload("Yorktown 0-2", "First Orbital Satellite", "Modifed Lightning II Satellite Stage")</t>
  </si>
  <si>
    <t>Payload("Yorktown 0-1", "First Orbital Satellite", "Modifed Lightning II Satellite Stage")</t>
  </si>
  <si>
    <t>Payload("Yorktown 1", "First Orbital Satellite", "Modifed Lightning II Satellite Stage")</t>
  </si>
  <si>
    <t>The Yorktown became the MSA's first satellite after entering into a very eccentric orbit on February 16, 1952. With enough battery for 12 orbits, great science data was received.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</si>
</sst>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12">
    <dxf>
      <numFmt numFmtId="10" formatCode="&quot;$&quot;#,##0_);[Red]\(&quot;$&quot;#,##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0" formatCode="&quot;$&quot;#,##0_);[Red]\(&quot;$&quot;#,##0\)"/>
      <alignment horizontal="center" vertical="bottom" textRotation="0" wrapText="0" indent="0" justifyLastLine="0" shrinkToFit="0" readingOrder="0"/>
    </dxf>
    <dxf>
      <numFmt numFmtId="10" formatCode="&quot;$&quot;#,##0_);[Red]\(&quot;$&quot;#,##0\)"/>
      <alignment horizontal="center" vertical="bottom" textRotation="0" wrapText="0" indent="0" justifyLastLine="0" shrinkToFit="0" readingOrder="0"/>
    </dxf>
    <dxf>
      <numFmt numFmtId="10" formatCode="&quot;$&quot;#,##0_);[Red]\(&quot;$&quot;#,##0\)"/>
      <alignment horizontal="center" vertical="bottom" textRotation="0" wrapText="0" indent="0" justifyLastLine="0" shrinkToFit="0" readingOrder="0"/>
    </dxf>
    <dxf>
      <numFmt numFmtId="10" formatCode="&quot;$&quot;#,##0_);[Red]\(&quot;$&quot;#,##0\)"/>
      <alignment horizontal="center" vertical="bottom" textRotation="0" wrapText="0" indent="0" justifyLastLine="0" shrinkToFit="0" readingOrder="0"/>
    </dxf>
    <dxf>
      <numFmt numFmtId="10" formatCode="&quot;$&quot;#,##0_);[Red]\(&quot;$&quot;#,##0\)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F7E0FB-9368-464C-8FB1-6FBB81C487EC}" name="Table1" displayName="Table1" ref="A1:Q20" totalsRowShown="0">
  <autoFilter ref="A1:Q20" xr:uid="{E480BAD7-E951-4609-8AF6-C6EE864E3A2D}"/>
  <tableColumns count="17">
    <tableColumn id="1" xr3:uid="{BD136624-6EBC-414F-8E9F-E926712A1AAD}" name="Name"/>
    <tableColumn id="2" xr3:uid="{96DBC543-7791-4569-8CA3-504411D11240}" name="Year" dataDxfId="11"/>
    <tableColumn id="3" xr3:uid="{B919A749-B506-4EED-937B-2A074B8E4645}" name="Month" dataDxfId="10"/>
    <tableColumn id="4" xr3:uid="{391AECD0-0223-48C5-A183-4AA4D397CCBA}" name="Day" dataDxfId="9"/>
    <tableColumn id="5" xr3:uid="{C9CF5B0B-2112-45F1-BFBD-03C9B82CF83B}" name="LV"/>
    <tableColumn id="6" xr3:uid="{C60B8BC3-1676-4BAE-A658-1570C7633540}" name="Payload"/>
    <tableColumn id="7" xr3:uid="{3FA0C583-9916-4D9A-A18B-699C95C601E5}" name="Dest" dataDxfId="8"/>
    <tableColumn id="8" xr3:uid="{4C998C55-F2A2-4B38-8D50-ED27419B65DE}" name="Result" dataDxfId="7"/>
    <tableColumn id="9" xr3:uid="{248CC5A2-0776-4157-8955-19A65030BA15}" name="Comments"/>
    <tableColumn id="10" xr3:uid="{AFEE6C80-9CFD-4808-B318-94CE6B57FBB4}" name="Images"/>
    <tableColumn id="11" xr3:uid="{99DB60F2-71DC-4BE2-AA2A-3CB51C18303C}" name="Cost" dataDxfId="6"/>
    <tableColumn id="12" xr3:uid="{7A83807A-A320-47E9-8BA2-B68E5C98BDDE}" name="RO Cost" dataDxfId="5"/>
    <tableColumn id="13" xr3:uid="{57CA3868-9DC7-4B8D-B4C7-E2447DA07945}" name="RB Cost" dataDxfId="4">
      <calculatedColumnFormula>80*5</calculatedColumnFormula>
    </tableColumn>
    <tableColumn id="14" xr3:uid="{9BD24E71-7AC9-4402-93C4-DC580838778F}" name="Rewards" dataDxfId="3">
      <calculatedColumnFormula>1866+1844+813</calculatedColumnFormula>
    </tableColumn>
    <tableColumn id="15" xr3:uid="{4634B5E6-16D1-420A-80B0-855A247EFC63}" name="Profit" dataDxfId="2">
      <calculatedColumnFormula>N2-M2-L2-K2</calculatedColumnFormula>
    </tableColumn>
    <tableColumn id="16" xr3:uid="{9C716E20-F127-4F6B-B841-28C2D9E0E0C9}" name="% Profit" dataDxfId="1" dataCellStyle="Percent">
      <calculatedColumnFormula>O2/SUM(K2:M2)</calculatedColumnFormula>
    </tableColumn>
    <tableColumn id="17" xr3:uid="{90ED4C78-FA4B-4F09-B133-319D7931B888}" name="Output" dataDxfId="0">
      <calculatedColumnFormula>"launch("""&amp;Table1[[#This Row],[Name]]&amp;""", "&amp;Table1[[#This Row],[Year]]&amp;", "&amp;Table1[[#This Row],[Month]]&amp;", "&amp;Table1[[#This Row],[Day]]&amp;", "&amp;Table1[[#This Row],[LV]]&amp;", "&amp;Table1[[#This Row],[Payload]]&amp;", "&amp;Table1[[#This Row],[Dest]]&amp;", "&amp;Table1[[#This Row],[Result]]&amp;", """&amp;Table1[[#This Row],[Comments]]&amp;""")"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DE706-1788-43F5-BC12-550FDF7BE321}">
  <dimension ref="A1:Q33"/>
  <sheetViews>
    <sheetView tabSelected="1" workbookViewId="0">
      <selection activeCell="P20" sqref="P20"/>
    </sheetView>
  </sheetViews>
  <sheetFormatPr defaultRowHeight="15" x14ac:dyDescent="0.25"/>
  <cols>
    <col min="1" max="1" width="18.140625" bestFit="1" customWidth="1"/>
    <col min="2" max="2" width="7.140625" customWidth="1"/>
    <col min="5" max="5" width="12.42578125" bestFit="1" customWidth="1"/>
    <col min="6" max="6" width="10.140625" customWidth="1"/>
    <col min="7" max="7" width="7.140625" customWidth="1"/>
    <col min="8" max="8" width="8.7109375" customWidth="1"/>
    <col min="9" max="9" width="12.7109375" customWidth="1"/>
    <col min="10" max="10" width="9.42578125" customWidth="1"/>
    <col min="11" max="11" width="8.28515625" bestFit="1" customWidth="1"/>
    <col min="12" max="12" width="10" customWidth="1"/>
    <col min="13" max="13" width="9.7109375" customWidth="1"/>
    <col min="14" max="15" width="10.85546875" bestFit="1" customWidth="1"/>
    <col min="16" max="16" width="10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13</v>
      </c>
      <c r="P1" t="s">
        <v>19</v>
      </c>
      <c r="Q1" t="s">
        <v>21</v>
      </c>
    </row>
    <row r="2" spans="1:17" x14ac:dyDescent="0.25">
      <c r="A2" t="s">
        <v>15</v>
      </c>
      <c r="B2" s="2">
        <v>1951</v>
      </c>
      <c r="C2" s="2">
        <v>7</v>
      </c>
      <c r="D2" s="2">
        <v>21</v>
      </c>
      <c r="E2" t="s">
        <v>16</v>
      </c>
      <c r="F2" t="s">
        <v>38</v>
      </c>
      <c r="G2" s="2" t="s">
        <v>17</v>
      </c>
      <c r="H2" s="2">
        <v>0</v>
      </c>
      <c r="I2" t="s">
        <v>18</v>
      </c>
      <c r="K2" s="3">
        <v>533</v>
      </c>
      <c r="L2" s="3">
        <v>759</v>
      </c>
      <c r="M2" s="3">
        <v>400</v>
      </c>
      <c r="N2" s="3">
        <f>1725+4125+4080+1270+2710</f>
        <v>13910</v>
      </c>
      <c r="O2" s="3">
        <f t="shared" ref="O2:O19" si="0">N2-M2-L2-K2</f>
        <v>12218</v>
      </c>
      <c r="P2" s="1">
        <f t="shared" ref="P2:P19" si="1">O2/SUM(K2:M2)</f>
        <v>7.2210401891252953</v>
      </c>
      <c r="Q2" s="3" t="str">
        <f>"launch("""&amp;Table1[[#This Row],[Name]]&amp;""", "&amp;Table1[[#This Row],[Year]]&amp;", "&amp;Table1[[#This Row],[Month]]&amp;", "&amp;Table1[[#This Row],[Day]]&amp;", "&amp;Table1[[#This Row],[LV]]&amp;", "&amp;Table1[[#This Row],[Payload]]&amp;", "&amp;Table1[[#This Row],[Dest]]&amp;", "&amp;Table1[[#This Row],[Result]]&amp;", """&amp;Table1[[#This Row],[Comments]]&amp;""")"</f>
        <v>launch("Wake Island II Echo", 1951, 7, 21, WakeIslandII, paren("72 SRP"), SO, 0, "Successful mission completing the Sounding Rocket (Difficult) contract and setting a new Altitude record at 351km.")</v>
      </c>
    </row>
    <row r="3" spans="1:17" x14ac:dyDescent="0.25">
      <c r="A3" t="s">
        <v>20</v>
      </c>
      <c r="B3" s="2">
        <v>1951</v>
      </c>
      <c r="C3" s="2">
        <v>8</v>
      </c>
      <c r="D3" s="2">
        <v>5</v>
      </c>
      <c r="E3" t="s">
        <v>16</v>
      </c>
      <c r="F3" t="s">
        <v>39</v>
      </c>
      <c r="G3" s="2" t="s">
        <v>17</v>
      </c>
      <c r="H3" s="2">
        <v>0</v>
      </c>
      <c r="I3" t="s">
        <v>22</v>
      </c>
      <c r="K3" s="3">
        <v>402</v>
      </c>
      <c r="L3" s="3">
        <v>758</v>
      </c>
      <c r="M3" s="3">
        <v>400</v>
      </c>
      <c r="N3" s="3">
        <f>1866+4266+5280+1844+4244+813+1533</f>
        <v>19846</v>
      </c>
      <c r="O3" s="3">
        <f t="shared" si="0"/>
        <v>18286</v>
      </c>
      <c r="P3" s="1">
        <f t="shared" si="1"/>
        <v>11.721794871794872</v>
      </c>
      <c r="Q3" s="3" t="str">
        <f>"launch("""&amp;Table1[[#This Row],[Name]]&amp;""", "&amp;Table1[[#This Row],[Year]]&amp;", "&amp;Table1[[#This Row],[Month]]&amp;", "&amp;Table1[[#This Row],[Day]]&amp;", "&amp;Table1[[#This Row],[LV]]&amp;", "&amp;Table1[[#This Row],[Payload]]&amp;", "&amp;Table1[[#This Row],[Dest]]&amp;", "&amp;Table1[[#This Row],[Result]]&amp;", """&amp;Table1[[#This Row],[Comments]]&amp;""")"</f>
        <v>launch("Wake Island II Foxtrot", 1951, 8, 5, WakeIslandII, paren("36 SRP"), SO, 0, "Successful mission completing the Sounding Rocket (Difficult) contract and setting a new Altitude record at 421km.")</v>
      </c>
    </row>
    <row r="4" spans="1:17" x14ac:dyDescent="0.25">
      <c r="A4" t="s">
        <v>23</v>
      </c>
      <c r="B4" s="2">
        <v>1951</v>
      </c>
      <c r="C4" s="2">
        <v>8</v>
      </c>
      <c r="D4" s="2">
        <v>19</v>
      </c>
      <c r="E4" t="s">
        <v>16</v>
      </c>
      <c r="F4" t="s">
        <v>40</v>
      </c>
      <c r="G4" s="2" t="s">
        <v>17</v>
      </c>
      <c r="H4" s="2">
        <v>0</v>
      </c>
      <c r="I4" t="s">
        <v>24</v>
      </c>
      <c r="K4" s="3">
        <v>423</v>
      </c>
      <c r="L4" s="3">
        <v>759</v>
      </c>
      <c r="M4" s="3">
        <v>420</v>
      </c>
      <c r="N4" s="3">
        <f>2040+1370+2810+4440</f>
        <v>10660</v>
      </c>
      <c r="O4" s="3">
        <f t="shared" si="0"/>
        <v>9058</v>
      </c>
      <c r="P4" s="1">
        <f t="shared" si="1"/>
        <v>5.6541822721598001</v>
      </c>
      <c r="Q4" s="3" t="str">
        <f>"launch("""&amp;Table1[[#This Row],[Name]]&amp;""", "&amp;Table1[[#This Row],[Year]]&amp;", "&amp;Table1[[#This Row],[Month]]&amp;", "&amp;Table1[[#This Row],[Day]]&amp;", "&amp;Table1[[#This Row],[LV]]&amp;", "&amp;Table1[[#This Row],[Payload]]&amp;", "&amp;Table1[[#This Row],[Dest]]&amp;", "&amp;Table1[[#This Row],[Result]]&amp;", """&amp;Table1[[#This Row],[Comments]]&amp;""")"</f>
        <v>launch("Wake Island II Golf", 1951, 8, 19, WakeIslandII, paren("458 SRP"), SO, 0, "Successful mission completing the Sounding Rocket (Difficult) contract.")</v>
      </c>
    </row>
    <row r="5" spans="1:17" x14ac:dyDescent="0.25">
      <c r="A5" t="s">
        <v>25</v>
      </c>
      <c r="B5" s="2">
        <v>1951</v>
      </c>
      <c r="C5" s="2">
        <v>9</v>
      </c>
      <c r="D5" s="2">
        <v>1</v>
      </c>
      <c r="E5" t="s">
        <v>16</v>
      </c>
      <c r="F5" t="s">
        <v>41</v>
      </c>
      <c r="G5" s="2" t="s">
        <v>17</v>
      </c>
      <c r="H5" s="2">
        <v>0</v>
      </c>
      <c r="I5" t="s">
        <v>24</v>
      </c>
      <c r="K5" s="3">
        <v>421</v>
      </c>
      <c r="L5" s="3">
        <v>772</v>
      </c>
      <c r="M5" s="3">
        <v>425</v>
      </c>
      <c r="N5" s="3">
        <f>1866+1844+813+4629+2967</f>
        <v>12119</v>
      </c>
      <c r="O5" s="3">
        <f t="shared" si="0"/>
        <v>10501</v>
      </c>
      <c r="P5" s="1">
        <f t="shared" si="1"/>
        <v>6.4901112484548822</v>
      </c>
      <c r="Q5" s="3" t="str">
        <f>"launch("""&amp;Table1[[#This Row],[Name]]&amp;""", "&amp;Table1[[#This Row],[Year]]&amp;", "&amp;Table1[[#This Row],[Month]]&amp;", "&amp;Table1[[#This Row],[Day]]&amp;", "&amp;Table1[[#This Row],[LV]]&amp;", "&amp;Table1[[#This Row],[Payload]]&amp;", "&amp;Table1[[#This Row],[Dest]]&amp;", "&amp;Table1[[#This Row],[Result]]&amp;", """&amp;Table1[[#This Row],[Comments]]&amp;""")"</f>
        <v>launch("Wake Island II Hotel", 1951, 9, 1, WakeIslandII, paren("562 SRP"), SO, 0, "Successful mission completing the Sounding Rocket (Difficult) contract.")</v>
      </c>
    </row>
    <row r="6" spans="1:17" x14ac:dyDescent="0.25">
      <c r="A6" t="s">
        <v>26</v>
      </c>
      <c r="B6" s="2">
        <v>1951</v>
      </c>
      <c r="C6" s="2">
        <v>9</v>
      </c>
      <c r="D6" s="2">
        <v>24</v>
      </c>
      <c r="E6" t="s">
        <v>27</v>
      </c>
      <c r="F6" t="s">
        <v>28</v>
      </c>
      <c r="G6" s="2" t="s">
        <v>17</v>
      </c>
      <c r="H6" s="2">
        <v>2</v>
      </c>
      <c r="I6" t="s">
        <v>30</v>
      </c>
      <c r="K6" s="3">
        <v>760</v>
      </c>
      <c r="L6" s="3">
        <v>1300</v>
      </c>
      <c r="M6" s="3">
        <v>760</v>
      </c>
      <c r="N6" s="3">
        <f>1980+0</f>
        <v>1980</v>
      </c>
      <c r="O6" s="3">
        <f t="shared" si="0"/>
        <v>-840</v>
      </c>
      <c r="P6" s="1">
        <f t="shared" si="1"/>
        <v>-0.2978723404255319</v>
      </c>
      <c r="Q6" s="3" t="str">
        <f>"launch("""&amp;Table1[[#This Row],[Name]]&amp;""", "&amp;Table1[[#This Row],[Year]]&amp;", "&amp;Table1[[#This Row],[Month]]&amp;", "&amp;Table1[[#This Row],[Day]]&amp;", "&amp;Table1[[#This Row],[LV]]&amp;", "&amp;Table1[[#This Row],[Payload]]&amp;", "&amp;Table1[[#This Row],[Dest]]&amp;", "&amp;Table1[[#This Row],[Result]]&amp;", """&amp;Table1[[#This Row],[Comments]]&amp;""")"</f>
        <v>launch("Coral Sea I Alpha", 1951, 9, 24, CoralSeaI, None, SO, 2, "XASR-1 failed to ignite and the mission failed at 100km.")</v>
      </c>
    </row>
    <row r="7" spans="1:17" x14ac:dyDescent="0.25">
      <c r="A7" t="s">
        <v>29</v>
      </c>
      <c r="B7" s="2">
        <v>1951</v>
      </c>
      <c r="C7" s="2">
        <v>10</v>
      </c>
      <c r="D7" s="2">
        <v>9</v>
      </c>
      <c r="E7" t="s">
        <v>16</v>
      </c>
      <c r="F7" t="s">
        <v>45</v>
      </c>
      <c r="G7" s="2" t="s">
        <v>17</v>
      </c>
      <c r="H7" s="2">
        <v>0</v>
      </c>
      <c r="I7" t="s">
        <v>32</v>
      </c>
      <c r="K7" s="3">
        <v>617</v>
      </c>
      <c r="L7" s="3">
        <v>866</v>
      </c>
      <c r="M7" s="3">
        <v>615</v>
      </c>
      <c r="N7" s="3">
        <v>27000</v>
      </c>
      <c r="O7" s="3">
        <f t="shared" si="0"/>
        <v>24902</v>
      </c>
      <c r="P7" s="1">
        <f t="shared" si="1"/>
        <v>11.869399428026693</v>
      </c>
      <c r="Q7" s="3" t="str">
        <f>"launch("""&amp;Table1[[#This Row],[Name]]&amp;""", "&amp;Table1[[#This Row],[Year]]&amp;", "&amp;Table1[[#This Row],[Month]]&amp;", "&amp;Table1[[#This Row],[Day]]&amp;", "&amp;Table1[[#This Row],[LV]]&amp;", "&amp;Table1[[#This Row],[Payload]]&amp;", "&amp;Table1[[#This Row],[Dest]]&amp;", "&amp;Table1[[#This Row],[Result]]&amp;", """&amp;Table1[[#This Row],[Comments]]&amp;""")"</f>
        <v>launch("Hope IV", 1951, 10, 9, WakeIslandII, Payload("Hope Cockpit", "Mission to Reach Space", "Jebediah Kerman &amp; Bill Kerman"), SO, 0, "The crew of Jebediah Kerman and Bill Kerman reached an apoapsis of 158km and became the second crew to go to Space.")</v>
      </c>
    </row>
    <row r="8" spans="1:17" x14ac:dyDescent="0.25">
      <c r="A8" t="s">
        <v>31</v>
      </c>
      <c r="B8" s="2">
        <v>1951</v>
      </c>
      <c r="C8" s="2">
        <v>10</v>
      </c>
      <c r="D8" s="2">
        <v>18</v>
      </c>
      <c r="E8" t="s">
        <v>27</v>
      </c>
      <c r="F8" t="s">
        <v>28</v>
      </c>
      <c r="G8" s="2" t="s">
        <v>17</v>
      </c>
      <c r="H8" s="2">
        <v>0</v>
      </c>
      <c r="I8" t="s">
        <v>35</v>
      </c>
      <c r="K8" s="3">
        <v>760</v>
      </c>
      <c r="L8" s="3">
        <v>1300</v>
      </c>
      <c r="M8" s="3">
        <v>760</v>
      </c>
      <c r="N8" s="3">
        <f>4380+6480</f>
        <v>10860</v>
      </c>
      <c r="O8" s="3">
        <f t="shared" si="0"/>
        <v>8040</v>
      </c>
      <c r="P8" s="1">
        <f t="shared" si="1"/>
        <v>2.8510638297872339</v>
      </c>
      <c r="Q8" s="3" t="str">
        <f>"launch("""&amp;Table1[[#This Row],[Name]]&amp;""", "&amp;Table1[[#This Row],[Year]]&amp;", "&amp;Table1[[#This Row],[Month]]&amp;", "&amp;Table1[[#This Row],[Day]]&amp;", "&amp;Table1[[#This Row],[LV]]&amp;", "&amp;Table1[[#This Row],[Payload]]&amp;", "&amp;Table1[[#This Row],[Dest]]&amp;", "&amp;Table1[[#This Row],[Result]]&amp;", """&amp;Table1[[#This Row],[Comments]]&amp;""")"</f>
        <v>launch("Coral Sea I Bravo", 1951, 10, 18, CoralSeaI, None, SO, 0, "Successful mission setting a new altitude record of 505km.")</v>
      </c>
    </row>
    <row r="9" spans="1:17" x14ac:dyDescent="0.25">
      <c r="A9" t="s">
        <v>33</v>
      </c>
      <c r="B9" s="2">
        <v>1951</v>
      </c>
      <c r="C9" s="2">
        <v>10</v>
      </c>
      <c r="D9" s="2">
        <v>24</v>
      </c>
      <c r="E9" t="s">
        <v>16</v>
      </c>
      <c r="F9" t="s">
        <v>46</v>
      </c>
      <c r="G9" s="2" t="s">
        <v>34</v>
      </c>
      <c r="H9" s="2">
        <v>0</v>
      </c>
      <c r="I9" t="s">
        <v>37</v>
      </c>
      <c r="K9" s="3">
        <v>617</v>
      </c>
      <c r="L9" s="3">
        <v>866</v>
      </c>
      <c r="M9" s="3">
        <v>615</v>
      </c>
      <c r="N9" s="3">
        <v>18000</v>
      </c>
      <c r="O9" s="3">
        <f t="shared" si="0"/>
        <v>15902</v>
      </c>
      <c r="P9" s="1">
        <f t="shared" si="1"/>
        <v>7.579599618684461</v>
      </c>
      <c r="Q9" s="3" t="str">
        <f>"launch("""&amp;Table1[[#This Row],[Name]]&amp;""", "&amp;Table1[[#This Row],[Year]]&amp;", "&amp;Table1[[#This Row],[Month]]&amp;", "&amp;Table1[[#This Row],[Day]]&amp;", "&amp;Table1[[#This Row],[LV]]&amp;", "&amp;Table1[[#This Row],[Payload]]&amp;", "&amp;Table1[[#This Row],[Dest]]&amp;", "&amp;Table1[[#This Row],[Result]]&amp;", """&amp;Table1[[#This Row],[Comments]]&amp;""")"</f>
        <v>launch("Hope V", 1951, 10, 24, WakeIslandII, Payload("Hope Cockpit", "Mission to Reach 80km", "Valentina Kerman &amp; Traby Kerman"), EA, 0, "Successful flight that achieved an 80km apoapsis to fulfill a contract.")</v>
      </c>
    </row>
    <row r="10" spans="1:17" x14ac:dyDescent="0.25">
      <c r="A10" t="s">
        <v>36</v>
      </c>
      <c r="B10" s="2">
        <v>1951</v>
      </c>
      <c r="C10" s="2">
        <v>11</v>
      </c>
      <c r="D10" s="2">
        <v>2</v>
      </c>
      <c r="E10" t="s">
        <v>27</v>
      </c>
      <c r="F10" t="s">
        <v>42</v>
      </c>
      <c r="G10" s="2" t="s">
        <v>17</v>
      </c>
      <c r="H10" s="2">
        <v>0</v>
      </c>
      <c r="I10" t="s">
        <v>43</v>
      </c>
      <c r="K10" s="3">
        <v>760</v>
      </c>
      <c r="L10" s="3">
        <v>1300</v>
      </c>
      <c r="M10" s="3">
        <v>1520</v>
      </c>
      <c r="N10" s="3">
        <f>2191+933+1653+7680+4591</f>
        <v>17048</v>
      </c>
      <c r="O10" s="3">
        <f t="shared" si="0"/>
        <v>13468</v>
      </c>
      <c r="P10" s="1">
        <f t="shared" si="1"/>
        <v>3.7620111731843577</v>
      </c>
      <c r="Q10" s="3" t="str">
        <f>"launch("""&amp;Table1[[#This Row],[Name]]&amp;""", "&amp;Table1[[#This Row],[Year]]&amp;", "&amp;Table1[[#This Row],[Month]]&amp;", "&amp;Table1[[#This Row],[Day]]&amp;", "&amp;Table1[[#This Row],[LV]]&amp;", "&amp;Table1[[#This Row],[Payload]]&amp;", "&amp;Table1[[#This Row],[Dest]]&amp;", "&amp;Table1[[#This Row],[Result]]&amp;", """&amp;Table1[[#This Row],[Comments]]&amp;""")"</f>
        <v>launch("Coral Sea I Charlie", 1951, 11, 2, CoralSeaI, paren("35 SRP"), SO, 0, "Successful mission setting a new altitude record of 650km and completing a Sounding Rocket (Easy) contract.")</v>
      </c>
    </row>
    <row r="11" spans="1:17" x14ac:dyDescent="0.25">
      <c r="A11" t="s">
        <v>44</v>
      </c>
      <c r="B11" s="2">
        <v>1951</v>
      </c>
      <c r="C11" s="2">
        <v>11</v>
      </c>
      <c r="D11" s="2">
        <v>8</v>
      </c>
      <c r="E11" t="s">
        <v>16</v>
      </c>
      <c r="F11" t="s">
        <v>45</v>
      </c>
      <c r="G11" s="2" t="s">
        <v>17</v>
      </c>
      <c r="H11" s="2">
        <v>0</v>
      </c>
      <c r="I11" t="s">
        <v>50</v>
      </c>
      <c r="K11" s="3">
        <v>617</v>
      </c>
      <c r="L11" s="3">
        <v>886</v>
      </c>
      <c r="M11" s="3">
        <f>123*5</f>
        <v>615</v>
      </c>
      <c r="N11" s="3">
        <f>13800-9370+13800</f>
        <v>18230</v>
      </c>
      <c r="O11" s="3">
        <f t="shared" si="0"/>
        <v>16112</v>
      </c>
      <c r="P11" s="1">
        <f t="shared" si="1"/>
        <v>7.6071765816808306</v>
      </c>
      <c r="Q11" s="3" t="str">
        <f>"launch("""&amp;Table1[[#This Row],[Name]]&amp;""", "&amp;Table1[[#This Row],[Year]]&amp;", "&amp;Table1[[#This Row],[Month]]&amp;", "&amp;Table1[[#This Row],[Day]]&amp;", "&amp;Table1[[#This Row],[LV]]&amp;", "&amp;Table1[[#This Row],[Payload]]&amp;", "&amp;Table1[[#This Row],[Dest]]&amp;", "&amp;Table1[[#This Row],[Result]]&amp;", """&amp;Table1[[#This Row],[Comments]]&amp;""")"</f>
        <v>launch("Hope VI", 1951, 11, 8, WakeIslandII, Payload("Hope Cockpit", "Mission to Reach Space", "Jebediah Kerman &amp; Bill Kerman"), SO, 0, "Successful mission, but our astronauts experienced a very difficult reentry and both wound up losing conciousness.")</v>
      </c>
    </row>
    <row r="12" spans="1:17" x14ac:dyDescent="0.25">
      <c r="A12" t="s">
        <v>48</v>
      </c>
      <c r="B12" s="2">
        <v>1951</v>
      </c>
      <c r="C12" s="2">
        <v>11</v>
      </c>
      <c r="D12" s="2">
        <v>14</v>
      </c>
      <c r="E12" t="s">
        <v>16</v>
      </c>
      <c r="F12" t="s">
        <v>49</v>
      </c>
      <c r="G12" s="2" t="s">
        <v>17</v>
      </c>
      <c r="H12" s="2">
        <v>0</v>
      </c>
      <c r="I12" t="s">
        <v>24</v>
      </c>
      <c r="K12" s="3">
        <v>407</v>
      </c>
      <c r="L12" s="3">
        <v>778</v>
      </c>
      <c r="M12" s="3">
        <v>435</v>
      </c>
      <c r="N12" s="3">
        <f>2587+4987</f>
        <v>7574</v>
      </c>
      <c r="O12" s="3">
        <f t="shared" si="0"/>
        <v>5954</v>
      </c>
      <c r="P12" s="1">
        <f t="shared" si="1"/>
        <v>3.6753086419753087</v>
      </c>
      <c r="Q12" s="3" t="str">
        <f>"launch("""&amp;Table1[[#This Row],[Name]]&amp;""", "&amp;Table1[[#This Row],[Year]]&amp;", "&amp;Table1[[#This Row],[Month]]&amp;", "&amp;Table1[[#This Row],[Day]]&amp;", "&amp;Table1[[#This Row],[LV]]&amp;", "&amp;Table1[[#This Row],[Payload]]&amp;", "&amp;Table1[[#This Row],[Dest]]&amp;", "&amp;Table1[[#This Row],[Result]]&amp;", """&amp;Table1[[#This Row],[Comments]]&amp;""")"</f>
        <v>launch("Wake Island II India", 1951, 11, 14, WakeIslandII, paren("756 SRP"), SO, 0, "Successful mission completing the Sounding Rocket (Difficult) contract.")</v>
      </c>
    </row>
    <row r="13" spans="1:17" x14ac:dyDescent="0.25">
      <c r="A13" t="s">
        <v>47</v>
      </c>
      <c r="B13" s="2">
        <v>1951</v>
      </c>
      <c r="C13" s="2">
        <v>11</v>
      </c>
      <c r="D13" s="2">
        <v>23</v>
      </c>
      <c r="E13" t="s">
        <v>27</v>
      </c>
      <c r="F13" t="s">
        <v>51</v>
      </c>
      <c r="G13" s="2" t="s">
        <v>17</v>
      </c>
      <c r="H13" s="2">
        <v>0</v>
      </c>
      <c r="I13" t="s">
        <v>52</v>
      </c>
      <c r="K13" s="3">
        <v>760</v>
      </c>
      <c r="L13" s="3">
        <f>764+203</f>
        <v>967</v>
      </c>
      <c r="M13" s="3">
        <v>760</v>
      </c>
      <c r="N13" s="3">
        <f>2383+2784+4783+8880+5184+4800</f>
        <v>28814</v>
      </c>
      <c r="O13" s="3">
        <f t="shared" si="0"/>
        <v>26327</v>
      </c>
      <c r="P13" s="1">
        <f t="shared" si="1"/>
        <v>10.585846401286691</v>
      </c>
      <c r="Q13" s="3" t="str">
        <f>"launch("""&amp;Table1[[#This Row],[Name]]&amp;""", "&amp;Table1[[#This Row],[Year]]&amp;", "&amp;Table1[[#This Row],[Month]]&amp;", "&amp;Table1[[#This Row],[Day]]&amp;", "&amp;Table1[[#This Row],[LV]]&amp;", "&amp;Table1[[#This Row],[Payload]]&amp;", "&amp;Table1[[#This Row],[Dest]]&amp;", "&amp;Table1[[#This Row],[Result]]&amp;", """&amp;Table1[[#This Row],[Comments]]&amp;""")"</f>
        <v>launch("Coral Sea I Delta", 1951, 11, 23, CoralSeaI, paren("92 SRP"), SO, 0, "Successful mission completing the Sounding Rocket (Difficult) contract and setting a new Altitude record at 728km.")</v>
      </c>
    </row>
    <row r="14" spans="1:17" x14ac:dyDescent="0.25">
      <c r="A14" t="s">
        <v>53</v>
      </c>
      <c r="B14" s="2">
        <v>1951</v>
      </c>
      <c r="C14" s="2">
        <v>12</v>
      </c>
      <c r="D14" s="2">
        <v>2</v>
      </c>
      <c r="E14" t="s">
        <v>27</v>
      </c>
      <c r="F14" t="s">
        <v>57</v>
      </c>
      <c r="G14" s="2" t="s">
        <v>17</v>
      </c>
      <c r="H14" s="2">
        <v>0</v>
      </c>
      <c r="I14" t="s">
        <v>55</v>
      </c>
      <c r="K14" s="3">
        <v>761</v>
      </c>
      <c r="L14" s="3">
        <v>1300</v>
      </c>
      <c r="M14" s="3">
        <v>760</v>
      </c>
      <c r="N14" s="3">
        <f>2691+2575+4975+10080+5091</f>
        <v>25412</v>
      </c>
      <c r="O14" s="3">
        <f t="shared" si="0"/>
        <v>22591</v>
      </c>
      <c r="P14" s="1">
        <f t="shared" si="1"/>
        <v>8.0081531371853956</v>
      </c>
      <c r="Q14" s="3" t="str">
        <f>"launch("""&amp;Table1[[#This Row],[Name]]&amp;""", "&amp;Table1[[#This Row],[Year]]&amp;", "&amp;Table1[[#This Row],[Month]]&amp;", "&amp;Table1[[#This Row],[Day]]&amp;", "&amp;Table1[[#This Row],[LV]]&amp;", "&amp;Table1[[#This Row],[Payload]]&amp;", "&amp;Table1[[#This Row],[Dest]]&amp;", "&amp;Table1[[#This Row],[Result]]&amp;", """&amp;Table1[[#This Row],[Comments]]&amp;""")"</f>
        <v>launch("Coral Sea I Echo", 1951, 12, 2, CoralSeaI, paren("30 SRP"), SO, 0, "Successful mission completing the Sounding Rocket (Difficult) contract and setting a new Altitude record at 811km.")</v>
      </c>
    </row>
    <row r="15" spans="1:17" x14ac:dyDescent="0.25">
      <c r="A15" t="s">
        <v>56</v>
      </c>
      <c r="B15" s="2">
        <v>1951</v>
      </c>
      <c r="C15" s="2">
        <v>12</v>
      </c>
      <c r="D15" s="2">
        <v>9</v>
      </c>
      <c r="E15" t="s">
        <v>27</v>
      </c>
      <c r="F15" t="s">
        <v>54</v>
      </c>
      <c r="G15" s="2" t="s">
        <v>17</v>
      </c>
      <c r="H15" s="2">
        <v>0</v>
      </c>
      <c r="I15" t="s">
        <v>58</v>
      </c>
      <c r="K15" s="3">
        <v>761</v>
      </c>
      <c r="L15" s="3">
        <v>1300</v>
      </c>
      <c r="M15" s="3">
        <v>760</v>
      </c>
      <c r="N15" s="3">
        <f>2926+2959+5359+12480+11280+5326</f>
        <v>40330</v>
      </c>
      <c r="O15" s="3">
        <f t="shared" si="0"/>
        <v>37509</v>
      </c>
      <c r="P15" s="1">
        <f t="shared" si="1"/>
        <v>13.296348812477845</v>
      </c>
      <c r="Q15" s="3" t="str">
        <f>"launch("""&amp;Table1[[#This Row],[Name]]&amp;""", "&amp;Table1[[#This Row],[Year]]&amp;", "&amp;Table1[[#This Row],[Month]]&amp;", "&amp;Table1[[#This Row],[Day]]&amp;", "&amp;Table1[[#This Row],[LV]]&amp;", "&amp;Table1[[#This Row],[Payload]]&amp;", "&amp;Table1[[#This Row],[Dest]]&amp;", "&amp;Table1[[#This Row],[Result]]&amp;", """&amp;Table1[[#This Row],[Comments]]&amp;""")"</f>
        <v>launch("Coral Sea I Foxtrot", 1951, 12, 9, CoralSeaI, paren("26 SRP"), SO, 0, "Successful mission completing the Sounding Rocket (Difficult) contract and setting a new Altitude record at 1051km.")</v>
      </c>
    </row>
    <row r="16" spans="1:17" x14ac:dyDescent="0.25">
      <c r="A16" t="s">
        <v>59</v>
      </c>
      <c r="B16" s="2">
        <v>1951</v>
      </c>
      <c r="C16" s="2">
        <v>12</v>
      </c>
      <c r="D16" s="2">
        <v>13</v>
      </c>
      <c r="E16" t="s">
        <v>16</v>
      </c>
      <c r="F16" t="s">
        <v>49</v>
      </c>
      <c r="G16" s="2" t="s">
        <v>17</v>
      </c>
      <c r="H16" s="2">
        <v>0</v>
      </c>
      <c r="I16" t="s">
        <v>24</v>
      </c>
      <c r="K16" s="3">
        <v>463</v>
      </c>
      <c r="L16" s="3">
        <v>793</v>
      </c>
      <c r="M16" s="3">
        <v>460</v>
      </c>
      <c r="N16" s="3">
        <f>3656+6056</f>
        <v>9712</v>
      </c>
      <c r="O16" s="3">
        <f t="shared" si="0"/>
        <v>7996</v>
      </c>
      <c r="P16" s="1">
        <f t="shared" si="1"/>
        <v>4.6596736596736594</v>
      </c>
      <c r="Q16" s="3" t="str">
        <f>"launch("""&amp;Table1[[#This Row],[Name]]&amp;""", "&amp;Table1[[#This Row],[Year]]&amp;", "&amp;Table1[[#This Row],[Month]]&amp;", "&amp;Table1[[#This Row],[Day]]&amp;", "&amp;Table1[[#This Row],[LV]]&amp;", "&amp;Table1[[#This Row],[Payload]]&amp;", "&amp;Table1[[#This Row],[Dest]]&amp;", "&amp;Table1[[#This Row],[Result]]&amp;", """&amp;Table1[[#This Row],[Comments]]&amp;""")"</f>
        <v>launch("Wake Island II Juliet", 1951, 12, 13, WakeIslandII, paren("756 SRP"), SO, 0, "Successful mission completing the Sounding Rocket (Difficult) contract.")</v>
      </c>
    </row>
    <row r="17" spans="1:17" x14ac:dyDescent="0.25">
      <c r="A17" t="s">
        <v>60</v>
      </c>
      <c r="B17" s="2">
        <v>1951</v>
      </c>
      <c r="C17" s="2">
        <v>12</v>
      </c>
      <c r="D17" s="2"/>
      <c r="E17" t="s">
        <v>27</v>
      </c>
      <c r="F17" t="s">
        <v>28</v>
      </c>
      <c r="G17" s="2" t="s">
        <v>17</v>
      </c>
      <c r="H17" s="2">
        <v>0</v>
      </c>
      <c r="I17" t="s">
        <v>58</v>
      </c>
      <c r="K17" s="3">
        <v>761</v>
      </c>
      <c r="L17" s="3">
        <v>1300</v>
      </c>
      <c r="M17" s="3">
        <v>760</v>
      </c>
      <c r="N17" s="3">
        <v>0</v>
      </c>
      <c r="O17" s="3">
        <f t="shared" si="0"/>
        <v>-2821</v>
      </c>
      <c r="P17" s="1">
        <f t="shared" si="1"/>
        <v>-1</v>
      </c>
      <c r="Q17" s="3" t="str">
        <f>"launch("""&amp;Table1[[#This Row],[Name]]&amp;""", "&amp;Table1[[#This Row],[Year]]&amp;", "&amp;Table1[[#This Row],[Month]]&amp;", "&amp;Table1[[#This Row],[Day]]&amp;", "&amp;Table1[[#This Row],[LV]]&amp;", "&amp;Table1[[#This Row],[Payload]]&amp;", "&amp;Table1[[#This Row],[Dest]]&amp;", "&amp;Table1[[#This Row],[Result]]&amp;", """&amp;Table1[[#This Row],[Comments]]&amp;""")"</f>
        <v>launch("Coral Sea I Golf", 1951, 12, , CoralSeaI, None, SO, 0, "Successful mission completing the Sounding Rocket (Difficult) contract and setting a new Altitude record at 1051km.")</v>
      </c>
    </row>
    <row r="18" spans="1:17" x14ac:dyDescent="0.25">
      <c r="A18" t="s">
        <v>61</v>
      </c>
      <c r="B18" s="2">
        <v>1952</v>
      </c>
      <c r="C18" s="2">
        <v>1</v>
      </c>
      <c r="D18" s="2">
        <v>6</v>
      </c>
      <c r="E18" t="s">
        <v>65</v>
      </c>
      <c r="F18" t="s">
        <v>69</v>
      </c>
      <c r="G18" s="2" t="s">
        <v>63</v>
      </c>
      <c r="H18" s="2">
        <v>2</v>
      </c>
      <c r="I18" t="s">
        <v>64</v>
      </c>
      <c r="K18" s="3">
        <f>2223+13850+1725+209+5350+666+16174</f>
        <v>40197</v>
      </c>
      <c r="L18" s="3">
        <v>4923</v>
      </c>
      <c r="M18" s="3">
        <v>2225</v>
      </c>
      <c r="N18" s="3">
        <v>0</v>
      </c>
      <c r="O18" s="3">
        <f t="shared" si="0"/>
        <v>-47345</v>
      </c>
      <c r="P18" s="1">
        <f t="shared" si="1"/>
        <v>-1</v>
      </c>
      <c r="Q18" s="3" t="str">
        <f>"launch("""&amp;Table1[[#This Row],[Name]]&amp;""", "&amp;Table1[[#This Row],[Year]]&amp;", "&amp;Table1[[#This Row],[Month]]&amp;", "&amp;Table1[[#This Row],[Day]]&amp;", "&amp;Table1[[#This Row],[LV]]&amp;", "&amp;Table1[[#This Row],[Payload]]&amp;", "&amp;Table1[[#This Row],[Dest]]&amp;", "&amp;Table1[[#This Row],[Result]]&amp;", """&amp;Table1[[#This Row],[Comments]]&amp;""")"</f>
        <v>launch("Midway Alpha", 1952, 1, 6, MidwayI, Payload("Yorktown 0-1", "First Orbital Satellite", "Modifed Lightning II Satellite Stage"), LEO, 2, "The second stage Wake Island II engine failed to ignite and range safety terminated the launch over the Pacific.")</v>
      </c>
    </row>
    <row r="19" spans="1:17" x14ac:dyDescent="0.25">
      <c r="A19" t="s">
        <v>62</v>
      </c>
      <c r="B19" s="2">
        <v>1952</v>
      </c>
      <c r="C19" s="2">
        <v>1</v>
      </c>
      <c r="D19" s="2">
        <v>26</v>
      </c>
      <c r="E19" t="s">
        <v>65</v>
      </c>
      <c r="F19" t="s">
        <v>68</v>
      </c>
      <c r="G19" s="2" t="s">
        <v>63</v>
      </c>
      <c r="H19" s="2">
        <v>1</v>
      </c>
      <c r="I19" t="s">
        <v>66</v>
      </c>
      <c r="K19" s="3">
        <v>2225</v>
      </c>
      <c r="L19" s="3">
        <v>4923</v>
      </c>
      <c r="M19" s="3">
        <v>2225</v>
      </c>
      <c r="N19" s="3">
        <f>3228+0</f>
        <v>3228</v>
      </c>
      <c r="O19" s="3">
        <f t="shared" si="0"/>
        <v>-6145</v>
      </c>
      <c r="P19" s="1">
        <f t="shared" si="1"/>
        <v>-0.65560652939293718</v>
      </c>
      <c r="Q19" s="3" t="str">
        <f>"launch("""&amp;Table1[[#This Row],[Name]]&amp;""", "&amp;Table1[[#This Row],[Year]]&amp;", "&amp;Table1[[#This Row],[Month]]&amp;", "&amp;Table1[[#This Row],[Day]]&amp;", "&amp;Table1[[#This Row],[LV]]&amp;", "&amp;Table1[[#This Row],[Payload]]&amp;", "&amp;Table1[[#This Row],[Dest]]&amp;", "&amp;Table1[[#This Row],[Result]]&amp;", """&amp;Table1[[#This Row],[Comments]]&amp;""")"</f>
        <v>launch("Midway Bravo", 1952, 1, 26, MidwayI, Payload("Yorktown 0-2", "First Orbital Satellite", "Modifed Lightning II Satellite Stage"), LEO, 1, "One of the first stage RD-101 engines shutdown early causing an unrecoverable trajectory that ended in a firey crash into the Pacific")</v>
      </c>
    </row>
    <row r="20" spans="1:17" x14ac:dyDescent="0.25">
      <c r="A20" t="s">
        <v>67</v>
      </c>
      <c r="B20" s="2">
        <v>1952</v>
      </c>
      <c r="C20" s="2">
        <v>2</v>
      </c>
      <c r="D20" s="2">
        <v>16</v>
      </c>
      <c r="E20" t="s">
        <v>65</v>
      </c>
      <c r="F20" t="s">
        <v>70</v>
      </c>
      <c r="G20" s="2" t="s">
        <v>63</v>
      </c>
      <c r="H20" s="2">
        <v>0</v>
      </c>
      <c r="I20" t="s">
        <v>71</v>
      </c>
      <c r="K20" s="3">
        <f>2272+6900</f>
        <v>9172</v>
      </c>
      <c r="L20" s="3">
        <v>4923</v>
      </c>
      <c r="M20" s="3">
        <f>454*5</f>
        <v>2270</v>
      </c>
      <c r="N20" s="3">
        <f>19680+1840+162000+17280+16080+14880+5628+9600+7200</f>
        <v>254188</v>
      </c>
      <c r="O20" s="3">
        <f t="shared" ref="O20" si="2">N20-M20-L20-K20</f>
        <v>237823</v>
      </c>
      <c r="P20" s="1">
        <f t="shared" ref="P20" si="3">O20/SUM(K20:M20)</f>
        <v>14.53241674304919</v>
      </c>
      <c r="Q20" s="3" t="str">
        <f>"launch("""&amp;Table1[[#This Row],[Name]]&amp;""", "&amp;Table1[[#This Row],[Year]]&amp;", "&amp;Table1[[#This Row],[Month]]&amp;", "&amp;Table1[[#This Row],[Day]]&amp;", "&amp;Table1[[#This Row],[LV]]&amp;", "&amp;Table1[[#This Row],[Payload]]&amp;", "&amp;Table1[[#This Row],[Dest]]&amp;", "&amp;Table1[[#This Row],[Result]]&amp;", """&amp;Table1[[#This Row],[Comments]]&amp;""")"</f>
        <v>launch("Midway Charlie", 1952, 2, 16, MidwayI, Payload("Yorktown 1", "First Orbital Satellite", "Modifed Lightning II Satellite Stage"), LEO, 0, "The Yorktown became the MSA's first satellite after entering into a very eccentric orbit on February 16, 1952. With enough battery for 12 orbits, great science data was received.")</v>
      </c>
    </row>
    <row r="33" spans="14:14" x14ac:dyDescent="0.25">
      <c r="N33">
        <f>2/1.04</f>
        <v>1.9230769230769229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</dc:creator>
  <cp:lastModifiedBy>Pap</cp:lastModifiedBy>
  <dcterms:created xsi:type="dcterms:W3CDTF">2018-12-15T04:46:13Z</dcterms:created>
  <dcterms:modified xsi:type="dcterms:W3CDTF">2018-12-16T16:13:20Z</dcterms:modified>
</cp:coreProperties>
</file>