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p\Dropbox\GAMES\KSP\Git\RitS-RP1-MSA\Server\"/>
    </mc:Choice>
  </mc:AlternateContent>
  <xr:revisionPtr revIDLastSave="0" documentId="13_ncr:1_{A0A9C935-8EE6-4D09-881C-04A5C91246F3}" xr6:coauthVersionLast="40" xr6:coauthVersionMax="40" xr10:uidLastSave="{00000000-0000-0000-0000-000000000000}"/>
  <bookViews>
    <workbookView xWindow="0" yWindow="0" windowWidth="28800" windowHeight="11925" xr2:uid="{988F3485-20E1-4533-B365-D30F020FB431}"/>
  </bookViews>
  <sheets>
    <sheet name="Sheet1" sheetId="1" r:id="rId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4" i="1" l="1"/>
  <c r="O44" i="1" s="1"/>
  <c r="P44" i="1" s="1"/>
  <c r="M44" i="1"/>
  <c r="Q44" i="1"/>
  <c r="N43" i="1"/>
  <c r="M43" i="1"/>
  <c r="Q43" i="1"/>
  <c r="N42" i="1"/>
  <c r="O42" i="1" s="1"/>
  <c r="P42" i="1" s="1"/>
  <c r="L42" i="1"/>
  <c r="M42" i="1"/>
  <c r="Q42" i="1"/>
  <c r="N41" i="1"/>
  <c r="L41" i="1"/>
  <c r="Q41" i="1"/>
  <c r="N40" i="1"/>
  <c r="O40" i="1" s="1"/>
  <c r="P40" i="1" s="1"/>
  <c r="Q40" i="1"/>
  <c r="N39" i="1"/>
  <c r="O39" i="1" s="1"/>
  <c r="P39" i="1" s="1"/>
  <c r="Q39" i="1"/>
  <c r="N38" i="1"/>
  <c r="O38" i="1" s="1"/>
  <c r="P38" i="1" s="1"/>
  <c r="Q38" i="1"/>
  <c r="N37" i="1"/>
  <c r="O37" i="1" s="1"/>
  <c r="P37" i="1" s="1"/>
  <c r="Q37" i="1"/>
  <c r="O36" i="1"/>
  <c r="P36" i="1" s="1"/>
  <c r="Q36" i="1"/>
  <c r="K35" i="1"/>
  <c r="O35" i="1" s="1"/>
  <c r="P35" i="1" s="1"/>
  <c r="Q35" i="1"/>
  <c r="O34" i="1"/>
  <c r="P34" i="1" s="1"/>
  <c r="Q34" i="1"/>
  <c r="N33" i="1"/>
  <c r="O33" i="1"/>
  <c r="P33" i="1" s="1"/>
  <c r="N32" i="1"/>
  <c r="Q33" i="1"/>
  <c r="O43" i="1" l="1"/>
  <c r="P43" i="1" s="1"/>
  <c r="O41" i="1"/>
  <c r="P41" i="1" s="1"/>
  <c r="M32" i="1"/>
  <c r="O32" i="1" s="1"/>
  <c r="P32" i="1" s="1"/>
  <c r="Q32" i="1"/>
  <c r="N31" i="1"/>
  <c r="O31" i="1" s="1"/>
  <c r="P31" i="1" s="1"/>
  <c r="Q31" i="1"/>
  <c r="N30" i="1"/>
  <c r="O30" i="1" s="1"/>
  <c r="P30" i="1" s="1"/>
  <c r="Q30" i="1"/>
  <c r="M29" i="1"/>
  <c r="O29" i="1" s="1"/>
  <c r="P29" i="1" s="1"/>
  <c r="Q29" i="1"/>
  <c r="N28" i="1"/>
  <c r="O28" i="1" s="1"/>
  <c r="P28" i="1" s="1"/>
  <c r="Q28" i="1"/>
  <c r="N27" i="1"/>
  <c r="O27" i="1" s="1"/>
  <c r="P27" i="1" s="1"/>
  <c r="Q27" i="1"/>
  <c r="N26" i="1"/>
  <c r="O26" i="1" s="1"/>
  <c r="P26" i="1" s="1"/>
  <c r="Q26" i="1"/>
  <c r="N25" i="1"/>
  <c r="O25" i="1" s="1"/>
  <c r="P25" i="1" s="1"/>
  <c r="Q25" i="1"/>
  <c r="O24" i="1"/>
  <c r="P24" i="1" s="1"/>
  <c r="Q24" i="1"/>
  <c r="M23" i="1"/>
  <c r="O23" i="1" s="1"/>
  <c r="P23" i="1" s="1"/>
  <c r="Q23" i="1"/>
  <c r="M22" i="1"/>
  <c r="O22" i="1"/>
  <c r="P22" i="1" s="1"/>
  <c r="Q22" i="1"/>
  <c r="M21" i="1"/>
  <c r="N21" i="1"/>
  <c r="O7" i="1"/>
  <c r="O9" i="1"/>
  <c r="O17" i="1"/>
  <c r="Q21" i="1"/>
  <c r="N20" i="1"/>
  <c r="M20" i="1"/>
  <c r="K20" i="1"/>
  <c r="Q20" i="1"/>
  <c r="N19" i="1"/>
  <c r="O19" i="1" s="1"/>
  <c r="O20" i="1" l="1"/>
  <c r="P20" i="1" s="1"/>
  <c r="O21" i="1"/>
  <c r="P21" i="1" s="1"/>
  <c r="Q19" i="1"/>
  <c r="P19" i="1"/>
  <c r="K18" i="1"/>
  <c r="O18" i="1" s="1"/>
  <c r="Q18" i="1"/>
  <c r="Q17" i="1"/>
  <c r="P17" i="1"/>
  <c r="N16" i="1"/>
  <c r="Q16" i="1"/>
  <c r="N15" i="1"/>
  <c r="Q15" i="1"/>
  <c r="N14" i="1"/>
  <c r="Q14" i="1"/>
  <c r="N13" i="1"/>
  <c r="L13" i="1"/>
  <c r="N12" i="1"/>
  <c r="N11" i="1"/>
  <c r="Q12" i="1"/>
  <c r="Q13" i="1"/>
  <c r="N10" i="1"/>
  <c r="M11" i="1"/>
  <c r="Q11" i="1"/>
  <c r="Q10" i="1"/>
  <c r="N8" i="1"/>
  <c r="O8" i="1" s="1"/>
  <c r="P9" i="1"/>
  <c r="Q9" i="1"/>
  <c r="Q8" i="1"/>
  <c r="P8" i="1"/>
  <c r="P7" i="1"/>
  <c r="Q7" i="1"/>
  <c r="N6" i="1"/>
  <c r="Q6" i="1"/>
  <c r="N5" i="1"/>
  <c r="Q5" i="1"/>
  <c r="N4" i="1"/>
  <c r="Q4" i="1"/>
  <c r="N2" i="1"/>
  <c r="O2" i="1" s="1"/>
  <c r="N3" i="1"/>
  <c r="O3" i="1" s="1"/>
  <c r="P3" i="1" s="1"/>
  <c r="Q2" i="1"/>
  <c r="Q3" i="1"/>
  <c r="O13" i="1" l="1"/>
  <c r="P13" i="1" s="1"/>
  <c r="O14" i="1"/>
  <c r="P14" i="1" s="1"/>
  <c r="O4" i="1"/>
  <c r="P4" i="1" s="1"/>
  <c r="O10" i="1"/>
  <c r="P10" i="1" s="1"/>
  <c r="O5" i="1"/>
  <c r="P5" i="1" s="1"/>
  <c r="O11" i="1"/>
  <c r="P11" i="1" s="1"/>
  <c r="O15" i="1"/>
  <c r="P15" i="1" s="1"/>
  <c r="O6" i="1"/>
  <c r="P6" i="1" s="1"/>
  <c r="O12" i="1"/>
  <c r="P12" i="1" s="1"/>
  <c r="O16" i="1"/>
  <c r="P16" i="1" s="1"/>
  <c r="P18" i="1"/>
  <c r="P2" i="1"/>
</calcChain>
</file>

<file path=xl/sharedStrings.xml><?xml version="1.0" encoding="utf-8"?>
<sst xmlns="http://schemas.openxmlformats.org/spreadsheetml/2006/main" count="232" uniqueCount="127">
  <si>
    <t>Name</t>
  </si>
  <si>
    <t>Year</t>
  </si>
  <si>
    <t>Month</t>
  </si>
  <si>
    <t>Day</t>
  </si>
  <si>
    <t>LV</t>
  </si>
  <si>
    <t>Payload</t>
  </si>
  <si>
    <t>Dest</t>
  </si>
  <si>
    <t>Result</t>
  </si>
  <si>
    <t>Comments</t>
  </si>
  <si>
    <t>Images</t>
  </si>
  <si>
    <t>Cost</t>
  </si>
  <si>
    <t>RO Cost</t>
  </si>
  <si>
    <t>RB Cost</t>
  </si>
  <si>
    <t>Profit</t>
  </si>
  <si>
    <t>Rewards</t>
  </si>
  <si>
    <t>Wake Island II Echo</t>
  </si>
  <si>
    <t>WakeIslandII</t>
  </si>
  <si>
    <t>SO</t>
  </si>
  <si>
    <t>Successful mission completing the Sounding Rocket (Difficult) contract and setting a new Altitude record at 351km.</t>
  </si>
  <si>
    <t>% Profit</t>
  </si>
  <si>
    <t>Wake Island II Foxtrot</t>
  </si>
  <si>
    <t>Output</t>
  </si>
  <si>
    <t>Successful mission completing the Sounding Rocket (Difficult) contract and setting a new Altitude record at 421km.</t>
  </si>
  <si>
    <t>Wake Island II Golf</t>
  </si>
  <si>
    <t>Successful mission completing the Sounding Rocket (Difficult) contract.</t>
  </si>
  <si>
    <t>Wake Island II Hotel</t>
  </si>
  <si>
    <t>Coral Sea I Alpha</t>
  </si>
  <si>
    <t>CoralSeaI</t>
  </si>
  <si>
    <t>None</t>
  </si>
  <si>
    <t>Hope IV</t>
  </si>
  <si>
    <t>XASR-1 failed to ignite and the mission failed at 100km.</t>
  </si>
  <si>
    <t>Coral Sea I Bravo</t>
  </si>
  <si>
    <t>The crew of Jebediah Kerman and Bill Kerman reached an apoapsis of 158km and became the second crew to go to Space.</t>
  </si>
  <si>
    <t>Hope V</t>
  </si>
  <si>
    <t>EA</t>
  </si>
  <si>
    <t>Successful mission setting a new altitude record of 505km.</t>
  </si>
  <si>
    <t>Coral Sea I Charlie</t>
  </si>
  <si>
    <t>Successful flight that achieved an 80km apoapsis to fulfill a contract.</t>
  </si>
  <si>
    <t>paren("72 SRP")</t>
  </si>
  <si>
    <t>paren("36 SRP")</t>
  </si>
  <si>
    <t>paren("458 SRP")</t>
  </si>
  <si>
    <t>paren("562 SRP")</t>
  </si>
  <si>
    <t>paren("35 SRP")</t>
  </si>
  <si>
    <t>Successful mission setting a new altitude record of 650km and completing a Sounding Rocket (Easy) contract.</t>
  </si>
  <si>
    <t>Hope VI</t>
  </si>
  <si>
    <t>Payload("Hope Cockpit", "Mission to Reach Space", "Jebediah Kerman &amp; Bill Kerman")</t>
  </si>
  <si>
    <t>Payload("Hope Cockpit", "Mission to Reach 80km", "Valentina Kerman &amp; Traby Kerman")</t>
  </si>
  <si>
    <t>Coral Sea I Delta</t>
  </si>
  <si>
    <t>Wake Island II India</t>
  </si>
  <si>
    <t>paren("756 SRP")</t>
  </si>
  <si>
    <t>Successful mission, but our astronauts experienced a very difficult reentry and both wound up losing conciousness.</t>
  </si>
  <si>
    <t>paren("92 SRP")</t>
  </si>
  <si>
    <t>Successful mission completing the Sounding Rocket (Difficult) contract and setting a new Altitude record at 728km.</t>
  </si>
  <si>
    <t>Coral Sea I Echo</t>
  </si>
  <si>
    <t>paren("26 SRP")</t>
  </si>
  <si>
    <t>Successful mission completing the Sounding Rocket (Difficult) contract and setting a new Altitude record at 811km.</t>
  </si>
  <si>
    <t>Coral Sea I Foxtrot</t>
  </si>
  <si>
    <t>paren("30 SRP")</t>
  </si>
  <si>
    <t>Successful mission completing the Sounding Rocket (Difficult) contract and setting a new Altitude record at 1051km.</t>
  </si>
  <si>
    <t>Wake Island II Juliet</t>
  </si>
  <si>
    <t>Coral Sea I Golf</t>
  </si>
  <si>
    <t>LEO</t>
  </si>
  <si>
    <t>The second stage Wake Island II engine failed to ignite and range safety terminated the launch over the Pacific.</t>
  </si>
  <si>
    <t>MidwayI</t>
  </si>
  <si>
    <t>One of the first stage RD-101 engines shutdown early causing an unrecoverable trajectory that ended in a firey crash into the Pacific</t>
  </si>
  <si>
    <t>Payload("Yorktown 0-2", "First Orbital Satellite", "Modifed Lightning II Satellite Stage")</t>
  </si>
  <si>
    <t>Payload("Yorktown 0-1", "First Orbital Satellite", "Modifed Lightning II Satellite Stage")</t>
  </si>
  <si>
    <t>Payload("Yorktown 1", "First Orbital Satellite", "Modifed Lightning II Satellite Stage")</t>
  </si>
  <si>
    <t>The Yorktown became the MSA's first satellite after entering into a very eccentric orbit on February 16, 1952. With enough battery for 12 orbits, great science data was received.</t>
  </si>
  <si>
    <t>Midway Yorktown 0-1</t>
  </si>
  <si>
    <t>Midway Yorktown 0-2</t>
  </si>
  <si>
    <t>Midway Yorktown 1</t>
  </si>
  <si>
    <t>Midway Yorktown 2</t>
  </si>
  <si>
    <t>Payload("Yorktown 2", "Polar Orbital Satellite", "Modifed Lightning II Satellite Stage")</t>
  </si>
  <si>
    <t>Midway Yorktown 0-3</t>
  </si>
  <si>
    <t>Payload("Yorktown 0-3", "Polar Orbital Satellite", "Modifed Lightning II Satellite Stage")</t>
  </si>
  <si>
    <t>Poor coding in the launch script caused vapor in the feedlines of the Aerobee engines that failed to light.</t>
  </si>
  <si>
    <t>The angle of the probe when the final stage was fired was too high off the horizon and we missed orbit with an Ap 2380 km x Pe 135km. However, we made 10 orbits of Earth before burning up and returned a lot of science.</t>
  </si>
  <si>
    <t>Midway Yorktown 3</t>
  </si>
  <si>
    <t>Payload("Yorktown 3", "Polar Orbital Satellite", "Modifed Lightning II Satellite Stage")</t>
  </si>
  <si>
    <t>One XASR-1 engine failed in the 3rd stage causing a precession of the craft. The other engines managed to burn for an extended period of time, but the precession caused our inclination to go to 95.36 and we failed the mission.</t>
  </si>
  <si>
    <t>Midway Yorktown 0-4</t>
  </si>
  <si>
    <t>The fourth polar orbit attempt was finally successful! Despite the success, the Polar Orbiting Satellite was not a financially profitable mission, but the scientific returns were tremendous.</t>
  </si>
  <si>
    <t>WakeIslandIII</t>
  </si>
  <si>
    <t>paren("310 SRP")</t>
  </si>
  <si>
    <t>paren("1868 SRP")</t>
  </si>
  <si>
    <t>Wake Island III Alpha</t>
  </si>
  <si>
    <t>Wake Island III Bravo</t>
  </si>
  <si>
    <t>paren("2000 SRP")</t>
  </si>
  <si>
    <t>paren("954 SRP")</t>
  </si>
  <si>
    <t>Wake Island III Charlie</t>
  </si>
  <si>
    <t>Wake Island III Delta</t>
  </si>
  <si>
    <t>RD-101 Engine Failure</t>
  </si>
  <si>
    <t>Wake Island III Echo</t>
  </si>
  <si>
    <t>Wake Island III Foxtrot</t>
  </si>
  <si>
    <t>paren("1984 SRP")</t>
  </si>
  <si>
    <t>paren("944 SRP")</t>
  </si>
  <si>
    <t>Wake Island III Golf</t>
  </si>
  <si>
    <t>Wake Island III Hotel</t>
  </si>
  <si>
    <t>paren("938 SRP")</t>
  </si>
  <si>
    <t>paren("948 SRP to 550km")</t>
  </si>
  <si>
    <t>Wake Island III India</t>
  </si>
  <si>
    <t>Wake Island III Juliet</t>
  </si>
  <si>
    <t>paren("940 SRP to 660km")</t>
  </si>
  <si>
    <t>Did not have enough Delta-v and only reached 630km</t>
  </si>
  <si>
    <t>Wake Island IV Alpha</t>
  </si>
  <si>
    <t>RD-102 Engine Failure</t>
  </si>
  <si>
    <t>Wake Island IV Bravo</t>
  </si>
  <si>
    <t>Did not have enough Delta-v and only reached 650km</t>
  </si>
  <si>
    <t>Wake Island IV Charlie</t>
  </si>
  <si>
    <t>paren("940 SRP to 430km")</t>
  </si>
  <si>
    <t>Successful mission completing the Sounding Rocket (Intermediate) contract.</t>
  </si>
  <si>
    <t>Wake Island IV Delta</t>
  </si>
  <si>
    <t>paren("2000 SRP to 340km")</t>
  </si>
  <si>
    <t>paren("592 SRP to 520km")</t>
  </si>
  <si>
    <t>Wake Island IV Echo</t>
  </si>
  <si>
    <t>Wake Island IV Foxtrot</t>
  </si>
  <si>
    <t>paren("1984 SRP to 420km")</t>
  </si>
  <si>
    <t>paren("1994 SRP to 520km")</t>
  </si>
  <si>
    <t>Wake Island IV Golf</t>
  </si>
  <si>
    <t>MidwayII</t>
  </si>
  <si>
    <t>Midway II Alpha</t>
  </si>
  <si>
    <t>paren("2016 SRP to 640km")</t>
  </si>
  <si>
    <t>paren("2006 SRP to 800km")</t>
  </si>
  <si>
    <t>Midway II Bravo</t>
  </si>
  <si>
    <t>paren("2006 SRP to 960km")</t>
  </si>
  <si>
    <t>Midway II Charlie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</si>
</sst>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9" fontId="0" fillId="0" borderId="0" xfId="1" applyFont="1" applyAlignment="1">
      <alignment horizontal="center"/>
    </xf>
    <xf numFmtId="0" fontId="0" fillId="0" borderId="0" xfId="0" applyAlignment="1">
      <alignment horizontal="center"/>
    </xf>
    <xf numFmtId="6" fontId="0" fillId="0" borderId="0" xfId="0" applyNumberFormat="1" applyAlignment="1">
      <alignment horizontal="center"/>
    </xf>
  </cellXfs>
  <cellStyles count="2">
    <cellStyle name="Normal" xfId="0" builtinId="0"/>
    <cellStyle name="Percent" xfId="1" builtinId="5"/>
  </cellStyles>
  <dxfs count="12">
    <dxf>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F7E0FB-9368-464C-8FB1-6FBB81C487EC}" name="Table1" displayName="Table1" ref="A1:Q44" totalsRowShown="0">
  <autoFilter ref="A1:Q44" xr:uid="{DD6BB9AF-34DE-4896-A56F-BE52C72DCFEE}"/>
  <tableColumns count="17">
    <tableColumn id="1" xr3:uid="{BD136624-6EBC-414F-8E9F-E926712A1AAD}" name="Name"/>
    <tableColumn id="2" xr3:uid="{96DBC543-7791-4569-8CA3-504411D11240}" name="Year" dataDxfId="11"/>
    <tableColumn id="3" xr3:uid="{B919A749-B506-4EED-937B-2A074B8E4645}" name="Month" dataDxfId="10"/>
    <tableColumn id="4" xr3:uid="{391AECD0-0223-48C5-A183-4AA4D397CCBA}" name="Day" dataDxfId="9"/>
    <tableColumn id="5" xr3:uid="{C9CF5B0B-2112-45F1-BFBD-03C9B82CF83B}" name="LV"/>
    <tableColumn id="6" xr3:uid="{C60B8BC3-1676-4BAE-A658-1570C7633540}" name="Payload"/>
    <tableColumn id="7" xr3:uid="{3FA0C583-9916-4D9A-A18B-699C95C601E5}" name="Dest" dataDxfId="8"/>
    <tableColumn id="8" xr3:uid="{4C998C55-F2A2-4B38-8D50-ED27419B65DE}" name="Result" dataDxfId="7"/>
    <tableColumn id="9" xr3:uid="{248CC5A2-0776-4157-8955-19A65030BA15}" name="Comments"/>
    <tableColumn id="10" xr3:uid="{AFEE6C80-9CFD-4808-B318-94CE6B57FBB4}" name="Images"/>
    <tableColumn id="11" xr3:uid="{99DB60F2-71DC-4BE2-AA2A-3CB51C18303C}" name="Cost" dataDxfId="6"/>
    <tableColumn id="12" xr3:uid="{7A83807A-A320-47E9-8BA2-B68E5C98BDDE}" name="RO Cost" dataDxfId="5"/>
    <tableColumn id="13" xr3:uid="{57CA3868-9DC7-4B8D-B4C7-E2447DA07945}" name="RB Cost" dataDxfId="4">
      <calculatedColumnFormula>80*5</calculatedColumnFormula>
    </tableColumn>
    <tableColumn id="14" xr3:uid="{9BD24E71-7AC9-4402-93C4-DC580838778F}" name="Rewards" dataDxfId="3">
      <calculatedColumnFormula>1866+1844+813</calculatedColumnFormula>
    </tableColumn>
    <tableColumn id="15" xr3:uid="{4634B5E6-16D1-420A-80B0-855A247EFC63}" name="Profit" dataDxfId="2">
      <calculatedColumnFormula>N2-M2-L2-K2</calculatedColumnFormula>
    </tableColumn>
    <tableColumn id="16" xr3:uid="{9C716E20-F127-4F6B-B841-28C2D9E0E0C9}" name="% Profit" dataDxfId="1" dataCellStyle="Percent">
      <calculatedColumnFormula>O2/SUM(K2:M2)</calculatedColumnFormula>
    </tableColumn>
    <tableColumn id="17" xr3:uid="{90ED4C78-FA4B-4F09-B133-319D7931B888}" name="Output" dataDxfId="0">
      <calculatedColumnFormula>"launch("""&amp;Table1[[#This Row],[Name]]&amp;""", "&amp;Table1[[#This Row],[Year]]&amp;", "&amp;Table1[[#This Row],[Month]]&amp;", "&amp;Table1[[#This Row],[Day]]&amp;", "&amp;Table1[[#This Row],[LV]]&amp;", "&amp;Table1[[#This Row],[Payload]]&amp;", "&amp;Table1[[#This Row],[Dest]]&amp;", "&amp;Table1[[#This Row],[Result]]&amp;", """&amp;Table1[[#This Row],[Comments]]&amp;""")"</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E706-1788-43F5-BC12-550FDF7BE321}">
  <dimension ref="A1:Q44"/>
  <sheetViews>
    <sheetView tabSelected="1" workbookViewId="0">
      <selection activeCell="J13" sqref="J13"/>
    </sheetView>
  </sheetViews>
  <sheetFormatPr defaultRowHeight="15" x14ac:dyDescent="0.25"/>
  <cols>
    <col min="1" max="1" width="18.140625" bestFit="1" customWidth="1"/>
    <col min="2" max="2" width="7.140625" customWidth="1"/>
    <col min="5" max="5" width="13.140625" bestFit="1" customWidth="1"/>
    <col min="6" max="6" width="25" customWidth="1"/>
    <col min="7" max="7" width="7.140625" customWidth="1"/>
    <col min="8" max="8" width="8.7109375" customWidth="1"/>
    <col min="9" max="9" width="12.7109375" customWidth="1"/>
    <col min="10" max="10" width="9.42578125" customWidth="1"/>
    <col min="11" max="11" width="8.28515625" bestFit="1" customWidth="1"/>
    <col min="12" max="12" width="10" customWidth="1"/>
    <col min="13" max="13" width="9.7109375" customWidth="1"/>
    <col min="14" max="15" width="10.85546875" bestFit="1" customWidth="1"/>
    <col min="16" max="16" width="10.140625" customWidth="1"/>
    <col min="17" max="17" width="55.7109375" customWidth="1"/>
  </cols>
  <sheetData>
    <row r="1" spans="1:17" x14ac:dyDescent="0.25">
      <c r="A1" t="s">
        <v>0</v>
      </c>
      <c r="B1" t="s">
        <v>1</v>
      </c>
      <c r="C1" t="s">
        <v>2</v>
      </c>
      <c r="D1" t="s">
        <v>3</v>
      </c>
      <c r="E1" t="s">
        <v>4</v>
      </c>
      <c r="F1" t="s">
        <v>5</v>
      </c>
      <c r="G1" t="s">
        <v>6</v>
      </c>
      <c r="H1" t="s">
        <v>7</v>
      </c>
      <c r="I1" t="s">
        <v>8</v>
      </c>
      <c r="J1" t="s">
        <v>9</v>
      </c>
      <c r="K1" t="s">
        <v>10</v>
      </c>
      <c r="L1" t="s">
        <v>11</v>
      </c>
      <c r="M1" t="s">
        <v>12</v>
      </c>
      <c r="N1" t="s">
        <v>14</v>
      </c>
      <c r="O1" t="s">
        <v>13</v>
      </c>
      <c r="P1" t="s">
        <v>19</v>
      </c>
      <c r="Q1" t="s">
        <v>21</v>
      </c>
    </row>
    <row r="2" spans="1:17" x14ac:dyDescent="0.25">
      <c r="A2" t="s">
        <v>15</v>
      </c>
      <c r="B2" s="2">
        <v>1951</v>
      </c>
      <c r="C2" s="2">
        <v>7</v>
      </c>
      <c r="D2" s="2">
        <v>21</v>
      </c>
      <c r="E2" t="s">
        <v>16</v>
      </c>
      <c r="F2" t="s">
        <v>38</v>
      </c>
      <c r="G2" s="2" t="s">
        <v>17</v>
      </c>
      <c r="H2" s="2">
        <v>0</v>
      </c>
      <c r="I2" t="s">
        <v>18</v>
      </c>
      <c r="K2" s="3">
        <v>533</v>
      </c>
      <c r="L2" s="3">
        <v>759</v>
      </c>
      <c r="M2" s="3">
        <v>400</v>
      </c>
      <c r="N2" s="3">
        <f>1725+4125+4080+1270+2710</f>
        <v>13910</v>
      </c>
      <c r="O2" s="3">
        <f t="shared" ref="O2:O19" si="0">N2-M2-L2-K2</f>
        <v>12218</v>
      </c>
      <c r="P2" s="1">
        <f t="shared" ref="P2:P19" si="1">O2/SUM(K2:M2)</f>
        <v>7.2210401891252953</v>
      </c>
      <c r="Q2" s="3" t="str">
        <f>"launch("""&amp;Table1[[#This Row],[Name]]&amp;""", "&amp;Table1[[#This Row],[Year]]&amp;", "&amp;Table1[[#This Row],[Month]]&amp;", "&amp;Table1[[#This Row],[Day]]&amp;", "&amp;Table1[[#This Row],[LV]]&amp;", "&amp;Table1[[#This Row],[Payload]]&amp;", "&amp;Table1[[#This Row],[Dest]]&amp;", "&amp;Table1[[#This Row],[Result]]&amp;", """&amp;Table1[[#This Row],[Comments]]&amp;""")"</f>
        <v>launch("Wake Island II Echo", 1951, 7, 21, WakeIslandII, paren("72 SRP"), SO, 0, "Successful mission completing the Sounding Rocket (Difficult) contract and setting a new Altitude record at 351km.")</v>
      </c>
    </row>
    <row r="3" spans="1:17" x14ac:dyDescent="0.25">
      <c r="A3" t="s">
        <v>20</v>
      </c>
      <c r="B3" s="2">
        <v>1951</v>
      </c>
      <c r="C3" s="2">
        <v>8</v>
      </c>
      <c r="D3" s="2">
        <v>5</v>
      </c>
      <c r="E3" t="s">
        <v>16</v>
      </c>
      <c r="F3" t="s">
        <v>39</v>
      </c>
      <c r="G3" s="2" t="s">
        <v>17</v>
      </c>
      <c r="H3" s="2">
        <v>0</v>
      </c>
      <c r="I3" t="s">
        <v>22</v>
      </c>
      <c r="K3" s="3">
        <v>402</v>
      </c>
      <c r="L3" s="3">
        <v>758</v>
      </c>
      <c r="M3" s="3">
        <v>400</v>
      </c>
      <c r="N3" s="3">
        <f>1866+4266+5280+1844+4244+813+1533</f>
        <v>19846</v>
      </c>
      <c r="O3" s="3">
        <f t="shared" si="0"/>
        <v>18286</v>
      </c>
      <c r="P3" s="1">
        <f t="shared" si="1"/>
        <v>11.721794871794872</v>
      </c>
      <c r="Q3" s="3" t="str">
        <f>"launch("""&amp;Table1[[#This Row],[Name]]&amp;""", "&amp;Table1[[#This Row],[Year]]&amp;", "&amp;Table1[[#This Row],[Month]]&amp;", "&amp;Table1[[#This Row],[Day]]&amp;", "&amp;Table1[[#This Row],[LV]]&amp;", "&amp;Table1[[#This Row],[Payload]]&amp;", "&amp;Table1[[#This Row],[Dest]]&amp;", "&amp;Table1[[#This Row],[Result]]&amp;", """&amp;Table1[[#This Row],[Comments]]&amp;""")"</f>
        <v>launch("Wake Island II Foxtrot", 1951, 8, 5, WakeIslandII, paren("36 SRP"), SO, 0, "Successful mission completing the Sounding Rocket (Difficult) contract and setting a new Altitude record at 421km.")</v>
      </c>
    </row>
    <row r="4" spans="1:17" x14ac:dyDescent="0.25">
      <c r="A4" t="s">
        <v>23</v>
      </c>
      <c r="B4" s="2">
        <v>1951</v>
      </c>
      <c r="C4" s="2">
        <v>8</v>
      </c>
      <c r="D4" s="2">
        <v>19</v>
      </c>
      <c r="E4" t="s">
        <v>16</v>
      </c>
      <c r="F4" t="s">
        <v>40</v>
      </c>
      <c r="G4" s="2" t="s">
        <v>17</v>
      </c>
      <c r="H4" s="2">
        <v>0</v>
      </c>
      <c r="I4" t="s">
        <v>24</v>
      </c>
      <c r="K4" s="3">
        <v>423</v>
      </c>
      <c r="L4" s="3">
        <v>759</v>
      </c>
      <c r="M4" s="3">
        <v>420</v>
      </c>
      <c r="N4" s="3">
        <f>2040+1370+2810+4440</f>
        <v>10660</v>
      </c>
      <c r="O4" s="3">
        <f t="shared" si="0"/>
        <v>9058</v>
      </c>
      <c r="P4" s="1">
        <f t="shared" si="1"/>
        <v>5.6541822721598001</v>
      </c>
      <c r="Q4" s="3" t="str">
        <f>"launch("""&amp;Table1[[#This Row],[Name]]&amp;""", "&amp;Table1[[#This Row],[Year]]&amp;", "&amp;Table1[[#This Row],[Month]]&amp;", "&amp;Table1[[#This Row],[Day]]&amp;", "&amp;Table1[[#This Row],[LV]]&amp;", "&amp;Table1[[#This Row],[Payload]]&amp;", "&amp;Table1[[#This Row],[Dest]]&amp;", "&amp;Table1[[#This Row],[Result]]&amp;", """&amp;Table1[[#This Row],[Comments]]&amp;""")"</f>
        <v>launch("Wake Island II Golf", 1951, 8, 19, WakeIslandII, paren("458 SRP"), SO, 0, "Successful mission completing the Sounding Rocket (Difficult) contract.")</v>
      </c>
    </row>
    <row r="5" spans="1:17" x14ac:dyDescent="0.25">
      <c r="A5" t="s">
        <v>25</v>
      </c>
      <c r="B5" s="2">
        <v>1951</v>
      </c>
      <c r="C5" s="2">
        <v>9</v>
      </c>
      <c r="D5" s="2">
        <v>1</v>
      </c>
      <c r="E5" t="s">
        <v>16</v>
      </c>
      <c r="F5" t="s">
        <v>41</v>
      </c>
      <c r="G5" s="2" t="s">
        <v>17</v>
      </c>
      <c r="H5" s="2">
        <v>0</v>
      </c>
      <c r="I5" t="s">
        <v>24</v>
      </c>
      <c r="K5" s="3">
        <v>421</v>
      </c>
      <c r="L5" s="3">
        <v>772</v>
      </c>
      <c r="M5" s="3">
        <v>425</v>
      </c>
      <c r="N5" s="3">
        <f>1866+1844+813+4629+2967</f>
        <v>12119</v>
      </c>
      <c r="O5" s="3">
        <f t="shared" si="0"/>
        <v>10501</v>
      </c>
      <c r="P5" s="1">
        <f t="shared" si="1"/>
        <v>6.4901112484548822</v>
      </c>
      <c r="Q5" s="3" t="str">
        <f>"launch("""&amp;Table1[[#This Row],[Name]]&amp;""", "&amp;Table1[[#This Row],[Year]]&amp;", "&amp;Table1[[#This Row],[Month]]&amp;", "&amp;Table1[[#This Row],[Day]]&amp;", "&amp;Table1[[#This Row],[LV]]&amp;", "&amp;Table1[[#This Row],[Payload]]&amp;", "&amp;Table1[[#This Row],[Dest]]&amp;", "&amp;Table1[[#This Row],[Result]]&amp;", """&amp;Table1[[#This Row],[Comments]]&amp;""")"</f>
        <v>launch("Wake Island II Hotel", 1951, 9, 1, WakeIslandII, paren("562 SRP"), SO, 0, "Successful mission completing the Sounding Rocket (Difficult) contract.")</v>
      </c>
    </row>
    <row r="6" spans="1:17" x14ac:dyDescent="0.25">
      <c r="A6" t="s">
        <v>26</v>
      </c>
      <c r="B6" s="2">
        <v>1951</v>
      </c>
      <c r="C6" s="2">
        <v>9</v>
      </c>
      <c r="D6" s="2">
        <v>24</v>
      </c>
      <c r="E6" t="s">
        <v>27</v>
      </c>
      <c r="F6" t="s">
        <v>28</v>
      </c>
      <c r="G6" s="2" t="s">
        <v>17</v>
      </c>
      <c r="H6" s="2">
        <v>2</v>
      </c>
      <c r="I6" t="s">
        <v>30</v>
      </c>
      <c r="K6" s="3">
        <v>760</v>
      </c>
      <c r="L6" s="3">
        <v>1300</v>
      </c>
      <c r="M6" s="3">
        <v>760</v>
      </c>
      <c r="N6" s="3">
        <f>1980+0</f>
        <v>1980</v>
      </c>
      <c r="O6" s="3">
        <f t="shared" si="0"/>
        <v>-840</v>
      </c>
      <c r="P6" s="1">
        <f t="shared" si="1"/>
        <v>-0.2978723404255319</v>
      </c>
      <c r="Q6" s="3" t="str">
        <f>"launch("""&amp;Table1[[#This Row],[Name]]&amp;""", "&amp;Table1[[#This Row],[Year]]&amp;", "&amp;Table1[[#This Row],[Month]]&amp;", "&amp;Table1[[#This Row],[Day]]&amp;", "&amp;Table1[[#This Row],[LV]]&amp;", "&amp;Table1[[#This Row],[Payload]]&amp;", "&amp;Table1[[#This Row],[Dest]]&amp;", "&amp;Table1[[#This Row],[Result]]&amp;", """&amp;Table1[[#This Row],[Comments]]&amp;""")"</f>
        <v>launch("Coral Sea I Alpha", 1951, 9, 24, CoralSeaI, None, SO, 2, "XASR-1 failed to ignite and the mission failed at 100km.")</v>
      </c>
    </row>
    <row r="7" spans="1:17" x14ac:dyDescent="0.25">
      <c r="A7" t="s">
        <v>29</v>
      </c>
      <c r="B7" s="2">
        <v>1951</v>
      </c>
      <c r="C7" s="2">
        <v>10</v>
      </c>
      <c r="D7" s="2">
        <v>9</v>
      </c>
      <c r="E7" t="s">
        <v>16</v>
      </c>
      <c r="F7" t="s">
        <v>45</v>
      </c>
      <c r="G7" s="2" t="s">
        <v>17</v>
      </c>
      <c r="H7" s="2">
        <v>0</v>
      </c>
      <c r="I7" t="s">
        <v>32</v>
      </c>
      <c r="K7" s="3">
        <v>617</v>
      </c>
      <c r="L7" s="3">
        <v>866</v>
      </c>
      <c r="M7" s="3">
        <v>615</v>
      </c>
      <c r="N7" s="3">
        <v>27000</v>
      </c>
      <c r="O7" s="3">
        <f t="shared" si="0"/>
        <v>24902</v>
      </c>
      <c r="P7" s="1">
        <f t="shared" si="1"/>
        <v>11.869399428026693</v>
      </c>
      <c r="Q7" s="3" t="str">
        <f>"launch("""&amp;Table1[[#This Row],[Name]]&amp;""", "&amp;Table1[[#This Row],[Year]]&amp;", "&amp;Table1[[#This Row],[Month]]&amp;", "&amp;Table1[[#This Row],[Day]]&amp;", "&amp;Table1[[#This Row],[LV]]&amp;", "&amp;Table1[[#This Row],[Payload]]&amp;", "&amp;Table1[[#This Row],[Dest]]&amp;", "&amp;Table1[[#This Row],[Result]]&amp;", """&amp;Table1[[#This Row],[Comments]]&amp;""")"</f>
        <v>launch("Hope IV", 1951, 10, 9, WakeIslandII, Payload("Hope Cockpit", "Mission to Reach Space", "Jebediah Kerman &amp; Bill Kerman"), SO, 0, "The crew of Jebediah Kerman and Bill Kerman reached an apoapsis of 158km and became the second crew to go to Space.")</v>
      </c>
    </row>
    <row r="8" spans="1:17" x14ac:dyDescent="0.25">
      <c r="A8" t="s">
        <v>31</v>
      </c>
      <c r="B8" s="2">
        <v>1951</v>
      </c>
      <c r="C8" s="2">
        <v>10</v>
      </c>
      <c r="D8" s="2">
        <v>18</v>
      </c>
      <c r="E8" t="s">
        <v>27</v>
      </c>
      <c r="F8" t="s">
        <v>28</v>
      </c>
      <c r="G8" s="2" t="s">
        <v>17</v>
      </c>
      <c r="H8" s="2">
        <v>0</v>
      </c>
      <c r="I8" t="s">
        <v>35</v>
      </c>
      <c r="K8" s="3">
        <v>760</v>
      </c>
      <c r="L8" s="3">
        <v>1300</v>
      </c>
      <c r="M8" s="3">
        <v>760</v>
      </c>
      <c r="N8" s="3">
        <f>4380+6480</f>
        <v>10860</v>
      </c>
      <c r="O8" s="3">
        <f t="shared" si="0"/>
        <v>8040</v>
      </c>
      <c r="P8" s="1">
        <f t="shared" si="1"/>
        <v>2.8510638297872339</v>
      </c>
      <c r="Q8" s="3" t="str">
        <f>"launch("""&amp;Table1[[#This Row],[Name]]&amp;""", "&amp;Table1[[#This Row],[Year]]&amp;", "&amp;Table1[[#This Row],[Month]]&amp;", "&amp;Table1[[#This Row],[Day]]&amp;", "&amp;Table1[[#This Row],[LV]]&amp;", "&amp;Table1[[#This Row],[Payload]]&amp;", "&amp;Table1[[#This Row],[Dest]]&amp;", "&amp;Table1[[#This Row],[Result]]&amp;", """&amp;Table1[[#This Row],[Comments]]&amp;""")"</f>
        <v>launch("Coral Sea I Bravo", 1951, 10, 18, CoralSeaI, None, SO, 0, "Successful mission setting a new altitude record of 505km.")</v>
      </c>
    </row>
    <row r="9" spans="1:17" x14ac:dyDescent="0.25">
      <c r="A9" t="s">
        <v>33</v>
      </c>
      <c r="B9" s="2">
        <v>1951</v>
      </c>
      <c r="C9" s="2">
        <v>10</v>
      </c>
      <c r="D9" s="2">
        <v>24</v>
      </c>
      <c r="E9" t="s">
        <v>16</v>
      </c>
      <c r="F9" t="s">
        <v>46</v>
      </c>
      <c r="G9" s="2" t="s">
        <v>34</v>
      </c>
      <c r="H9" s="2">
        <v>0</v>
      </c>
      <c r="I9" t="s">
        <v>37</v>
      </c>
      <c r="K9" s="3">
        <v>617</v>
      </c>
      <c r="L9" s="3">
        <v>866</v>
      </c>
      <c r="M9" s="3">
        <v>615</v>
      </c>
      <c r="N9" s="3">
        <v>18000</v>
      </c>
      <c r="O9" s="3">
        <f t="shared" si="0"/>
        <v>15902</v>
      </c>
      <c r="P9" s="1">
        <f t="shared" si="1"/>
        <v>7.579599618684461</v>
      </c>
      <c r="Q9" s="3" t="str">
        <f>"launch("""&amp;Table1[[#This Row],[Name]]&amp;""", "&amp;Table1[[#This Row],[Year]]&amp;", "&amp;Table1[[#This Row],[Month]]&amp;", "&amp;Table1[[#This Row],[Day]]&amp;", "&amp;Table1[[#This Row],[LV]]&amp;", "&amp;Table1[[#This Row],[Payload]]&amp;", "&amp;Table1[[#This Row],[Dest]]&amp;", "&amp;Table1[[#This Row],[Result]]&amp;", """&amp;Table1[[#This Row],[Comments]]&amp;""")"</f>
        <v>launch("Hope V", 1951, 10, 24, WakeIslandII, Payload("Hope Cockpit", "Mission to Reach 80km", "Valentina Kerman &amp; Traby Kerman"), EA, 0, "Successful flight that achieved an 80km apoapsis to fulfill a contract.")</v>
      </c>
    </row>
    <row r="10" spans="1:17" x14ac:dyDescent="0.25">
      <c r="A10" t="s">
        <v>36</v>
      </c>
      <c r="B10" s="2">
        <v>1951</v>
      </c>
      <c r="C10" s="2">
        <v>11</v>
      </c>
      <c r="D10" s="2">
        <v>2</v>
      </c>
      <c r="E10" t="s">
        <v>27</v>
      </c>
      <c r="F10" t="s">
        <v>42</v>
      </c>
      <c r="G10" s="2" t="s">
        <v>17</v>
      </c>
      <c r="H10" s="2">
        <v>0</v>
      </c>
      <c r="I10" t="s">
        <v>43</v>
      </c>
      <c r="K10" s="3">
        <v>760</v>
      </c>
      <c r="L10" s="3">
        <v>1300</v>
      </c>
      <c r="M10" s="3">
        <v>1520</v>
      </c>
      <c r="N10" s="3">
        <f>2191+933+1653+7680+4591</f>
        <v>17048</v>
      </c>
      <c r="O10" s="3">
        <f t="shared" si="0"/>
        <v>13468</v>
      </c>
      <c r="P10" s="1">
        <f t="shared" si="1"/>
        <v>3.7620111731843577</v>
      </c>
      <c r="Q10" s="3" t="str">
        <f>"launch("""&amp;Table1[[#This Row],[Name]]&amp;""", "&amp;Table1[[#This Row],[Year]]&amp;", "&amp;Table1[[#This Row],[Month]]&amp;", "&amp;Table1[[#This Row],[Day]]&amp;", "&amp;Table1[[#This Row],[LV]]&amp;", "&amp;Table1[[#This Row],[Payload]]&amp;", "&amp;Table1[[#This Row],[Dest]]&amp;", "&amp;Table1[[#This Row],[Result]]&amp;", """&amp;Table1[[#This Row],[Comments]]&amp;""")"</f>
        <v>launch("Coral Sea I Charlie", 1951, 11, 2, CoralSeaI, paren("35 SRP"), SO, 0, "Successful mission setting a new altitude record of 650km and completing a Sounding Rocket (Easy) contract.")</v>
      </c>
    </row>
    <row r="11" spans="1:17" x14ac:dyDescent="0.25">
      <c r="A11" t="s">
        <v>44</v>
      </c>
      <c r="B11" s="2">
        <v>1951</v>
      </c>
      <c r="C11" s="2">
        <v>11</v>
      </c>
      <c r="D11" s="2">
        <v>8</v>
      </c>
      <c r="E11" t="s">
        <v>16</v>
      </c>
      <c r="F11" t="s">
        <v>45</v>
      </c>
      <c r="G11" s="2" t="s">
        <v>17</v>
      </c>
      <c r="H11" s="2">
        <v>0</v>
      </c>
      <c r="I11" t="s">
        <v>50</v>
      </c>
      <c r="K11" s="3">
        <v>617</v>
      </c>
      <c r="L11" s="3">
        <v>886</v>
      </c>
      <c r="M11" s="3">
        <f>123*5</f>
        <v>615</v>
      </c>
      <c r="N11" s="3">
        <f>13800-9370+13800</f>
        <v>18230</v>
      </c>
      <c r="O11" s="3">
        <f t="shared" si="0"/>
        <v>16112</v>
      </c>
      <c r="P11" s="1">
        <f t="shared" si="1"/>
        <v>7.6071765816808306</v>
      </c>
      <c r="Q11" s="3" t="str">
        <f>"launch("""&amp;Table1[[#This Row],[Name]]&amp;""", "&amp;Table1[[#This Row],[Year]]&amp;", "&amp;Table1[[#This Row],[Month]]&amp;", "&amp;Table1[[#This Row],[Day]]&amp;", "&amp;Table1[[#This Row],[LV]]&amp;", "&amp;Table1[[#This Row],[Payload]]&amp;", "&amp;Table1[[#This Row],[Dest]]&amp;", "&amp;Table1[[#This Row],[Result]]&amp;", """&amp;Table1[[#This Row],[Comments]]&amp;""")"</f>
        <v>launch("Hope VI", 1951, 11, 8, WakeIslandII, Payload("Hope Cockpit", "Mission to Reach Space", "Jebediah Kerman &amp; Bill Kerman"), SO, 0, "Successful mission, but our astronauts experienced a very difficult reentry and both wound up losing conciousness.")</v>
      </c>
    </row>
    <row r="12" spans="1:17" x14ac:dyDescent="0.25">
      <c r="A12" t="s">
        <v>48</v>
      </c>
      <c r="B12" s="2">
        <v>1951</v>
      </c>
      <c r="C12" s="2">
        <v>11</v>
      </c>
      <c r="D12" s="2">
        <v>14</v>
      </c>
      <c r="E12" t="s">
        <v>16</v>
      </c>
      <c r="F12" t="s">
        <v>49</v>
      </c>
      <c r="G12" s="2" t="s">
        <v>17</v>
      </c>
      <c r="H12" s="2">
        <v>0</v>
      </c>
      <c r="I12" t="s">
        <v>24</v>
      </c>
      <c r="K12" s="3">
        <v>407</v>
      </c>
      <c r="L12" s="3">
        <v>778</v>
      </c>
      <c r="M12" s="3">
        <v>435</v>
      </c>
      <c r="N12" s="3">
        <f>2587+4987</f>
        <v>7574</v>
      </c>
      <c r="O12" s="3">
        <f t="shared" si="0"/>
        <v>5954</v>
      </c>
      <c r="P12" s="1">
        <f t="shared" si="1"/>
        <v>3.6753086419753087</v>
      </c>
      <c r="Q12" s="3" t="str">
        <f>"launch("""&amp;Table1[[#This Row],[Name]]&amp;""", "&amp;Table1[[#This Row],[Year]]&amp;", "&amp;Table1[[#This Row],[Month]]&amp;", "&amp;Table1[[#This Row],[Day]]&amp;", "&amp;Table1[[#This Row],[LV]]&amp;", "&amp;Table1[[#This Row],[Payload]]&amp;", "&amp;Table1[[#This Row],[Dest]]&amp;", "&amp;Table1[[#This Row],[Result]]&amp;", """&amp;Table1[[#This Row],[Comments]]&amp;""")"</f>
        <v>launch("Wake Island II India", 1951, 11, 14, WakeIslandII, paren("756 SRP"), SO, 0, "Successful mission completing the Sounding Rocket (Difficult) contract.")</v>
      </c>
    </row>
    <row r="13" spans="1:17" x14ac:dyDescent="0.25">
      <c r="A13" t="s">
        <v>47</v>
      </c>
      <c r="B13" s="2">
        <v>1951</v>
      </c>
      <c r="C13" s="2">
        <v>11</v>
      </c>
      <c r="D13" s="2">
        <v>23</v>
      </c>
      <c r="E13" t="s">
        <v>27</v>
      </c>
      <c r="F13" t="s">
        <v>51</v>
      </c>
      <c r="G13" s="2" t="s">
        <v>17</v>
      </c>
      <c r="H13" s="2">
        <v>0</v>
      </c>
      <c r="I13" t="s">
        <v>52</v>
      </c>
      <c r="K13" s="3">
        <v>760</v>
      </c>
      <c r="L13" s="3">
        <f>764+203</f>
        <v>967</v>
      </c>
      <c r="M13" s="3">
        <v>760</v>
      </c>
      <c r="N13" s="3">
        <f>2383+2784+4783+8880+5184+4800</f>
        <v>28814</v>
      </c>
      <c r="O13" s="3">
        <f t="shared" si="0"/>
        <v>26327</v>
      </c>
      <c r="P13" s="1">
        <f t="shared" si="1"/>
        <v>10.585846401286691</v>
      </c>
      <c r="Q13" s="3" t="str">
        <f>"launch("""&amp;Table1[[#This Row],[Name]]&amp;""", "&amp;Table1[[#This Row],[Year]]&amp;", "&amp;Table1[[#This Row],[Month]]&amp;", "&amp;Table1[[#This Row],[Day]]&amp;", "&amp;Table1[[#This Row],[LV]]&amp;", "&amp;Table1[[#This Row],[Payload]]&amp;", "&amp;Table1[[#This Row],[Dest]]&amp;", "&amp;Table1[[#This Row],[Result]]&amp;", """&amp;Table1[[#This Row],[Comments]]&amp;""")"</f>
        <v>launch("Coral Sea I Delta", 1951, 11, 23, CoralSeaI, paren("92 SRP"), SO, 0, "Successful mission completing the Sounding Rocket (Difficult) contract and setting a new Altitude record at 728km.")</v>
      </c>
    </row>
    <row r="14" spans="1:17" x14ac:dyDescent="0.25">
      <c r="A14" t="s">
        <v>53</v>
      </c>
      <c r="B14" s="2">
        <v>1951</v>
      </c>
      <c r="C14" s="2">
        <v>12</v>
      </c>
      <c r="D14" s="2">
        <v>2</v>
      </c>
      <c r="E14" t="s">
        <v>27</v>
      </c>
      <c r="F14" t="s">
        <v>57</v>
      </c>
      <c r="G14" s="2" t="s">
        <v>17</v>
      </c>
      <c r="H14" s="2">
        <v>0</v>
      </c>
      <c r="I14" t="s">
        <v>55</v>
      </c>
      <c r="K14" s="3">
        <v>761</v>
      </c>
      <c r="L14" s="3">
        <v>1300</v>
      </c>
      <c r="M14" s="3">
        <v>760</v>
      </c>
      <c r="N14" s="3">
        <f>2691+2575+4975+10080+5091</f>
        <v>25412</v>
      </c>
      <c r="O14" s="3">
        <f t="shared" si="0"/>
        <v>22591</v>
      </c>
      <c r="P14" s="1">
        <f t="shared" si="1"/>
        <v>8.0081531371853956</v>
      </c>
      <c r="Q14" s="3" t="str">
        <f>"launch("""&amp;Table1[[#This Row],[Name]]&amp;""", "&amp;Table1[[#This Row],[Year]]&amp;", "&amp;Table1[[#This Row],[Month]]&amp;", "&amp;Table1[[#This Row],[Day]]&amp;", "&amp;Table1[[#This Row],[LV]]&amp;", "&amp;Table1[[#This Row],[Payload]]&amp;", "&amp;Table1[[#This Row],[Dest]]&amp;", "&amp;Table1[[#This Row],[Result]]&amp;", """&amp;Table1[[#This Row],[Comments]]&amp;""")"</f>
        <v>launch("Coral Sea I Echo", 1951, 12, 2, CoralSeaI, paren("30 SRP"), SO, 0, "Successful mission completing the Sounding Rocket (Difficult) contract and setting a new Altitude record at 811km.")</v>
      </c>
    </row>
    <row r="15" spans="1:17" x14ac:dyDescent="0.25">
      <c r="A15" t="s">
        <v>56</v>
      </c>
      <c r="B15" s="2">
        <v>1951</v>
      </c>
      <c r="C15" s="2">
        <v>12</v>
      </c>
      <c r="D15" s="2">
        <v>9</v>
      </c>
      <c r="E15" t="s">
        <v>27</v>
      </c>
      <c r="F15" t="s">
        <v>54</v>
      </c>
      <c r="G15" s="2" t="s">
        <v>17</v>
      </c>
      <c r="H15" s="2">
        <v>0</v>
      </c>
      <c r="I15" t="s">
        <v>58</v>
      </c>
      <c r="K15" s="3">
        <v>761</v>
      </c>
      <c r="L15" s="3">
        <v>1300</v>
      </c>
      <c r="M15" s="3">
        <v>760</v>
      </c>
      <c r="N15" s="3">
        <f>2926+2959+5359+12480+11280+5326</f>
        <v>40330</v>
      </c>
      <c r="O15" s="3">
        <f t="shared" si="0"/>
        <v>37509</v>
      </c>
      <c r="P15" s="1">
        <f t="shared" si="1"/>
        <v>13.296348812477845</v>
      </c>
      <c r="Q15" s="3" t="str">
        <f>"launch("""&amp;Table1[[#This Row],[Name]]&amp;""", "&amp;Table1[[#This Row],[Year]]&amp;", "&amp;Table1[[#This Row],[Month]]&amp;", "&amp;Table1[[#This Row],[Day]]&amp;", "&amp;Table1[[#This Row],[LV]]&amp;", "&amp;Table1[[#This Row],[Payload]]&amp;", "&amp;Table1[[#This Row],[Dest]]&amp;", "&amp;Table1[[#This Row],[Result]]&amp;", """&amp;Table1[[#This Row],[Comments]]&amp;""")"</f>
        <v>launch("Coral Sea I Foxtrot", 1951, 12, 9, CoralSeaI, paren("26 SRP"), SO, 0, "Successful mission completing the Sounding Rocket (Difficult) contract and setting a new Altitude record at 1051km.")</v>
      </c>
    </row>
    <row r="16" spans="1:17" x14ac:dyDescent="0.25">
      <c r="A16" t="s">
        <v>59</v>
      </c>
      <c r="B16" s="2">
        <v>1951</v>
      </c>
      <c r="C16" s="2">
        <v>12</v>
      </c>
      <c r="D16" s="2">
        <v>13</v>
      </c>
      <c r="E16" t="s">
        <v>16</v>
      </c>
      <c r="F16" t="s">
        <v>49</v>
      </c>
      <c r="G16" s="2" t="s">
        <v>17</v>
      </c>
      <c r="H16" s="2">
        <v>0</v>
      </c>
      <c r="I16" t="s">
        <v>24</v>
      </c>
      <c r="K16" s="3">
        <v>463</v>
      </c>
      <c r="L16" s="3">
        <v>793</v>
      </c>
      <c r="M16" s="3">
        <v>460</v>
      </c>
      <c r="N16" s="3">
        <f>3656+6056</f>
        <v>9712</v>
      </c>
      <c r="O16" s="3">
        <f t="shared" si="0"/>
        <v>7996</v>
      </c>
      <c r="P16" s="1">
        <f t="shared" si="1"/>
        <v>4.6596736596736594</v>
      </c>
      <c r="Q16" s="3" t="str">
        <f>"launch("""&amp;Table1[[#This Row],[Name]]&amp;""", "&amp;Table1[[#This Row],[Year]]&amp;", "&amp;Table1[[#This Row],[Month]]&amp;", "&amp;Table1[[#This Row],[Day]]&amp;", "&amp;Table1[[#This Row],[LV]]&amp;", "&amp;Table1[[#This Row],[Payload]]&amp;", "&amp;Table1[[#This Row],[Dest]]&amp;", "&amp;Table1[[#This Row],[Result]]&amp;", """&amp;Table1[[#This Row],[Comments]]&amp;""")"</f>
        <v>launch("Wake Island II Juliet", 1951, 12, 13, WakeIslandII, paren("756 SRP"), SO, 0, "Successful mission completing the Sounding Rocket (Difficult) contract.")</v>
      </c>
    </row>
    <row r="17" spans="1:17" x14ac:dyDescent="0.25">
      <c r="A17" t="s">
        <v>60</v>
      </c>
      <c r="B17" s="2">
        <v>1951</v>
      </c>
      <c r="C17" s="2">
        <v>12</v>
      </c>
      <c r="D17" s="2"/>
      <c r="E17" t="s">
        <v>27</v>
      </c>
      <c r="F17" t="s">
        <v>28</v>
      </c>
      <c r="G17" s="2" t="s">
        <v>17</v>
      </c>
      <c r="H17" s="2">
        <v>0</v>
      </c>
      <c r="I17" t="s">
        <v>58</v>
      </c>
      <c r="K17" s="3">
        <v>761</v>
      </c>
      <c r="L17" s="3">
        <v>1300</v>
      </c>
      <c r="M17" s="3">
        <v>760</v>
      </c>
      <c r="N17" s="3">
        <v>0</v>
      </c>
      <c r="O17" s="3">
        <f t="shared" si="0"/>
        <v>-2821</v>
      </c>
      <c r="P17" s="1">
        <f t="shared" si="1"/>
        <v>-1</v>
      </c>
      <c r="Q17" s="3" t="str">
        <f>"launch("""&amp;Table1[[#This Row],[Name]]&amp;""", "&amp;Table1[[#This Row],[Year]]&amp;", "&amp;Table1[[#This Row],[Month]]&amp;", "&amp;Table1[[#This Row],[Day]]&amp;", "&amp;Table1[[#This Row],[LV]]&amp;", "&amp;Table1[[#This Row],[Payload]]&amp;", "&amp;Table1[[#This Row],[Dest]]&amp;", "&amp;Table1[[#This Row],[Result]]&amp;", """&amp;Table1[[#This Row],[Comments]]&amp;""")"</f>
        <v>launch("Coral Sea I Golf", 1951, 12, , CoralSeaI, None, SO, 0, "Successful mission completing the Sounding Rocket (Difficult) contract and setting a new Altitude record at 1051km.")</v>
      </c>
    </row>
    <row r="18" spans="1:17" x14ac:dyDescent="0.25">
      <c r="A18" t="s">
        <v>69</v>
      </c>
      <c r="B18" s="2">
        <v>1952</v>
      </c>
      <c r="C18" s="2">
        <v>1</v>
      </c>
      <c r="D18" s="2">
        <v>6</v>
      </c>
      <c r="E18" t="s">
        <v>63</v>
      </c>
      <c r="F18" t="s">
        <v>66</v>
      </c>
      <c r="G18" s="2" t="s">
        <v>61</v>
      </c>
      <c r="H18" s="2">
        <v>2</v>
      </c>
      <c r="I18" t="s">
        <v>62</v>
      </c>
      <c r="K18" s="3">
        <f>2223+13850+1725+209+5350+666+16174</f>
        <v>40197</v>
      </c>
      <c r="L18" s="3">
        <v>4923</v>
      </c>
      <c r="M18" s="3">
        <v>2225</v>
      </c>
      <c r="N18" s="3">
        <v>0</v>
      </c>
      <c r="O18" s="3">
        <f t="shared" si="0"/>
        <v>-47345</v>
      </c>
      <c r="P18" s="1">
        <f t="shared" si="1"/>
        <v>-1</v>
      </c>
      <c r="Q18" s="3" t="str">
        <f>"launch("""&amp;Table1[[#This Row],[Name]]&amp;""", "&amp;Table1[[#This Row],[Year]]&amp;", "&amp;Table1[[#This Row],[Month]]&amp;", "&amp;Table1[[#This Row],[Day]]&amp;", "&amp;Table1[[#This Row],[LV]]&amp;", "&amp;Table1[[#This Row],[Payload]]&amp;", "&amp;Table1[[#This Row],[Dest]]&amp;", "&amp;Table1[[#This Row],[Result]]&amp;", """&amp;Table1[[#This Row],[Comments]]&amp;""")"</f>
        <v>launch("Midway Yorktown 0-1", 1952, 1, 6, MidwayI, Payload("Yorktown 0-1", "First Orbital Satellite", "Modifed Lightning II Satellite Stage"), LEO, 2, "The second stage Wake Island II engine failed to ignite and range safety terminated the launch over the Pacific.")</v>
      </c>
    </row>
    <row r="19" spans="1:17" x14ac:dyDescent="0.25">
      <c r="A19" t="s">
        <v>70</v>
      </c>
      <c r="B19" s="2">
        <v>1952</v>
      </c>
      <c r="C19" s="2">
        <v>1</v>
      </c>
      <c r="D19" s="2">
        <v>26</v>
      </c>
      <c r="E19" t="s">
        <v>63</v>
      </c>
      <c r="F19" t="s">
        <v>65</v>
      </c>
      <c r="G19" s="2" t="s">
        <v>61</v>
      </c>
      <c r="H19" s="2">
        <v>1</v>
      </c>
      <c r="I19" t="s">
        <v>64</v>
      </c>
      <c r="K19" s="3">
        <v>2225</v>
      </c>
      <c r="L19" s="3">
        <v>4923</v>
      </c>
      <c r="M19" s="3">
        <v>2225</v>
      </c>
      <c r="N19" s="3">
        <f>3228+0</f>
        <v>3228</v>
      </c>
      <c r="O19" s="3">
        <f t="shared" si="0"/>
        <v>-6145</v>
      </c>
      <c r="P19" s="1">
        <f t="shared" si="1"/>
        <v>-0.65560652939293718</v>
      </c>
      <c r="Q19" s="3" t="str">
        <f>"launch("""&amp;Table1[[#This Row],[Name]]&amp;""", "&amp;Table1[[#This Row],[Year]]&amp;", "&amp;Table1[[#This Row],[Month]]&amp;", "&amp;Table1[[#This Row],[Day]]&amp;", "&amp;Table1[[#This Row],[LV]]&amp;", "&amp;Table1[[#This Row],[Payload]]&amp;", "&amp;Table1[[#This Row],[Dest]]&amp;", "&amp;Table1[[#This Row],[Result]]&amp;", """&amp;Table1[[#This Row],[Comments]]&amp;""")"</f>
        <v>launch("Midway Yorktown 0-2", 1952, 1, 26, MidwayI, Payload("Yorktown 0-2", "First Orbital Satellite", "Modifed Lightning II Satellite Stage"), LEO, 1, "One of the first stage RD-101 engines shutdown early causing an unrecoverable trajectory that ended in a firey crash into the Pacific")</v>
      </c>
    </row>
    <row r="20" spans="1:17" x14ac:dyDescent="0.25">
      <c r="A20" t="s">
        <v>71</v>
      </c>
      <c r="B20" s="2">
        <v>1952</v>
      </c>
      <c r="C20" s="2">
        <v>2</v>
      </c>
      <c r="D20" s="2">
        <v>16</v>
      </c>
      <c r="E20" t="s">
        <v>63</v>
      </c>
      <c r="F20" t="s">
        <v>67</v>
      </c>
      <c r="G20" s="2" t="s">
        <v>61</v>
      </c>
      <c r="H20" s="2">
        <v>0</v>
      </c>
      <c r="I20" t="s">
        <v>68</v>
      </c>
      <c r="K20" s="3">
        <f>2272+6900</f>
        <v>9172</v>
      </c>
      <c r="L20" s="3">
        <v>4923</v>
      </c>
      <c r="M20" s="3">
        <f>454*5</f>
        <v>2270</v>
      </c>
      <c r="N20" s="3">
        <f>19680+1840+162000+17280+16080+14880+5628+9600+7200</f>
        <v>254188</v>
      </c>
      <c r="O20" s="3">
        <f t="shared" ref="O20:O32" si="2">N20-M20-L20-K20</f>
        <v>237823</v>
      </c>
      <c r="P20" s="1">
        <f t="shared" ref="P20:P32" si="3">O20/SUM(K20:M20)</f>
        <v>14.53241674304919</v>
      </c>
      <c r="Q20" s="3" t="str">
        <f>"launch("""&amp;Table1[[#This Row],[Name]]&amp;""", "&amp;Table1[[#This Row],[Year]]&amp;", "&amp;Table1[[#This Row],[Month]]&amp;", "&amp;Table1[[#This Row],[Day]]&amp;", "&amp;Table1[[#This Row],[LV]]&amp;", "&amp;Table1[[#This Row],[Payload]]&amp;", "&amp;Table1[[#This Row],[Dest]]&amp;", "&amp;Table1[[#This Row],[Result]]&amp;", """&amp;Table1[[#This Row],[Comments]]&amp;""")"</f>
        <v>launch("Midway Yorktown 1", 1952, 2, 16, MidwayI, Payload("Yorktown 1", "First Orbital Satellite", "Modifed Lightning II Satellite Stage"), LEO, 0, "The Yorktown became the MSA's first satellite after entering into a very eccentric orbit on February 16, 1952. With enough battery for 12 orbits, great science data was received.")</v>
      </c>
    </row>
    <row r="21" spans="1:17" x14ac:dyDescent="0.25">
      <c r="A21" t="s">
        <v>74</v>
      </c>
      <c r="B21" s="2">
        <v>1952</v>
      </c>
      <c r="C21" s="2">
        <v>3</v>
      </c>
      <c r="D21" s="2">
        <v>7</v>
      </c>
      <c r="E21" t="s">
        <v>63</v>
      </c>
      <c r="F21" t="s">
        <v>75</v>
      </c>
      <c r="G21" s="2" t="s">
        <v>61</v>
      </c>
      <c r="H21" s="2">
        <v>3</v>
      </c>
      <c r="I21" t="s">
        <v>76</v>
      </c>
      <c r="K21" s="3">
        <v>2270</v>
      </c>
      <c r="L21" s="3">
        <v>4954</v>
      </c>
      <c r="M21" s="3">
        <f>454*5</f>
        <v>2270</v>
      </c>
      <c r="N21" s="3">
        <f>12000+0</f>
        <v>12000</v>
      </c>
      <c r="O21" s="3">
        <f t="shared" si="2"/>
        <v>2506</v>
      </c>
      <c r="P21" s="1">
        <f t="shared" si="3"/>
        <v>0.2639561828523278</v>
      </c>
      <c r="Q21" s="3" t="str">
        <f>"launch("""&amp;Table1[[#This Row],[Name]]&amp;""", "&amp;Table1[[#This Row],[Year]]&amp;", "&amp;Table1[[#This Row],[Month]]&amp;", "&amp;Table1[[#This Row],[Day]]&amp;", "&amp;Table1[[#This Row],[LV]]&amp;", "&amp;Table1[[#This Row],[Payload]]&amp;", "&amp;Table1[[#This Row],[Dest]]&amp;", "&amp;Table1[[#This Row],[Result]]&amp;", """&amp;Table1[[#This Row],[Comments]]&amp;""")"</f>
        <v>launch("Midway Yorktown 0-3", 1952, 3, 7, MidwayI, Payload("Yorktown 0-3", "Polar Orbital Satellite", "Modifed Lightning II Satellite Stage"), LEO, 3, "Poor coding in the launch script caused vapor in the feedlines of the Aerobee engines that failed to light.")</v>
      </c>
    </row>
    <row r="22" spans="1:17" x14ac:dyDescent="0.25">
      <c r="A22" t="s">
        <v>72</v>
      </c>
      <c r="B22" s="2">
        <v>1952</v>
      </c>
      <c r="C22" s="2">
        <v>3</v>
      </c>
      <c r="D22" s="2">
        <v>29</v>
      </c>
      <c r="E22" t="s">
        <v>63</v>
      </c>
      <c r="F22" t="s">
        <v>73</v>
      </c>
      <c r="G22" s="2" t="s">
        <v>61</v>
      </c>
      <c r="H22" s="2">
        <v>-1</v>
      </c>
      <c r="I22" t="s">
        <v>77</v>
      </c>
      <c r="K22" s="3">
        <v>2472</v>
      </c>
      <c r="L22" s="3">
        <v>4954</v>
      </c>
      <c r="M22" s="3">
        <f>454*5</f>
        <v>2270</v>
      </c>
      <c r="N22" s="3">
        <v>0</v>
      </c>
      <c r="O22" s="3">
        <f t="shared" si="2"/>
        <v>-9696</v>
      </c>
      <c r="P22" s="1">
        <f t="shared" si="3"/>
        <v>-1</v>
      </c>
      <c r="Q22" s="3" t="str">
        <f>"launch("""&amp;Table1[[#This Row],[Name]]&amp;""", "&amp;Table1[[#This Row],[Year]]&amp;", "&amp;Table1[[#This Row],[Month]]&amp;", "&amp;Table1[[#This Row],[Day]]&amp;", "&amp;Table1[[#This Row],[LV]]&amp;", "&amp;Table1[[#This Row],[Payload]]&amp;", "&amp;Table1[[#This Row],[Dest]]&amp;", "&amp;Table1[[#This Row],[Result]]&amp;", """&amp;Table1[[#This Row],[Comments]]&amp;""")"</f>
        <v>launch("Midway Yorktown 2", 1952, 3, 29, MidwayI, Payload("Yorktown 2", "Polar Orbital Satellite", "Modifed Lightning II Satellite Stage"), LEO, -1, "The angle of the probe when the final stage was fired was too high off the horizon and we missed orbit with an Ap 2380 km x Pe 135km. However, we made 10 orbits of Earth before burning up and returned a lot of science.")</v>
      </c>
    </row>
    <row r="23" spans="1:17" x14ac:dyDescent="0.25">
      <c r="A23" t="s">
        <v>81</v>
      </c>
      <c r="B23" s="2">
        <v>1952</v>
      </c>
      <c r="C23" s="2">
        <v>4</v>
      </c>
      <c r="D23" s="2">
        <v>14</v>
      </c>
      <c r="E23" t="s">
        <v>63</v>
      </c>
      <c r="F23" t="s">
        <v>79</v>
      </c>
      <c r="G23" s="2" t="s">
        <v>61</v>
      </c>
      <c r="H23" s="2">
        <v>3</v>
      </c>
      <c r="I23" t="s">
        <v>80</v>
      </c>
      <c r="K23" s="3">
        <v>2472</v>
      </c>
      <c r="L23" s="3">
        <v>5079</v>
      </c>
      <c r="M23" s="3">
        <f>454*5</f>
        <v>2270</v>
      </c>
      <c r="N23" s="3">
        <v>0</v>
      </c>
      <c r="O23" s="3">
        <f t="shared" si="2"/>
        <v>-9821</v>
      </c>
      <c r="P23" s="1">
        <f t="shared" si="3"/>
        <v>-1</v>
      </c>
      <c r="Q23" s="3" t="str">
        <f>"launch("""&amp;Table1[[#This Row],[Name]]&amp;""", "&amp;Table1[[#This Row],[Year]]&amp;", "&amp;Table1[[#This Row],[Month]]&amp;", "&amp;Table1[[#This Row],[Day]]&amp;", "&amp;Table1[[#This Row],[LV]]&amp;", "&amp;Table1[[#This Row],[Payload]]&amp;", "&amp;Table1[[#This Row],[Dest]]&amp;", "&amp;Table1[[#This Row],[Result]]&amp;", """&amp;Table1[[#This Row],[Comments]]&amp;""")"</f>
        <v>launch("Midway Yorktown 0-4", 1952, 4, 14, MidwayI, Payload("Yorktown 3", "Polar Orbital Satellite", "Modifed Lightning II Satellite Stage"), LEO, 3, "One XASR-1 engine failed in the 3rd stage causing a precession of the craft. The other engines managed to burn for an extended period of time, but the precession caused our inclination to go to 95.36 and we failed the mission.")</v>
      </c>
    </row>
    <row r="24" spans="1:17" x14ac:dyDescent="0.25">
      <c r="A24" t="s">
        <v>78</v>
      </c>
      <c r="B24" s="2">
        <v>1952</v>
      </c>
      <c r="C24" s="2">
        <v>5</v>
      </c>
      <c r="D24" s="2">
        <v>2</v>
      </c>
      <c r="E24" t="s">
        <v>63</v>
      </c>
      <c r="F24" t="s">
        <v>79</v>
      </c>
      <c r="G24" s="2" t="s">
        <v>61</v>
      </c>
      <c r="H24" s="2">
        <v>0</v>
      </c>
      <c r="I24" t="s">
        <v>82</v>
      </c>
      <c r="K24" s="3">
        <v>2472</v>
      </c>
      <c r="L24" s="3">
        <v>5079</v>
      </c>
      <c r="M24" s="3">
        <v>2470</v>
      </c>
      <c r="N24" s="3">
        <v>36000</v>
      </c>
      <c r="O24" s="3">
        <f t="shared" si="2"/>
        <v>25979</v>
      </c>
      <c r="P24" s="1">
        <f t="shared" si="3"/>
        <v>2.5924558427302666</v>
      </c>
      <c r="Q24" s="3" t="str">
        <f>"launch("""&amp;Table1[[#This Row],[Name]]&amp;""", "&amp;Table1[[#This Row],[Year]]&amp;", "&amp;Table1[[#This Row],[Month]]&amp;", "&amp;Table1[[#This Row],[Day]]&amp;", "&amp;Table1[[#This Row],[LV]]&amp;", "&amp;Table1[[#This Row],[Payload]]&amp;", "&amp;Table1[[#This Row],[Dest]]&amp;", "&amp;Table1[[#This Row],[Result]]&amp;", """&amp;Table1[[#This Row],[Comments]]&amp;""")"</f>
        <v>launch("Midway Yorktown 3", 1952, 5, 2, MidwayI, Payload("Yorktown 3", "Polar Orbital Satellite", "Modifed Lightning II Satellite Stage"), LEO, 0, "The fourth polar orbit attempt was finally successful! Despite the success, the Polar Orbiting Satellite was not a financially profitable mission, but the scientific returns were tremendous.")</v>
      </c>
    </row>
    <row r="25" spans="1:17" x14ac:dyDescent="0.25">
      <c r="A25" t="s">
        <v>86</v>
      </c>
      <c r="B25" s="2">
        <v>1952</v>
      </c>
      <c r="C25" s="2">
        <v>5</v>
      </c>
      <c r="D25" s="2">
        <v>5</v>
      </c>
      <c r="E25" t="s">
        <v>83</v>
      </c>
      <c r="F25" t="s">
        <v>84</v>
      </c>
      <c r="G25" s="2" t="s">
        <v>17</v>
      </c>
      <c r="H25" s="2">
        <v>0</v>
      </c>
      <c r="I25" t="s">
        <v>24</v>
      </c>
      <c r="K25" s="3">
        <v>425</v>
      </c>
      <c r="L25" s="3">
        <v>747</v>
      </c>
      <c r="M25" s="3">
        <v>425</v>
      </c>
      <c r="N25" s="3">
        <f>3679+6079</f>
        <v>9758</v>
      </c>
      <c r="O25" s="3">
        <f t="shared" si="2"/>
        <v>8161</v>
      </c>
      <c r="P25" s="1">
        <f t="shared" si="3"/>
        <v>5.1102066374452102</v>
      </c>
      <c r="Q25" s="3" t="str">
        <f>"launch("""&amp;Table1[[#This Row],[Name]]&amp;""", "&amp;Table1[[#This Row],[Year]]&amp;", "&amp;Table1[[#This Row],[Month]]&amp;", "&amp;Table1[[#This Row],[Day]]&amp;", "&amp;Table1[[#This Row],[LV]]&amp;", "&amp;Table1[[#This Row],[Payload]]&amp;", "&amp;Table1[[#This Row],[Dest]]&amp;", "&amp;Table1[[#This Row],[Result]]&amp;", """&amp;Table1[[#This Row],[Comments]]&amp;""")"</f>
        <v>launch("Wake Island III Alpha", 1952, 5, 5, WakeIslandIII, paren("310 SRP"), SO, 0, "Successful mission completing the Sounding Rocket (Difficult) contract.")</v>
      </c>
    </row>
    <row r="26" spans="1:17" x14ac:dyDescent="0.25">
      <c r="A26" t="s">
        <v>87</v>
      </c>
      <c r="B26" s="2">
        <v>1952</v>
      </c>
      <c r="C26" s="2">
        <v>5</v>
      </c>
      <c r="D26" s="2">
        <v>8</v>
      </c>
      <c r="E26" t="s">
        <v>83</v>
      </c>
      <c r="F26" t="s">
        <v>85</v>
      </c>
      <c r="G26" s="2" t="s">
        <v>34</v>
      </c>
      <c r="H26" s="2">
        <v>0</v>
      </c>
      <c r="I26" t="s">
        <v>24</v>
      </c>
      <c r="K26" s="3">
        <v>423</v>
      </c>
      <c r="L26" s="3">
        <v>790</v>
      </c>
      <c r="M26" s="3">
        <v>500</v>
      </c>
      <c r="N26" s="3">
        <f>4333+6733</f>
        <v>11066</v>
      </c>
      <c r="O26" s="3">
        <f t="shared" si="2"/>
        <v>9353</v>
      </c>
      <c r="P26" s="1">
        <f t="shared" si="3"/>
        <v>5.4600116754232344</v>
      </c>
      <c r="Q26" s="3" t="str">
        <f>"launch("""&amp;Table1[[#This Row],[Name]]&amp;""", "&amp;Table1[[#This Row],[Year]]&amp;", "&amp;Table1[[#This Row],[Month]]&amp;", "&amp;Table1[[#This Row],[Day]]&amp;", "&amp;Table1[[#This Row],[LV]]&amp;", "&amp;Table1[[#This Row],[Payload]]&amp;", "&amp;Table1[[#This Row],[Dest]]&amp;", "&amp;Table1[[#This Row],[Result]]&amp;", """&amp;Table1[[#This Row],[Comments]]&amp;""")"</f>
        <v>launch("Wake Island III Bravo", 1952, 5, 8, WakeIslandIII, paren("1868 SRP"), EA, 0, "Successful mission completing the Sounding Rocket (Difficult) contract.")</v>
      </c>
    </row>
    <row r="27" spans="1:17" x14ac:dyDescent="0.25">
      <c r="A27" t="s">
        <v>90</v>
      </c>
      <c r="B27" s="2">
        <v>1952</v>
      </c>
      <c r="C27" s="2">
        <v>5</v>
      </c>
      <c r="D27" s="2">
        <v>11</v>
      </c>
      <c r="E27" t="s">
        <v>83</v>
      </c>
      <c r="F27" t="s">
        <v>88</v>
      </c>
      <c r="G27" s="2" t="s">
        <v>34</v>
      </c>
      <c r="H27" s="2">
        <v>0</v>
      </c>
      <c r="I27" t="s">
        <v>24</v>
      </c>
      <c r="K27" s="3">
        <v>499</v>
      </c>
      <c r="L27" s="3">
        <v>794</v>
      </c>
      <c r="M27" s="3">
        <v>505</v>
      </c>
      <c r="N27" s="3">
        <f>4916+7316</f>
        <v>12232</v>
      </c>
      <c r="O27" s="3">
        <f t="shared" si="2"/>
        <v>10434</v>
      </c>
      <c r="P27" s="1">
        <f t="shared" si="3"/>
        <v>5.8031145717463852</v>
      </c>
      <c r="Q27" s="3" t="str">
        <f>"launch("""&amp;Table1[[#This Row],[Name]]&amp;""", "&amp;Table1[[#This Row],[Year]]&amp;", "&amp;Table1[[#This Row],[Month]]&amp;", "&amp;Table1[[#This Row],[Day]]&amp;", "&amp;Table1[[#This Row],[LV]]&amp;", "&amp;Table1[[#This Row],[Payload]]&amp;", "&amp;Table1[[#This Row],[Dest]]&amp;", "&amp;Table1[[#This Row],[Result]]&amp;", """&amp;Table1[[#This Row],[Comments]]&amp;""")"</f>
        <v>launch("Wake Island III Charlie", 1952, 5, 11, WakeIslandIII, paren("2000 SRP"), EA, 0, "Successful mission completing the Sounding Rocket (Difficult) contract.")</v>
      </c>
    </row>
    <row r="28" spans="1:17" x14ac:dyDescent="0.25">
      <c r="A28" t="s">
        <v>91</v>
      </c>
      <c r="B28" s="2">
        <v>1952</v>
      </c>
      <c r="C28" s="2">
        <v>5</v>
      </c>
      <c r="D28" s="2">
        <v>15</v>
      </c>
      <c r="E28" t="s">
        <v>83</v>
      </c>
      <c r="F28" t="s">
        <v>89</v>
      </c>
      <c r="G28" s="2" t="s">
        <v>17</v>
      </c>
      <c r="H28" s="2">
        <v>1</v>
      </c>
      <c r="I28" t="s">
        <v>92</v>
      </c>
      <c r="K28" s="3">
        <v>453</v>
      </c>
      <c r="L28" s="3">
        <v>764</v>
      </c>
      <c r="M28" s="3">
        <v>455</v>
      </c>
      <c r="N28" s="3">
        <f>5353+0</f>
        <v>5353</v>
      </c>
      <c r="O28" s="3">
        <f t="shared" si="2"/>
        <v>3681</v>
      </c>
      <c r="P28" s="1">
        <f t="shared" si="3"/>
        <v>2.2015550239234449</v>
      </c>
      <c r="Q28" s="3" t="str">
        <f>"launch("""&amp;Table1[[#This Row],[Name]]&amp;""", "&amp;Table1[[#This Row],[Year]]&amp;", "&amp;Table1[[#This Row],[Month]]&amp;", "&amp;Table1[[#This Row],[Day]]&amp;", "&amp;Table1[[#This Row],[LV]]&amp;", "&amp;Table1[[#This Row],[Payload]]&amp;", "&amp;Table1[[#This Row],[Dest]]&amp;", "&amp;Table1[[#This Row],[Result]]&amp;", """&amp;Table1[[#This Row],[Comments]]&amp;""")"</f>
        <v>launch("Wake Island III Delta", 1952, 5, 15, WakeIslandIII, paren("954 SRP"), SO, 1, "RD-101 Engine Failure")</v>
      </c>
    </row>
    <row r="29" spans="1:17" x14ac:dyDescent="0.25">
      <c r="A29" t="s">
        <v>93</v>
      </c>
      <c r="B29" s="2">
        <v>1952</v>
      </c>
      <c r="C29" s="2">
        <v>5</v>
      </c>
      <c r="D29" s="2">
        <v>17</v>
      </c>
      <c r="E29" t="s">
        <v>83</v>
      </c>
      <c r="F29" t="s">
        <v>89</v>
      </c>
      <c r="G29" s="2" t="s">
        <v>17</v>
      </c>
      <c r="H29" s="2">
        <v>0</v>
      </c>
      <c r="I29" t="s">
        <v>24</v>
      </c>
      <c r="K29" s="3">
        <v>453</v>
      </c>
      <c r="L29" s="3">
        <v>764</v>
      </c>
      <c r="M29" s="3">
        <f>91*5</f>
        <v>455</v>
      </c>
      <c r="N29" s="3">
        <v>7753</v>
      </c>
      <c r="O29" s="3">
        <f t="shared" si="2"/>
        <v>6081</v>
      </c>
      <c r="P29" s="1">
        <f t="shared" si="3"/>
        <v>3.6369617224880382</v>
      </c>
      <c r="Q29" s="3" t="str">
        <f>"launch("""&amp;Table1[[#This Row],[Name]]&amp;""", "&amp;Table1[[#This Row],[Year]]&amp;", "&amp;Table1[[#This Row],[Month]]&amp;", "&amp;Table1[[#This Row],[Day]]&amp;", "&amp;Table1[[#This Row],[LV]]&amp;", "&amp;Table1[[#This Row],[Payload]]&amp;", "&amp;Table1[[#This Row],[Dest]]&amp;", "&amp;Table1[[#This Row],[Result]]&amp;", """&amp;Table1[[#This Row],[Comments]]&amp;""")"</f>
        <v>launch("Wake Island III Echo", 1952, 5, 17, WakeIslandIII, paren("954 SRP"), SO, 0, "Successful mission completing the Sounding Rocket (Difficult) contract.")</v>
      </c>
    </row>
    <row r="30" spans="1:17" x14ac:dyDescent="0.25">
      <c r="A30" t="s">
        <v>94</v>
      </c>
      <c r="B30" s="2">
        <v>1952</v>
      </c>
      <c r="C30" s="2">
        <v>5</v>
      </c>
      <c r="D30" s="2">
        <v>21</v>
      </c>
      <c r="E30" t="s">
        <v>83</v>
      </c>
      <c r="F30" t="s">
        <v>95</v>
      </c>
      <c r="G30" s="2" t="s">
        <v>17</v>
      </c>
      <c r="H30" s="2">
        <v>0</v>
      </c>
      <c r="I30" t="s">
        <v>24</v>
      </c>
      <c r="K30" s="3">
        <v>505</v>
      </c>
      <c r="L30" s="3">
        <v>794</v>
      </c>
      <c r="M30" s="3">
        <v>505</v>
      </c>
      <c r="N30" s="3">
        <f>5992+8392</f>
        <v>14384</v>
      </c>
      <c r="O30" s="3">
        <f t="shared" si="2"/>
        <v>12580</v>
      </c>
      <c r="P30" s="1">
        <f t="shared" si="3"/>
        <v>6.9733924611973395</v>
      </c>
      <c r="Q30" s="3" t="str">
        <f>"launch("""&amp;Table1[[#This Row],[Name]]&amp;""", "&amp;Table1[[#This Row],[Year]]&amp;", "&amp;Table1[[#This Row],[Month]]&amp;", "&amp;Table1[[#This Row],[Day]]&amp;", "&amp;Table1[[#This Row],[LV]]&amp;", "&amp;Table1[[#This Row],[Payload]]&amp;", "&amp;Table1[[#This Row],[Dest]]&amp;", "&amp;Table1[[#This Row],[Result]]&amp;", """&amp;Table1[[#This Row],[Comments]]&amp;""")"</f>
        <v>launch("Wake Island III Foxtrot", 1952, 5, 21, WakeIslandIII, paren("1984 SRP"), SO, 0, "Successful mission completing the Sounding Rocket (Difficult) contract.")</v>
      </c>
    </row>
    <row r="31" spans="1:17" x14ac:dyDescent="0.25">
      <c r="A31" t="s">
        <v>97</v>
      </c>
      <c r="B31" s="2">
        <v>1952</v>
      </c>
      <c r="C31" s="2">
        <v>5</v>
      </c>
      <c r="D31" s="2">
        <v>24</v>
      </c>
      <c r="E31" t="s">
        <v>83</v>
      </c>
      <c r="F31" t="s">
        <v>96</v>
      </c>
      <c r="G31" s="2" t="s">
        <v>17</v>
      </c>
      <c r="H31" s="2">
        <v>0</v>
      </c>
      <c r="I31" t="s">
        <v>24</v>
      </c>
      <c r="K31" s="3">
        <v>505</v>
      </c>
      <c r="L31" s="3">
        <v>794</v>
      </c>
      <c r="M31" s="3">
        <v>505</v>
      </c>
      <c r="N31" s="3">
        <f>7011+9411</f>
        <v>16422</v>
      </c>
      <c r="O31" s="3">
        <f t="shared" si="2"/>
        <v>14618</v>
      </c>
      <c r="P31" s="1">
        <f t="shared" si="3"/>
        <v>8.1031042128603108</v>
      </c>
      <c r="Q31" s="3" t="str">
        <f>"launch("""&amp;Table1[[#This Row],[Name]]&amp;""", "&amp;Table1[[#This Row],[Year]]&amp;", "&amp;Table1[[#This Row],[Month]]&amp;", "&amp;Table1[[#This Row],[Day]]&amp;", "&amp;Table1[[#This Row],[LV]]&amp;", "&amp;Table1[[#This Row],[Payload]]&amp;", "&amp;Table1[[#This Row],[Dest]]&amp;", "&amp;Table1[[#This Row],[Result]]&amp;", """&amp;Table1[[#This Row],[Comments]]&amp;""")"</f>
        <v>launch("Wake Island III Golf", 1952, 5, 24, WakeIslandIII, paren("944 SRP"), SO, 0, "Successful mission completing the Sounding Rocket (Difficult) contract.")</v>
      </c>
    </row>
    <row r="32" spans="1:17" x14ac:dyDescent="0.25">
      <c r="A32" t="s">
        <v>98</v>
      </c>
      <c r="B32" s="2">
        <v>1952</v>
      </c>
      <c r="C32" s="2">
        <v>5</v>
      </c>
      <c r="D32" s="2">
        <v>30</v>
      </c>
      <c r="E32" t="s">
        <v>83</v>
      </c>
      <c r="F32" t="s">
        <v>99</v>
      </c>
      <c r="G32" s="2" t="s">
        <v>17</v>
      </c>
      <c r="H32" s="2">
        <v>0</v>
      </c>
      <c r="I32" t="s">
        <v>24</v>
      </c>
      <c r="K32" s="3">
        <v>450</v>
      </c>
      <c r="L32" s="3">
        <v>764</v>
      </c>
      <c r="M32" s="3">
        <f>90*5</f>
        <v>450</v>
      </c>
      <c r="N32" s="3">
        <f>8259+10659</f>
        <v>18918</v>
      </c>
      <c r="O32" s="3">
        <f t="shared" si="2"/>
        <v>17254</v>
      </c>
      <c r="P32" s="1">
        <f t="shared" si="3"/>
        <v>10.368990384615385</v>
      </c>
      <c r="Q32" s="3" t="str">
        <f>"launch("""&amp;Table1[[#This Row],[Name]]&amp;""", "&amp;Table1[[#This Row],[Year]]&amp;", "&amp;Table1[[#This Row],[Month]]&amp;", "&amp;Table1[[#This Row],[Day]]&amp;", "&amp;Table1[[#This Row],[LV]]&amp;", "&amp;Table1[[#This Row],[Payload]]&amp;", "&amp;Table1[[#This Row],[Dest]]&amp;", "&amp;Table1[[#This Row],[Result]]&amp;", """&amp;Table1[[#This Row],[Comments]]&amp;""")"</f>
        <v>launch("Wake Island III Hotel", 1952, 5, 30, WakeIslandIII, paren("938 SRP"), SO, 0, "Successful mission completing the Sounding Rocket (Difficult) contract.")</v>
      </c>
    </row>
    <row r="33" spans="1:17" x14ac:dyDescent="0.25">
      <c r="A33" t="s">
        <v>101</v>
      </c>
      <c r="B33" s="2">
        <v>1952</v>
      </c>
      <c r="C33" s="2">
        <v>6</v>
      </c>
      <c r="D33" s="2">
        <v>2</v>
      </c>
      <c r="E33" t="s">
        <v>83</v>
      </c>
      <c r="F33" t="s">
        <v>100</v>
      </c>
      <c r="G33" s="2" t="s">
        <v>17</v>
      </c>
      <c r="H33" s="2">
        <v>0</v>
      </c>
      <c r="I33" t="s">
        <v>24</v>
      </c>
      <c r="K33" s="3">
        <v>452</v>
      </c>
      <c r="L33" s="3">
        <v>764</v>
      </c>
      <c r="M33" s="3">
        <v>455</v>
      </c>
      <c r="N33" s="3">
        <f>9951+12351</f>
        <v>22302</v>
      </c>
      <c r="O33" s="3">
        <f t="shared" ref="O33" si="4">N33-M33-L33-K33</f>
        <v>20631</v>
      </c>
      <c r="P33" s="1">
        <f t="shared" ref="P33" si="5">O33/SUM(K33:M33)</f>
        <v>12.346499102333931</v>
      </c>
      <c r="Q33" s="3" t="str">
        <f>"launch("""&amp;Table1[[#This Row],[Name]]&amp;""", "&amp;Table1[[#This Row],[Year]]&amp;", "&amp;Table1[[#This Row],[Month]]&amp;", "&amp;Table1[[#This Row],[Day]]&amp;", "&amp;Table1[[#This Row],[LV]]&amp;", "&amp;Table1[[#This Row],[Payload]]&amp;", "&amp;Table1[[#This Row],[Dest]]&amp;", "&amp;Table1[[#This Row],[Result]]&amp;", """&amp;Table1[[#This Row],[Comments]]&amp;""")"</f>
        <v>launch("Wake Island III India", 1952, 6, 2, WakeIslandIII, paren("948 SRP to 550km"), SO, 0, "Successful mission completing the Sounding Rocket (Difficult) contract.")</v>
      </c>
    </row>
    <row r="34" spans="1:17" x14ac:dyDescent="0.25">
      <c r="A34" t="s">
        <v>102</v>
      </c>
      <c r="B34" s="2">
        <v>1952</v>
      </c>
      <c r="C34" s="2">
        <v>6</v>
      </c>
      <c r="D34" s="2">
        <v>4</v>
      </c>
      <c r="E34" t="s">
        <v>83</v>
      </c>
      <c r="F34" t="s">
        <v>103</v>
      </c>
      <c r="G34" s="2" t="s">
        <v>17</v>
      </c>
      <c r="H34" s="2">
        <v>-1</v>
      </c>
      <c r="I34" t="s">
        <v>104</v>
      </c>
      <c r="K34" s="3">
        <v>452</v>
      </c>
      <c r="L34" s="3">
        <v>765</v>
      </c>
      <c r="M34" s="3">
        <v>455</v>
      </c>
      <c r="N34" s="3">
        <v>0</v>
      </c>
      <c r="O34" s="3">
        <f t="shared" ref="O34" si="6">N34-M34-L34-K34</f>
        <v>-1672</v>
      </c>
      <c r="P34" s="1">
        <f t="shared" ref="P34" si="7">O34/SUM(K34:M34)</f>
        <v>-1</v>
      </c>
      <c r="Q34" s="3" t="str">
        <f>"launch("""&amp;Table1[[#This Row],[Name]]&amp;""", "&amp;Table1[[#This Row],[Year]]&amp;", "&amp;Table1[[#This Row],[Month]]&amp;", "&amp;Table1[[#This Row],[Day]]&amp;", "&amp;Table1[[#This Row],[LV]]&amp;", "&amp;Table1[[#This Row],[Payload]]&amp;", "&amp;Table1[[#This Row],[Dest]]&amp;", "&amp;Table1[[#This Row],[Result]]&amp;", """&amp;Table1[[#This Row],[Comments]]&amp;""")"</f>
        <v>launch("Wake Island III Juliet", 1952, 6, 4, WakeIslandIII, paren("940 SRP to 660km"), SO, -1, "Did not have enough Delta-v and only reached 630km")</v>
      </c>
    </row>
    <row r="35" spans="1:17" x14ac:dyDescent="0.25">
      <c r="A35" t="s">
        <v>105</v>
      </c>
      <c r="B35" s="2">
        <v>1952</v>
      </c>
      <c r="C35" s="2">
        <v>6</v>
      </c>
      <c r="D35" s="2">
        <v>8</v>
      </c>
      <c r="E35" t="s">
        <v>83</v>
      </c>
      <c r="F35" t="s">
        <v>103</v>
      </c>
      <c r="G35" s="2" t="s">
        <v>17</v>
      </c>
      <c r="H35" s="2">
        <v>1</v>
      </c>
      <c r="I35" t="s">
        <v>106</v>
      </c>
      <c r="K35" s="3">
        <f>501+15000</f>
        <v>15501</v>
      </c>
      <c r="L35" s="3">
        <v>868</v>
      </c>
      <c r="M35" s="3">
        <v>500</v>
      </c>
      <c r="N35" s="3">
        <v>0</v>
      </c>
      <c r="O35" s="3">
        <f t="shared" ref="O35" si="8">N35-M35-L35-K35</f>
        <v>-16869</v>
      </c>
      <c r="P35" s="1">
        <f t="shared" ref="P35" si="9">O35/SUM(K35:M35)</f>
        <v>-1</v>
      </c>
      <c r="Q35" s="3" t="str">
        <f>"launch("""&amp;Table1[[#This Row],[Name]]&amp;""", "&amp;Table1[[#This Row],[Year]]&amp;", "&amp;Table1[[#This Row],[Month]]&amp;", "&amp;Table1[[#This Row],[Day]]&amp;", "&amp;Table1[[#This Row],[LV]]&amp;", "&amp;Table1[[#This Row],[Payload]]&amp;", "&amp;Table1[[#This Row],[Dest]]&amp;", "&amp;Table1[[#This Row],[Result]]&amp;", """&amp;Table1[[#This Row],[Comments]]&amp;""")"</f>
        <v>launch("Wake Island IV Alpha", 1952, 6, 8, WakeIslandIII, paren("940 SRP to 660km"), SO, 1, "RD-102 Engine Failure")</v>
      </c>
    </row>
    <row r="36" spans="1:17" x14ac:dyDescent="0.25">
      <c r="A36" t="s">
        <v>107</v>
      </c>
      <c r="B36" s="2">
        <v>1952</v>
      </c>
      <c r="C36" s="2">
        <v>6</v>
      </c>
      <c r="D36" s="2">
        <v>11</v>
      </c>
      <c r="E36" t="s">
        <v>83</v>
      </c>
      <c r="F36" t="s">
        <v>103</v>
      </c>
      <c r="G36" s="2" t="s">
        <v>17</v>
      </c>
      <c r="H36" s="2">
        <v>-1</v>
      </c>
      <c r="I36" t="s">
        <v>108</v>
      </c>
      <c r="K36" s="3">
        <v>501</v>
      </c>
      <c r="L36" s="3">
        <v>868</v>
      </c>
      <c r="M36" s="3">
        <v>500</v>
      </c>
      <c r="N36" s="3">
        <v>0</v>
      </c>
      <c r="O36" s="3">
        <f t="shared" ref="O36" si="10">N36-M36-L36-K36</f>
        <v>-1869</v>
      </c>
      <c r="P36" s="1">
        <f t="shared" ref="P36" si="11">O36/SUM(K36:M36)</f>
        <v>-1</v>
      </c>
      <c r="Q36" s="3" t="str">
        <f>"launch("""&amp;Table1[[#This Row],[Name]]&amp;""", "&amp;Table1[[#This Row],[Year]]&amp;", "&amp;Table1[[#This Row],[Month]]&amp;", "&amp;Table1[[#This Row],[Day]]&amp;", "&amp;Table1[[#This Row],[LV]]&amp;", "&amp;Table1[[#This Row],[Payload]]&amp;", "&amp;Table1[[#This Row],[Dest]]&amp;", "&amp;Table1[[#This Row],[Result]]&amp;", """&amp;Table1[[#This Row],[Comments]]&amp;""")"</f>
        <v>launch("Wake Island IV Bravo", 1952, 6, 11, WakeIslandIII, paren("940 SRP to 660km"), SO, -1, "Did not have enough Delta-v and only reached 650km")</v>
      </c>
    </row>
    <row r="37" spans="1:17" x14ac:dyDescent="0.25">
      <c r="A37" t="s">
        <v>109</v>
      </c>
      <c r="B37" s="2">
        <v>1952</v>
      </c>
      <c r="C37" s="2">
        <v>6</v>
      </c>
      <c r="D37" s="2">
        <v>14</v>
      </c>
      <c r="E37" t="s">
        <v>83</v>
      </c>
      <c r="F37" t="s">
        <v>110</v>
      </c>
      <c r="G37" s="2" t="s">
        <v>17</v>
      </c>
      <c r="H37" s="2">
        <v>0</v>
      </c>
      <c r="I37" t="s">
        <v>111</v>
      </c>
      <c r="K37" s="3">
        <v>501</v>
      </c>
      <c r="L37" s="3">
        <v>868</v>
      </c>
      <c r="M37" s="3">
        <v>500</v>
      </c>
      <c r="N37" s="3">
        <f>7711+9151</f>
        <v>16862</v>
      </c>
      <c r="O37" s="3">
        <f t="shared" ref="O37" si="12">N37-M37-L37-K37</f>
        <v>14993</v>
      </c>
      <c r="P37" s="1">
        <f t="shared" ref="P37" si="13">O37/SUM(K37:M37)</f>
        <v>8.0219368646334939</v>
      </c>
      <c r="Q37" s="3" t="str">
        <f>"launch("""&amp;Table1[[#This Row],[Name]]&amp;""", "&amp;Table1[[#This Row],[Year]]&amp;", "&amp;Table1[[#This Row],[Month]]&amp;", "&amp;Table1[[#This Row],[Day]]&amp;", "&amp;Table1[[#This Row],[LV]]&amp;", "&amp;Table1[[#This Row],[Payload]]&amp;", "&amp;Table1[[#This Row],[Dest]]&amp;", "&amp;Table1[[#This Row],[Result]]&amp;", """&amp;Table1[[#This Row],[Comments]]&amp;""")"</f>
        <v>launch("Wake Island IV Charlie", 1952, 6, 14, WakeIslandIII, paren("940 SRP to 430km"), SO, 0, "Successful mission completing the Sounding Rocket (Intermediate) contract.")</v>
      </c>
    </row>
    <row r="38" spans="1:17" x14ac:dyDescent="0.25">
      <c r="A38" t="s">
        <v>112</v>
      </c>
      <c r="B38" s="2">
        <v>1952</v>
      </c>
      <c r="C38" s="2">
        <v>6</v>
      </c>
      <c r="D38" s="2">
        <v>17</v>
      </c>
      <c r="E38" t="s">
        <v>83</v>
      </c>
      <c r="F38" t="s">
        <v>113</v>
      </c>
      <c r="G38" s="2" t="s">
        <v>17</v>
      </c>
      <c r="H38" s="2">
        <v>0</v>
      </c>
      <c r="I38" t="s">
        <v>24</v>
      </c>
      <c r="K38" s="3">
        <v>552</v>
      </c>
      <c r="L38" s="3">
        <v>897</v>
      </c>
      <c r="M38" s="3">
        <v>555</v>
      </c>
      <c r="N38" s="3">
        <f>12356+14756</f>
        <v>27112</v>
      </c>
      <c r="O38" s="3">
        <f t="shared" ref="O38" si="14">N38-M38-L38-K38</f>
        <v>25108</v>
      </c>
      <c r="P38" s="1">
        <f t="shared" ref="P38" si="15">O38/SUM(K38:M38)</f>
        <v>12.528942115768464</v>
      </c>
      <c r="Q38" s="3" t="str">
        <f>"launch("""&amp;Table1[[#This Row],[Name]]&amp;""", "&amp;Table1[[#This Row],[Year]]&amp;", "&amp;Table1[[#This Row],[Month]]&amp;", "&amp;Table1[[#This Row],[Day]]&amp;", "&amp;Table1[[#This Row],[LV]]&amp;", "&amp;Table1[[#This Row],[Payload]]&amp;", "&amp;Table1[[#This Row],[Dest]]&amp;", "&amp;Table1[[#This Row],[Result]]&amp;", """&amp;Table1[[#This Row],[Comments]]&amp;""")"</f>
        <v>launch("Wake Island IV Delta", 1952, 6, 17, WakeIslandIII, paren("2000 SRP to 340km"), SO, 0, "Successful mission completing the Sounding Rocket (Difficult) contract.")</v>
      </c>
    </row>
    <row r="39" spans="1:17" x14ac:dyDescent="0.25">
      <c r="A39" t="s">
        <v>115</v>
      </c>
      <c r="B39" s="2">
        <v>1952</v>
      </c>
      <c r="C39" s="2">
        <v>6</v>
      </c>
      <c r="D39" s="2">
        <v>24</v>
      </c>
      <c r="E39" t="s">
        <v>83</v>
      </c>
      <c r="F39" t="s">
        <v>114</v>
      </c>
      <c r="G39" s="2" t="s">
        <v>17</v>
      </c>
      <c r="H39" s="2">
        <v>0</v>
      </c>
      <c r="I39" t="s">
        <v>111</v>
      </c>
      <c r="K39" s="3">
        <v>480</v>
      </c>
      <c r="L39" s="3">
        <v>856</v>
      </c>
      <c r="M39" s="3">
        <v>480</v>
      </c>
      <c r="N39" s="3">
        <f>6303+7743</f>
        <v>14046</v>
      </c>
      <c r="O39" s="3">
        <f t="shared" ref="O39" si="16">N39-M39-L39-K39</f>
        <v>12230</v>
      </c>
      <c r="P39" s="1">
        <f t="shared" ref="P39" si="17">O39/SUM(K39:M39)</f>
        <v>6.7345814977973566</v>
      </c>
      <c r="Q39" s="3" t="str">
        <f>"launch("""&amp;Table1[[#This Row],[Name]]&amp;""", "&amp;Table1[[#This Row],[Year]]&amp;", "&amp;Table1[[#This Row],[Month]]&amp;", "&amp;Table1[[#This Row],[Day]]&amp;", "&amp;Table1[[#This Row],[LV]]&amp;", "&amp;Table1[[#This Row],[Payload]]&amp;", "&amp;Table1[[#This Row],[Dest]]&amp;", "&amp;Table1[[#This Row],[Result]]&amp;", """&amp;Table1[[#This Row],[Comments]]&amp;""")"</f>
        <v>launch("Wake Island IV Echo", 1952, 6, 24, WakeIslandIII, paren("592 SRP to 520km"), SO, 0, "Successful mission completing the Sounding Rocket (Intermediate) contract.")</v>
      </c>
    </row>
    <row r="40" spans="1:17" x14ac:dyDescent="0.25">
      <c r="A40" t="s">
        <v>116</v>
      </c>
      <c r="B40" s="2">
        <v>1952</v>
      </c>
      <c r="C40" s="2">
        <v>6</v>
      </c>
      <c r="D40" s="2">
        <v>25</v>
      </c>
      <c r="E40" t="s">
        <v>83</v>
      </c>
      <c r="F40" t="s">
        <v>117</v>
      </c>
      <c r="G40" s="2" t="s">
        <v>17</v>
      </c>
      <c r="H40" s="2">
        <v>0</v>
      </c>
      <c r="I40" t="s">
        <v>24</v>
      </c>
      <c r="K40" s="3">
        <v>550</v>
      </c>
      <c r="L40" s="3">
        <v>897</v>
      </c>
      <c r="M40" s="3">
        <v>480</v>
      </c>
      <c r="N40" s="3">
        <f>14908+17308</f>
        <v>32216</v>
      </c>
      <c r="O40" s="3">
        <f t="shared" ref="O40" si="18">N40-M40-L40-K40</f>
        <v>30289</v>
      </c>
      <c r="P40" s="1">
        <f t="shared" ref="P40" si="19">O40/SUM(K40:M40)</f>
        <v>15.718214841722885</v>
      </c>
      <c r="Q40" s="3" t="str">
        <f>"launch("""&amp;Table1[[#This Row],[Name]]&amp;""", "&amp;Table1[[#This Row],[Year]]&amp;", "&amp;Table1[[#This Row],[Month]]&amp;", "&amp;Table1[[#This Row],[Day]]&amp;", "&amp;Table1[[#This Row],[LV]]&amp;", "&amp;Table1[[#This Row],[Payload]]&amp;", "&amp;Table1[[#This Row],[Dest]]&amp;", "&amp;Table1[[#This Row],[Result]]&amp;", """&amp;Table1[[#This Row],[Comments]]&amp;""")"</f>
        <v>launch("Wake Island IV Foxtrot", 1952, 6, 25, WakeIslandIII, paren("1984 SRP to 420km"), SO, 0, "Successful mission completing the Sounding Rocket (Difficult) contract.")</v>
      </c>
    </row>
    <row r="41" spans="1:17" x14ac:dyDescent="0.25">
      <c r="A41" t="s">
        <v>119</v>
      </c>
      <c r="B41" s="2">
        <v>1952</v>
      </c>
      <c r="C41" s="2">
        <v>6</v>
      </c>
      <c r="D41" s="2">
        <v>28</v>
      </c>
      <c r="E41" t="s">
        <v>83</v>
      </c>
      <c r="F41" t="s">
        <v>118</v>
      </c>
      <c r="G41" s="2" t="s">
        <v>17</v>
      </c>
      <c r="H41" s="2">
        <v>0</v>
      </c>
      <c r="I41" t="s">
        <v>24</v>
      </c>
      <c r="K41" s="3">
        <v>566</v>
      </c>
      <c r="L41" s="3">
        <f>896+905</f>
        <v>1801</v>
      </c>
      <c r="M41" s="3">
        <v>550</v>
      </c>
      <c r="N41" s="3">
        <f>18295+20695</f>
        <v>38990</v>
      </c>
      <c r="O41" s="3">
        <f t="shared" ref="O41" si="20">N41-M41-L41-K41</f>
        <v>36073</v>
      </c>
      <c r="P41" s="1">
        <f t="shared" ref="P41" si="21">O41/SUM(K41:M41)</f>
        <v>12.366472403153926</v>
      </c>
      <c r="Q41" s="3" t="str">
        <f>"launch("""&amp;Table1[[#This Row],[Name]]&amp;""", "&amp;Table1[[#This Row],[Year]]&amp;", "&amp;Table1[[#This Row],[Month]]&amp;", "&amp;Table1[[#This Row],[Day]]&amp;", "&amp;Table1[[#This Row],[LV]]&amp;", "&amp;Table1[[#This Row],[Payload]]&amp;", "&amp;Table1[[#This Row],[Dest]]&amp;", "&amp;Table1[[#This Row],[Result]]&amp;", """&amp;Table1[[#This Row],[Comments]]&amp;""")"</f>
        <v>launch("Wake Island IV Golf", 1952, 6, 28, WakeIslandIII, paren("1994 SRP to 520km"), SO, 0, "Successful mission completing the Sounding Rocket (Difficult) contract.")</v>
      </c>
    </row>
    <row r="42" spans="1:17" x14ac:dyDescent="0.25">
      <c r="A42" t="s">
        <v>121</v>
      </c>
      <c r="B42" s="2">
        <v>1952</v>
      </c>
      <c r="C42" s="2">
        <v>7</v>
      </c>
      <c r="D42" s="2">
        <v>12</v>
      </c>
      <c r="E42" t="s">
        <v>120</v>
      </c>
      <c r="F42" t="s">
        <v>122</v>
      </c>
      <c r="G42" s="2" t="s">
        <v>17</v>
      </c>
      <c r="H42" s="2">
        <v>0</v>
      </c>
      <c r="I42" t="s">
        <v>24</v>
      </c>
      <c r="K42" s="3">
        <v>1685</v>
      </c>
      <c r="L42" s="3">
        <f>3695+3759</f>
        <v>7454</v>
      </c>
      <c r="M42" s="3">
        <f>1415+1520</f>
        <v>2935</v>
      </c>
      <c r="N42" s="3">
        <f>22510+24910</f>
        <v>47420</v>
      </c>
      <c r="O42" s="3">
        <f>N42-M42-L42-K42</f>
        <v>35346</v>
      </c>
      <c r="P42" s="1">
        <f>O42/SUM(K42:M42)</f>
        <v>2.9274474076528079</v>
      </c>
      <c r="Q42" s="3" t="str">
        <f>"launch("""&amp;Table1[[#This Row],[Name]]&amp;""", "&amp;Table1[[#This Row],[Year]]&amp;", "&amp;Table1[[#This Row],[Month]]&amp;", "&amp;Table1[[#This Row],[Day]]&amp;", "&amp;Table1[[#This Row],[LV]]&amp;", "&amp;Table1[[#This Row],[Payload]]&amp;", "&amp;Table1[[#This Row],[Dest]]&amp;", "&amp;Table1[[#This Row],[Result]]&amp;", """&amp;Table1[[#This Row],[Comments]]&amp;""")"</f>
        <v>launch("Midway II Alpha", 1952, 7, 12, MidwayII, paren("2016 SRP to 640km"), SO, 0, "Successful mission completing the Sounding Rocket (Difficult) contract.")</v>
      </c>
    </row>
    <row r="43" spans="1:17" x14ac:dyDescent="0.25">
      <c r="A43" t="s">
        <v>124</v>
      </c>
      <c r="B43" s="2">
        <v>1952</v>
      </c>
      <c r="C43" s="2">
        <v>7</v>
      </c>
      <c r="D43" s="2">
        <v>21</v>
      </c>
      <c r="E43" t="s">
        <v>120</v>
      </c>
      <c r="F43" t="s">
        <v>123</v>
      </c>
      <c r="G43" s="2" t="s">
        <v>17</v>
      </c>
      <c r="H43" s="2">
        <v>0</v>
      </c>
      <c r="I43" t="s">
        <v>24</v>
      </c>
      <c r="K43" s="3">
        <v>1517</v>
      </c>
      <c r="L43" s="3">
        <v>3758</v>
      </c>
      <c r="M43" s="3">
        <f>303*5</f>
        <v>1515</v>
      </c>
      <c r="N43" s="3">
        <f>27745+30145</f>
        <v>57890</v>
      </c>
      <c r="O43" s="3">
        <f>N43-M43-L43-K43</f>
        <v>51100</v>
      </c>
      <c r="P43" s="1">
        <f>O43/SUM(K43:M43)</f>
        <v>7.5257731958762886</v>
      </c>
      <c r="Q43" s="3" t="str">
        <f>"launch("""&amp;Table1[[#This Row],[Name]]&amp;""", "&amp;Table1[[#This Row],[Year]]&amp;", "&amp;Table1[[#This Row],[Month]]&amp;", "&amp;Table1[[#This Row],[Day]]&amp;", "&amp;Table1[[#This Row],[LV]]&amp;", "&amp;Table1[[#This Row],[Payload]]&amp;", "&amp;Table1[[#This Row],[Dest]]&amp;", "&amp;Table1[[#This Row],[Result]]&amp;", """&amp;Table1[[#This Row],[Comments]]&amp;""")"</f>
        <v>launch("Midway II Bravo", 1952, 7, 21, MidwayII, paren("2006 SRP to 800km"), SO, 0, "Successful mission completing the Sounding Rocket (Difficult) contract.")</v>
      </c>
    </row>
    <row r="44" spans="1:17" x14ac:dyDescent="0.25">
      <c r="A44" t="s">
        <v>126</v>
      </c>
      <c r="B44" s="2">
        <v>1952</v>
      </c>
      <c r="C44" s="2">
        <v>7</v>
      </c>
      <c r="D44" s="2">
        <v>28</v>
      </c>
      <c r="E44" t="s">
        <v>120</v>
      </c>
      <c r="F44" t="s">
        <v>125</v>
      </c>
      <c r="G44" s="2" t="s">
        <v>17</v>
      </c>
      <c r="H44" s="2">
        <v>0</v>
      </c>
      <c r="I44" t="s">
        <v>24</v>
      </c>
      <c r="K44" s="3">
        <v>1517</v>
      </c>
      <c r="L44" s="3">
        <v>3758</v>
      </c>
      <c r="M44" s="3">
        <f>303*5</f>
        <v>1515</v>
      </c>
      <c r="N44" s="3">
        <f>33023+16823+18263+35423</f>
        <v>103532</v>
      </c>
      <c r="O44" s="3">
        <f>N44-M44-L44-K44</f>
        <v>96742</v>
      </c>
      <c r="P44" s="1">
        <f>O44/SUM(K44:M44)</f>
        <v>14.247717231222385</v>
      </c>
      <c r="Q44" s="3" t="str">
        <f>"launch("""&amp;Table1[[#This Row],[Name]]&amp;""", "&amp;Table1[[#This Row],[Year]]&amp;", "&amp;Table1[[#This Row],[Month]]&amp;", "&amp;Table1[[#This Row],[Day]]&amp;", "&amp;Table1[[#This Row],[LV]]&amp;", "&amp;Table1[[#This Row],[Payload]]&amp;", "&amp;Table1[[#This Row],[Dest]]&amp;", "&amp;Table1[[#This Row],[Result]]&amp;", """&amp;Table1[[#This Row],[Comments]]&amp;""")"</f>
        <v>launch("Midway II Charlie", 1952, 7, 28, MidwayII, paren("2006 SRP to 960km"), SO, 0, "Successful mission completing the Sounding Rocket (Difficult) contract.")</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dc:creator>
  <cp:lastModifiedBy>Pap</cp:lastModifiedBy>
  <dcterms:created xsi:type="dcterms:W3CDTF">2018-12-15T04:46:13Z</dcterms:created>
  <dcterms:modified xsi:type="dcterms:W3CDTF">2018-12-19T16:42:23Z</dcterms:modified>
</cp:coreProperties>
</file>