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mc:AlternateContent xmlns:mc="http://schemas.openxmlformats.org/markup-compatibility/2006">
    <mc:Choice Requires="x15">
      <x15ac:absPath xmlns:x15ac="http://schemas.microsoft.com/office/spreadsheetml/2010/11/ac" url="C:\Users\Manuel\Documents\"/>
    </mc:Choice>
  </mc:AlternateContent>
  <xr:revisionPtr revIDLastSave="0" documentId="13_ncr:1_{741BB6A2-A92C-4FFD-9AEA-8EC8E1628406}" xr6:coauthVersionLast="47" xr6:coauthVersionMax="47" xr10:uidLastSave="{00000000-0000-0000-0000-000000000000}"/>
  <bookViews>
    <workbookView xWindow="-120" yWindow="-120" windowWidth="29040" windowHeight="15720" xr2:uid="{00000000-000D-0000-FFFF-FFFF00000000}"/>
  </bookViews>
  <sheets>
    <sheet name="Proyecciones" sheetId="1" r:id="rId1"/>
    <sheet name="Cuentas T" sheetId="2" r:id="rId2"/>
    <sheet name="Rentabilidad del inversor" sheetId="14" r:id="rId3"/>
    <sheet name="Flujos De Efectivo" sheetId="3" r:id="rId4"/>
    <sheet name="Resultados Integrales" sheetId="4" r:id="rId5"/>
    <sheet name="Situación Financiera" sheetId="5" r:id="rId6"/>
    <sheet name="Estudio de mercado" sheetId="6" r:id="rId7"/>
    <sheet name="Estudio Técnico" sheetId="7" r:id="rId8"/>
    <sheet name="Estudio Administrativo" sheetId="8" r:id="rId9"/>
    <sheet name="Estudio Legal" sheetId="9" r:id="rId10"/>
    <sheet name="Estudio Ambiental" sheetId="10" r:id="rId11"/>
    <sheet name="D-O-F-A" sheetId="12" r:id="rId12"/>
    <sheet name="GANNT" sheetId="13" r:id="rId13"/>
    <sheet name="Hoja1" sheetId="16" r:id="rId14"/>
    <sheet name="Indicadores"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6" roundtripDataChecksum="b5+SANDp5Y4MzXrZw1HU0xKgPYQJXCdBZofCFWB7f18="/>
    </ext>
  </extLst>
</workbook>
</file>

<file path=xl/calcChain.xml><?xml version="1.0" encoding="utf-8"?>
<calcChain xmlns="http://schemas.openxmlformats.org/spreadsheetml/2006/main">
  <c r="C3" i="3" l="1"/>
  <c r="E3" i="14"/>
  <c r="C4" i="14"/>
  <c r="E345" i="2"/>
  <c r="C345" i="2"/>
  <c r="I332" i="2"/>
  <c r="F332" i="2"/>
  <c r="C332" i="2"/>
  <c r="H319" i="2"/>
  <c r="E319" i="2"/>
  <c r="I306" i="2"/>
  <c r="F306" i="2"/>
  <c r="C306" i="2"/>
  <c r="I293" i="2"/>
  <c r="F293" i="2"/>
  <c r="C278" i="2"/>
  <c r="I265" i="2"/>
  <c r="F265" i="2"/>
  <c r="C265" i="2"/>
  <c r="I252" i="2"/>
  <c r="E252" i="2"/>
  <c r="I237" i="2"/>
  <c r="F237" i="2"/>
  <c r="C237" i="2"/>
  <c r="I224" i="2"/>
  <c r="E224" i="2"/>
  <c r="I209" i="2"/>
  <c r="F209" i="2"/>
  <c r="C209" i="2"/>
  <c r="I196" i="2"/>
  <c r="E196" i="2"/>
  <c r="I181" i="2"/>
  <c r="F181" i="2"/>
  <c r="C181" i="2"/>
  <c r="I168" i="2"/>
  <c r="E168" i="2"/>
  <c r="I153" i="2"/>
  <c r="F153" i="2"/>
  <c r="C153" i="2"/>
  <c r="I140" i="2"/>
  <c r="E140" i="2"/>
  <c r="I125" i="2"/>
  <c r="F125" i="2"/>
  <c r="C125" i="2"/>
  <c r="I112" i="2"/>
  <c r="E112" i="2"/>
  <c r="I97" i="2"/>
  <c r="F97" i="2"/>
  <c r="C97" i="2"/>
  <c r="I84" i="2"/>
  <c r="E84" i="2"/>
  <c r="I69" i="2"/>
  <c r="F69" i="2"/>
  <c r="C69" i="2"/>
  <c r="I56" i="2"/>
  <c r="E56" i="2"/>
  <c r="I41" i="2"/>
  <c r="E41" i="2"/>
  <c r="B41" i="2"/>
  <c r="I28" i="2"/>
  <c r="F28" i="2"/>
  <c r="C28" i="2"/>
  <c r="I15" i="2"/>
  <c r="F15" i="2"/>
  <c r="C59" i="1"/>
  <c r="AA15" i="1" s="1"/>
  <c r="C55" i="1"/>
  <c r="C54" i="1"/>
  <c r="C53" i="1"/>
  <c r="C52" i="1"/>
  <c r="C50" i="1"/>
  <c r="C49" i="1"/>
  <c r="F48" i="1"/>
  <c r="F53" i="1" s="1"/>
  <c r="F58" i="1" s="1"/>
  <c r="F47" i="1"/>
  <c r="F52" i="1" s="1"/>
  <c r="F57" i="1" s="1"/>
  <c r="C45" i="1"/>
  <c r="C44" i="1"/>
  <c r="C43" i="1"/>
  <c r="C42" i="1"/>
  <c r="C40" i="1"/>
  <c r="C39" i="1"/>
  <c r="C35" i="1"/>
  <c r="C34" i="1"/>
  <c r="C33" i="1"/>
  <c r="C32" i="1"/>
  <c r="F31" i="1"/>
  <c r="C30" i="1"/>
  <c r="C29" i="1"/>
  <c r="C25" i="1"/>
  <c r="C24" i="1"/>
  <c r="F23" i="1"/>
  <c r="C23" i="1"/>
  <c r="C22" i="1"/>
  <c r="Z18" i="1"/>
  <c r="F15" i="1"/>
  <c r="AH13" i="1"/>
  <c r="F244" i="2" s="1"/>
  <c r="F252" i="2" s="1"/>
  <c r="AG13" i="1"/>
  <c r="B216" i="2" s="1"/>
  <c r="B224" i="2" s="1"/>
  <c r="AF13" i="1"/>
  <c r="AE13" i="1"/>
  <c r="AD13" i="1"/>
  <c r="B132" i="2" s="1"/>
  <c r="B140" i="2" s="1"/>
  <c r="AC13" i="1"/>
  <c r="AB13" i="1"/>
  <c r="B76" i="2" s="1"/>
  <c r="B84" i="2" s="1"/>
  <c r="AA13" i="1"/>
  <c r="B48" i="2" s="1"/>
  <c r="B56" i="2" s="1"/>
  <c r="Z13" i="1"/>
  <c r="F7" i="1"/>
  <c r="C7" i="1"/>
  <c r="Z6" i="1" s="1"/>
  <c r="C6" i="1"/>
  <c r="C9" i="2" s="1"/>
  <c r="C5" i="1"/>
  <c r="C8" i="2" s="1"/>
  <c r="C4" i="1"/>
  <c r="Z4" i="1" l="1"/>
  <c r="F63" i="1"/>
  <c r="F62" i="1"/>
  <c r="C286" i="2"/>
  <c r="F76" i="2"/>
  <c r="F84" i="2" s="1"/>
  <c r="F85" i="2" s="1"/>
  <c r="C49" i="2"/>
  <c r="B61" i="2"/>
  <c r="B69" i="2" s="1"/>
  <c r="B70" i="2" s="1"/>
  <c r="AH15" i="1"/>
  <c r="AA6" i="1"/>
  <c r="C288" i="2"/>
  <c r="C10" i="2"/>
  <c r="I311" i="2"/>
  <c r="I319" i="2" s="1"/>
  <c r="I320" i="2" s="1"/>
  <c r="B287" i="2"/>
  <c r="F61" i="1"/>
  <c r="AG15" i="1"/>
  <c r="AF15" i="1"/>
  <c r="AE15" i="1"/>
  <c r="AC15" i="1"/>
  <c r="AB15" i="1"/>
  <c r="Z15" i="1"/>
  <c r="F253" i="2"/>
  <c r="E253" i="2"/>
  <c r="E85" i="2"/>
  <c r="AD15" i="1"/>
  <c r="Z5" i="1"/>
  <c r="C287" i="2"/>
  <c r="F160" i="2"/>
  <c r="F168" i="2" s="1"/>
  <c r="F169" i="2" s="1"/>
  <c r="B160" i="2"/>
  <c r="B168" i="2" s="1"/>
  <c r="C3" i="4"/>
  <c r="F48" i="2"/>
  <c r="F56" i="2" s="1"/>
  <c r="B104" i="2"/>
  <c r="B112" i="2" s="1"/>
  <c r="F104" i="2"/>
  <c r="F112" i="2" s="1"/>
  <c r="F113" i="2" s="1"/>
  <c r="AA4" i="1"/>
  <c r="F132" i="2"/>
  <c r="F140" i="2" s="1"/>
  <c r="F141" i="2" s="1"/>
  <c r="B188" i="2"/>
  <c r="B196" i="2" s="1"/>
  <c r="F188" i="2"/>
  <c r="F196" i="2" s="1"/>
  <c r="F197" i="2" s="1"/>
  <c r="B244" i="2"/>
  <c r="B252" i="2" s="1"/>
  <c r="C56" i="1"/>
  <c r="C63" i="1" s="1"/>
  <c r="F216" i="2"/>
  <c r="F224" i="2" s="1"/>
  <c r="F225" i="2" s="1"/>
  <c r="E113" i="2" l="1"/>
  <c r="E225" i="2"/>
  <c r="C70" i="2"/>
  <c r="E141" i="2"/>
  <c r="C161" i="2"/>
  <c r="B173" i="2"/>
  <c r="B181" i="2" s="1"/>
  <c r="E169" i="2"/>
  <c r="C189" i="2"/>
  <c r="B201" i="2"/>
  <c r="B209" i="2" s="1"/>
  <c r="AA5" i="1"/>
  <c r="AB5" i="1" s="1"/>
  <c r="C133" i="2"/>
  <c r="B145" i="2"/>
  <c r="B153" i="2" s="1"/>
  <c r="B229" i="2"/>
  <c r="B237" i="2" s="1"/>
  <c r="C217" i="2"/>
  <c r="H320" i="2"/>
  <c r="C8" i="5"/>
  <c r="H298" i="2"/>
  <c r="H306" i="2" s="1"/>
  <c r="H20" i="2"/>
  <c r="H28" i="2" s="1"/>
  <c r="AB6" i="1"/>
  <c r="Z7" i="1"/>
  <c r="F57" i="2"/>
  <c r="E57" i="2"/>
  <c r="B117" i="2"/>
  <c r="B125" i="2" s="1"/>
  <c r="C105" i="2"/>
  <c r="AG14" i="1"/>
  <c r="I7" i="1"/>
  <c r="I24" i="1"/>
  <c r="AF14" i="1"/>
  <c r="AE14" i="1"/>
  <c r="I22" i="1"/>
  <c r="AC14" i="1"/>
  <c r="Z14" i="1"/>
  <c r="I5" i="1"/>
  <c r="I23" i="1"/>
  <c r="I4" i="1"/>
  <c r="I3" i="1"/>
  <c r="I10" i="1"/>
  <c r="I9" i="1"/>
  <c r="I13" i="1"/>
  <c r="I12" i="1"/>
  <c r="C8" i="1"/>
  <c r="I18" i="1"/>
  <c r="I6" i="1"/>
  <c r="I17" i="1"/>
  <c r="I16" i="1"/>
  <c r="AH14" i="1"/>
  <c r="I21" i="1"/>
  <c r="AD14" i="1"/>
  <c r="I20" i="1"/>
  <c r="AB14" i="1"/>
  <c r="I19" i="1"/>
  <c r="AA14" i="1"/>
  <c r="I11" i="1"/>
  <c r="I15" i="1"/>
  <c r="I8" i="1"/>
  <c r="H7" i="2"/>
  <c r="H15" i="2" s="1"/>
  <c r="C6" i="5"/>
  <c r="H285" i="2"/>
  <c r="H293" i="2" s="1"/>
  <c r="AB4" i="1"/>
  <c r="C5" i="4"/>
  <c r="C290" i="2"/>
  <c r="E324" i="2"/>
  <c r="E332" i="2" s="1"/>
  <c r="C5" i="3"/>
  <c r="C77" i="2"/>
  <c r="B89" i="2"/>
  <c r="B97" i="2" s="1"/>
  <c r="E197" i="2"/>
  <c r="B257" i="2"/>
  <c r="B265" i="2" s="1"/>
  <c r="C245" i="2"/>
  <c r="AA7" i="1" l="1"/>
  <c r="AB7" i="1"/>
  <c r="B298" i="2" s="1"/>
  <c r="B306" i="2" s="1"/>
  <c r="J17" i="1"/>
  <c r="U17" i="1" s="1"/>
  <c r="V17" i="1" s="1"/>
  <c r="K17" i="1"/>
  <c r="I294" i="2"/>
  <c r="H294" i="2"/>
  <c r="J24" i="1"/>
  <c r="U24" i="1" s="1"/>
  <c r="V24" i="1" s="1"/>
  <c r="K24" i="1"/>
  <c r="B266" i="2"/>
  <c r="C266" i="2"/>
  <c r="K6" i="1"/>
  <c r="J6" i="1"/>
  <c r="U6" i="1" s="1"/>
  <c r="V6" i="1" s="1"/>
  <c r="K18" i="1"/>
  <c r="J18" i="1"/>
  <c r="U18" i="1" s="1"/>
  <c r="V18" i="1" s="1"/>
  <c r="K7" i="1"/>
  <c r="J7" i="1"/>
  <c r="U7" i="1" s="1"/>
  <c r="V7" i="1" s="1"/>
  <c r="H216" i="2"/>
  <c r="H224" i="2" s="1"/>
  <c r="C216" i="2"/>
  <c r="K15" i="1"/>
  <c r="J15" i="1"/>
  <c r="U15" i="1" s="1"/>
  <c r="V15" i="1" s="1"/>
  <c r="C9" i="5"/>
  <c r="B20" i="2"/>
  <c r="B28" i="2" s="1"/>
  <c r="H160" i="2"/>
  <c r="H168" i="2" s="1"/>
  <c r="C160" i="2"/>
  <c r="H188" i="2"/>
  <c r="H196" i="2" s="1"/>
  <c r="C188" i="2"/>
  <c r="K3" i="1"/>
  <c r="J3" i="1"/>
  <c r="U3" i="1" s="1"/>
  <c r="V3" i="1" s="1"/>
  <c r="B182" i="2"/>
  <c r="C182" i="2"/>
  <c r="F51" i="1"/>
  <c r="F56" i="1"/>
  <c r="H29" i="2"/>
  <c r="I29" i="2"/>
  <c r="B238" i="2"/>
  <c r="C238" i="2"/>
  <c r="C11" i="2"/>
  <c r="C3" i="1"/>
  <c r="C126" i="2"/>
  <c r="B126" i="2"/>
  <c r="J10" i="1"/>
  <c r="U10" i="1" s="1"/>
  <c r="V10" i="1" s="1"/>
  <c r="K10" i="1"/>
  <c r="K4" i="1"/>
  <c r="J4" i="1"/>
  <c r="U4" i="1" s="1"/>
  <c r="V4" i="1" s="1"/>
  <c r="H132" i="2"/>
  <c r="H140" i="2" s="1"/>
  <c r="C132" i="2"/>
  <c r="K5" i="1"/>
  <c r="J5" i="1"/>
  <c r="U5" i="1" s="1"/>
  <c r="V5" i="1" s="1"/>
  <c r="J21" i="1"/>
  <c r="U21" i="1" s="1"/>
  <c r="V21" i="1" s="1"/>
  <c r="K21" i="1"/>
  <c r="C4" i="3"/>
  <c r="C4" i="4"/>
  <c r="C6" i="4" s="1"/>
  <c r="B324" i="2"/>
  <c r="B332" i="2" s="1"/>
  <c r="C289" i="2"/>
  <c r="H33" i="2"/>
  <c r="H41" i="2" s="1"/>
  <c r="Z19" i="1"/>
  <c r="H16" i="2"/>
  <c r="I16" i="2"/>
  <c r="K8" i="1"/>
  <c r="J8" i="1"/>
  <c r="U8" i="1" s="1"/>
  <c r="V8" i="1" s="1"/>
  <c r="C7" i="5"/>
  <c r="E298" i="2"/>
  <c r="E306" i="2" s="1"/>
  <c r="E20" i="2"/>
  <c r="E28" i="2" s="1"/>
  <c r="B210" i="2"/>
  <c r="C210" i="2"/>
  <c r="K11" i="1"/>
  <c r="J11" i="1"/>
  <c r="U11" i="1" s="1"/>
  <c r="V11" i="1" s="1"/>
  <c r="J19" i="1"/>
  <c r="U19" i="1" s="1"/>
  <c r="V19" i="1" s="1"/>
  <c r="K19" i="1"/>
  <c r="H76" i="2"/>
  <c r="H84" i="2" s="1"/>
  <c r="C76" i="2"/>
  <c r="K20" i="1"/>
  <c r="J20" i="1"/>
  <c r="U20" i="1" s="1"/>
  <c r="V20" i="1" s="1"/>
  <c r="E333" i="2"/>
  <c r="F333" i="2"/>
  <c r="C244" i="2"/>
  <c r="H244" i="2"/>
  <c r="H252" i="2" s="1"/>
  <c r="H104" i="2"/>
  <c r="H112" i="2" s="1"/>
  <c r="C104" i="2"/>
  <c r="B154" i="2"/>
  <c r="C154" i="2"/>
  <c r="K12" i="1"/>
  <c r="J12" i="1"/>
  <c r="U12" i="1" s="1"/>
  <c r="V12" i="1" s="1"/>
  <c r="K13" i="1"/>
  <c r="J13" i="1"/>
  <c r="U13" i="1" s="1"/>
  <c r="V13" i="1" s="1"/>
  <c r="J9" i="1"/>
  <c r="U9" i="1" s="1"/>
  <c r="V9" i="1" s="1"/>
  <c r="K9" i="1"/>
  <c r="H48" i="2"/>
  <c r="H56" i="2" s="1"/>
  <c r="C48" i="2"/>
  <c r="B98" i="2"/>
  <c r="C98" i="2"/>
  <c r="K23" i="1"/>
  <c r="J23" i="1"/>
  <c r="U23" i="1" s="1"/>
  <c r="V23" i="1" s="1"/>
  <c r="I307" i="2"/>
  <c r="H307" i="2"/>
  <c r="K16" i="1"/>
  <c r="J16" i="1"/>
  <c r="U16" i="1" s="1"/>
  <c r="V16" i="1" s="1"/>
  <c r="K22" i="1"/>
  <c r="J22" i="1"/>
  <c r="U22" i="1" s="1"/>
  <c r="V22" i="1" s="1"/>
  <c r="I169" i="2" l="1"/>
  <c r="H169" i="2"/>
  <c r="L5" i="1"/>
  <c r="M5" i="1" s="1"/>
  <c r="B29" i="2"/>
  <c r="C29" i="2"/>
  <c r="Z21" i="1"/>
  <c r="L10" i="1"/>
  <c r="M10" i="1" s="1"/>
  <c r="L7" i="1"/>
  <c r="M7" i="1" s="1"/>
  <c r="L3" i="1"/>
  <c r="M3" i="1" s="1"/>
  <c r="E285" i="2"/>
  <c r="E293" i="2" s="1"/>
  <c r="C285" i="2"/>
  <c r="E7" i="2"/>
  <c r="E15" i="2" s="1"/>
  <c r="C7" i="2"/>
  <c r="C15" i="2" s="1"/>
  <c r="C5" i="5"/>
  <c r="C9" i="3"/>
  <c r="C10" i="3" s="1"/>
  <c r="C9" i="1"/>
  <c r="H57" i="2"/>
  <c r="I57" i="2"/>
  <c r="L17" i="1"/>
  <c r="M17" i="1" s="1"/>
  <c r="L20" i="1"/>
  <c r="M20" i="1" s="1"/>
  <c r="L6" i="1"/>
  <c r="M6" i="1" s="1"/>
  <c r="L8" i="1"/>
  <c r="M8" i="1" s="1"/>
  <c r="L11" i="1"/>
  <c r="M11" i="1" s="1"/>
  <c r="L9" i="1"/>
  <c r="M9" i="1" s="1"/>
  <c r="L18" i="1"/>
  <c r="M18" i="1" s="1"/>
  <c r="L15" i="1"/>
  <c r="M15" i="1" s="1"/>
  <c r="H113" i="2"/>
  <c r="I113" i="2"/>
  <c r="I197" i="2"/>
  <c r="H197" i="2"/>
  <c r="L16" i="1"/>
  <c r="M16" i="1" s="1"/>
  <c r="L12" i="1"/>
  <c r="M12" i="1" s="1"/>
  <c r="E307" i="2"/>
  <c r="F307" i="2"/>
  <c r="L21" i="1"/>
  <c r="M21" i="1" s="1"/>
  <c r="H253" i="2"/>
  <c r="I253" i="2"/>
  <c r="L19" i="1"/>
  <c r="M19" i="1" s="1"/>
  <c r="L13" i="1"/>
  <c r="M13" i="1" s="1"/>
  <c r="H225" i="2"/>
  <c r="I225" i="2"/>
  <c r="B307" i="2"/>
  <c r="C307" i="2"/>
  <c r="L23" i="1"/>
  <c r="M23" i="1" s="1"/>
  <c r="F29" i="2"/>
  <c r="E29" i="2"/>
  <c r="L22" i="1"/>
  <c r="M22" i="1" s="1"/>
  <c r="L4" i="1"/>
  <c r="M4" i="1" s="1"/>
  <c r="L24" i="1"/>
  <c r="M24" i="1" s="1"/>
  <c r="H42" i="2"/>
  <c r="I42" i="2"/>
  <c r="B333" i="2"/>
  <c r="C333" i="2"/>
  <c r="H141" i="2"/>
  <c r="I141" i="2"/>
  <c r="H85" i="2"/>
  <c r="I85" i="2"/>
  <c r="E294" i="2" l="1"/>
  <c r="F294" i="2"/>
  <c r="F29" i="1"/>
  <c r="F33" i="1" s="1"/>
  <c r="F34" i="1" s="1"/>
  <c r="R27" i="1"/>
  <c r="W13" i="1"/>
  <c r="W12" i="1"/>
  <c r="W21" i="1"/>
  <c r="W19" i="1"/>
  <c r="W17" i="1"/>
  <c r="W15" i="1"/>
  <c r="F5" i="1"/>
  <c r="C3" i="14" s="1"/>
  <c r="W5" i="1"/>
  <c r="W10" i="1"/>
  <c r="W9" i="1"/>
  <c r="W18" i="1"/>
  <c r="W11" i="1"/>
  <c r="F13" i="1"/>
  <c r="F17" i="1" s="1"/>
  <c r="F18" i="1" s="1"/>
  <c r="W16" i="1"/>
  <c r="W24" i="1"/>
  <c r="W8" i="1"/>
  <c r="W23" i="1"/>
  <c r="W3" i="1"/>
  <c r="W4" i="1"/>
  <c r="W7" i="1"/>
  <c r="F2" i="1"/>
  <c r="C11" i="3" s="1"/>
  <c r="W20" i="1"/>
  <c r="W22" i="1"/>
  <c r="W6" i="1"/>
  <c r="F21" i="1"/>
  <c r="F25" i="1" s="1"/>
  <c r="F26" i="1" s="1"/>
  <c r="E16" i="2"/>
  <c r="F16" i="2"/>
  <c r="D3" i="14" l="1"/>
  <c r="D4" i="14"/>
  <c r="C12" i="3"/>
  <c r="C311" i="2"/>
  <c r="C319" i="2" s="1"/>
  <c r="B286" i="2"/>
  <c r="J27" i="1"/>
  <c r="F9" i="1"/>
  <c r="C33" i="2"/>
  <c r="C41" i="2" s="1"/>
  <c r="B8" i="2"/>
  <c r="B285" i="2"/>
  <c r="F311" i="2"/>
  <c r="F319" i="2" s="1"/>
  <c r="Z22" i="1"/>
  <c r="Z23" i="1" s="1"/>
  <c r="F33" i="2"/>
  <c r="F41" i="2" s="1"/>
  <c r="B7" i="2"/>
  <c r="T27" i="1"/>
  <c r="S27" i="1"/>
  <c r="G3" i="14" l="1"/>
  <c r="B15" i="2"/>
  <c r="B293" i="2"/>
  <c r="S56" i="1"/>
  <c r="S49" i="1"/>
  <c r="S34" i="1"/>
  <c r="S46" i="1"/>
  <c r="S43" i="1"/>
  <c r="S40" i="1"/>
  <c r="S37" i="1"/>
  <c r="S53" i="1"/>
  <c r="S54" i="1"/>
  <c r="S41" i="1"/>
  <c r="S38" i="1"/>
  <c r="S32" i="1"/>
  <c r="S29" i="1"/>
  <c r="S48" i="1"/>
  <c r="S45" i="1"/>
  <c r="S36" i="1"/>
  <c r="S55" i="1"/>
  <c r="S42" i="1"/>
  <c r="S39" i="1"/>
  <c r="S33" i="1"/>
  <c r="S52" i="1"/>
  <c r="S30" i="1"/>
  <c r="S62" i="1"/>
  <c r="S58" i="1"/>
  <c r="S44" i="1"/>
  <c r="S59" i="1"/>
  <c r="S50" i="1"/>
  <c r="S47" i="1"/>
  <c r="S61" i="1"/>
  <c r="S57" i="1"/>
  <c r="S35" i="1"/>
  <c r="S28" i="1"/>
  <c r="S31" i="1"/>
  <c r="S60" i="1"/>
  <c r="S51" i="1"/>
  <c r="U27" i="1"/>
  <c r="B16" i="2"/>
  <c r="C16" i="2"/>
  <c r="F320" i="2"/>
  <c r="E320" i="2"/>
  <c r="C42" i="2"/>
  <c r="B42" i="2"/>
  <c r="F42" i="2"/>
  <c r="E42" i="2"/>
  <c r="C15" i="5"/>
  <c r="K48" i="1"/>
  <c r="K45" i="1"/>
  <c r="K36" i="1"/>
  <c r="K55" i="1"/>
  <c r="K42" i="1"/>
  <c r="K39" i="1"/>
  <c r="K33" i="1"/>
  <c r="K62" i="1"/>
  <c r="K59" i="1"/>
  <c r="K27" i="1"/>
  <c r="K53" i="1"/>
  <c r="K31" i="1"/>
  <c r="K47" i="1"/>
  <c r="K44" i="1"/>
  <c r="K54" i="1"/>
  <c r="K41" i="1"/>
  <c r="K38" i="1"/>
  <c r="K29" i="1"/>
  <c r="K37" i="1"/>
  <c r="K51" i="1"/>
  <c r="K58" i="1"/>
  <c r="K40" i="1"/>
  <c r="F10" i="1"/>
  <c r="K50" i="1"/>
  <c r="K61" i="1"/>
  <c r="K57" i="1"/>
  <c r="K43" i="1"/>
  <c r="K52" i="1"/>
  <c r="K34" i="1"/>
  <c r="K35" i="1"/>
  <c r="K32" i="1"/>
  <c r="K30" i="1"/>
  <c r="K28" i="1"/>
  <c r="K46" i="1"/>
  <c r="K60" i="1"/>
  <c r="K56" i="1"/>
  <c r="K49" i="1"/>
  <c r="N16" i="1"/>
  <c r="N23" i="1"/>
  <c r="N21" i="1"/>
  <c r="N10" i="1"/>
  <c r="N22" i="1"/>
  <c r="N20" i="1"/>
  <c r="N4" i="1"/>
  <c r="N18" i="1"/>
  <c r="N7" i="1"/>
  <c r="N24" i="1"/>
  <c r="N5" i="1"/>
  <c r="N11" i="1"/>
  <c r="N12" i="1"/>
  <c r="N17" i="1"/>
  <c r="N15" i="1"/>
  <c r="N6" i="1"/>
  <c r="N9" i="1"/>
  <c r="N19" i="1"/>
  <c r="N3" i="1"/>
  <c r="N13" i="1"/>
  <c r="N8" i="1"/>
  <c r="L27" i="1"/>
  <c r="M27" i="1" l="1"/>
  <c r="K63" i="1"/>
  <c r="R7" i="1"/>
  <c r="Q7" i="1"/>
  <c r="O7" i="1"/>
  <c r="P7" i="1" s="1"/>
  <c r="R17" i="1"/>
  <c r="Q17" i="1"/>
  <c r="O17" i="1"/>
  <c r="P17" i="1" s="1"/>
  <c r="O12" i="1"/>
  <c r="P12" i="1" s="1"/>
  <c r="Q12" i="1"/>
  <c r="R12" i="1"/>
  <c r="R4" i="1"/>
  <c r="Q4" i="1"/>
  <c r="O4" i="1"/>
  <c r="P4" i="1" s="1"/>
  <c r="V27" i="1"/>
  <c r="R28" i="1" s="1"/>
  <c r="R18" i="1"/>
  <c r="O18" i="1"/>
  <c r="P18" i="1" s="1"/>
  <c r="Q18" i="1"/>
  <c r="O3" i="1"/>
  <c r="P3" i="1" s="1"/>
  <c r="R3" i="1"/>
  <c r="Q3" i="1"/>
  <c r="R24" i="1"/>
  <c r="Q24" i="1"/>
  <c r="O24" i="1"/>
  <c r="P24" i="1" s="1"/>
  <c r="O8" i="1"/>
  <c r="P8" i="1" s="1"/>
  <c r="R8" i="1"/>
  <c r="Q8" i="1"/>
  <c r="R19" i="1"/>
  <c r="Q19" i="1"/>
  <c r="O19" i="1"/>
  <c r="P19" i="1" s="1"/>
  <c r="AA16" i="1"/>
  <c r="O13" i="1"/>
  <c r="P13" i="1" s="1"/>
  <c r="Q13" i="1"/>
  <c r="R13" i="1"/>
  <c r="R23" i="1"/>
  <c r="Q23" i="1"/>
  <c r="O23" i="1"/>
  <c r="P23" i="1" s="1"/>
  <c r="Q9" i="1"/>
  <c r="R9" i="1"/>
  <c r="O9" i="1"/>
  <c r="P9" i="1" s="1"/>
  <c r="R16" i="1"/>
  <c r="O16" i="1"/>
  <c r="P16" i="1" s="1"/>
  <c r="Q16" i="1"/>
  <c r="R11" i="1"/>
  <c r="O11" i="1"/>
  <c r="P11" i="1" s="1"/>
  <c r="Q11" i="1"/>
  <c r="O5" i="1"/>
  <c r="P5" i="1" s="1"/>
  <c r="R5" i="1"/>
  <c r="Q5" i="1"/>
  <c r="S63" i="1"/>
  <c r="R22" i="1"/>
  <c r="Q22" i="1"/>
  <c r="O22" i="1"/>
  <c r="P22" i="1" s="1"/>
  <c r="Q10" i="1"/>
  <c r="O10" i="1"/>
  <c r="P10" i="1" s="1"/>
  <c r="R10" i="1"/>
  <c r="R6" i="1"/>
  <c r="Q6" i="1"/>
  <c r="O6" i="1"/>
  <c r="P6" i="1" s="1"/>
  <c r="R20" i="1"/>
  <c r="O20" i="1"/>
  <c r="P20" i="1" s="1"/>
  <c r="Q20" i="1"/>
  <c r="R21" i="1"/>
  <c r="Q21" i="1"/>
  <c r="O21" i="1"/>
  <c r="P21" i="1" s="1"/>
  <c r="O15" i="1"/>
  <c r="P15" i="1" s="1"/>
  <c r="Q15" i="1"/>
  <c r="R15" i="1"/>
  <c r="S16" i="1" l="1"/>
  <c r="T16" i="1" s="1"/>
  <c r="S6" i="1"/>
  <c r="T6" i="1" s="1"/>
  <c r="S21" i="1"/>
  <c r="T21" i="1" s="1"/>
  <c r="S22" i="1"/>
  <c r="T22" i="1" s="1"/>
  <c r="S23" i="1"/>
  <c r="T23" i="1" s="1"/>
  <c r="S7" i="1"/>
  <c r="T7" i="1" s="1"/>
  <c r="S8" i="1"/>
  <c r="T8" i="1" s="1"/>
  <c r="S24" i="1"/>
  <c r="T24" i="1" s="1"/>
  <c r="S17" i="1"/>
  <c r="T17" i="1" s="1"/>
  <c r="S10" i="1"/>
  <c r="T10" i="1" s="1"/>
  <c r="S11" i="1"/>
  <c r="T11" i="1" s="1"/>
  <c r="S18" i="1"/>
  <c r="T18" i="1" s="1"/>
  <c r="S12" i="1"/>
  <c r="T12" i="1" s="1"/>
  <c r="S15" i="1"/>
  <c r="T15" i="1" s="1"/>
  <c r="G13" i="14"/>
  <c r="G25" i="14" s="1"/>
  <c r="C13" i="14"/>
  <c r="J13" i="14"/>
  <c r="J25" i="14" s="1"/>
  <c r="D13" i="14"/>
  <c r="H13" i="14"/>
  <c r="H25" i="14" s="1"/>
  <c r="F13" i="14"/>
  <c r="F25" i="14" s="1"/>
  <c r="E13" i="14"/>
  <c r="E25" i="14" s="1"/>
  <c r="I13" i="14"/>
  <c r="I25" i="14" s="1"/>
  <c r="S5" i="1"/>
  <c r="T5" i="1" s="1"/>
  <c r="S3" i="1"/>
  <c r="T3" i="1" s="1"/>
  <c r="S4" i="1"/>
  <c r="T4" i="1" s="1"/>
  <c r="S13" i="1"/>
  <c r="T13" i="1" s="1"/>
  <c r="E61" i="2"/>
  <c r="E69" i="2" s="1"/>
  <c r="AA19" i="1"/>
  <c r="S9" i="1"/>
  <c r="T9" i="1" s="1"/>
  <c r="T28" i="1"/>
  <c r="AA17" i="1"/>
  <c r="N27" i="1"/>
  <c r="J28" i="1" s="1"/>
  <c r="S20" i="1"/>
  <c r="T20" i="1" s="1"/>
  <c r="S19" i="1"/>
  <c r="T19" i="1" s="1"/>
  <c r="C25" i="14" l="1"/>
  <c r="C14" i="14"/>
  <c r="D25" i="14"/>
  <c r="D14" i="14"/>
  <c r="E14" i="14"/>
  <c r="E19" i="14"/>
  <c r="J14" i="14"/>
  <c r="J19" i="14"/>
  <c r="F14" i="14"/>
  <c r="F19" i="14"/>
  <c r="C19" i="14"/>
  <c r="H14" i="14"/>
  <c r="H19" i="14"/>
  <c r="G14" i="14"/>
  <c r="G19" i="14"/>
  <c r="I14" i="14"/>
  <c r="I19" i="14"/>
  <c r="D19" i="14"/>
  <c r="H61" i="2"/>
  <c r="H69" i="2" s="1"/>
  <c r="F70" i="2"/>
  <c r="E70" i="2"/>
  <c r="L28" i="1"/>
  <c r="U28" i="1"/>
  <c r="AA21" i="1"/>
  <c r="AA18" i="1"/>
  <c r="F15" i="14" l="1"/>
  <c r="D26" i="14"/>
  <c r="D20" i="14"/>
  <c r="G26" i="14"/>
  <c r="G20" i="14"/>
  <c r="C26" i="14"/>
  <c r="C20" i="14"/>
  <c r="J26" i="14"/>
  <c r="J20" i="14"/>
  <c r="I26" i="14"/>
  <c r="I20" i="14"/>
  <c r="H26" i="14"/>
  <c r="H20" i="14"/>
  <c r="F26" i="14"/>
  <c r="F20" i="14"/>
  <c r="E26" i="14"/>
  <c r="E20" i="14"/>
  <c r="C50" i="2"/>
  <c r="C56" i="2" s="1"/>
  <c r="AA22" i="1"/>
  <c r="AA23" i="1" s="1"/>
  <c r="V28" i="1"/>
  <c r="R29" i="1" s="1"/>
  <c r="AB16" i="1"/>
  <c r="M28" i="1"/>
  <c r="H70" i="2"/>
  <c r="I70" i="2"/>
  <c r="F21" i="14" l="1"/>
  <c r="F17" i="14" s="1"/>
  <c r="F27" i="14"/>
  <c r="F23" i="14" s="1"/>
  <c r="E89" i="2"/>
  <c r="E97" i="2" s="1"/>
  <c r="AB19" i="1"/>
  <c r="AB17" i="1"/>
  <c r="N28" i="1"/>
  <c r="J29" i="1" s="1"/>
  <c r="T29" i="1"/>
  <c r="C57" i="2"/>
  <c r="B57" i="2"/>
  <c r="U29" i="1" l="1"/>
  <c r="L29" i="1"/>
  <c r="H89" i="2"/>
  <c r="H97" i="2" s="1"/>
  <c r="AB21" i="1"/>
  <c r="E98" i="2"/>
  <c r="F98" i="2"/>
  <c r="AB18" i="1"/>
  <c r="C78" i="2" l="1"/>
  <c r="C84" i="2" s="1"/>
  <c r="AB22" i="1"/>
  <c r="AB23" i="1" s="1"/>
  <c r="H98" i="2"/>
  <c r="I98" i="2"/>
  <c r="AC16" i="1"/>
  <c r="M29" i="1"/>
  <c r="V29" i="1"/>
  <c r="R30" i="1" s="1"/>
  <c r="AC17" i="1" l="1"/>
  <c r="AC18" i="1" s="1"/>
  <c r="N29" i="1"/>
  <c r="J30" i="1" s="1"/>
  <c r="E117" i="2"/>
  <c r="E125" i="2" s="1"/>
  <c r="AC19" i="1"/>
  <c r="T30" i="1"/>
  <c r="C85" i="2"/>
  <c r="B85" i="2"/>
  <c r="C106" i="2" l="1"/>
  <c r="C112" i="2" s="1"/>
  <c r="AC22" i="1"/>
  <c r="AC23" i="1" s="1"/>
  <c r="U30" i="1"/>
  <c r="AC21" i="1"/>
  <c r="E126" i="2"/>
  <c r="F126" i="2"/>
  <c r="L30" i="1"/>
  <c r="H117" i="2"/>
  <c r="H125" i="2" s="1"/>
  <c r="H126" i="2" l="1"/>
  <c r="I126" i="2"/>
  <c r="AD16" i="1"/>
  <c r="M30" i="1"/>
  <c r="V30" i="1"/>
  <c r="R31" i="1" s="1"/>
  <c r="C113" i="2"/>
  <c r="B113" i="2"/>
  <c r="E145" i="2" l="1"/>
  <c r="E153" i="2" s="1"/>
  <c r="AD19" i="1"/>
  <c r="T31" i="1"/>
  <c r="U31" i="1" s="1"/>
  <c r="V31" i="1" s="1"/>
  <c r="R32" i="1" s="1"/>
  <c r="AD17" i="1"/>
  <c r="N30" i="1"/>
  <c r="J31" i="1" s="1"/>
  <c r="T32" i="1" l="1"/>
  <c r="U32" i="1" s="1"/>
  <c r="V32" i="1" s="1"/>
  <c r="R33" i="1" s="1"/>
  <c r="H145" i="2"/>
  <c r="H153" i="2" s="1"/>
  <c r="L31" i="1"/>
  <c r="AD21" i="1"/>
  <c r="E154" i="2"/>
  <c r="F154" i="2"/>
  <c r="AD18" i="1"/>
  <c r="T33" i="1" l="1"/>
  <c r="U33" i="1" s="1"/>
  <c r="V33" i="1" s="1"/>
  <c r="R34" i="1" s="1"/>
  <c r="H154" i="2"/>
  <c r="I154" i="2"/>
  <c r="C134" i="2"/>
  <c r="C140" i="2" s="1"/>
  <c r="AD22" i="1"/>
  <c r="AD23" i="1" s="1"/>
  <c r="AE16" i="1"/>
  <c r="M31" i="1"/>
  <c r="T34" i="1" l="1"/>
  <c r="U34" i="1" s="1"/>
  <c r="V34" i="1" s="1"/>
  <c r="R35" i="1" s="1"/>
  <c r="AE17" i="1"/>
  <c r="AE18" i="1" s="1"/>
  <c r="N31" i="1"/>
  <c r="J32" i="1" s="1"/>
  <c r="E173" i="2"/>
  <c r="E181" i="2" s="1"/>
  <c r="AE19" i="1"/>
  <c r="AE21" i="1" s="1"/>
  <c r="C141" i="2"/>
  <c r="B141" i="2"/>
  <c r="T35" i="1" l="1"/>
  <c r="U35" i="1" s="1"/>
  <c r="V35" i="1" s="1"/>
  <c r="R36" i="1" s="1"/>
  <c r="E182" i="2"/>
  <c r="F182" i="2"/>
  <c r="C162" i="2"/>
  <c r="C168" i="2" s="1"/>
  <c r="AE22" i="1"/>
  <c r="AE23" i="1" s="1"/>
  <c r="L32" i="1"/>
  <c r="H173" i="2"/>
  <c r="H181" i="2" s="1"/>
  <c r="T36" i="1" l="1"/>
  <c r="U36" i="1" s="1"/>
  <c r="V36" i="1" s="1"/>
  <c r="R37" i="1" s="1"/>
  <c r="C169" i="2"/>
  <c r="B169" i="2"/>
  <c r="H182" i="2"/>
  <c r="I182" i="2"/>
  <c r="AF16" i="1"/>
  <c r="M32" i="1"/>
  <c r="T37" i="1" l="1"/>
  <c r="U37" i="1" s="1"/>
  <c r="V37" i="1" s="1"/>
  <c r="R38" i="1" s="1"/>
  <c r="E201" i="2"/>
  <c r="E209" i="2" s="1"/>
  <c r="AF19" i="1"/>
  <c r="AF21" i="1" s="1"/>
  <c r="AF17" i="1"/>
  <c r="H201" i="2" s="1"/>
  <c r="H209" i="2" s="1"/>
  <c r="N32" i="1"/>
  <c r="J33" i="1" s="1"/>
  <c r="L33" i="1" l="1"/>
  <c r="I210" i="2"/>
  <c r="H210" i="2"/>
  <c r="E210" i="2"/>
  <c r="F210" i="2"/>
  <c r="AF18" i="1"/>
  <c r="T38" i="1"/>
  <c r="U38" i="1" s="1"/>
  <c r="V38" i="1" s="1"/>
  <c r="R39" i="1" s="1"/>
  <c r="T39" i="1" l="1"/>
  <c r="U39" i="1" s="1"/>
  <c r="V39" i="1" s="1"/>
  <c r="R40" i="1" s="1"/>
  <c r="C190" i="2"/>
  <c r="C196" i="2" s="1"/>
  <c r="AF22" i="1"/>
  <c r="AF23" i="1" s="1"/>
  <c r="AG16" i="1"/>
  <c r="M33" i="1"/>
  <c r="T40" i="1" l="1"/>
  <c r="U40" i="1" s="1"/>
  <c r="V40" i="1" s="1"/>
  <c r="R41" i="1" s="1"/>
  <c r="AG17" i="1"/>
  <c r="H229" i="2" s="1"/>
  <c r="H237" i="2" s="1"/>
  <c r="N33" i="1"/>
  <c r="J34" i="1" s="1"/>
  <c r="C197" i="2"/>
  <c r="B197" i="2"/>
  <c r="E229" i="2"/>
  <c r="E237" i="2" s="1"/>
  <c r="AG19" i="1"/>
  <c r="AG21" i="1" s="1"/>
  <c r="AG18" i="1" l="1"/>
  <c r="C218" i="2" s="1"/>
  <c r="C224" i="2" s="1"/>
  <c r="T41" i="1"/>
  <c r="U41" i="1" s="1"/>
  <c r="V41" i="1" s="1"/>
  <c r="R42" i="1" s="1"/>
  <c r="AG22" i="1"/>
  <c r="AG23" i="1" s="1"/>
  <c r="E238" i="2"/>
  <c r="F238" i="2"/>
  <c r="I238" i="2"/>
  <c r="H238" i="2"/>
  <c r="L34" i="1"/>
  <c r="T42" i="1" l="1"/>
  <c r="U42" i="1" s="1"/>
  <c r="V42" i="1" s="1"/>
  <c r="R43" i="1" s="1"/>
  <c r="AH16" i="1"/>
  <c r="M34" i="1"/>
  <c r="C225" i="2"/>
  <c r="B225" i="2"/>
  <c r="T43" i="1" l="1"/>
  <c r="U43" i="1" s="1"/>
  <c r="V43" i="1" s="1"/>
  <c r="R44" i="1" s="1"/>
  <c r="E257" i="2"/>
  <c r="E265" i="2" s="1"/>
  <c r="AH19" i="1"/>
  <c r="H324" i="2"/>
  <c r="H332" i="2" s="1"/>
  <c r="C7" i="4"/>
  <c r="C8" i="4" s="1"/>
  <c r="C6" i="3"/>
  <c r="AH17" i="1"/>
  <c r="N34" i="1"/>
  <c r="H333" i="2" l="1"/>
  <c r="I333" i="2"/>
  <c r="C12" i="5"/>
  <c r="C13" i="5" s="1"/>
  <c r="J35" i="1"/>
  <c r="H257" i="2"/>
  <c r="H265" i="2" s="1"/>
  <c r="B311" i="2"/>
  <c r="B319" i="2" s="1"/>
  <c r="C13" i="3"/>
  <c r="C14" i="3" s="1"/>
  <c r="AH20" i="1"/>
  <c r="F266" i="2"/>
  <c r="E266" i="2"/>
  <c r="AH18" i="1"/>
  <c r="T44" i="1"/>
  <c r="U44" i="1" s="1"/>
  <c r="V44" i="1" s="1"/>
  <c r="R45" i="1" s="1"/>
  <c r="T45" i="1" l="1"/>
  <c r="U45" i="1" s="1"/>
  <c r="V45" i="1" s="1"/>
  <c r="R46" i="1" s="1"/>
  <c r="B270" i="2"/>
  <c r="B278" i="2" s="1"/>
  <c r="B337" i="2"/>
  <c r="B345" i="2" s="1"/>
  <c r="C7" i="3"/>
  <c r="C8" i="3" s="1"/>
  <c r="C16" i="3" s="1"/>
  <c r="C17" i="3" s="1"/>
  <c r="C4" i="5" s="1"/>
  <c r="C10" i="5" s="1"/>
  <c r="C9" i="4"/>
  <c r="C10" i="4" s="1"/>
  <c r="C247" i="2"/>
  <c r="C292" i="2"/>
  <c r="B320" i="2"/>
  <c r="C320" i="2"/>
  <c r="C246" i="2"/>
  <c r="C252" i="2" s="1"/>
  <c r="AH22" i="1"/>
  <c r="AH23" i="1" s="1"/>
  <c r="C291" i="2"/>
  <c r="C293" i="2" s="1"/>
  <c r="AH21" i="1"/>
  <c r="H266" i="2"/>
  <c r="I266" i="2"/>
  <c r="L35" i="1"/>
  <c r="M35" i="1" s="1"/>
  <c r="N35" i="1" s="1"/>
  <c r="J36" i="1" s="1"/>
  <c r="L36" i="1" l="1"/>
  <c r="M36" i="1" s="1"/>
  <c r="N36" i="1" s="1"/>
  <c r="J37" i="1" s="1"/>
  <c r="T46" i="1"/>
  <c r="U46" i="1" s="1"/>
  <c r="V46" i="1" s="1"/>
  <c r="R47" i="1" s="1"/>
  <c r="C253" i="2"/>
  <c r="B253" i="2"/>
  <c r="C16" i="5"/>
  <c r="F337" i="2"/>
  <c r="F345" i="2" s="1"/>
  <c r="B279" i="2"/>
  <c r="C279" i="2"/>
  <c r="C294" i="2"/>
  <c r="B294" i="2"/>
  <c r="C346" i="2"/>
  <c r="B346" i="2"/>
  <c r="F30" i="14" l="1"/>
  <c r="C17" i="5"/>
  <c r="F29" i="14" s="1"/>
  <c r="L37" i="1"/>
  <c r="M37" i="1" s="1"/>
  <c r="N37" i="1" s="1"/>
  <c r="J38" i="1" s="1"/>
  <c r="F346" i="2"/>
  <c r="E346" i="2"/>
  <c r="T47" i="1"/>
  <c r="U47" i="1" s="1"/>
  <c r="V47" i="1" s="1"/>
  <c r="R48" i="1" s="1"/>
  <c r="T48" i="1" l="1"/>
  <c r="U48" i="1" s="1"/>
  <c r="V48" i="1" s="1"/>
  <c r="R49" i="1" s="1"/>
  <c r="L38" i="1"/>
  <c r="M38" i="1" s="1"/>
  <c r="N38" i="1" s="1"/>
  <c r="J39" i="1" s="1"/>
  <c r="L39" i="1" l="1"/>
  <c r="M39" i="1" s="1"/>
  <c r="N39" i="1" s="1"/>
  <c r="J40" i="1" s="1"/>
  <c r="T49" i="1"/>
  <c r="U49" i="1" s="1"/>
  <c r="V49" i="1" s="1"/>
  <c r="R50" i="1" s="1"/>
  <c r="T50" i="1" l="1"/>
  <c r="U50" i="1" s="1"/>
  <c r="V50" i="1" s="1"/>
  <c r="R51" i="1" s="1"/>
  <c r="L40" i="1"/>
  <c r="M40" i="1" s="1"/>
  <c r="N40" i="1" s="1"/>
  <c r="J41" i="1" s="1"/>
  <c r="L41" i="1" l="1"/>
  <c r="M41" i="1" s="1"/>
  <c r="N41" i="1" s="1"/>
  <c r="J42" i="1" s="1"/>
  <c r="T51" i="1"/>
  <c r="U51" i="1" s="1"/>
  <c r="V51" i="1" s="1"/>
  <c r="R52" i="1" s="1"/>
  <c r="T52" i="1" l="1"/>
  <c r="U52" i="1" s="1"/>
  <c r="V52" i="1" s="1"/>
  <c r="R53" i="1" s="1"/>
  <c r="L42" i="1"/>
  <c r="M42" i="1" s="1"/>
  <c r="N42" i="1" s="1"/>
  <c r="J43" i="1" s="1"/>
  <c r="T53" i="1" l="1"/>
  <c r="U53" i="1" s="1"/>
  <c r="V53" i="1" s="1"/>
  <c r="R54" i="1" s="1"/>
  <c r="L43" i="1"/>
  <c r="M43" i="1" s="1"/>
  <c r="N43" i="1" s="1"/>
  <c r="J44" i="1" s="1"/>
  <c r="L44" i="1" l="1"/>
  <c r="M44" i="1" s="1"/>
  <c r="N44" i="1" s="1"/>
  <c r="J45" i="1" s="1"/>
  <c r="T54" i="1"/>
  <c r="U54" i="1" s="1"/>
  <c r="V54" i="1" s="1"/>
  <c r="R55" i="1" s="1"/>
  <c r="T55" i="1" l="1"/>
  <c r="U55" i="1" s="1"/>
  <c r="V55" i="1" s="1"/>
  <c r="R56" i="1" s="1"/>
  <c r="L45" i="1"/>
  <c r="M45" i="1" s="1"/>
  <c r="N45" i="1" s="1"/>
  <c r="J46" i="1" s="1"/>
  <c r="L46" i="1" l="1"/>
  <c r="M46" i="1" s="1"/>
  <c r="N46" i="1" s="1"/>
  <c r="J47" i="1" s="1"/>
  <c r="T56" i="1"/>
  <c r="U56" i="1" s="1"/>
  <c r="V56" i="1" s="1"/>
  <c r="R57" i="1" s="1"/>
  <c r="T57" i="1" l="1"/>
  <c r="U57" i="1" s="1"/>
  <c r="V57" i="1" s="1"/>
  <c r="R58" i="1" s="1"/>
  <c r="L47" i="1"/>
  <c r="M47" i="1" s="1"/>
  <c r="N47" i="1" s="1"/>
  <c r="J48" i="1" s="1"/>
  <c r="L48" i="1" l="1"/>
  <c r="M48" i="1" s="1"/>
  <c r="N48" i="1" s="1"/>
  <c r="J49" i="1" s="1"/>
  <c r="T58" i="1"/>
  <c r="U58" i="1" s="1"/>
  <c r="V58" i="1" s="1"/>
  <c r="R59" i="1" s="1"/>
  <c r="L49" i="1" l="1"/>
  <c r="M49" i="1" s="1"/>
  <c r="N49" i="1" s="1"/>
  <c r="J50" i="1" s="1"/>
  <c r="T59" i="1"/>
  <c r="U59" i="1" s="1"/>
  <c r="V59" i="1" s="1"/>
  <c r="R60" i="1" s="1"/>
  <c r="T60" i="1" l="1"/>
  <c r="U60" i="1" s="1"/>
  <c r="V60" i="1" s="1"/>
  <c r="R61" i="1" s="1"/>
  <c r="L50" i="1"/>
  <c r="M50" i="1" s="1"/>
  <c r="N50" i="1" s="1"/>
  <c r="J51" i="1" s="1"/>
  <c r="L51" i="1" l="1"/>
  <c r="M51" i="1" s="1"/>
  <c r="N51" i="1" s="1"/>
  <c r="J52" i="1" s="1"/>
  <c r="T61" i="1"/>
  <c r="U61" i="1" s="1"/>
  <c r="V61" i="1" s="1"/>
  <c r="R62" i="1" s="1"/>
  <c r="T62" i="1" l="1"/>
  <c r="L52" i="1"/>
  <c r="M52" i="1" s="1"/>
  <c r="N52" i="1" s="1"/>
  <c r="J53" i="1" s="1"/>
  <c r="L53" i="1" l="1"/>
  <c r="M53" i="1" s="1"/>
  <c r="N53" i="1" s="1"/>
  <c r="J54" i="1" s="1"/>
  <c r="U62" i="1"/>
  <c r="T63" i="1"/>
  <c r="L54" i="1" l="1"/>
  <c r="M54" i="1" s="1"/>
  <c r="N54" i="1" s="1"/>
  <c r="J55" i="1" s="1"/>
  <c r="U63" i="1"/>
  <c r="V62" i="1"/>
  <c r="L55" i="1" l="1"/>
  <c r="M55" i="1" s="1"/>
  <c r="N55" i="1" s="1"/>
  <c r="J56" i="1" s="1"/>
  <c r="L56" i="1" l="1"/>
  <c r="M56" i="1" s="1"/>
  <c r="N56" i="1" s="1"/>
  <c r="J57" i="1" s="1"/>
  <c r="L57" i="1" l="1"/>
  <c r="M57" i="1" s="1"/>
  <c r="N57" i="1" s="1"/>
  <c r="J58" i="1" s="1"/>
  <c r="L58" i="1" l="1"/>
  <c r="M58" i="1" s="1"/>
  <c r="N58" i="1" s="1"/>
  <c r="J59" i="1" s="1"/>
  <c r="L59" i="1" l="1"/>
  <c r="M59" i="1" s="1"/>
  <c r="N59" i="1" s="1"/>
  <c r="J60" i="1" s="1"/>
  <c r="L60" i="1" l="1"/>
  <c r="M60" i="1" s="1"/>
  <c r="N60" i="1" s="1"/>
  <c r="J61" i="1" s="1"/>
  <c r="L61" i="1" l="1"/>
  <c r="M61" i="1" s="1"/>
  <c r="N61" i="1" s="1"/>
  <c r="J62" i="1" s="1"/>
  <c r="L62" i="1" l="1"/>
  <c r="M62" i="1" l="1"/>
  <c r="N62" i="1" s="1"/>
  <c r="L63" i="1"/>
  <c r="M6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tc={F713BA37-57E6-4843-B910-943FCE505C8E}</author>
  </authors>
  <commentList>
    <comment ref="E4" authorId="0" shapeId="0" xr:uid="{F713BA37-57E6-4843-B910-943FCE505C8E}">
      <text>
        <t>[Comentario encadenado]
Su versión de Excel le permite leer este comentario encadenado; sin embargo, las ediciones que se apliquen se quitarán si el archivo se abre en una versión más reciente de Excel. Más información: https://go.microsoft.com/fwlink/?linkid=870924
Comentario:
    CDT más rentable a la fecha</t>
      </text>
    </comment>
  </commentList>
</comments>
</file>

<file path=xl/sharedStrings.xml><?xml version="1.0" encoding="utf-8"?>
<sst xmlns="http://schemas.openxmlformats.org/spreadsheetml/2006/main" count="1197" uniqueCount="418">
  <si>
    <t>Costos Iniciales</t>
  </si>
  <si>
    <t>Capital Financiado por Socios (40%)</t>
  </si>
  <si>
    <t># Landings</t>
  </si>
  <si>
    <t xml:space="preserve"> Costos Totales </t>
  </si>
  <si>
    <t>Costo medio/Unitario</t>
  </si>
  <si>
    <t>Utilidad Operativa</t>
  </si>
  <si>
    <t>M1</t>
  </si>
  <si>
    <t>P1</t>
  </si>
  <si>
    <t>Utilidad Neta antes de Tx</t>
  </si>
  <si>
    <t>M2</t>
  </si>
  <si>
    <t>P2</t>
  </si>
  <si>
    <t>Utilidad Neta después de Tx</t>
  </si>
  <si>
    <t>Carga Impositiva</t>
  </si>
  <si>
    <t>M3</t>
  </si>
  <si>
    <t>P3</t>
  </si>
  <si>
    <t>U1</t>
  </si>
  <si>
    <t>P4</t>
  </si>
  <si>
    <t>Recuperación en Meses</t>
  </si>
  <si>
    <t>Discriminación compras de equipos (IVA 19%)</t>
  </si>
  <si>
    <t>Imprevistos</t>
  </si>
  <si>
    <t>Indicadores Económicos</t>
  </si>
  <si>
    <t>Indicadores Financieros</t>
  </si>
  <si>
    <t>Concepto</t>
  </si>
  <si>
    <t>Total bruto</t>
  </si>
  <si>
    <t>Base</t>
  </si>
  <si>
    <t>IVA</t>
  </si>
  <si>
    <t>Registro de Cámara y Comercio</t>
  </si>
  <si>
    <t>Gastos Financieros (60%) - Bancolombia Libre Inversión</t>
  </si>
  <si>
    <t>Portátiles</t>
  </si>
  <si>
    <t>Lenovo ThinkPad E14 Gen7 (x6)</t>
  </si>
  <si>
    <t>Valor Presente</t>
  </si>
  <si>
    <t>Mouses</t>
  </si>
  <si>
    <t>Mouse Ergonómico (x6)</t>
  </si>
  <si>
    <t>Tasa EA</t>
  </si>
  <si>
    <t>Monitores</t>
  </si>
  <si>
    <t>Monitor Extensible (x3)</t>
  </si>
  <si>
    <t>Tasa Mensual</t>
  </si>
  <si>
    <t>Totales</t>
  </si>
  <si>
    <t>Primer Mes de Costos Fijos</t>
  </si>
  <si>
    <t>Plazo en Meses</t>
  </si>
  <si>
    <t>Total Costos iniciales</t>
  </si>
  <si>
    <t>Cuota mensual</t>
  </si>
  <si>
    <t>Valor Futuro</t>
  </si>
  <si>
    <t>Resumen mensual abril - diciembre 2026</t>
  </si>
  <si>
    <t>Costos fijos Mensuales</t>
  </si>
  <si>
    <t>Abril</t>
  </si>
  <si>
    <t>Mayo</t>
  </si>
  <si>
    <t>Junio</t>
  </si>
  <si>
    <t>Julio</t>
  </si>
  <si>
    <t>Agosto</t>
  </si>
  <si>
    <t>Septiembre</t>
  </si>
  <si>
    <t>Octubre</t>
  </si>
  <si>
    <t>Noviembre</t>
  </si>
  <si>
    <t>Diciembre</t>
  </si>
  <si>
    <t>Dominio Propio .com</t>
  </si>
  <si>
    <t>Gastos Financieros (60%) - Bancamia Microcrédito</t>
  </si>
  <si>
    <t>Unidades vendidas</t>
  </si>
  <si>
    <t>Host de Correo profesional</t>
  </si>
  <si>
    <t>Ingresos operacionales</t>
  </si>
  <si>
    <t>GitHub Enterprice</t>
  </si>
  <si>
    <t>Costos fijos</t>
  </si>
  <si>
    <t>Publicidad</t>
  </si>
  <si>
    <t>Costos variables</t>
  </si>
  <si>
    <t>Programadores (x3)</t>
  </si>
  <si>
    <t>Intereses crédito Bancolombia</t>
  </si>
  <si>
    <t xml:space="preserve">Salarios Base </t>
  </si>
  <si>
    <t>Abono a capital crédito</t>
  </si>
  <si>
    <t>Auxilios de conectividad</t>
  </si>
  <si>
    <t>Cuota crédito Bancolombia</t>
  </si>
  <si>
    <t>Primas Amortizadas</t>
  </si>
  <si>
    <t>Resultado antes de impuestos</t>
  </si>
  <si>
    <t>Cesantías amortizadas</t>
  </si>
  <si>
    <t>Gastos Financieros (60%) - SENA Mejor Caso</t>
  </si>
  <si>
    <t>Impuesto de renta</t>
  </si>
  <si>
    <t>Interés a las cesantías</t>
  </si>
  <si>
    <t>Resultado neto</t>
  </si>
  <si>
    <t>Salud (8.5% Zumia)</t>
  </si>
  <si>
    <t>Flujo de caja del mes</t>
  </si>
  <si>
    <t xml:space="preserve">ARL clase I (0.522%) </t>
  </si>
  <si>
    <t>Saldo de caja acumulado</t>
  </si>
  <si>
    <t>Pensión (12% Zumia)</t>
  </si>
  <si>
    <t>Parafiscales (Caja, ICBF, SENA)</t>
  </si>
  <si>
    <t>Gerente</t>
  </si>
  <si>
    <t>Bancolombia</t>
  </si>
  <si>
    <t>Mes operación</t>
  </si>
  <si>
    <t>Saldo inicial</t>
  </si>
  <si>
    <t>Cuota pagada</t>
  </si>
  <si>
    <t>Interés</t>
  </si>
  <si>
    <t>Abono a capital</t>
  </si>
  <si>
    <t>Saldo final</t>
  </si>
  <si>
    <t>Estado al M9</t>
  </si>
  <si>
    <t>Promedio Restante</t>
  </si>
  <si>
    <t>Pagada</t>
  </si>
  <si>
    <t>Gastos Financieros (60%) - SENA Peor Caso</t>
  </si>
  <si>
    <t>Pendiente</t>
  </si>
  <si>
    <t>Contador</t>
  </si>
  <si>
    <t>Otras Opciones de financiación EA - Libre inversión</t>
  </si>
  <si>
    <t>Banco de Bogotá</t>
  </si>
  <si>
    <t>BBVA</t>
  </si>
  <si>
    <t>DAVIVIENDA</t>
  </si>
  <si>
    <t>PICHINCHA</t>
  </si>
  <si>
    <t>Impuesto a las Utilidades</t>
  </si>
  <si>
    <t>Trabajo mensual por Programador (Hrs)</t>
  </si>
  <si>
    <t>Costo temporal de Landing Page (Hrs)</t>
  </si>
  <si>
    <t>Comercial</t>
  </si>
  <si>
    <t>Niveles óptimos de ocupación por programador Mensual</t>
  </si>
  <si>
    <t>Mínimo 75% Horas de producción</t>
  </si>
  <si>
    <t>Máximo 90% Horas de producción</t>
  </si>
  <si>
    <t>Número de páginas realizadas por programador mensual</t>
  </si>
  <si>
    <t>Ocupación mínima (55%) - Equilibrio</t>
  </si>
  <si>
    <t>Óptimo Inferior (75% de ocupación)</t>
  </si>
  <si>
    <t>Óptimo Superior (90% de ocupación)</t>
  </si>
  <si>
    <t>Número de páginas totales mensuales</t>
  </si>
  <si>
    <t>Total Costos Fijos Mensuales</t>
  </si>
  <si>
    <t>Costos Variables</t>
  </si>
  <si>
    <t>Comisión x Venta (5%)</t>
  </si>
  <si>
    <t>Costos Marginales</t>
  </si>
  <si>
    <t>Precio de Landing Page</t>
  </si>
  <si>
    <t>Pasar de Q=0 a Q=1</t>
  </si>
  <si>
    <t>Pasar de Q=18 a Q=19</t>
  </si>
  <si>
    <t>Punto de equilibrio</t>
  </si>
  <si>
    <t>Pasar de Q=36 a Q=37</t>
  </si>
  <si>
    <t>Cuentas T mensuales y consolidadas - abril a diciembre 2026</t>
  </si>
  <si>
    <t>Abril 2026 (M1)</t>
  </si>
  <si>
    <t>Caja General</t>
  </si>
  <si>
    <t>Reserva de Imprevistos</t>
  </si>
  <si>
    <t>Equipos de cómputo (base)</t>
  </si>
  <si>
    <t>110505</t>
  </si>
  <si>
    <t>111005</t>
  </si>
  <si>
    <t>152405</t>
  </si>
  <si>
    <t>Débito</t>
  </si>
  <si>
    <t>Crédito</t>
  </si>
  <si>
    <t>IVA descontable equipos</t>
  </si>
  <si>
    <t>Mouses ergonómicos (base)</t>
  </si>
  <si>
    <t>Monitores (base)</t>
  </si>
  <si>
    <t>135515</t>
  </si>
  <si>
    <t>152410</t>
  </si>
  <si>
    <t>152415</t>
  </si>
  <si>
    <t>Obligación financiera Bancolombia</t>
  </si>
  <si>
    <t>Capital social</t>
  </si>
  <si>
    <t>Costos fijos operacionales</t>
  </si>
  <si>
    <t>210505</t>
  </si>
  <si>
    <t>310505</t>
  </si>
  <si>
    <t>513595</t>
  </si>
  <si>
    <t>Mayo 2026</t>
  </si>
  <si>
    <t>417595</t>
  </si>
  <si>
    <t>Costos variables / comisiones</t>
  </si>
  <si>
    <t>Gastos financieros Bancolombia</t>
  </si>
  <si>
    <t>613595</t>
  </si>
  <si>
    <t>530520</t>
  </si>
  <si>
    <t>Junio 2026</t>
  </si>
  <si>
    <t>Julio 2026</t>
  </si>
  <si>
    <t>Agosto 2026</t>
  </si>
  <si>
    <t>Septiembre 2026</t>
  </si>
  <si>
    <t>Octubre 2026</t>
  </si>
  <si>
    <t>Noviembre 2026</t>
  </si>
  <si>
    <t>Diciembre 2026</t>
  </si>
  <si>
    <t>540505</t>
  </si>
  <si>
    <t>Consolidadas a diciembre 2026</t>
  </si>
  <si>
    <t>Resultados acumulados</t>
  </si>
  <si>
    <t>360505</t>
  </si>
  <si>
    <t>Supuestos: abril sin ventas; de mayo a diciembre 45 unidades mensuales; financiación Bancolombia pagada desde mayo; consolidadas al cierre de 2026.</t>
  </si>
  <si>
    <t>Estado de Flujos de Efectivo Proyectado a Diciembre de 2026</t>
  </si>
  <si>
    <t>Cobros por ventas</t>
  </si>
  <si>
    <t>Pagos de costos fijos</t>
  </si>
  <si>
    <t>Pagos de costos Variables</t>
  </si>
  <si>
    <t>Pagos de gastos financieros</t>
  </si>
  <si>
    <t>Pagos de impuesto de renta</t>
  </si>
  <si>
    <t>Flujo neto de operación</t>
  </si>
  <si>
    <t>Compra de activos iniciales</t>
  </si>
  <si>
    <t>Flujo neto de inversión</t>
  </si>
  <si>
    <t>Aportes de socios</t>
  </si>
  <si>
    <t>Desembolso del crédito</t>
  </si>
  <si>
    <t>Abono a capital de Crédito</t>
  </si>
  <si>
    <t>Flujo neto de financiación</t>
  </si>
  <si>
    <t>Efectivo inicial</t>
  </si>
  <si>
    <t>Efectivo final</t>
  </si>
  <si>
    <t>Aumento neto de efectivo</t>
  </si>
  <si>
    <t>Estado de Resultados Integrales Proyectado a diciembre 2026</t>
  </si>
  <si>
    <t>(-) Costos fijos del período</t>
  </si>
  <si>
    <t>(-) Costos variables del período</t>
  </si>
  <si>
    <t>Utilidad operativa</t>
  </si>
  <si>
    <t>(-) Gastos financieros</t>
  </si>
  <si>
    <t>Utilidad antes de impuestos</t>
  </si>
  <si>
    <t>(-) Impuesto de renta</t>
  </si>
  <si>
    <t>Utilidad neta acumulada</t>
  </si>
  <si>
    <t>Estado de Situación Financiera proyectado a Diciembre de 2026</t>
  </si>
  <si>
    <t>Activos</t>
  </si>
  <si>
    <t>Efectivo y equivalentes</t>
  </si>
  <si>
    <t>Reservas de Imprevistos</t>
  </si>
  <si>
    <t>Mouses Ergonómicos (base)</t>
  </si>
  <si>
    <t>Total activos</t>
  </si>
  <si>
    <t>Pasivos</t>
  </si>
  <si>
    <t>Obligación financiera</t>
  </si>
  <si>
    <t>Total pasivos</t>
  </si>
  <si>
    <t>Patrimonio</t>
  </si>
  <si>
    <t>Total patrimonio</t>
  </si>
  <si>
    <t>Estructura de mercado</t>
  </si>
  <si>
    <t xml:space="preserve">
ZUMIA Solutions S.A.S. opera en una estructura de mercado de competencia monopolística. Este tipo de mercado se caracteriza por la existencia de numerosos oferentes que prestan servicios similares, pero diferenciados a través de elementos como calidad, precio, marca, rapidez de entrega y valor agregado. En el sector de servicios digitales y desarrollo web, no existe un único proveedor dominante y los clientes tienen libertad para elegir entre múltiples opciones. ZUMIA se diferencia al enfocarse exclusivamente en micronegocios y pequeñas empresas con baja madurez digital, ofreciendo soluciones estandarizadas, rápidas y con acompañamiento posterior.
</t>
  </si>
  <si>
    <t>Demanda</t>
  </si>
  <si>
    <t xml:space="preserve">ZUMIA Solutions S.A.S. opera en una estructura de mercado de competencia monopolística. Este tipo de mercado se caracteriza por la existencia de numerosos oferentes que prestan servicios similares, pero diferenciados a través de elementos como calidad, precio, marca, rapidez de entrega y valor agregado. En el sector de servicios digitales y desarrollo web, no existe un único proveedor dominante y los clientes tienen libertad para elegir entre múltiples opciones. ZUMIA se diferencia al enfocarse exclusivamente en micronegocios y pequeñas empresas con baja madurez digital, ofreciendo soluciones estandarizadas, rápidas y con acompañamiento posterior.       </t>
  </si>
  <si>
    <t>Oferta</t>
  </si>
  <si>
    <t>ZUMIA Solutions S.A.S. opera en una estructura de mercado de competencia monopolística. Este tipo de mercado se caracteriza por la existencia de numerosos oferentes que prestan servicios similares, pero diferenciados a través de elementos como calidad, precio, marca, rapidez de entrega y valor agregado. En el sector de servicios digitales y desarrollo web, no existe un único proveedor dominante y los clientes tienen libertad para elegir entre múltiples opciones. ZUMIA se diferencia al enfocarse exclusivamente en micronegocios y pequeñas empresas con baja madurez digital, ofreciendo soluciones estandarizadas, rápidas y con acompañamiento posterior. El análisis de la competencia se encuentra en las celdas posteriores</t>
  </si>
  <si>
    <t>Empresa (Razón social)</t>
  </si>
  <si>
    <t>NIT</t>
  </si>
  <si>
    <t>Dirección</t>
  </si>
  <si>
    <t>Ciudad</t>
  </si>
  <si>
    <t>Dpto.</t>
  </si>
  <si>
    <t>Representante legal</t>
  </si>
  <si>
    <t>Ventas (últ. año)</t>
  </si>
  <si>
    <t>Año fiscal</t>
  </si>
  <si>
    <t>Actividad principal</t>
  </si>
  <si>
    <t>Otras actividades</t>
  </si>
  <si>
    <t>Estado</t>
  </si>
  <si>
    <t>Año de constitución</t>
  </si>
  <si>
    <t>Evolutech Consulting S.A.S.</t>
  </si>
  <si>
    <t>Carrera 116 B 78B 62 Torre 6, Apartament</t>
  </si>
  <si>
    <t>Bogotá D.C.</t>
  </si>
  <si>
    <t>Jonnathan Steven Nino Pena [901913314_...erfil EMIS | PDF]</t>
  </si>
  <si>
    <t>10Pearls Colombia S.A.S.</t>
  </si>
  <si>
    <t>Carrera 30 No. 7 Aa 207</t>
  </si>
  <si>
    <t>Medellín</t>
  </si>
  <si>
    <t>Antioquia</t>
  </si>
  <si>
    <t>Lean Case S.A.S. (Rep. legal) [901252874_...erfil EMIS | PDF]</t>
  </si>
  <si>
    <t>7.079 millones COP (Total Operating Revenue) [901252874_...erfil EMIS | PDF]</t>
  </si>
  <si>
    <t>2024 [901252874_...erfil EMIS | PDF]</t>
  </si>
  <si>
    <t>Diseño de sistemas de cómputo y servicios relacionados (54151) [901252874_...erfil EMIS | PDF]</t>
  </si>
  <si>
    <t>—</t>
  </si>
  <si>
    <t>Activa/Operational [901252874_...erfil EMIS | PDF]</t>
  </si>
  <si>
    <t>2019 (07-feb) [901252874_...erfil EMIS | PDF]</t>
  </si>
  <si>
    <t>Platino Grupo Empresarial S.A.S.</t>
  </si>
  <si>
    <t>Calle 125 21 A 27 Of. 302</t>
  </si>
  <si>
    <t>Álvaro Gómez Maya [900156896_...erfil EMIS | PDF]</t>
  </si>
  <si>
    <t>1.864 millones COP (Total Operating Revenue) [900156896_...erfil EMIS | PDF]</t>
  </si>
  <si>
    <t>2024 [900156896_...erfil EMIS | PDF]</t>
  </si>
  <si>
    <t>Otras actividades relacionadas con la intermediación de crédito (52239) [900156896_...erfil EMIS | PDF]</t>
  </si>
  <si>
    <t>Activa/Operational [900156896_...erfil EMIS | PDF]</t>
  </si>
  <si>
    <t>2007 (14-jun) [900156896_...erfil EMIS | PDF]</t>
  </si>
  <si>
    <t>Since Agencia en Innovación y Marketing Digital S.A.S.</t>
  </si>
  <si>
    <t>Calle 23 # 81–39 Of. 02</t>
  </si>
  <si>
    <t>Fusagasugá</t>
  </si>
  <si>
    <t>Cundinamarca</t>
  </si>
  <si>
    <t>Juan Carlos Gamboa</t>
  </si>
  <si>
    <t>584 millones COP (Total Operating Revenue)</t>
  </si>
  <si>
    <t>Publicidad (CIIU 7310) [bogota.inf...nfo.com.co]</t>
  </si>
  <si>
    <t>Diseño (7410), fotografía (7420), creación audiovisual (9004) [bogota.inf...nfo.com.co]</t>
  </si>
  <si>
    <t>Activa [bogota.inf...nfo.com.co]</t>
  </si>
  <si>
    <t>2021 [bogota.inf...nfo.com.co]</t>
  </si>
  <si>
    <t>Clientes</t>
  </si>
  <si>
    <t>Los clientes potenciales de ZUMIA Solutions se encuentran principalmente en zonas urbanas de Bogotá D.C., especialmente en sectores comerciales con alta concentración de micronegocios. Estos clientes corresponden a negocios con entre uno y diez empleados, propiedad de jóvenes emprendedores entre 18 y 35 años. Desde el punto de vista psicográfico, se trata de empresarios con orientación práctica, interesados en soluciones rápidas, claras y económicas. Conductualmente, son dueños de negocios que perciben potencial de crecimiento, pero carecen de conocimientos técnicos en marketing digital y desarrollo web.</t>
  </si>
  <si>
    <t>Mercado Objetivo y Ubicación Geográfica</t>
  </si>
  <si>
    <t>El mercado objetivo de ZUMIA Solutions está conformado por micronegocios y pequeñas empresas ubicadas en Bogotá D.C. que no cuentan con página web profesional y desean fortalecer su presencia digital para aumentar sus ventas y mejorar su imagen corporativa. Los nichos principales incluyen servicios locales como inmobiliarias, abogados, contadores, barberías, gimnasios, autolavados y emprendimientos.</t>
  </si>
  <si>
    <t>Características del producto</t>
  </si>
  <si>
    <t>ZUMIA Solutions ofrece la creación de páginas web tipo landing page con las siguientes características técnicas: diseño profesional y responsive, dominio propio, carga rápida, estructura optimizada para conversión, botones de contacto directo (WhatsApp, llamadas y formularios), branding básico, diagnóstico digital gratuito y acompañamiento antes y después de la entrega. El servicio se encuentra estandarizado para reducir tiempos de implementación y costos.</t>
  </si>
  <si>
    <t>Competencia</t>
  </si>
  <si>
    <t>La competencia de ZUMIA Solutions se divide en directa e indirecta. La competencia directa incluye agencias digitales pequeñas y freelancers que ofrecen servicios personalizados. La competencia indirecta está conformada por plataformas automatizadas como Wix, Shopify y GoDaddy. ZUMIA se diferencia por su enfoque exclusivo en micronegocios, claridad en precios, rapidez y acompañamiento.</t>
  </si>
  <si>
    <t>Investigación de mercado</t>
  </si>
  <si>
    <t xml:space="preserve">En Bogotá existen más de 500.000 micronegocios. Para efectos del proyecto se considera como mercado accesible inicial el 5 %, equivalente a aproximadamente 25.000 negocios. La muestra sugerida para validación inicial es de 100 micronegocios.
</t>
  </si>
  <si>
    <t>Plan de Marketing</t>
  </si>
  <si>
    <t>El plan de marketing de ZUMIA se basa en una propuesta de valor clara, usando como principales herramientas el diagnóstico digital gratuito, contenido educativo en redes sociales, alianzas estratégicas, marketing de referidos y presencia web propia. El nombre comercial es ZUMIA Solutions y su slogan es “Presencia digital que vende”.</t>
  </si>
  <si>
    <t>Proceso Productivo</t>
  </si>
  <si>
    <t xml:space="preserve">
El proceso de producción, resumido en el cronograma de actividades tipo Diagrama de Gant, seguirá los siguientes pasos: Adquisición de clientes potenciales a cargo del área Comercial - Solicitud de elementos requeridos por parte del cliente (Logos, información, secciones requeridas) - Pago del 50% del servicio - Presentación de propuesta inicial al cliente desarrollada por los programadores del área Operativa - Rondas de Ajustes (máximo 3) a la propuesta inicial según requerimientos del cliente - Pago del 50% restante del servicio - Implementación web del diseño en un dominio propiedad del cliente - Contabilidad del proceso.
</t>
  </si>
  <si>
    <t>Estructura de Costos</t>
  </si>
  <si>
    <t>Zumia tendrá los costos fijos mensuales especificados en la página "Proyecciones", los cuales constan de los salarios a los trabajadores, obligaciones contractuales, parafiscales e insumos mensuales amortizados, por el lado de lso costos variables, tendremos un 5% de comisión para los encargados de vender el servicio a los clientes, las bases de datos, programas y requerimientos tambien han sido contabilizados dentro de lso costos totales, todo esto dando un punto de equilibrio inicial de 32 unidades vendidas por mes, este sería el tamaño mínimo</t>
  </si>
  <si>
    <t>Recursos físicos requeridos</t>
  </si>
  <si>
    <t>Cada trabajador de Zumia contará con un computador personal propiedad de la empresa y un mouse ergonómico para sus operaciones en cada, los programadores tendrán además de ello una pantalla inhalambrica para sus labores</t>
  </si>
  <si>
    <t>Capacidad de producción</t>
  </si>
  <si>
    <t>Cada programador tendrá la capacidad de crear 20 páginas web tipo landing como máximo al mes, sin embargo se usará el 75% de su capacidad laboral para tener un margen de imprevistos en el que cada uno de elos produzca 3 páginas, con un total mensual a nivel óptimo de 45 con 3 programadores inicialmente</t>
  </si>
  <si>
    <t>Misión</t>
  </si>
  <si>
    <t>Impulsar micronegocios y pymes a aumentar sus ventas mediante soluciones web y marketing
digital claras, rápidas y enfocadas en la conversión.</t>
  </si>
  <si>
    <t>Visión</t>
  </si>
  <si>
    <t>Ser una empresa reconocida a nivel nacional por la implementación eficiente de soluciones
digitales, con un modelo escalable y orientado a resultados.digital claras, rápidas y enfocadas en la conversión.</t>
  </si>
  <si>
    <t>Objetivo General</t>
  </si>
  <si>
    <t>Desarrollar y consolidar una empresa de servicios digitales que permita mejorar la presencia
online de sus clientes y generar crecimiento sostenible.digital claras, rápidas y enfocadas en la conversión.</t>
  </si>
  <si>
    <t>Objetivos Específicos</t>
  </si>
  <si>
    <t>Diseñar páginas web funcionales y optimizadas.
Reducir tiempos de entrega mediante procesos estandarizados.
Captar clientes mediante estrategias digitales.
Garantizar rentabilidad y sostenibilidad del negocio.digital claras, rápidas y enfocadas en la conversión.</t>
  </si>
  <si>
    <t>Metas</t>
  </si>
  <si>
    <t>Alcanzar un volumen de 45 proyectos mensuales.
Lograr punto de equilibrio en el corto plazo (36 servicios).
Recuperar la inversión en aproximadamente 10–12 meses.
digital claras, rápidas y enfocadas en la conversión.</t>
  </si>
  <si>
    <t>Estrategias</t>
  </si>
  <si>
    <t>Estrategia de diferenciación basada en rapidez y personalización.
Uso de marketing digital (Meta Ads, Google Ads).
Estandarización del servicio tipo landing page.
Precios competitivos orientados a micronegocios.</t>
  </si>
  <si>
    <t>Estructura Organizacional</t>
  </si>
  <si>
    <t>Gerente general.
Área operativa (3 programadores).
Área comercial (1 asesor).
Área financiera (1 contador).</t>
  </si>
  <si>
    <t>Manual Operativo del Area Técnica</t>
  </si>
  <si>
    <t>Desarrollo de páginas web bajo estándares definidos.
Uso de herramientas tecnológicas como React, GitHub y Cloudflare.
Cumplimiento de tiempos de entrega establecidos.</t>
  </si>
  <si>
    <t>Manual Operativo del Area Comercial</t>
  </si>
  <si>
    <t>Captación de clientes.
Gestión de pagos (50% inicial y 50% final).
Atención y seguimiento al cliente.</t>
  </si>
  <si>
    <t>Manual Operativo del Area Administrativa</t>
  </si>
  <si>
    <t>Supervisión de actividades.
Coordinación entre áreas.
Control de procesos internos.</t>
  </si>
  <si>
    <t>Manual Operativo del Area Financiera</t>
  </si>
  <si>
    <t>Registro contable de operaciones.
Control de ingresos y egresos.
Gestión de obligaciones tributarias</t>
  </si>
  <si>
    <t>Gestión de comunicaciones</t>
  </si>
  <si>
    <t>Comunicación interna
WhatsApp empresarial.
Reuniones semanales de seguimiento.
Comunicación externa
Correo corporativo.</t>
  </si>
  <si>
    <t>Evaluación del desempeño</t>
  </si>
  <si>
    <t>Productividad (número de proyectos ejecutados).
Calidad del servicio (satisfacción del cliente).
Cumplimiento de tiempos.
Resultados comerciales (captación de clientes).</t>
  </si>
  <si>
    <t>Políticas de sueldo</t>
  </si>
  <si>
    <t>Personal administrativo: salario mínimo legal vigente más auxilio de conectividad.
Programadores: 1.5 salarios mínimos.
Comercial: sueldo base más comisión
Inclusión de prestaciones sociales, seguridad social y parafiscales conforme a la normativa laboral
vigente.</t>
  </si>
  <si>
    <t>Descripción del Proyecto</t>
  </si>
  <si>
    <t>Zumia Solutions es una empresa de servicios digitales dedicada al desarrollo de páginas web y
soluciones tecnológicas. Su operación es 100% virtual, lo que implica un bajo impacto ambiental
en comparación con actividades industriales, al no requerir procesos productivos físicos ni uso
intensivo de recursos naturales.</t>
  </si>
  <si>
    <t>Linea de trabajo Base</t>
  </si>
  <si>
    <t>El proyecto se desarrolla en un entorno urbano (Bogotá) bajo un modelo de trabajo remoto, sin
infraestructura física significativa.
Condiciones relevantes:
Bajo consumo de recursos naturales.
Uso principal de energía eléctrica para equipos tecnológicos.
No generación de residuos industriales.</t>
  </si>
  <si>
    <t>Impactos ambientales Positivos</t>
  </si>
  <si>
    <t>Reducción del uso de papel mediante digitalización de procesos.
Disminución de desplazamientos por trabajo remoto.
Apoyo a la transformación digital de empresas.</t>
  </si>
  <si>
    <t>Impactos ambientales Negativos</t>
  </si>
  <si>
    <t>Consumo de energía eléctrica.
Generación de residuos electrónicos (equipos tecnológicos).</t>
  </si>
  <si>
    <t>Matriz de impacto ambiental</t>
  </si>
  <si>
    <t>Medidas de manejo ambiental</t>
  </si>
  <si>
    <t>Uso eficiente de energía en equipos tecnológicos.
Promoción del trabajo remoto para reducir emisiones.
Digitalización total de documentos.
Disposición adecuada de residuos electrónicos.
Uso de herramientas tecnológicas sostenibles.</t>
  </si>
  <si>
    <t>Seguimiento y Monitoreo</t>
  </si>
  <si>
    <t>Revisión del consumo energético.
Control del uso de recursos digitales.
Evaluación de prácticas sostenibles internas.</t>
  </si>
  <si>
    <t>Conclusión Ambiental</t>
  </si>
  <si>
    <t>El proyecto presenta un impacto ambiental bajo, con predominancia de efectos positivos
asociados a la digitalización y reducción de procesos físicos. La implementación de buenas
prácticas sostenibles permite mitigar los impactos negativos y fortalecer el enfoque ambiental de
la empresa.</t>
  </si>
  <si>
    <t>Fortalezas</t>
  </si>
  <si>
    <t>Debilidades</t>
  </si>
  <si>
    <t>Oportunidades</t>
  </si>
  <si>
    <t>Amenazas</t>
  </si>
  <si>
    <r>
      <rPr>
        <b/>
        <sz val="11"/>
        <color theme="1"/>
        <rFont val="Calibri"/>
        <family val="2"/>
        <scheme val="minor"/>
      </rPr>
      <t>1. Posicionamiento de marca:</t>
    </r>
    <r>
      <rPr>
        <sz val="11"/>
        <color theme="1"/>
        <rFont val="Calibri"/>
        <family val="2"/>
        <scheme val="minor"/>
      </rPr>
      <t xml:space="preserve"> falta de reconocimiento inicial en el mercado por ser una empresa nueva.
</t>
    </r>
    <r>
      <rPr>
        <b/>
        <sz val="11"/>
        <color theme="1"/>
        <rFont val="Calibri"/>
        <family val="2"/>
        <scheme val="minor"/>
      </rPr>
      <t>2. Recursos limitados:</t>
    </r>
    <r>
      <rPr>
        <sz val="11"/>
        <color theme="1"/>
        <rFont val="Calibri"/>
        <family val="2"/>
        <scheme val="minor"/>
      </rPr>
      <t xml:space="preserve"> capacidad de producción limitada por el tamaño del equipo (3 programadores iniciales).
</t>
    </r>
    <r>
      <rPr>
        <b/>
        <sz val="11"/>
        <color theme="1"/>
        <rFont val="Calibri"/>
        <family val="2"/>
        <scheme val="minor"/>
      </rPr>
      <t>3. Dependencia de clientes:</t>
    </r>
    <r>
      <rPr>
        <sz val="11"/>
        <color theme="1"/>
        <rFont val="Calibri"/>
        <family val="2"/>
        <scheme val="minor"/>
      </rPr>
      <t xml:space="preserve"> sensibilidad financiera ante la captación de los primeros proyectos para alcanzar el punto de equilibrio.
</t>
    </r>
    <r>
      <rPr>
        <b/>
        <sz val="11"/>
        <color theme="1"/>
        <rFont val="Calibri"/>
        <family val="2"/>
        <scheme val="minor"/>
      </rPr>
      <t>4.Sensibilidad al precio:</t>
    </r>
    <r>
      <rPr>
        <sz val="11"/>
        <color theme="1"/>
        <rFont val="Calibri"/>
        <family val="2"/>
        <scheme val="minor"/>
      </rPr>
      <t xml:space="preserve"> los clientes pueden ser reticentes al pago frente a competidores de baja calidad y bajo costo.</t>
    </r>
  </si>
  <si>
    <r>
      <rPr>
        <b/>
        <sz val="11"/>
        <color theme="1"/>
        <rFont val="Calibri"/>
        <family val="2"/>
        <scheme val="minor"/>
      </rPr>
      <t xml:space="preserve">1. Procesos estandarizados: </t>
    </r>
    <r>
      <rPr>
        <sz val="11"/>
        <color theme="1"/>
        <rFont val="Calibri"/>
        <family val="2"/>
        <scheme val="minor"/>
      </rPr>
      <t xml:space="preserve">entrega de landing pages en un promedio de 5 días hábiles mediante un diagrama de Gantt optimizado.
</t>
    </r>
    <r>
      <rPr>
        <b/>
        <sz val="11"/>
        <color theme="1"/>
        <rFont val="Calibri"/>
        <family val="2"/>
        <scheme val="minor"/>
      </rPr>
      <t xml:space="preserve">2. Estructura legal S.A.S.: </t>
    </r>
    <r>
      <rPr>
        <sz val="11"/>
        <color theme="1"/>
        <rFont val="Calibri"/>
        <family val="2"/>
        <scheme val="minor"/>
      </rPr>
      <t xml:space="preserve">constitución flexible que protege el patrimonio de los socios y reduce gastos administrativos.
</t>
    </r>
    <r>
      <rPr>
        <b/>
        <sz val="11"/>
        <color theme="1"/>
        <rFont val="Calibri"/>
        <family val="2"/>
        <scheme val="minor"/>
      </rPr>
      <t xml:space="preserve">3. Conocimiento técnico: </t>
    </r>
    <r>
      <rPr>
        <sz val="11"/>
        <color theme="1"/>
        <rFont val="Calibri"/>
        <family val="2"/>
        <scheme val="minor"/>
      </rPr>
      <t xml:space="preserve">dominio de herramientas como React, HTML, CSS, GitHub y Cloudflare.
</t>
    </r>
    <r>
      <rPr>
        <b/>
        <sz val="11"/>
        <color theme="1"/>
        <rFont val="Calibri"/>
        <family val="2"/>
        <scheme val="minor"/>
      </rPr>
      <t xml:space="preserve">4. Eficiencia operativa: </t>
    </r>
    <r>
      <rPr>
        <sz val="11"/>
        <color theme="1"/>
        <rFont val="Calibri"/>
        <family val="2"/>
        <scheme val="minor"/>
      </rPr>
      <t xml:space="preserve">modelo de trabajo remoto que reduce costos fijos y apoya la economía verde (baja huella de carbono).
</t>
    </r>
    <r>
      <rPr>
        <b/>
        <sz val="11"/>
        <color theme="1"/>
        <rFont val="Calibri"/>
        <family val="2"/>
        <scheme val="minor"/>
      </rPr>
      <t>5. Bajos costos iniciales:</t>
    </r>
    <r>
      <rPr>
        <sz val="11"/>
        <color theme="1"/>
        <rFont val="Calibri"/>
        <family val="2"/>
        <scheme val="minor"/>
      </rPr>
      <t xml:space="preserve"> inversión controlada enfocada en activos tecnológicos y capital de trabajo inicial.</t>
    </r>
  </si>
  <si>
    <r>
      <rPr>
        <b/>
        <sz val="11"/>
        <color theme="1"/>
        <rFont val="Calibri"/>
        <family val="2"/>
        <scheme val="minor"/>
      </rPr>
      <t>1. Alta competencia:</t>
    </r>
    <r>
      <rPr>
        <sz val="11"/>
        <color theme="1"/>
        <rFont val="Calibri"/>
        <family val="2"/>
        <scheme val="minor"/>
      </rPr>
      <t xml:space="preserve"> rivalidad con gigantes globales (Shopify, Wix) y agencias locales o freelancers. 
</t>
    </r>
    <r>
      <rPr>
        <b/>
        <sz val="11"/>
        <color theme="1"/>
        <rFont val="Calibri"/>
        <family val="2"/>
        <scheme val="minor"/>
      </rPr>
      <t>2. Obsolescencia técnica:</t>
    </r>
    <r>
      <rPr>
        <sz val="11"/>
        <color theme="1"/>
        <rFont val="Calibri"/>
        <family val="2"/>
        <scheme val="minor"/>
      </rPr>
      <t xml:space="preserve"> cambios tecnológicos rápidos que exigen actualización constante en lenguajes y herramientas de IA. 
</t>
    </r>
    <r>
      <rPr>
        <b/>
        <sz val="11"/>
        <color theme="1"/>
        <rFont val="Calibri"/>
        <family val="2"/>
        <scheme val="minor"/>
      </rPr>
      <t>3. Incertidumbre económica:</t>
    </r>
    <r>
      <rPr>
        <sz val="11"/>
        <color theme="1"/>
        <rFont val="Calibri"/>
        <family val="2"/>
        <scheme val="minor"/>
      </rPr>
      <t xml:space="preserve"> posibles recortes de presupuesto en las pymes ante crisis o fluctuaciones del mercado. 
</t>
    </r>
    <r>
      <rPr>
        <b/>
        <sz val="11"/>
        <color theme="1"/>
        <rFont val="Calibri"/>
        <family val="2"/>
        <scheme val="minor"/>
      </rPr>
      <t>4. Contenido del cliente:</t>
    </r>
    <r>
      <rPr>
        <sz val="11"/>
        <color theme="1"/>
        <rFont val="Calibri"/>
        <family val="2"/>
        <scheme val="minor"/>
      </rPr>
      <t xml:space="preserve"> riesgo de proyectos fallidos si el cliente no entrega material de calidad o tiene un negocio no rentable.</t>
    </r>
  </si>
  <si>
    <r>
      <rPr>
        <b/>
        <sz val="11"/>
        <color theme="1"/>
        <rFont val="Calibri"/>
        <family val="2"/>
        <scheme val="minor"/>
      </rPr>
      <t>1. Brecha digital masiva:</t>
    </r>
    <r>
      <rPr>
        <sz val="11"/>
        <color theme="1"/>
        <rFont val="Calibri"/>
        <family val="2"/>
        <scheme val="minor"/>
      </rPr>
      <t xml:space="preserve"> el 50.4% de los micronegocios en Colombia no usan internet; hay 500.000 clientes potenciales solo en Bogotá. 
</t>
    </r>
    <r>
      <rPr>
        <b/>
        <sz val="11"/>
        <color theme="1"/>
        <rFont val="Calibri"/>
        <family val="2"/>
        <scheme val="minor"/>
      </rPr>
      <t xml:space="preserve">2. Crecimiento del sector: </t>
    </r>
    <r>
      <rPr>
        <sz val="11"/>
        <color theme="1"/>
        <rFont val="Calibri"/>
        <family val="2"/>
        <scheme val="minor"/>
      </rPr>
      <t xml:space="preserve">tendencia de crecimiento del 12% anual en descargas y servicios digitales en la región. 
</t>
    </r>
    <r>
      <rPr>
        <b/>
        <sz val="11"/>
        <color theme="1"/>
        <rFont val="Calibri"/>
        <family val="2"/>
        <scheme val="minor"/>
      </rPr>
      <t>3. Financiación estratégica:</t>
    </r>
    <r>
      <rPr>
        <sz val="11"/>
        <color theme="1"/>
        <rFont val="Calibri"/>
        <family val="2"/>
        <scheme val="minor"/>
      </rPr>
      <t xml:space="preserve"> acceso a tasas competitivas (ej. Bancolombia 13.7% EA) para apalancar el crecimiento. 
</t>
    </r>
    <r>
      <rPr>
        <b/>
        <sz val="11"/>
        <color theme="1"/>
        <rFont val="Calibri"/>
        <family val="2"/>
        <scheme val="minor"/>
      </rPr>
      <t>4. Economías naranja/verde:</t>
    </r>
    <r>
      <rPr>
        <sz val="11"/>
        <color theme="1"/>
        <rFont val="Calibri"/>
        <family val="2"/>
        <scheme val="minor"/>
      </rPr>
      <t xml:space="preserve"> el modelo digital y remoto permite acceder a beneficios por incentivos ambientales y creativos.</t>
    </r>
  </si>
  <si>
    <t>Responsable</t>
  </si>
  <si>
    <t>Día 1</t>
  </si>
  <si>
    <t>Día 2</t>
  </si>
  <si>
    <t>Día 3</t>
  </si>
  <si>
    <t>Día 4</t>
  </si>
  <si>
    <t>Día 5</t>
  </si>
  <si>
    <t>Captación del cliente</t>
  </si>
  <si>
    <t>X</t>
  </si>
  <si>
    <t>Recolección de requerimientos</t>
  </si>
  <si>
    <t>Comercial + Cliente</t>
  </si>
  <si>
    <t>Pago inicial (50%)</t>
  </si>
  <si>
    <t>Diseño inicial (UX/UI)</t>
  </si>
  <si>
    <t>Programadores</t>
  </si>
  <si>
    <t>Desarrollo web (React/HTML/CSS)</t>
  </si>
  <si>
    <t>Revisión y ajustes</t>
  </si>
  <si>
    <t>Programadores + Cliente</t>
  </si>
  <si>
    <t>Pago final (50%)</t>
  </si>
  <si>
    <t>Entrega e implementación</t>
  </si>
  <si>
    <t>Registro contable</t>
  </si>
  <si>
    <t>Supervisión General</t>
  </si>
  <si>
    <t>Gerencia</t>
  </si>
  <si>
    <t>Inversión Inicial</t>
  </si>
  <si>
    <t>Ingreso 1</t>
  </si>
  <si>
    <t>Ingreso 2</t>
  </si>
  <si>
    <t>Ingreso 3</t>
  </si>
  <si>
    <t>Ingreso 4</t>
  </si>
  <si>
    <t>Ingreso 5</t>
  </si>
  <si>
    <t>Ingreso 6</t>
  </si>
  <si>
    <t>Ingreso 7</t>
  </si>
  <si>
    <t>Ingreso 8</t>
  </si>
  <si>
    <t>Valor Presente Neto</t>
  </si>
  <si>
    <t>Fuentes</t>
  </si>
  <si>
    <t>Monto</t>
  </si>
  <si>
    <t>Participación</t>
  </si>
  <si>
    <t>Costo Financiero</t>
  </si>
  <si>
    <t>Impuestos</t>
  </si>
  <si>
    <t>Pasivo</t>
  </si>
  <si>
    <t>WACC</t>
  </si>
  <si>
    <t>TIR</t>
  </si>
  <si>
    <t xml:space="preserve">Dado que la tasa de interés libre de riesgo del inversionista es menor a la Tasa Interna de Retorno para el primer periodo el proyecto se considera conveniente, atractivo para el inversor </t>
  </si>
  <si>
    <t>&lt;</t>
  </si>
  <si>
    <t>Gannt de servicio vendido</t>
  </si>
  <si>
    <t>Gannt de consolidación</t>
  </si>
  <si>
    <t>Semana 1</t>
  </si>
  <si>
    <t>Semana 2</t>
  </si>
  <si>
    <t>Semana 3</t>
  </si>
  <si>
    <t>Semana 4</t>
  </si>
  <si>
    <t>Semana 5</t>
  </si>
  <si>
    <t>Redacción de estatutos y acuerdos internos</t>
  </si>
  <si>
    <t>Constitución legal (Cámara de Comercio)</t>
  </si>
  <si>
    <t>Registro RUT y responsabilidades tributarias</t>
  </si>
  <si>
    <t>Apertura cuenta bancaria empresarial</t>
  </si>
  <si>
    <t>Implementación contable (software, plan de cuentas, NIIF)</t>
  </si>
  <si>
    <t>Desarrollo activos digitales (web, branding básico)</t>
  </si>
  <si>
    <t>Estructura comercial (oferta, pricing, pipeline)</t>
  </si>
  <si>
    <t>Gobierno y control (políticas internas, KPIs, flujo caja)</t>
  </si>
  <si>
    <t xml:space="preserve">Validación de nombre y tipo societario </t>
  </si>
  <si>
    <t>Año</t>
  </si>
  <si>
    <t>Mes</t>
  </si>
  <si>
    <t>Valor</t>
  </si>
  <si>
    <t>Gráfico</t>
  </si>
  <si>
    <t>Efecto en Zumia</t>
  </si>
  <si>
    <t>Enero</t>
  </si>
  <si>
    <t>Febrero</t>
  </si>
  <si>
    <t>Marzo</t>
  </si>
  <si>
    <t>Tasa Activa de mercado (Colocación)</t>
  </si>
  <si>
    <t>Tasa Pasiva de mercado (Captación)</t>
  </si>
  <si>
    <t>Tasa Representativa de Mercado (TRM)</t>
  </si>
  <si>
    <t>Indicador Bancario de Referencia (IBR)</t>
  </si>
  <si>
    <t>Tasa Interbancaria (TIB)</t>
  </si>
  <si>
    <t>Trimestre 1</t>
  </si>
  <si>
    <t>Trimestre 2</t>
  </si>
  <si>
    <t>Trimestre 3</t>
  </si>
  <si>
    <t>Trimestre 4</t>
  </si>
  <si>
    <t>Inflación con base en los precios de 2018</t>
  </si>
  <si>
    <t>Tasa de Ocupación</t>
  </si>
  <si>
    <t>Tasa de Desocupación</t>
  </si>
  <si>
    <t>Balanza de pagos (Millones de pesos)</t>
  </si>
  <si>
    <t>PIB a precios constantes de 2015 (Millones de pesos)</t>
  </si>
  <si>
    <t>La TIB muestra una tendencia descendente con leve repunte reciente. Esto indica condiciones de liquidez más favorables, lo que puede traducirse en mayor disposición de los negocios a invertir en digitalización. Sin embargo, el repunte advierte posible endurecimiento financiero. Para ZUMIA, la estrategia debe ser acelerar cierres en momentos de tasas bajas y ofrecer planes accesibles o pagos fraccionados cuando suban, reduciendo la fricción de inversión. Prevención clave: no depender de clientes altamente sensibles al crédito.</t>
  </si>
  <si>
    <t>La desocupación disminuye con fluctuaciones, lo que sugiere mejora en el empleo, pero con inestabilidad. Esto implica que los negocios pueden tener más demanda, pero también incertidumbre operativa. Para ZUMIA, es clave posicionarse como herramienta de captación eficiente en contextos competitivos. En caso de aumento del desempleo, ofrecer soluciones más económicas (landing) será vital. Prevención: adaptar pricing y discurso hacia “optimización de ingresos”, no gasto.</t>
  </si>
  <si>
    <t>La TRM presenta alta volatilidad con tendencia a la baja reciente. Esto impacta directamente si ZUMIA usa herramientas o servicios dolarizados (hosting, APIs). Una subida del dólar aumenta costos operativos. Estrategia: trasladar parcialmente el costo a pricing premium y mantener soluciones optimizadas para clientes locales. Prevención clave: usar proveedores con precios estables o en COP y evitar dependencia total de servicios en USD.</t>
  </si>
  <si>
    <t>El comportamiento deficitario indica salida neta de capital, lo que puede reflejar presión económica general. Esto reduce la inversión en servicios no esenciales. Para ZUMIA, implica que debe venderse como herramienta de generación de ingresos, no como lujo digital. Prevención: enfocar el discurso en ROI (retorno), no en diseño. También priorizar clientes con flujo constante (servicios recurrentes).</t>
  </si>
  <si>
    <t>El IBR muestra una caída seguida de un repunte. Esto refleja cambios en el costo del dinero y puede afectar la liquidez empresarial. Cuando sube, los negocios reducen gastos. ZUMIA debe anticiparse ofreciendo soluciones rápidas de retorno (captación inmediata). Prevención: evitar ciclos largos de venta y enfocarse en cierres rápidos. También considerar ofertas temporales para aprovechar ventanas de liquidez.</t>
  </si>
  <si>
    <t>La tasa de ocupación presenta crecimiento sostenido con pequeñas caídas. Esto indica mayor actividad económica, lo que favorece la demanda de servicios. Para ZUMIA es una oportunidad de expansión. Sin embargo, caídas puntuales reflejan vulnerabilidad. Prevención: construir un pipeline constante de leads y no depender de picos económicos. Aprovechar: intensificar prospección en momentos de crecimiento.</t>
  </si>
  <si>
    <t>La tasa activa desciende y luego repunta, lo que indica variaciones en el costo del crédito para empresas. Cuando es alta, disminuye la inversión en servicios. Para ZUMIA, implica que debe reducir percepción de riesgo del cliente, mostrando resultados rápidos. Prevención: ofrecer paquetes escalables (empezar con landing) y no forzar tickets altos en momentos de crédito caro.</t>
  </si>
  <si>
    <t>El PIB muestra crecimiento sostenido, lo que indica expansión económica. Esto favorece la inversión en digitalización. Sin embargo, el crecimiento no es uniforme, lo que implica posibles desaceleraciones. Para ZUMIA, es clave aprovechar fases de crecimiento para escalar clientes premium. Prevención: no asumir crecimiento permanente; mantener estructura flexible de costos y operación.</t>
  </si>
  <si>
    <t>La tasa pasiva presenta una tendencia al alza reciente, lo que incentiva el ahorro sobre la inversión. Esto puede reducir la disposición de los negocios a gastar en servicios como desarrollo web. Para ZUMIA, el enfoque debe ser demostrar que la web no es gasto sino generador de ingresos. Prevención: reforzar el discurso de retorno y captar clientes con urgencia comercial.</t>
  </si>
  <si>
    <t>La inflación muestra volatilidad con picos importantes. Esto reduce el poder adquisitivo y aumenta la sensibilidad al precio. Para ZUMIA, implica que debe ser extremadamente claro en el valor que entrega. Prevención: mantener estructura de costos eficiente y evitar incrementos bruscos de precios. También ofrecer soluciones modulares que permitan al cliente invertir progresivamente.</t>
  </si>
  <si>
    <t>Rentabilidad Financiera - ROE</t>
  </si>
  <si>
    <t>Rentabilidad Económica - ROA</t>
  </si>
  <si>
    <t>El proyecto es sensible a un cambio en las ventas tanto al alza como a la baja, más en este segundo, lo que implica que debe ser de riguroso manejo el plan comercial de la empresa.</t>
  </si>
  <si>
    <t>Análisis de sensibilidad Pesimista (-10% en ventas): Nuevo VPN =</t>
  </si>
  <si>
    <t>Análisis de sensibilidad Optimista (+10% en ventas): Nuevo VPN =</t>
  </si>
  <si>
    <t>Definición estratégica (objeto social, modelo negocio, estructura)</t>
  </si>
  <si>
    <t xml:space="preserve">Comercial </t>
  </si>
  <si>
    <t>Administración</t>
  </si>
  <si>
    <t>Financiero</t>
  </si>
  <si>
    <t>Operaciones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</si>
</sst>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_(&quot;$&quot;* #,##0_);_(&quot;$&quot;* \(#,##0\);_(&quot;$&quot;* &quot;-&quot;?_);_(@_)"/>
    <numFmt numFmtId="166" formatCode="0.000%"/>
    <numFmt numFmtId="167" formatCode="_(* #,##0.0_);_(* \(#,##0.0\);_(* &quot;-&quot;??_);_(@_)"/>
    <numFmt numFmtId="168" formatCode="_(* #,##0_);_(* \(#,##0\);_(* &quot;-&quot;??_);_(@_)"/>
    <numFmt numFmtId="169" formatCode="\$#,##0;[Red]\(\$#,##0\);\-"/>
  </numFmts>
  <fonts count="36">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name val="Calibri"/>
      <family val="2"/>
    </font>
    <font>
      <sz val="11"/>
      <color rgb="FF000000"/>
      <name val="Calibri"/>
      <family val="2"/>
    </font>
    <font>
      <b/>
      <sz val="11"/>
      <color theme="1"/>
      <name val="Calibri"/>
      <family val="2"/>
    </font>
    <font>
      <b/>
      <sz val="12"/>
      <color theme="1"/>
      <name val="Calibri"/>
      <family val="2"/>
    </font>
    <font>
      <sz val="11"/>
      <color theme="1"/>
      <name val="Calibri"/>
      <family val="2"/>
      <scheme val="minor"/>
    </font>
    <font>
      <b/>
      <sz val="11"/>
      <color theme="1"/>
      <name val="Aptos Narrow"/>
    </font>
    <font>
      <sz val="11"/>
      <color theme="1"/>
      <name val="Aptos Narrow"/>
    </font>
    <font>
      <sz val="12"/>
      <color theme="1"/>
      <name val="Times New Roman"/>
      <family val="1"/>
    </font>
    <font>
      <sz val="11"/>
      <color theme="1"/>
      <name val="Times New Roman"/>
      <family val="1"/>
    </font>
    <font>
      <b/>
      <sz val="11"/>
      <color theme="1"/>
      <name val="Quattrocento Sans"/>
    </font>
    <font>
      <sz val="11"/>
      <color theme="1"/>
      <name val="Quattrocento Sans"/>
    </font>
    <font>
      <u/>
      <sz val="11"/>
      <color rgb="FF467886"/>
      <name val="Aptos Narrow"/>
    </font>
    <font>
      <u/>
      <sz val="11"/>
      <color rgb="FF467886"/>
      <name val="Aptos Narrow"/>
    </font>
    <font>
      <u/>
      <sz val="11"/>
      <color theme="1"/>
      <name val="Aptos Narrow"/>
    </font>
    <font>
      <u/>
      <sz val="11"/>
      <color theme="1"/>
      <name val="Aptos Narrow"/>
    </font>
    <font>
      <sz val="12"/>
      <color rgb="FF000000"/>
      <name val="'Times New Roman'"/>
    </font>
    <font>
      <b/>
      <sz val="11"/>
      <color theme="1"/>
      <name val="Calibri"/>
      <family val="2"/>
      <scheme val="minor"/>
    </font>
    <font>
      <sz val="11"/>
      <color theme="0"/>
      <name val="Calibri"/>
      <family val="2"/>
      <scheme val="minor"/>
    </font>
    <font>
      <sz val="11"/>
      <color theme="1"/>
      <name val="Calibri"/>
      <scheme val="minor"/>
    </font>
    <font>
      <sz val="8"/>
      <name val="Calibri"/>
      <scheme val="minor"/>
    </font>
    <font>
      <sz val="16"/>
      <color theme="1"/>
      <name val="Times New Roman"/>
      <family val="1"/>
    </font>
    <font>
      <b/>
      <sz val="12"/>
      <color theme="1"/>
      <name val="Calibri"/>
      <family val="2"/>
      <scheme val="major"/>
    </font>
    <font>
      <b/>
      <sz val="12"/>
      <color rgb="FF303030"/>
      <name val="Calibri"/>
      <family val="2"/>
      <scheme val="major"/>
    </font>
    <font>
      <sz val="12"/>
      <color rgb="FF303030"/>
      <name val="Calibri"/>
      <family val="2"/>
      <scheme val="major"/>
    </font>
    <font>
      <sz val="8"/>
      <name val="Calibri"/>
      <family val="2"/>
      <scheme val="minor"/>
    </font>
    <font>
      <sz val="11"/>
      <color rgb="FF000000"/>
      <name val="Calibri"/>
      <family val="2"/>
      <scheme val="major"/>
    </font>
    <font>
      <sz val="11"/>
      <color rgb="FF000000"/>
      <name val="Calibri"/>
      <family val="2"/>
      <scheme val="minor"/>
    </font>
    <font>
      <sz val="11"/>
      <color theme="1"/>
      <name val="Calibri"/>
      <family val="2"/>
      <scheme val="major"/>
    </font>
    <font>
      <sz val="11"/>
      <color rgb="FF000000"/>
      <name val="Calibri"/>
      <scheme val="minor"/>
    </font>
    <font>
      <sz val="16"/>
      <color rgb="FF000000"/>
      <name val="Times New Roman"/>
      <family val="1"/>
    </font>
    <font>
      <sz val="11"/>
      <color rgb="FF000000"/>
      <name val="Times New Roman"/>
      <family val="1"/>
    </font>
  </fonts>
  <fills count="31">
    <fill>
      <patternFill patternType="none"/>
    </fill>
    <fill>
      <patternFill patternType="gray125"/>
    </fill>
    <fill>
      <patternFill patternType="solid">
        <fgColor rgb="FF6FA8DC"/>
        <bgColor rgb="FF6FA8DC"/>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
      <patternFill patternType="solid">
        <fgColor rgb="FFF5F5F5"/>
        <bgColor rgb="FFF5F5F5"/>
      </patternFill>
    </fill>
    <fill>
      <patternFill patternType="solid">
        <fgColor rgb="FFFFFFFF"/>
        <bgColor indexed="64"/>
      </patternFill>
    </fill>
    <fill>
      <patternFill patternType="solid">
        <fgColor rgb="FF00B0F0"/>
        <bgColor indexed="64"/>
      </patternFill>
    </fill>
    <fill>
      <patternFill patternType="solid">
        <fgColor rgb="FFFFC000"/>
        <bgColor indexed="64"/>
      </patternFill>
    </fill>
    <fill>
      <patternFill patternType="solid">
        <fgColor theme="9"/>
        <bgColor indexed="64"/>
      </patternFill>
    </fill>
    <fill>
      <patternFill patternType="solid">
        <fgColor rgb="FFE60000"/>
        <bgColor indexed="64"/>
      </patternFill>
    </fill>
    <fill>
      <patternFill patternType="solid">
        <fgColor theme="7" tint="0.79998168889431442"/>
        <bgColor indexed="64"/>
      </patternFill>
    </fill>
    <fill>
      <patternFill patternType="solid">
        <fgColor rgb="FFFFF9E7"/>
        <bgColor indexed="64"/>
      </patternFill>
    </fill>
    <fill>
      <patternFill patternType="solid">
        <fgColor rgb="FFEFF9EB"/>
        <bgColor indexed="64"/>
      </patternFill>
    </fill>
    <fill>
      <patternFill patternType="solid">
        <fgColor theme="5" tint="0.79998168889431442"/>
        <bgColor indexed="64"/>
      </patternFill>
    </fill>
    <fill>
      <patternFill patternType="solid">
        <fgColor theme="7" tint="0.39997558519241921"/>
        <bgColor rgb="FFFFFFFF"/>
      </patternFill>
    </fill>
    <fill>
      <patternFill patternType="solid">
        <fgColor theme="7" tint="0.39997558519241921"/>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249977111117893"/>
        <bgColor indexed="64"/>
      </patternFill>
    </fill>
  </fills>
  <borders count="2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medium">
        <color rgb="FFE6E6E6"/>
      </left>
      <right style="medium">
        <color rgb="FFE6E6E6"/>
      </right>
      <top style="medium">
        <color rgb="FFE6E6E6"/>
      </top>
      <bottom style="medium">
        <color rgb="FFE6E6E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s>
  <cellStyleXfs count="3">
    <xf numFmtId="0" fontId="0" fillId="0" borderId="0"/>
    <xf numFmtId="44" fontId="23" fillId="0" borderId="0" applyFont="0" applyFill="0" applyBorder="0" applyAlignment="0" applyProtection="0"/>
    <xf numFmtId="9" fontId="23" fillId="0" borderId="0" applyFont="0" applyFill="0" applyBorder="0" applyAlignment="0" applyProtection="0"/>
  </cellStyleXfs>
  <cellXfs count="275">
    <xf numFmtId="0" fontId="0" fillId="0" borderId="0" xfId="0"/>
    <xf numFmtId="164" fontId="4" fillId="0" borderId="0" xfId="0" applyNumberFormat="1" applyFont="1"/>
    <xf numFmtId="43" fontId="4" fillId="0" borderId="0" xfId="0" applyNumberFormat="1" applyFont="1"/>
    <xf numFmtId="0" fontId="4" fillId="2" borderId="3" xfId="0" applyFont="1" applyFill="1" applyBorder="1"/>
    <xf numFmtId="165" fontId="4" fillId="3" borderId="4" xfId="0" applyNumberFormat="1" applyFont="1" applyFill="1" applyBorder="1"/>
    <xf numFmtId="0" fontId="6" fillId="2" borderId="4" xfId="0" applyFont="1" applyFill="1" applyBorder="1"/>
    <xf numFmtId="44" fontId="6" fillId="2" borderId="5" xfId="0" applyNumberFormat="1" applyFont="1" applyFill="1" applyBorder="1"/>
    <xf numFmtId="0" fontId="6" fillId="2" borderId="5" xfId="0" applyFont="1" applyFill="1" applyBorder="1"/>
    <xf numFmtId="0" fontId="4" fillId="2" borderId="4" xfId="0" applyFont="1" applyFill="1" applyBorder="1"/>
    <xf numFmtId="0" fontId="4" fillId="0" borderId="0" xfId="0" applyFont="1" applyAlignment="1">
      <alignment horizontal="center" vertical="center"/>
    </xf>
    <xf numFmtId="0" fontId="4" fillId="4" borderId="4" xfId="0" applyFont="1" applyFill="1" applyBorder="1" applyAlignment="1">
      <alignment horizontal="left"/>
    </xf>
    <xf numFmtId="164" fontId="4" fillId="3" borderId="4" xfId="0" applyNumberFormat="1" applyFont="1" applyFill="1" applyBorder="1"/>
    <xf numFmtId="165" fontId="4" fillId="0" borderId="0" xfId="0" applyNumberFormat="1" applyFont="1"/>
    <xf numFmtId="0" fontId="6" fillId="4" borderId="7" xfId="0" applyFont="1" applyFill="1" applyBorder="1"/>
    <xf numFmtId="44" fontId="6" fillId="0" borderId="8" xfId="0" applyNumberFormat="1" applyFont="1" applyBorder="1"/>
    <xf numFmtId="166" fontId="6" fillId="3" borderId="4" xfId="0" applyNumberFormat="1" applyFont="1" applyFill="1" applyBorder="1"/>
    <xf numFmtId="43" fontId="6" fillId="0" borderId="4" xfId="0" applyNumberFormat="1" applyFont="1" applyBorder="1"/>
    <xf numFmtId="44" fontId="4" fillId="0" borderId="4" xfId="0" applyNumberFormat="1" applyFont="1" applyBorder="1"/>
    <xf numFmtId="10" fontId="6" fillId="3" borderId="4" xfId="0" applyNumberFormat="1" applyFont="1" applyFill="1" applyBorder="1"/>
    <xf numFmtId="44" fontId="6" fillId="0" borderId="4" xfId="0" applyNumberFormat="1" applyFont="1" applyBorder="1"/>
    <xf numFmtId="44" fontId="6" fillId="3" borderId="4" xfId="0" applyNumberFormat="1" applyFont="1" applyFill="1" applyBorder="1"/>
    <xf numFmtId="166" fontId="4" fillId="3" borderId="4" xfId="0" applyNumberFormat="1" applyFont="1" applyFill="1" applyBorder="1"/>
    <xf numFmtId="167" fontId="6" fillId="3" borderId="9" xfId="0" applyNumberFormat="1" applyFont="1" applyFill="1" applyBorder="1"/>
    <xf numFmtId="0" fontId="7" fillId="3" borderId="4" xfId="0" applyFont="1" applyFill="1" applyBorder="1" applyAlignment="1">
      <alignment horizontal="center" vertical="center"/>
    </xf>
    <xf numFmtId="0" fontId="4" fillId="3" borderId="4" xfId="0" applyFont="1" applyFill="1" applyBorder="1"/>
    <xf numFmtId="0" fontId="4" fillId="0" borderId="4" xfId="0" applyFont="1" applyBorder="1" applyAlignment="1">
      <alignment horizontal="center" vertical="center"/>
    </xf>
    <xf numFmtId="164" fontId="4" fillId="0" borderId="4" xfId="0" applyNumberFormat="1" applyFont="1" applyBorder="1" applyAlignment="1">
      <alignment horizontal="center" vertical="center"/>
    </xf>
    <xf numFmtId="0" fontId="4" fillId="4" borderId="4" xfId="0" applyFont="1" applyFill="1" applyBorder="1"/>
    <xf numFmtId="164" fontId="4" fillId="3" borderId="4" xfId="0" applyNumberFormat="1" applyFont="1" applyFill="1" applyBorder="1" applyAlignment="1">
      <alignment horizontal="center"/>
    </xf>
    <xf numFmtId="166" fontId="4" fillId="3" borderId="4" xfId="0" applyNumberFormat="1" applyFont="1" applyFill="1" applyBorder="1" applyAlignment="1">
      <alignment horizontal="right"/>
    </xf>
    <xf numFmtId="0" fontId="4" fillId="3" borderId="4" xfId="0" applyFont="1" applyFill="1" applyBorder="1" applyAlignment="1">
      <alignment horizontal="right"/>
    </xf>
    <xf numFmtId="8" fontId="4" fillId="3" borderId="4" xfId="0" applyNumberFormat="1" applyFont="1" applyFill="1" applyBorder="1" applyAlignment="1">
      <alignment horizontal="right"/>
    </xf>
    <xf numFmtId="164" fontId="4" fillId="0" borderId="0" xfId="0" applyNumberFormat="1" applyFont="1" applyAlignment="1">
      <alignment vertical="center"/>
    </xf>
    <xf numFmtId="1" fontId="4" fillId="0" borderId="4" xfId="0" applyNumberFormat="1" applyFont="1" applyBorder="1" applyAlignment="1">
      <alignment horizontal="center" vertical="center"/>
    </xf>
    <xf numFmtId="44" fontId="6" fillId="3" borderId="9" xfId="0" applyNumberFormat="1" applyFont="1" applyFill="1" applyBorder="1"/>
    <xf numFmtId="43" fontId="6" fillId="3" borderId="4" xfId="0" applyNumberFormat="1" applyFont="1" applyFill="1" applyBorder="1"/>
    <xf numFmtId="44" fontId="4" fillId="3" borderId="4" xfId="0" applyNumberFormat="1" applyFont="1" applyFill="1" applyBorder="1"/>
    <xf numFmtId="167" fontId="6" fillId="3" borderId="4" xfId="0" applyNumberFormat="1" applyFont="1" applyFill="1" applyBorder="1"/>
    <xf numFmtId="0" fontId="4" fillId="2" borderId="4" xfId="0" applyFont="1" applyFill="1" applyBorder="1" applyAlignment="1">
      <alignment horizontal="center" vertical="center"/>
    </xf>
    <xf numFmtId="0" fontId="4" fillId="4" borderId="4" xfId="0" applyFont="1" applyFill="1" applyBorder="1" applyAlignment="1">
      <alignment horizontal="center" vertical="center"/>
    </xf>
    <xf numFmtId="0" fontId="4" fillId="3" borderId="4" xfId="0" applyFont="1" applyFill="1" applyBorder="1" applyAlignment="1">
      <alignment horizontal="center" vertical="center"/>
    </xf>
    <xf numFmtId="164" fontId="4" fillId="3" borderId="4" xfId="0" applyNumberFormat="1" applyFont="1" applyFill="1" applyBorder="1" applyAlignment="1">
      <alignment horizontal="center" vertical="center"/>
    </xf>
    <xf numFmtId="8" fontId="4" fillId="3" borderId="4" xfId="0" applyNumberFormat="1" applyFont="1" applyFill="1" applyBorder="1" applyAlignment="1">
      <alignment horizontal="center" vertical="center"/>
    </xf>
    <xf numFmtId="44" fontId="4" fillId="3" borderId="4" xfId="0" applyNumberFormat="1" applyFont="1" applyFill="1" applyBorder="1" applyAlignment="1">
      <alignment horizontal="center" vertical="center"/>
    </xf>
    <xf numFmtId="10" fontId="4" fillId="3" borderId="4" xfId="0" applyNumberFormat="1" applyFont="1" applyFill="1" applyBorder="1"/>
    <xf numFmtId="0" fontId="4" fillId="4" borderId="3" xfId="0" applyFont="1" applyFill="1" applyBorder="1"/>
    <xf numFmtId="0" fontId="6" fillId="4" borderId="4" xfId="0" applyFont="1" applyFill="1" applyBorder="1"/>
    <xf numFmtId="0" fontId="6" fillId="3" borderId="5" xfId="0" applyFont="1" applyFill="1" applyBorder="1"/>
    <xf numFmtId="168" fontId="4" fillId="3" borderId="4" xfId="0" applyNumberFormat="1" applyFont="1" applyFill="1" applyBorder="1"/>
    <xf numFmtId="168" fontId="4" fillId="0" borderId="0" xfId="0" applyNumberFormat="1" applyFont="1"/>
    <xf numFmtId="168" fontId="4" fillId="4" borderId="4" xfId="0" applyNumberFormat="1" applyFont="1" applyFill="1" applyBorder="1"/>
    <xf numFmtId="164" fontId="6" fillId="3" borderId="9" xfId="0" applyNumberFormat="1" applyFont="1" applyFill="1" applyBorder="1"/>
    <xf numFmtId="8" fontId="4" fillId="0" borderId="4" xfId="0" applyNumberFormat="1" applyFont="1" applyBorder="1"/>
    <xf numFmtId="8" fontId="4" fillId="3" borderId="4" xfId="0" applyNumberFormat="1" applyFont="1" applyFill="1" applyBorder="1"/>
    <xf numFmtId="0" fontId="9" fillId="5" borderId="0" xfId="0" applyFont="1" applyFill="1"/>
    <xf numFmtId="164" fontId="4" fillId="5" borderId="4" xfId="0" applyNumberFormat="1" applyFont="1" applyFill="1" applyBorder="1" applyAlignment="1">
      <alignment horizontal="center" vertical="center"/>
    </xf>
    <xf numFmtId="0" fontId="4" fillId="4" borderId="4" xfId="0" applyFont="1" applyFill="1" applyBorder="1" applyAlignment="1">
      <alignment horizontal="left" vertical="center"/>
    </xf>
    <xf numFmtId="169" fontId="4" fillId="3" borderId="4" xfId="0" applyNumberFormat="1" applyFont="1" applyFill="1" applyBorder="1" applyAlignment="1">
      <alignment horizontal="right" vertical="center"/>
    </xf>
    <xf numFmtId="0" fontId="10" fillId="4" borderId="4" xfId="0" applyFont="1" applyFill="1" applyBorder="1" applyAlignment="1">
      <alignment horizontal="left" vertical="center"/>
    </xf>
    <xf numFmtId="169" fontId="10" fillId="3" borderId="4" xfId="0" applyNumberFormat="1" applyFont="1" applyFill="1" applyBorder="1" applyAlignment="1">
      <alignment horizontal="right" vertical="center"/>
    </xf>
    <xf numFmtId="0" fontId="11" fillId="4" borderId="4" xfId="0" applyFont="1" applyFill="1" applyBorder="1" applyAlignment="1">
      <alignment horizontal="left" vertical="center"/>
    </xf>
    <xf numFmtId="0" fontId="4" fillId="3" borderId="4" xfId="0" applyFont="1" applyFill="1" applyBorder="1" applyAlignment="1">
      <alignment horizontal="left" vertical="center"/>
    </xf>
    <xf numFmtId="169" fontId="4" fillId="0" borderId="4" xfId="0" applyNumberFormat="1" applyFont="1" applyBorder="1" applyAlignment="1">
      <alignment horizontal="right" vertical="center"/>
    </xf>
    <xf numFmtId="0" fontId="10" fillId="3" borderId="4" xfId="0" applyFont="1" applyFill="1" applyBorder="1" applyAlignment="1">
      <alignment horizontal="left" vertical="center"/>
    </xf>
    <xf numFmtId="169" fontId="10" fillId="0" borderId="4" xfId="0" applyNumberFormat="1" applyFont="1" applyBorder="1" applyAlignment="1">
      <alignment horizontal="right" vertical="center"/>
    </xf>
    <xf numFmtId="169" fontId="4" fillId="0" borderId="0" xfId="0" applyNumberFormat="1" applyFont="1"/>
    <xf numFmtId="0" fontId="12" fillId="0" borderId="0" xfId="0" applyFont="1" applyAlignment="1">
      <alignment horizontal="center" vertical="center"/>
    </xf>
    <xf numFmtId="0" fontId="14" fillId="6" borderId="10" xfId="0" applyFont="1" applyFill="1" applyBorder="1" applyAlignment="1">
      <alignment horizontal="center" wrapText="1"/>
    </xf>
    <xf numFmtId="0" fontId="15" fillId="0" borderId="10" xfId="0" applyFont="1" applyBorder="1" applyAlignment="1">
      <alignment horizontal="right" wrapText="1"/>
    </xf>
    <xf numFmtId="0" fontId="15" fillId="0" borderId="10" xfId="0" applyFont="1" applyBorder="1" applyAlignment="1">
      <alignment wrapText="1"/>
    </xf>
    <xf numFmtId="0" fontId="16" fillId="0" borderId="10" xfId="0" applyFont="1" applyBorder="1" applyAlignment="1">
      <alignment wrapText="1"/>
    </xf>
    <xf numFmtId="0" fontId="17" fillId="0" borderId="10" xfId="0" applyFont="1" applyBorder="1" applyAlignment="1">
      <alignment horizontal="center" wrapText="1"/>
    </xf>
    <xf numFmtId="0" fontId="18" fillId="0" borderId="10" xfId="0" applyFont="1" applyBorder="1" applyAlignment="1">
      <alignment wrapText="1"/>
    </xf>
    <xf numFmtId="0" fontId="19" fillId="0" borderId="10" xfId="0" applyFont="1" applyBorder="1" applyAlignment="1">
      <alignment horizontal="center" wrapText="1"/>
    </xf>
    <xf numFmtId="0" fontId="13" fillId="0" borderId="0" xfId="0" applyFont="1" applyAlignment="1">
      <alignment horizontal="center" vertical="center"/>
    </xf>
    <xf numFmtId="0" fontId="12" fillId="0" borderId="0" xfId="0" applyFont="1"/>
    <xf numFmtId="0" fontId="20" fillId="0" borderId="0" xfId="0" applyFont="1"/>
    <xf numFmtId="0" fontId="12" fillId="0" borderId="0" xfId="0" applyFont="1" applyAlignment="1">
      <alignment wrapText="1"/>
    </xf>
    <xf numFmtId="0" fontId="22" fillId="8" borderId="11" xfId="0" applyFont="1" applyFill="1" applyBorder="1" applyAlignment="1">
      <alignment horizontal="center" vertical="center"/>
    </xf>
    <xf numFmtId="0" fontId="3" fillId="9" borderId="11" xfId="0" applyFont="1" applyFill="1" applyBorder="1" applyAlignment="1">
      <alignment horizontal="center" vertical="center"/>
    </xf>
    <xf numFmtId="0" fontId="22" fillId="11" borderId="11" xfId="0" applyFont="1" applyFill="1" applyBorder="1" applyAlignment="1">
      <alignment horizontal="center" vertical="center"/>
    </xf>
    <xf numFmtId="0" fontId="22" fillId="10" borderId="11" xfId="0" applyFont="1" applyFill="1" applyBorder="1" applyAlignment="1">
      <alignment horizontal="center" vertical="center"/>
    </xf>
    <xf numFmtId="9" fontId="0" fillId="0" borderId="0" xfId="0" applyNumberFormat="1"/>
    <xf numFmtId="0" fontId="0" fillId="0" borderId="0" xfId="0" applyAlignment="1">
      <alignment horizontal="center" vertical="center"/>
    </xf>
    <xf numFmtId="44" fontId="13" fillId="0" borderId="11" xfId="1" applyFont="1" applyBorder="1" applyAlignment="1">
      <alignment horizontal="center" vertical="center"/>
    </xf>
    <xf numFmtId="9" fontId="13" fillId="0" borderId="11" xfId="2" applyFont="1" applyBorder="1" applyAlignment="1">
      <alignment horizontal="center" vertical="center"/>
    </xf>
    <xf numFmtId="10" fontId="13" fillId="0" borderId="11" xfId="2" applyNumberFormat="1" applyFont="1" applyBorder="1" applyAlignment="1">
      <alignment horizontal="center" vertical="center"/>
    </xf>
    <xf numFmtId="0" fontId="13" fillId="17" borderId="11" xfId="0" applyFont="1" applyFill="1" applyBorder="1" applyAlignment="1">
      <alignment horizontal="center" vertical="center"/>
    </xf>
    <xf numFmtId="0" fontId="13" fillId="12" borderId="11" xfId="0" applyFont="1" applyFill="1" applyBorder="1" applyAlignment="1">
      <alignment horizontal="center" vertical="center"/>
    </xf>
    <xf numFmtId="44" fontId="13" fillId="0" borderId="11" xfId="0" applyNumberFormat="1" applyFont="1" applyBorder="1" applyAlignment="1">
      <alignment horizontal="center" vertical="center"/>
    </xf>
    <xf numFmtId="44" fontId="13" fillId="12" borderId="11" xfId="1" applyFont="1" applyFill="1" applyBorder="1" applyAlignment="1">
      <alignment horizontal="center" vertical="center"/>
    </xf>
    <xf numFmtId="0" fontId="28" fillId="24" borderId="11" xfId="0" applyFont="1" applyFill="1" applyBorder="1" applyAlignment="1">
      <alignment horizontal="center" vertical="center"/>
    </xf>
    <xf numFmtId="0" fontId="28" fillId="7" borderId="11" xfId="0" applyFont="1" applyFill="1" applyBorder="1" applyAlignment="1">
      <alignment horizontal="center" vertical="center"/>
    </xf>
    <xf numFmtId="0" fontId="27" fillId="27" borderId="11" xfId="0" applyFont="1" applyFill="1" applyBorder="1" applyAlignment="1">
      <alignment horizontal="center" vertical="center"/>
    </xf>
    <xf numFmtId="0" fontId="28" fillId="12" borderId="11" xfId="0" applyFont="1" applyFill="1" applyBorder="1" applyAlignment="1">
      <alignment horizontal="center" vertical="center"/>
    </xf>
    <xf numFmtId="0" fontId="28" fillId="23" borderId="11" xfId="0" applyFont="1" applyFill="1" applyBorder="1" applyAlignment="1">
      <alignment horizontal="center" vertical="center"/>
    </xf>
    <xf numFmtId="0" fontId="27" fillId="27" borderId="11" xfId="0" applyFont="1" applyFill="1" applyBorder="1" applyAlignment="1">
      <alignment horizontal="center" vertical="center" wrapText="1"/>
    </xf>
    <xf numFmtId="0" fontId="28" fillId="12" borderId="11" xfId="0" applyFont="1" applyFill="1" applyBorder="1" applyAlignment="1">
      <alignment horizontal="center" vertical="center" wrapText="1"/>
    </xf>
    <xf numFmtId="0" fontId="28" fillId="18" borderId="11" xfId="0" applyFont="1" applyFill="1" applyBorder="1" applyAlignment="1">
      <alignment horizontal="center" vertical="center" wrapText="1"/>
    </xf>
    <xf numFmtId="0" fontId="28" fillId="7" borderId="11" xfId="0" applyFont="1" applyFill="1" applyBorder="1" applyAlignment="1">
      <alignment horizontal="center" vertical="center" wrapText="1"/>
    </xf>
    <xf numFmtId="0" fontId="0" fillId="0" borderId="0" xfId="0" applyAlignment="1">
      <alignment wrapText="1"/>
    </xf>
    <xf numFmtId="0" fontId="28" fillId="19" borderId="11" xfId="0" applyFont="1" applyFill="1" applyBorder="1" applyAlignment="1">
      <alignment horizontal="center" vertical="center" wrapText="1"/>
    </xf>
    <xf numFmtId="0" fontId="28" fillId="20" borderId="11" xfId="0" applyFont="1" applyFill="1" applyBorder="1" applyAlignment="1">
      <alignment horizontal="center" vertical="center" wrapText="1"/>
    </xf>
    <xf numFmtId="0" fontId="28" fillId="21" borderId="11" xfId="0" applyFont="1" applyFill="1" applyBorder="1" applyAlignment="1">
      <alignment horizontal="center" vertical="center" wrapText="1"/>
    </xf>
    <xf numFmtId="0" fontId="0" fillId="0" borderId="0" xfId="0" applyAlignment="1">
      <alignment horizontal="center" wrapText="1"/>
    </xf>
    <xf numFmtId="0" fontId="0" fillId="27" borderId="11" xfId="0" applyFill="1" applyBorder="1" applyAlignment="1">
      <alignment horizontal="center" wrapText="1"/>
    </xf>
    <xf numFmtId="0" fontId="0" fillId="27" borderId="11" xfId="0" applyFill="1" applyBorder="1" applyAlignment="1">
      <alignment horizontal="center" vertical="center" wrapText="1"/>
    </xf>
    <xf numFmtId="0" fontId="0" fillId="12" borderId="11" xfId="0" applyFill="1" applyBorder="1" applyAlignment="1">
      <alignment horizontal="center" wrapText="1"/>
    </xf>
    <xf numFmtId="4" fontId="30" fillId="0" borderId="11" xfId="0" applyNumberFormat="1" applyFont="1" applyBorder="1" applyAlignment="1">
      <alignment horizontal="center"/>
    </xf>
    <xf numFmtId="0" fontId="30" fillId="0" borderId="11" xfId="0" applyFont="1" applyBorder="1" applyAlignment="1">
      <alignment horizontal="center"/>
    </xf>
    <xf numFmtId="0" fontId="30" fillId="0" borderId="4" xfId="0" applyFont="1" applyBorder="1" applyAlignment="1">
      <alignment horizontal="center"/>
    </xf>
    <xf numFmtId="0" fontId="30" fillId="0" borderId="9" xfId="0" applyFont="1" applyBorder="1" applyAlignment="1">
      <alignment horizontal="center"/>
    </xf>
    <xf numFmtId="0" fontId="0" fillId="0" borderId="11" xfId="0" applyBorder="1" applyAlignment="1">
      <alignment horizontal="center" vertical="center"/>
    </xf>
    <xf numFmtId="0" fontId="31" fillId="0" borderId="11" xfId="0" applyFont="1" applyBorder="1" applyAlignment="1">
      <alignment horizontal="center" vertical="center"/>
    </xf>
    <xf numFmtId="0" fontId="32" fillId="12" borderId="11" xfId="0" applyFont="1" applyFill="1" applyBorder="1" applyAlignment="1">
      <alignment horizontal="center" wrapText="1"/>
    </xf>
    <xf numFmtId="0" fontId="32" fillId="27" borderId="11" xfId="0" applyFont="1" applyFill="1" applyBorder="1" applyAlignment="1">
      <alignment horizontal="center" wrapText="1"/>
    </xf>
    <xf numFmtId="0" fontId="2" fillId="12" borderId="11" xfId="0" applyFont="1" applyFill="1" applyBorder="1" applyAlignment="1">
      <alignment horizontal="center" wrapText="1"/>
    </xf>
    <xf numFmtId="3" fontId="30" fillId="0" borderId="4" xfId="0" applyNumberFormat="1" applyFont="1" applyBorder="1" applyAlignment="1">
      <alignment horizontal="center" vertical="center"/>
    </xf>
    <xf numFmtId="3" fontId="30" fillId="0" borderId="9" xfId="0" applyNumberFormat="1" applyFont="1" applyBorder="1" applyAlignment="1">
      <alignment horizontal="center" vertical="center"/>
    </xf>
    <xf numFmtId="4" fontId="30" fillId="0" borderId="4" xfId="0" applyNumberFormat="1" applyFont="1" applyBorder="1" applyAlignment="1">
      <alignment horizontal="center"/>
    </xf>
    <xf numFmtId="0" fontId="0" fillId="27" borderId="22" xfId="0" applyFill="1" applyBorder="1" applyAlignment="1">
      <alignment vertical="center" wrapText="1"/>
    </xf>
    <xf numFmtId="0" fontId="33" fillId="0" borderId="0" xfId="0" applyFont="1"/>
    <xf numFmtId="0" fontId="35" fillId="0" borderId="0" xfId="0" applyFont="1" applyAlignment="1">
      <alignment horizontal="center" vertical="center"/>
    </xf>
    <xf numFmtId="0" fontId="4" fillId="2" borderId="1" xfId="0" applyFont="1" applyFill="1" applyBorder="1" applyAlignment="1">
      <alignment horizontal="center"/>
    </xf>
    <xf numFmtId="0" fontId="5" fillId="0" borderId="2" xfId="0" applyFont="1" applyBorder="1"/>
    <xf numFmtId="0" fontId="7" fillId="2" borderId="1" xfId="0" applyFont="1" applyFill="1" applyBorder="1" applyAlignment="1">
      <alignment horizontal="center" vertical="center"/>
    </xf>
    <xf numFmtId="0" fontId="5" fillId="0" borderId="6" xfId="0" applyFont="1" applyBorder="1"/>
    <xf numFmtId="168" fontId="4" fillId="2" borderId="1" xfId="0" applyNumberFormat="1" applyFont="1" applyFill="1" applyBorder="1" applyAlignment="1">
      <alignment horizontal="center"/>
    </xf>
    <xf numFmtId="0" fontId="6"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16" borderId="1" xfId="0" applyFont="1" applyFill="1" applyBorder="1" applyAlignment="1">
      <alignment horizontal="center" vertical="center"/>
    </xf>
    <xf numFmtId="0" fontId="5" fillId="17" borderId="2" xfId="0" applyFont="1" applyFill="1" applyBorder="1"/>
    <xf numFmtId="0" fontId="7" fillId="16" borderId="1" xfId="0" applyFont="1" applyFill="1" applyBorder="1" applyAlignment="1">
      <alignment horizontal="center" vertical="center"/>
    </xf>
    <xf numFmtId="0" fontId="5" fillId="17" borderId="6" xfId="0" applyFont="1" applyFill="1" applyBorder="1"/>
    <xf numFmtId="0" fontId="8" fillId="16" borderId="1" xfId="0" applyFont="1" applyFill="1" applyBorder="1" applyAlignment="1">
      <alignment horizontal="center" vertical="center"/>
    </xf>
    <xf numFmtId="0" fontId="4" fillId="5" borderId="1" xfId="0" applyFont="1" applyFill="1" applyBorder="1" applyAlignment="1">
      <alignment horizontal="left"/>
    </xf>
    <xf numFmtId="0" fontId="34" fillId="3" borderId="0" xfId="0" applyFont="1" applyFill="1" applyAlignment="1">
      <alignment horizontal="center" vertical="center" wrapText="1"/>
    </xf>
    <xf numFmtId="0" fontId="13" fillId="17" borderId="18" xfId="0" applyFont="1" applyFill="1" applyBorder="1" applyAlignment="1">
      <alignment horizontal="center" vertical="center"/>
    </xf>
    <xf numFmtId="0" fontId="13" fillId="17" borderId="20" xfId="0" applyFont="1" applyFill="1" applyBorder="1" applyAlignment="1">
      <alignment horizontal="center" vertical="center"/>
    </xf>
    <xf numFmtId="10" fontId="13" fillId="12" borderId="12" xfId="2" applyNumberFormat="1" applyFont="1" applyFill="1" applyBorder="1" applyAlignment="1">
      <alignment horizontal="center" vertical="center"/>
    </xf>
    <xf numFmtId="10" fontId="13" fillId="12" borderId="14" xfId="2" applyNumberFormat="1" applyFont="1" applyFill="1" applyBorder="1" applyAlignment="1">
      <alignment horizontal="center" vertical="center"/>
    </xf>
    <xf numFmtId="10" fontId="13" fillId="12" borderId="15" xfId="2" applyNumberFormat="1" applyFont="1" applyFill="1" applyBorder="1" applyAlignment="1">
      <alignment horizontal="center" vertical="center"/>
    </xf>
    <xf numFmtId="10" fontId="13" fillId="12" borderId="17" xfId="2" applyNumberFormat="1" applyFont="1" applyFill="1" applyBorder="1" applyAlignment="1">
      <alignment horizontal="center" vertical="center"/>
    </xf>
    <xf numFmtId="0" fontId="25" fillId="3" borderId="0" xfId="0" applyFont="1" applyFill="1" applyAlignment="1">
      <alignment horizontal="center" vertical="center" wrapText="1"/>
    </xf>
    <xf numFmtId="9" fontId="13" fillId="0" borderId="11" xfId="2" applyFont="1" applyBorder="1" applyAlignment="1">
      <alignment horizontal="center" vertical="center"/>
    </xf>
    <xf numFmtId="10" fontId="13" fillId="12" borderId="11" xfId="2" applyNumberFormat="1" applyFont="1" applyFill="1" applyBorder="1" applyAlignment="1">
      <alignment horizontal="center" vertical="center"/>
    </xf>
    <xf numFmtId="44" fontId="13" fillId="17" borderId="18" xfId="0" applyNumberFormat="1" applyFont="1" applyFill="1" applyBorder="1" applyAlignment="1">
      <alignment horizontal="center" vertical="center"/>
    </xf>
    <xf numFmtId="44" fontId="13" fillId="17" borderId="19" xfId="0" applyNumberFormat="1" applyFont="1" applyFill="1" applyBorder="1" applyAlignment="1">
      <alignment horizontal="center" vertical="center"/>
    </xf>
    <xf numFmtId="44" fontId="13" fillId="17" borderId="20" xfId="0" applyNumberFormat="1" applyFont="1" applyFill="1" applyBorder="1" applyAlignment="1">
      <alignment horizontal="center" vertical="center"/>
    </xf>
    <xf numFmtId="0" fontId="13" fillId="12" borderId="11" xfId="0" applyFont="1" applyFill="1" applyBorder="1" applyAlignment="1">
      <alignment horizontal="center" vertical="center"/>
    </xf>
    <xf numFmtId="0" fontId="13" fillId="12" borderId="19" xfId="0" applyFont="1" applyFill="1" applyBorder="1" applyAlignment="1">
      <alignment horizontal="center" vertical="center"/>
    </xf>
    <xf numFmtId="0" fontId="13" fillId="12" borderId="20" xfId="0" applyFont="1" applyFill="1" applyBorder="1" applyAlignment="1">
      <alignment horizontal="center" vertical="center"/>
    </xf>
    <xf numFmtId="9" fontId="13" fillId="17" borderId="18" xfId="2" applyFont="1" applyFill="1" applyBorder="1" applyAlignment="1">
      <alignment horizontal="center" vertical="center"/>
    </xf>
    <xf numFmtId="9" fontId="13" fillId="17" borderId="19" xfId="2" applyFont="1" applyFill="1" applyBorder="1" applyAlignment="1">
      <alignment horizontal="center" vertical="center"/>
    </xf>
    <xf numFmtId="9" fontId="13" fillId="17" borderId="20" xfId="2" applyFont="1" applyFill="1" applyBorder="1" applyAlignment="1">
      <alignment horizontal="center" vertical="center"/>
    </xf>
    <xf numFmtId="10" fontId="13" fillId="17" borderId="18" xfId="2" applyNumberFormat="1" applyFont="1" applyFill="1" applyBorder="1" applyAlignment="1">
      <alignment horizontal="center" vertical="center"/>
    </xf>
    <xf numFmtId="10" fontId="13" fillId="17" borderId="19" xfId="2" applyNumberFormat="1" applyFont="1" applyFill="1" applyBorder="1" applyAlignment="1">
      <alignment horizontal="center" vertical="center"/>
    </xf>
    <xf numFmtId="10" fontId="13" fillId="17" borderId="20" xfId="2" applyNumberFormat="1" applyFont="1" applyFill="1" applyBorder="1" applyAlignment="1">
      <alignment horizontal="center" vertical="center"/>
    </xf>
    <xf numFmtId="0" fontId="4" fillId="4" borderId="1" xfId="0" applyFont="1" applyFill="1" applyBorder="1" applyAlignment="1">
      <alignment horizontal="center"/>
    </xf>
    <xf numFmtId="0" fontId="11" fillId="4" borderId="1" xfId="0" applyFont="1" applyFill="1" applyBorder="1" applyAlignment="1">
      <alignment horizontal="center" vertical="center"/>
    </xf>
    <xf numFmtId="0" fontId="12" fillId="4" borderId="0" xfId="0" applyFont="1" applyFill="1" applyAlignment="1">
      <alignment horizontal="center" vertical="center" wrapText="1"/>
    </xf>
    <xf numFmtId="0" fontId="0" fillId="0" borderId="0" xfId="0"/>
    <xf numFmtId="0" fontId="13" fillId="3" borderId="0" xfId="0" applyFont="1" applyFill="1" applyAlignment="1">
      <alignment horizontal="center" vertical="center" wrapText="1"/>
    </xf>
    <xf numFmtId="0" fontId="12" fillId="4" borderId="0" xfId="0" applyFont="1" applyFill="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xf>
    <xf numFmtId="0" fontId="3" fillId="12" borderId="12" xfId="0" applyFont="1" applyFill="1" applyBorder="1" applyAlignment="1">
      <alignment horizontal="center" vertical="center" wrapText="1"/>
    </xf>
    <xf numFmtId="0" fontId="3" fillId="12" borderId="13" xfId="0" applyFont="1" applyFill="1" applyBorder="1" applyAlignment="1">
      <alignment horizontal="center" vertical="center" wrapText="1"/>
    </xf>
    <xf numFmtId="0" fontId="3" fillId="12" borderId="14" xfId="0" applyFont="1" applyFill="1" applyBorder="1" applyAlignment="1">
      <alignment horizontal="center" vertical="center" wrapText="1"/>
    </xf>
    <xf numFmtId="0" fontId="3" fillId="12" borderId="24" xfId="0" applyFont="1" applyFill="1" applyBorder="1" applyAlignment="1">
      <alignment horizontal="center" vertical="center" wrapText="1"/>
    </xf>
    <xf numFmtId="0" fontId="3" fillId="12" borderId="0" xfId="0" applyFont="1" applyFill="1" applyAlignment="1">
      <alignment horizontal="center" vertical="center" wrapText="1"/>
    </xf>
    <xf numFmtId="0" fontId="3" fillId="12" borderId="23" xfId="0" applyFont="1" applyFill="1" applyBorder="1" applyAlignment="1">
      <alignment horizontal="center" vertical="center" wrapText="1"/>
    </xf>
    <xf numFmtId="0" fontId="3" fillId="12" borderId="15" xfId="0" applyFont="1" applyFill="1" applyBorder="1" applyAlignment="1">
      <alignment horizontal="center" vertical="center" wrapText="1"/>
    </xf>
    <xf numFmtId="0" fontId="3" fillId="12" borderId="16" xfId="0" applyFont="1" applyFill="1" applyBorder="1" applyAlignment="1">
      <alignment horizontal="center" vertical="center" wrapText="1"/>
    </xf>
    <xf numFmtId="0" fontId="3" fillId="12" borderId="17"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13" borderId="13" xfId="0" applyFont="1" applyFill="1" applyBorder="1" applyAlignment="1">
      <alignment horizontal="center" vertical="center" wrapText="1"/>
    </xf>
    <xf numFmtId="0" fontId="3" fillId="13" borderId="14" xfId="0" applyFont="1" applyFill="1" applyBorder="1" applyAlignment="1">
      <alignment horizontal="center" vertical="center" wrapText="1"/>
    </xf>
    <xf numFmtId="0" fontId="3" fillId="13" borderId="24" xfId="0" applyFont="1" applyFill="1" applyBorder="1" applyAlignment="1">
      <alignment horizontal="center" vertical="center" wrapText="1"/>
    </xf>
    <xf numFmtId="0" fontId="3" fillId="13" borderId="0" xfId="0" applyFont="1" applyFill="1" applyAlignment="1">
      <alignment horizontal="center" vertical="center" wrapText="1"/>
    </xf>
    <xf numFmtId="0" fontId="3" fillId="13" borderId="23" xfId="0" applyFont="1" applyFill="1" applyBorder="1" applyAlignment="1">
      <alignment horizontal="center" vertical="center" wrapText="1"/>
    </xf>
    <xf numFmtId="0" fontId="3" fillId="13" borderId="15" xfId="0" applyFont="1" applyFill="1" applyBorder="1" applyAlignment="1">
      <alignment horizontal="center" vertical="center" wrapText="1"/>
    </xf>
    <xf numFmtId="0" fontId="3" fillId="13" borderId="16"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13" xfId="0" applyFont="1" applyFill="1" applyBorder="1" applyAlignment="1">
      <alignment horizontal="center" vertical="center" wrapText="1"/>
    </xf>
    <xf numFmtId="0" fontId="3" fillId="15" borderId="14" xfId="0" applyFont="1" applyFill="1" applyBorder="1" applyAlignment="1">
      <alignment horizontal="center" vertical="center" wrapText="1"/>
    </xf>
    <xf numFmtId="0" fontId="3" fillId="15" borderId="24" xfId="0" applyFont="1" applyFill="1" applyBorder="1" applyAlignment="1">
      <alignment horizontal="center" vertical="center" wrapText="1"/>
    </xf>
    <xf numFmtId="0" fontId="3" fillId="15" borderId="0" xfId="0" applyFont="1" applyFill="1" applyAlignment="1">
      <alignment horizontal="center" vertical="center" wrapText="1"/>
    </xf>
    <xf numFmtId="0" fontId="3" fillId="15" borderId="23" xfId="0" applyFont="1" applyFill="1" applyBorder="1" applyAlignment="1">
      <alignment horizontal="center" vertical="center" wrapText="1"/>
    </xf>
    <xf numFmtId="0" fontId="3" fillId="15" borderId="15" xfId="0" applyFont="1" applyFill="1" applyBorder="1" applyAlignment="1">
      <alignment horizontal="center" vertical="center" wrapText="1"/>
    </xf>
    <xf numFmtId="0" fontId="3" fillId="15" borderId="16" xfId="0" applyFont="1" applyFill="1" applyBorder="1" applyAlignment="1">
      <alignment horizontal="center" vertical="center" wrapText="1"/>
    </xf>
    <xf numFmtId="0" fontId="3" fillId="15" borderId="17" xfId="0" applyFont="1" applyFill="1" applyBorder="1" applyAlignment="1">
      <alignment horizontal="center" vertical="center" wrapText="1"/>
    </xf>
    <xf numFmtId="0" fontId="3" fillId="14" borderId="12" xfId="0" applyFont="1" applyFill="1" applyBorder="1" applyAlignment="1">
      <alignment horizontal="center" vertical="center" wrapText="1"/>
    </xf>
    <xf numFmtId="0" fontId="3" fillId="14" borderId="13" xfId="0" applyFont="1" applyFill="1" applyBorder="1" applyAlignment="1">
      <alignment horizontal="center" vertical="center" wrapText="1"/>
    </xf>
    <xf numFmtId="0" fontId="3" fillId="14" borderId="14" xfId="0" applyFont="1" applyFill="1" applyBorder="1" applyAlignment="1">
      <alignment horizontal="center" vertical="center" wrapText="1"/>
    </xf>
    <xf numFmtId="0" fontId="3" fillId="14" borderId="24" xfId="0" applyFont="1" applyFill="1" applyBorder="1" applyAlignment="1">
      <alignment horizontal="center" vertical="center" wrapText="1"/>
    </xf>
    <xf numFmtId="0" fontId="3" fillId="14" borderId="0" xfId="0" applyFont="1" applyFill="1" applyAlignment="1">
      <alignment horizontal="center" vertical="center" wrapText="1"/>
    </xf>
    <xf numFmtId="0" fontId="3" fillId="14" borderId="23" xfId="0" applyFont="1" applyFill="1" applyBorder="1" applyAlignment="1">
      <alignment horizontal="center" vertical="center" wrapText="1"/>
    </xf>
    <xf numFmtId="0" fontId="3" fillId="14" borderId="15" xfId="0" applyFont="1" applyFill="1" applyBorder="1" applyAlignment="1">
      <alignment horizontal="center" vertical="center" wrapText="1"/>
    </xf>
    <xf numFmtId="0" fontId="3" fillId="14" borderId="16" xfId="0" applyFont="1" applyFill="1" applyBorder="1" applyAlignment="1">
      <alignment horizontal="center" vertical="center" wrapText="1"/>
    </xf>
    <xf numFmtId="0" fontId="3" fillId="14" borderId="17" xfId="0" applyFont="1" applyFill="1" applyBorder="1" applyAlignment="1">
      <alignment horizontal="center" vertical="center" wrapText="1"/>
    </xf>
    <xf numFmtId="0" fontId="28" fillId="27" borderId="18" xfId="0" applyFont="1" applyFill="1" applyBorder="1" applyAlignment="1">
      <alignment horizontal="center" vertical="center"/>
    </xf>
    <xf numFmtId="0" fontId="28" fillId="27" borderId="19" xfId="0" applyFont="1" applyFill="1" applyBorder="1" applyAlignment="1">
      <alignment horizontal="center" vertical="center"/>
    </xf>
    <xf numFmtId="0" fontId="28" fillId="27" borderId="20" xfId="0" applyFont="1" applyFill="1" applyBorder="1" applyAlignment="1">
      <alignment horizontal="center" vertical="center"/>
    </xf>
    <xf numFmtId="0" fontId="28" fillId="12" borderId="18" xfId="0" applyFont="1" applyFill="1" applyBorder="1" applyAlignment="1">
      <alignment horizontal="center" vertical="center"/>
    </xf>
    <xf numFmtId="0" fontId="28" fillId="12" borderId="20" xfId="0" applyFont="1" applyFill="1" applyBorder="1" applyAlignment="1">
      <alignment horizontal="center" vertical="center"/>
    </xf>
    <xf numFmtId="0" fontId="28" fillId="25" borderId="18" xfId="0" applyFont="1" applyFill="1" applyBorder="1" applyAlignment="1">
      <alignment horizontal="center" vertical="center"/>
    </xf>
    <xf numFmtId="0" fontId="28" fillId="25" borderId="19" xfId="0" applyFont="1" applyFill="1" applyBorder="1" applyAlignment="1">
      <alignment horizontal="center" vertical="center"/>
    </xf>
    <xf numFmtId="0" fontId="28" fillId="25" borderId="20" xfId="0" applyFont="1" applyFill="1" applyBorder="1" applyAlignment="1">
      <alignment horizontal="center" vertical="center"/>
    </xf>
    <xf numFmtId="0" fontId="28" fillId="29" borderId="18" xfId="0" applyFont="1" applyFill="1" applyBorder="1" applyAlignment="1">
      <alignment horizontal="center" vertical="center"/>
    </xf>
    <xf numFmtId="0" fontId="28" fillId="29" borderId="19" xfId="0" applyFont="1" applyFill="1" applyBorder="1" applyAlignment="1">
      <alignment horizontal="center" vertical="center"/>
    </xf>
    <xf numFmtId="0" fontId="28" fillId="29" borderId="20" xfId="0" applyFont="1" applyFill="1" applyBorder="1" applyAlignment="1">
      <alignment horizontal="center" vertical="center"/>
    </xf>
    <xf numFmtId="0" fontId="28" fillId="26" borderId="18" xfId="0" applyFont="1" applyFill="1" applyBorder="1" applyAlignment="1">
      <alignment horizontal="center" vertical="center" wrapText="1"/>
    </xf>
    <xf numFmtId="0" fontId="28" fillId="26" borderId="20" xfId="0" applyFont="1" applyFill="1" applyBorder="1" applyAlignment="1">
      <alignment horizontal="center" vertical="center" wrapText="1"/>
    </xf>
    <xf numFmtId="0" fontId="28" fillId="18" borderId="18" xfId="0" applyFont="1" applyFill="1" applyBorder="1" applyAlignment="1">
      <alignment horizontal="center" vertical="center"/>
    </xf>
    <xf numFmtId="0" fontId="28" fillId="18" borderId="20" xfId="0" applyFont="1" applyFill="1" applyBorder="1" applyAlignment="1">
      <alignment horizontal="center" vertical="center"/>
    </xf>
    <xf numFmtId="0" fontId="28" fillId="28" borderId="18" xfId="0" applyFont="1" applyFill="1" applyBorder="1" applyAlignment="1">
      <alignment horizontal="center" vertical="center"/>
    </xf>
    <xf numFmtId="0" fontId="28" fillId="28" borderId="20" xfId="0" applyFont="1" applyFill="1" applyBorder="1" applyAlignment="1">
      <alignment horizontal="center" vertical="center"/>
    </xf>
    <xf numFmtId="0" fontId="28" fillId="15" borderId="18" xfId="0" applyFont="1" applyFill="1" applyBorder="1" applyAlignment="1">
      <alignment horizontal="center" vertical="center"/>
    </xf>
    <xf numFmtId="0" fontId="28" fillId="15" borderId="20" xfId="0" applyFont="1" applyFill="1" applyBorder="1" applyAlignment="1">
      <alignment horizontal="center" vertical="center"/>
    </xf>
    <xf numFmtId="0" fontId="28" fillId="17" borderId="18" xfId="0" applyFont="1" applyFill="1" applyBorder="1" applyAlignment="1">
      <alignment horizontal="center" vertical="center"/>
    </xf>
    <xf numFmtId="0" fontId="28" fillId="17" borderId="20" xfId="0" applyFont="1" applyFill="1" applyBorder="1" applyAlignment="1">
      <alignment horizontal="center" vertical="center"/>
    </xf>
    <xf numFmtId="0" fontId="27" fillId="27" borderId="21" xfId="0" applyFont="1" applyFill="1" applyBorder="1" applyAlignment="1">
      <alignment horizontal="center" vertical="center"/>
    </xf>
    <xf numFmtId="0" fontId="27" fillId="27" borderId="22" xfId="0" applyFont="1" applyFill="1" applyBorder="1" applyAlignment="1">
      <alignment horizontal="center" vertical="center"/>
    </xf>
    <xf numFmtId="0" fontId="26" fillId="17" borderId="11" xfId="0" applyFont="1" applyFill="1" applyBorder="1" applyAlignment="1">
      <alignment horizontal="center" vertical="center"/>
    </xf>
    <xf numFmtId="0" fontId="27" fillId="27" borderId="21" xfId="0" applyFont="1" applyFill="1" applyBorder="1" applyAlignment="1">
      <alignment horizontal="center" vertical="center" wrapText="1"/>
    </xf>
    <xf numFmtId="0" fontId="27" fillId="27" borderId="22" xfId="0" applyFont="1" applyFill="1" applyBorder="1" applyAlignment="1">
      <alignment horizontal="center" vertical="center" wrapText="1"/>
    </xf>
    <xf numFmtId="0" fontId="28" fillId="15" borderId="18" xfId="0" applyFont="1" applyFill="1" applyBorder="1" applyAlignment="1">
      <alignment horizontal="center" vertical="center" wrapText="1"/>
    </xf>
    <xf numFmtId="0" fontId="28" fillId="15" borderId="20" xfId="0" applyFont="1" applyFill="1" applyBorder="1" applyAlignment="1">
      <alignment horizontal="center" vertical="center" wrapText="1"/>
    </xf>
    <xf numFmtId="0" fontId="28" fillId="22" borderId="18" xfId="0" applyFont="1" applyFill="1" applyBorder="1" applyAlignment="1">
      <alignment horizontal="center" vertical="center" wrapText="1"/>
    </xf>
    <xf numFmtId="0" fontId="28" fillId="22" borderId="20" xfId="0" applyFont="1" applyFill="1" applyBorder="1" applyAlignment="1">
      <alignment horizontal="center" vertical="center" wrapText="1"/>
    </xf>
    <xf numFmtId="0" fontId="28" fillId="24" borderId="18" xfId="0" applyFont="1" applyFill="1" applyBorder="1" applyAlignment="1">
      <alignment horizontal="center" vertical="center" wrapText="1"/>
    </xf>
    <xf numFmtId="0" fontId="28" fillId="24" borderId="19" xfId="0" applyFont="1" applyFill="1" applyBorder="1" applyAlignment="1">
      <alignment horizontal="center" vertical="center" wrapText="1"/>
    </xf>
    <xf numFmtId="0" fontId="28" fillId="24" borderId="20"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0" xfId="0" applyFont="1" applyFill="1" applyBorder="1" applyAlignment="1">
      <alignment horizontal="center" vertical="center" wrapText="1"/>
    </xf>
    <xf numFmtId="0" fontId="28" fillId="25" borderId="18" xfId="0" applyFont="1" applyFill="1" applyBorder="1" applyAlignment="1">
      <alignment horizontal="center" vertical="center" wrapText="1"/>
    </xf>
    <xf numFmtId="0" fontId="28" fillId="25" borderId="20" xfId="0" applyFont="1" applyFill="1" applyBorder="1" applyAlignment="1">
      <alignment horizontal="center" vertical="center" wrapText="1"/>
    </xf>
    <xf numFmtId="0" fontId="0" fillId="27" borderId="11" xfId="0" applyFill="1" applyBorder="1" applyAlignment="1">
      <alignment horizontal="center" vertical="center" wrapText="1"/>
    </xf>
    <xf numFmtId="0" fontId="0" fillId="0" borderId="11" xfId="0" applyBorder="1" applyAlignment="1">
      <alignment horizontal="center"/>
    </xf>
    <xf numFmtId="0" fontId="2" fillId="0" borderId="11" xfId="0" applyFont="1" applyBorder="1" applyAlignment="1">
      <alignment horizontal="center" vertical="center" wrapText="1"/>
    </xf>
    <xf numFmtId="0" fontId="0" fillId="0" borderId="11" xfId="0" applyBorder="1" applyAlignment="1">
      <alignment horizontal="center" vertical="center" wrapText="1"/>
    </xf>
    <xf numFmtId="0" fontId="2" fillId="17" borderId="11" xfId="0" applyFont="1" applyFill="1" applyBorder="1" applyAlignment="1">
      <alignment horizontal="center" wrapText="1"/>
    </xf>
    <xf numFmtId="0" fontId="0" fillId="17" borderId="11" xfId="0" applyFill="1" applyBorder="1" applyAlignment="1">
      <alignment horizontal="center" wrapText="1"/>
    </xf>
    <xf numFmtId="0" fontId="2" fillId="30" borderId="11" xfId="0" applyFont="1" applyFill="1" applyBorder="1" applyAlignment="1">
      <alignment horizontal="center" wrapText="1"/>
    </xf>
    <xf numFmtId="0" fontId="0" fillId="30" borderId="11" xfId="0" applyFill="1" applyBorder="1" applyAlignment="1">
      <alignment horizontal="center" wrapText="1"/>
    </xf>
    <xf numFmtId="0" fontId="0" fillId="27" borderId="21" xfId="0" applyFill="1" applyBorder="1" applyAlignment="1">
      <alignment horizontal="center" vertical="center" wrapText="1"/>
    </xf>
    <xf numFmtId="0" fontId="0" fillId="27" borderId="25" xfId="0" applyFill="1" applyBorder="1" applyAlignment="1">
      <alignment horizontal="center" vertical="center" wrapText="1"/>
    </xf>
    <xf numFmtId="0" fontId="0" fillId="27" borderId="22" xfId="0" applyFill="1" applyBorder="1" applyAlignment="1">
      <alignment horizontal="center" vertical="center" wrapText="1"/>
    </xf>
    <xf numFmtId="0" fontId="32" fillId="27" borderId="11" xfId="0" applyFont="1" applyFill="1" applyBorder="1" applyAlignment="1">
      <alignment horizontal="center" vertical="center" wrapText="1"/>
    </xf>
    <xf numFmtId="0" fontId="32" fillId="0" borderId="11" xfId="0" applyFont="1" applyBorder="1" applyAlignment="1">
      <alignment horizontal="center"/>
    </xf>
    <xf numFmtId="0" fontId="32" fillId="0" borderId="11" xfId="0" applyFont="1" applyBorder="1" applyAlignment="1">
      <alignment horizontal="center" vertical="center" wrapText="1"/>
    </xf>
    <xf numFmtId="0" fontId="32" fillId="17" borderId="11" xfId="0" applyFont="1" applyFill="1" applyBorder="1" applyAlignment="1">
      <alignment horizontal="center" wrapText="1"/>
    </xf>
    <xf numFmtId="0" fontId="2" fillId="27" borderId="12" xfId="0" applyFont="1" applyFill="1" applyBorder="1" applyAlignment="1">
      <alignment horizontal="center" vertical="center" wrapText="1"/>
    </xf>
    <xf numFmtId="0" fontId="0" fillId="27" borderId="13" xfId="0" applyFill="1" applyBorder="1" applyAlignment="1">
      <alignment horizontal="center" vertical="center" wrapText="1"/>
    </xf>
    <xf numFmtId="0" fontId="0" fillId="27" borderId="14" xfId="0" applyFill="1" applyBorder="1" applyAlignment="1">
      <alignment horizontal="center" vertical="center" wrapText="1"/>
    </xf>
    <xf numFmtId="0" fontId="0" fillId="27" borderId="24" xfId="0" applyFill="1" applyBorder="1" applyAlignment="1">
      <alignment horizontal="center" vertical="center" wrapText="1"/>
    </xf>
    <xf numFmtId="0" fontId="0" fillId="27" borderId="0" xfId="0" applyFill="1" applyAlignment="1">
      <alignment horizontal="center" vertical="center" wrapText="1"/>
    </xf>
    <xf numFmtId="0" fontId="0" fillId="27" borderId="23" xfId="0" applyFill="1" applyBorder="1" applyAlignment="1">
      <alignment horizontal="center" vertical="center" wrapText="1"/>
    </xf>
    <xf numFmtId="0" fontId="0" fillId="27" borderId="15" xfId="0" applyFill="1" applyBorder="1" applyAlignment="1">
      <alignment horizontal="center" vertical="center" wrapText="1"/>
    </xf>
    <xf numFmtId="0" fontId="0" fillId="27" borderId="16" xfId="0" applyFill="1" applyBorder="1" applyAlignment="1">
      <alignment horizontal="center" vertical="center" wrapText="1"/>
    </xf>
    <xf numFmtId="0" fontId="0" fillId="27" borderId="17" xfId="0" applyFill="1" applyBorder="1" applyAlignment="1">
      <alignment horizontal="center" vertical="center" wrapText="1"/>
    </xf>
    <xf numFmtId="0" fontId="2" fillId="12" borderId="12" xfId="0" applyFont="1" applyFill="1" applyBorder="1" applyAlignment="1">
      <alignment horizontal="center" vertical="center" wrapText="1"/>
    </xf>
    <xf numFmtId="0" fontId="0" fillId="12" borderId="13" xfId="0" applyFill="1" applyBorder="1" applyAlignment="1">
      <alignment horizontal="center" vertical="center" wrapText="1"/>
    </xf>
    <xf numFmtId="0" fontId="0" fillId="12" borderId="14" xfId="0" applyFill="1" applyBorder="1" applyAlignment="1">
      <alignment horizontal="center" vertical="center" wrapText="1"/>
    </xf>
    <xf numFmtId="0" fontId="0" fillId="12" borderId="15" xfId="0" applyFill="1" applyBorder="1" applyAlignment="1">
      <alignment horizontal="center" vertical="center" wrapText="1"/>
    </xf>
    <xf numFmtId="0" fontId="0" fillId="12" borderId="16" xfId="0" applyFill="1" applyBorder="1" applyAlignment="1">
      <alignment horizontal="center" vertical="center" wrapText="1"/>
    </xf>
    <xf numFmtId="0" fontId="0" fillId="12" borderId="17" xfId="0" applyFill="1" applyBorder="1" applyAlignment="1">
      <alignment horizontal="center" vertical="center" wrapText="1"/>
    </xf>
    <xf numFmtId="0" fontId="2" fillId="12" borderId="15" xfId="0" applyFont="1" applyFill="1" applyBorder="1" applyAlignment="1">
      <alignment horizontal="center" wrapText="1"/>
    </xf>
    <xf numFmtId="0" fontId="2" fillId="12" borderId="17" xfId="0" applyFont="1" applyFill="1" applyBorder="1" applyAlignment="1">
      <alignment horizontal="center" wrapText="1"/>
    </xf>
    <xf numFmtId="0" fontId="2" fillId="12" borderId="18" xfId="0" applyFont="1" applyFill="1" applyBorder="1" applyAlignment="1">
      <alignment horizontal="center" vertical="center" wrapText="1"/>
    </xf>
    <xf numFmtId="0" fontId="0" fillId="12" borderId="19" xfId="0" applyFill="1" applyBorder="1" applyAlignment="1">
      <alignment horizontal="center" vertical="center" wrapText="1"/>
    </xf>
    <xf numFmtId="0" fontId="0" fillId="12" borderId="20" xfId="0" applyFill="1" applyBorder="1" applyAlignment="1">
      <alignment horizontal="center" vertical="center" wrapText="1"/>
    </xf>
  </cellXfs>
  <cellStyles count="3">
    <cellStyle name="Moneda" xfId="1" builtinId="4"/>
    <cellStyle name="Normal" xfId="0" builtinId="0"/>
    <cellStyle name="Porcentaje" xfId="2" builtinId="5"/>
  </cellStyles>
  <dxfs count="0"/>
  <tableStyles count="0" defaultTableStyle="TableStyleMedium2" defaultPivotStyle="PivotStyleLight16"/>
  <colors>
    <mruColors>
      <color rgb="FFE60000"/>
      <color rgb="FFEFF9EB"/>
      <color rgb="FFFFF9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s-CO"/>
              <a:t>Composición delos ingresos en nivel</a:t>
            </a:r>
            <a:r>
              <a:rPr lang="es-CO" baseline="0"/>
              <a:t> de ventas proyectados</a:t>
            </a:r>
            <a:endParaRPr lang="es-CO"/>
          </a:p>
        </c:rich>
      </c:tx>
      <c:layout>
        <c:manualLayout>
          <c:xMode val="edge"/>
          <c:yMode val="edge"/>
          <c:x val="0.18607556846692411"/>
          <c:y val="5.350585030064857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s-CO"/>
        </a:p>
      </c:txPr>
    </c:title>
    <c:autoTitleDeleted val="0"/>
    <c:plotArea>
      <c:layout>
        <c:manualLayout>
          <c:layoutTarget val="inner"/>
          <c:xMode val="edge"/>
          <c:yMode val="edge"/>
          <c:x val="0.26263003157357234"/>
          <c:y val="0.17736111111111111"/>
          <c:w val="0.64598950547324818"/>
          <c:h val="0.71523950131233593"/>
        </c:manualLayout>
      </c:layout>
      <c:barChart>
        <c:barDir val="bar"/>
        <c:grouping val="clustered"/>
        <c:varyColors val="0"/>
        <c:ser>
          <c:idx val="0"/>
          <c:order val="0"/>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extLst>
                <c:ext xmlns:c15="http://schemas.microsoft.com/office/drawing/2012/chart" uri="{02D57815-91ED-43cb-92C2-25804820EDAC}">
                  <c15:fullRef>
                    <c15:sqref>Proyecciones!$H$14:$W$14</c15:sqref>
                  </c15:fullRef>
                </c:ext>
              </c:extLst>
              <c:f>(Proyecciones!$J$14:$K$14,Proyecciones!$N$14,Proyecciones!$Q$14:$R$14)</c:f>
              <c:strCache>
                <c:ptCount val="5"/>
                <c:pt idx="0">
                  <c:v>Costo medio/Unitario</c:v>
                </c:pt>
                <c:pt idx="1">
                  <c:v>Utilidad Operativa</c:v>
                </c:pt>
                <c:pt idx="2">
                  <c:v>Utilidad Neta antes de Tx</c:v>
                </c:pt>
                <c:pt idx="3">
                  <c:v>Utilidad Neta después de Tx</c:v>
                </c:pt>
                <c:pt idx="4">
                  <c:v>Carga Impositiva</c:v>
                </c:pt>
              </c:strCache>
            </c:strRef>
          </c:cat>
          <c:val>
            <c:numRef>
              <c:extLst>
                <c:ext xmlns:c15="http://schemas.microsoft.com/office/drawing/2012/chart" uri="{02D57815-91ED-43cb-92C2-25804820EDAC}">
                  <c15:fullRef>
                    <c15:sqref>Proyecciones!$H$15:$W$15</c15:sqref>
                  </c15:fullRef>
                </c:ext>
              </c:extLst>
              <c:f>(Proyecciones!$J$15:$K$15,Proyecciones!$N$15,Proyecciones!$Q$15:$R$15)</c:f>
              <c:numCache>
                <c:formatCode>_("$"* #,##0.00_);_("$"* \(#,##0.00\);_("$"* "-"??_);_(@_)</c:formatCode>
                <c:ptCount val="5"/>
                <c:pt idx="0">
                  <c:v>599684.44444444461</c:v>
                </c:pt>
                <c:pt idx="1">
                  <c:v>8564199.9999999925</c:v>
                </c:pt>
                <c:pt idx="2">
                  <c:v>7467116.4961419031</c:v>
                </c:pt>
                <c:pt idx="3">
                  <c:v>4853625.7224922376</c:v>
                </c:pt>
                <c:pt idx="4">
                  <c:v>2613490.773649666</c:v>
                </c:pt>
              </c:numCache>
            </c:numRef>
          </c:val>
          <c:extLst>
            <c:ext xmlns:c16="http://schemas.microsoft.com/office/drawing/2014/chart" uri="{C3380CC4-5D6E-409C-BE32-E72D297353CC}">
              <c16:uniqueId val="{00000000-AB4E-452D-B2AB-011C2645AC69}"/>
            </c:ext>
          </c:extLst>
        </c:ser>
        <c:dLbls>
          <c:dLblPos val="outEnd"/>
          <c:showLegendKey val="0"/>
          <c:showVal val="1"/>
          <c:showCatName val="0"/>
          <c:showSerName val="0"/>
          <c:showPercent val="0"/>
          <c:showBubbleSize val="0"/>
        </c:dLbls>
        <c:gapWidth val="269"/>
        <c:overlap val="-20"/>
        <c:axId val="1626712224"/>
        <c:axId val="1358060848"/>
      </c:barChart>
      <c:catAx>
        <c:axId val="162671222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s-CO"/>
          </a:p>
        </c:txPr>
        <c:crossAx val="1358060848"/>
        <c:crosses val="autoZero"/>
        <c:auto val="1"/>
        <c:lblAlgn val="ctr"/>
        <c:lblOffset val="100"/>
        <c:noMultiLvlLbl val="0"/>
      </c:catAx>
      <c:valAx>
        <c:axId val="135806084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626712224"/>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353196999637275E-2"/>
          <c:y val="0.17273148148148151"/>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Indicadores!$B$5:$C$31</c:f>
              <c:multiLvlStrCache>
                <c:ptCount val="27"/>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lvl>
                <c:lvl>
                  <c:pt idx="0">
                    <c:v>2024</c:v>
                  </c:pt>
                  <c:pt idx="12">
                    <c:v>2025</c:v>
                  </c:pt>
                  <c:pt idx="24">
                    <c:v>2026</c:v>
                  </c:pt>
                </c:lvl>
              </c:multiLvlStrCache>
            </c:multiLvlStrRef>
          </c:cat>
          <c:val>
            <c:numRef>
              <c:f>Indicadores!$D$5:$D$31</c:f>
              <c:numCache>
                <c:formatCode>General</c:formatCode>
                <c:ptCount val="27"/>
                <c:pt idx="0" formatCode="#,##0.00">
                  <c:v>18.559999999999999</c:v>
                </c:pt>
                <c:pt idx="1">
                  <c:v>17.87</c:v>
                </c:pt>
                <c:pt idx="2">
                  <c:v>17.32</c:v>
                </c:pt>
                <c:pt idx="3" formatCode="#,##0.00">
                  <c:v>17.25</c:v>
                </c:pt>
                <c:pt idx="4">
                  <c:v>17.09</c:v>
                </c:pt>
                <c:pt idx="5">
                  <c:v>16.38</c:v>
                </c:pt>
                <c:pt idx="6">
                  <c:v>16.350000000000001</c:v>
                </c:pt>
                <c:pt idx="7" formatCode="#,##0.00">
                  <c:v>15.87</c:v>
                </c:pt>
                <c:pt idx="8">
                  <c:v>15.78</c:v>
                </c:pt>
                <c:pt idx="9" formatCode="#,##0.00">
                  <c:v>15.38</c:v>
                </c:pt>
                <c:pt idx="10" formatCode="#,##0.00">
                  <c:v>14.78</c:v>
                </c:pt>
                <c:pt idx="11">
                  <c:v>14.1</c:v>
                </c:pt>
                <c:pt idx="12" formatCode="#,##0.00">
                  <c:v>14.86</c:v>
                </c:pt>
                <c:pt idx="13" formatCode="#,##0.00">
                  <c:v>14.38</c:v>
                </c:pt>
                <c:pt idx="14">
                  <c:v>14.45</c:v>
                </c:pt>
                <c:pt idx="15" formatCode="#,##0.00">
                  <c:v>14.91</c:v>
                </c:pt>
                <c:pt idx="16" formatCode="#,##0.00">
                  <c:v>14.34</c:v>
                </c:pt>
                <c:pt idx="17" formatCode="#,##0.00">
                  <c:v>14.02</c:v>
                </c:pt>
                <c:pt idx="18" formatCode="#,##0.00">
                  <c:v>14.39</c:v>
                </c:pt>
                <c:pt idx="19" formatCode="#,##0.00">
                  <c:v>14.26</c:v>
                </c:pt>
                <c:pt idx="20" formatCode="#,##0.00">
                  <c:v>13.81</c:v>
                </c:pt>
                <c:pt idx="21" formatCode="#,##0.00">
                  <c:v>14.32</c:v>
                </c:pt>
                <c:pt idx="22" formatCode="#,##0.00">
                  <c:v>14.21</c:v>
                </c:pt>
                <c:pt idx="23" formatCode="#,##0.00">
                  <c:v>14</c:v>
                </c:pt>
                <c:pt idx="24">
                  <c:v>14.63</c:v>
                </c:pt>
                <c:pt idx="25">
                  <c:v>15.07</c:v>
                </c:pt>
                <c:pt idx="26">
                  <c:v>15.96</c:v>
                </c:pt>
              </c:numCache>
            </c:numRef>
          </c:val>
          <c:smooth val="0"/>
          <c:extLst>
            <c:ext xmlns:c16="http://schemas.microsoft.com/office/drawing/2014/chart" uri="{C3380CC4-5D6E-409C-BE32-E72D297353CC}">
              <c16:uniqueId val="{00000000-E0EE-44A6-BE11-1EEE94B591E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autoZero"/>
        <c:auto val="1"/>
        <c:lblAlgn val="ctr"/>
        <c:lblOffset val="100"/>
        <c:noMultiLvlLbl val="0"/>
      </c:catAx>
      <c:valAx>
        <c:axId val="1367072048"/>
        <c:scaling>
          <c:orientation val="minMax"/>
          <c:min val="1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353196999637275E-2"/>
          <c:y val="0.17273148148148151"/>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Indicadores!$G$5:$H$28</c:f>
              <c:multiLvlStrCache>
                <c:ptCount val="24"/>
                <c:lvl>
                  <c:pt idx="0">
                    <c:v>Trimestre 1</c:v>
                  </c:pt>
                  <c:pt idx="1">
                    <c:v>Trimestre 2</c:v>
                  </c:pt>
                  <c:pt idx="2">
                    <c:v>Trimestre 3</c:v>
                  </c:pt>
                  <c:pt idx="3">
                    <c:v>Trimestre 4</c:v>
                  </c:pt>
                  <c:pt idx="4">
                    <c:v>Trimestre 1</c:v>
                  </c:pt>
                  <c:pt idx="5">
                    <c:v>Trimestre 2</c:v>
                  </c:pt>
                  <c:pt idx="6">
                    <c:v>Trimestre 3</c:v>
                  </c:pt>
                  <c:pt idx="7">
                    <c:v>Trimestre 4</c:v>
                  </c:pt>
                  <c:pt idx="8">
                    <c:v>Trimestre 1</c:v>
                  </c:pt>
                  <c:pt idx="9">
                    <c:v>Trimestre 2</c:v>
                  </c:pt>
                  <c:pt idx="10">
                    <c:v>Trimestre 3</c:v>
                  </c:pt>
                  <c:pt idx="11">
                    <c:v>Trimestre 4</c:v>
                  </c:pt>
                  <c:pt idx="12">
                    <c:v>Trimestre 1</c:v>
                  </c:pt>
                  <c:pt idx="13">
                    <c:v>Trimestre 2</c:v>
                  </c:pt>
                  <c:pt idx="14">
                    <c:v>Trimestre 3</c:v>
                  </c:pt>
                  <c:pt idx="15">
                    <c:v>Trimestre 4</c:v>
                  </c:pt>
                  <c:pt idx="16">
                    <c:v>Trimestre 1</c:v>
                  </c:pt>
                  <c:pt idx="17">
                    <c:v>Trimestre 2</c:v>
                  </c:pt>
                  <c:pt idx="18">
                    <c:v>Trimestre 3</c:v>
                  </c:pt>
                  <c:pt idx="19">
                    <c:v>Trimestre 4</c:v>
                  </c:pt>
                  <c:pt idx="20">
                    <c:v>Trimestre 1</c:v>
                  </c:pt>
                  <c:pt idx="21">
                    <c:v>Trimestre 2</c:v>
                  </c:pt>
                  <c:pt idx="22">
                    <c:v>Trimestre 3</c:v>
                  </c:pt>
                  <c:pt idx="23">
                    <c:v>Trimestre 4</c:v>
                  </c:pt>
                </c:lvl>
                <c:lvl>
                  <c:pt idx="0">
                    <c:v>2020</c:v>
                  </c:pt>
                  <c:pt idx="4">
                    <c:v>2021</c:v>
                  </c:pt>
                  <c:pt idx="8">
                    <c:v>2022</c:v>
                  </c:pt>
                  <c:pt idx="12">
                    <c:v>2023</c:v>
                  </c:pt>
                  <c:pt idx="16">
                    <c:v>2024</c:v>
                  </c:pt>
                  <c:pt idx="20">
                    <c:v>2025</c:v>
                  </c:pt>
                </c:lvl>
              </c:multiLvlStrCache>
            </c:multiLvlStrRef>
          </c:cat>
          <c:val>
            <c:numRef>
              <c:f>Indicadores!$I$5:$I$28</c:f>
              <c:numCache>
                <c:formatCode>#,##0</c:formatCode>
                <c:ptCount val="24"/>
                <c:pt idx="0">
                  <c:v>208984</c:v>
                </c:pt>
                <c:pt idx="1">
                  <c:v>179588</c:v>
                </c:pt>
                <c:pt idx="2">
                  <c:v>202864</c:v>
                </c:pt>
                <c:pt idx="3">
                  <c:v>226464</c:v>
                </c:pt>
                <c:pt idx="4">
                  <c:v>212119</c:v>
                </c:pt>
                <c:pt idx="5">
                  <c:v>212672</c:v>
                </c:pt>
                <c:pt idx="6">
                  <c:v>229894</c:v>
                </c:pt>
                <c:pt idx="7">
                  <c:v>251559</c:v>
                </c:pt>
                <c:pt idx="8">
                  <c:v>229311</c:v>
                </c:pt>
                <c:pt idx="9">
                  <c:v>239014</c:v>
                </c:pt>
                <c:pt idx="10">
                  <c:v>246908</c:v>
                </c:pt>
                <c:pt idx="11">
                  <c:v>257422</c:v>
                </c:pt>
                <c:pt idx="12">
                  <c:v>235749</c:v>
                </c:pt>
                <c:pt idx="13">
                  <c:v>239984</c:v>
                </c:pt>
                <c:pt idx="14">
                  <c:v>245805</c:v>
                </c:pt>
                <c:pt idx="15">
                  <c:v>259305</c:v>
                </c:pt>
                <c:pt idx="16">
                  <c:v>236500</c:v>
                </c:pt>
                <c:pt idx="17">
                  <c:v>243823</c:v>
                </c:pt>
                <c:pt idx="18">
                  <c:v>249752</c:v>
                </c:pt>
                <c:pt idx="19">
                  <c:v>265415</c:v>
                </c:pt>
                <c:pt idx="20">
                  <c:v>242633</c:v>
                </c:pt>
                <c:pt idx="21">
                  <c:v>248986</c:v>
                </c:pt>
                <c:pt idx="22">
                  <c:v>258738</c:v>
                </c:pt>
                <c:pt idx="23">
                  <c:v>271435</c:v>
                </c:pt>
              </c:numCache>
            </c:numRef>
          </c:val>
          <c:smooth val="0"/>
          <c:extLst>
            <c:ext xmlns:c16="http://schemas.microsoft.com/office/drawing/2014/chart" uri="{C3380CC4-5D6E-409C-BE32-E72D297353CC}">
              <c16:uniqueId val="{00000000-E83F-4391-B10A-4953FB7B142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autoZero"/>
        <c:auto val="1"/>
        <c:lblAlgn val="ctr"/>
        <c:lblOffset val="100"/>
        <c:noMultiLvlLbl val="0"/>
      </c:catAx>
      <c:valAx>
        <c:axId val="1367072048"/>
        <c:scaling>
          <c:orientation val="minMax"/>
          <c:min val="150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353196999637275E-2"/>
          <c:y val="0.17273148148148151"/>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Indicadores!$B$34:$C$60</c:f>
              <c:multiLvlStrCache>
                <c:ptCount val="27"/>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lvl>
                <c:lvl>
                  <c:pt idx="0">
                    <c:v>2024</c:v>
                  </c:pt>
                  <c:pt idx="12">
                    <c:v>2025</c:v>
                  </c:pt>
                  <c:pt idx="24">
                    <c:v>2026</c:v>
                  </c:pt>
                </c:lvl>
              </c:multiLvlStrCache>
            </c:multiLvlStrRef>
          </c:cat>
          <c:val>
            <c:numRef>
              <c:f>Indicadores!$D$34:$D$60</c:f>
              <c:numCache>
                <c:formatCode>General</c:formatCode>
                <c:ptCount val="27"/>
                <c:pt idx="0">
                  <c:v>11.67</c:v>
                </c:pt>
                <c:pt idx="1">
                  <c:v>11.04</c:v>
                </c:pt>
                <c:pt idx="2">
                  <c:v>10.44</c:v>
                </c:pt>
                <c:pt idx="3">
                  <c:v>10.47</c:v>
                </c:pt>
                <c:pt idx="4">
                  <c:v>10.199999999999999</c:v>
                </c:pt>
                <c:pt idx="5">
                  <c:v>10.83</c:v>
                </c:pt>
                <c:pt idx="6">
                  <c:v>10.45</c:v>
                </c:pt>
                <c:pt idx="7">
                  <c:v>10</c:v>
                </c:pt>
                <c:pt idx="8">
                  <c:v>9.8000000000000007</c:v>
                </c:pt>
                <c:pt idx="9">
                  <c:v>9.58</c:v>
                </c:pt>
                <c:pt idx="10">
                  <c:v>9.81</c:v>
                </c:pt>
                <c:pt idx="11">
                  <c:v>9.43</c:v>
                </c:pt>
                <c:pt idx="12">
                  <c:v>9.57</c:v>
                </c:pt>
                <c:pt idx="13">
                  <c:v>10.08</c:v>
                </c:pt>
                <c:pt idx="14">
                  <c:v>9.73</c:v>
                </c:pt>
                <c:pt idx="15">
                  <c:v>9.73</c:v>
                </c:pt>
                <c:pt idx="16">
                  <c:v>9.4499999999999993</c:v>
                </c:pt>
                <c:pt idx="17">
                  <c:v>9.6300000000000008</c:v>
                </c:pt>
                <c:pt idx="18">
                  <c:v>9.4700000000000006</c:v>
                </c:pt>
                <c:pt idx="19">
                  <c:v>9.09</c:v>
                </c:pt>
                <c:pt idx="20">
                  <c:v>9.51</c:v>
                </c:pt>
                <c:pt idx="21">
                  <c:v>9.8800000000000008</c:v>
                </c:pt>
                <c:pt idx="22">
                  <c:v>9.73</c:v>
                </c:pt>
                <c:pt idx="23">
                  <c:v>9.39</c:v>
                </c:pt>
                <c:pt idx="24">
                  <c:v>10.67</c:v>
                </c:pt>
                <c:pt idx="25">
                  <c:v>11.64</c:v>
                </c:pt>
                <c:pt idx="26">
                  <c:v>13.06</c:v>
                </c:pt>
              </c:numCache>
            </c:numRef>
          </c:val>
          <c:smooth val="0"/>
          <c:extLst>
            <c:ext xmlns:c16="http://schemas.microsoft.com/office/drawing/2014/chart" uri="{C3380CC4-5D6E-409C-BE32-E72D297353CC}">
              <c16:uniqueId val="{00000000-8FAB-4059-A08D-71F3123F4EE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autoZero"/>
        <c:auto val="1"/>
        <c:lblAlgn val="ctr"/>
        <c:lblOffset val="100"/>
        <c:noMultiLvlLbl val="0"/>
      </c:catAx>
      <c:valAx>
        <c:axId val="1367072048"/>
        <c:scaling>
          <c:orientation val="minMax"/>
          <c:min val="7"/>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982346384784091E-2"/>
          <c:y val="0.18204457750660172"/>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Indicadores!$B$63:$C$89</c:f>
              <c:multiLvlStrCache>
                <c:ptCount val="27"/>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lvl>
                <c:lvl>
                  <c:pt idx="0">
                    <c:v>2024</c:v>
                  </c:pt>
                  <c:pt idx="12">
                    <c:v>2025</c:v>
                  </c:pt>
                  <c:pt idx="24">
                    <c:v>2026</c:v>
                  </c:pt>
                </c:lvl>
              </c:multiLvlStrCache>
            </c:multiLvlStrRef>
          </c:cat>
          <c:val>
            <c:numRef>
              <c:f>Indicadores!$D$63:$D$89</c:f>
              <c:numCache>
                <c:formatCode>General</c:formatCode>
                <c:ptCount val="27"/>
                <c:pt idx="0">
                  <c:v>3822.05</c:v>
                </c:pt>
                <c:pt idx="1">
                  <c:v>3915.56</c:v>
                </c:pt>
                <c:pt idx="2">
                  <c:v>3931.31</c:v>
                </c:pt>
                <c:pt idx="3">
                  <c:v>3842.3</c:v>
                </c:pt>
                <c:pt idx="4">
                  <c:v>3899.07</c:v>
                </c:pt>
                <c:pt idx="5">
                  <c:v>3860.92</c:v>
                </c:pt>
                <c:pt idx="6">
                  <c:v>4148.04</c:v>
                </c:pt>
                <c:pt idx="7">
                  <c:v>4060.34</c:v>
                </c:pt>
                <c:pt idx="8">
                  <c:v>4160.3100000000004</c:v>
                </c:pt>
                <c:pt idx="9">
                  <c:v>4178.3</c:v>
                </c:pt>
                <c:pt idx="10">
                  <c:v>4409.57</c:v>
                </c:pt>
                <c:pt idx="11">
                  <c:v>4419.59</c:v>
                </c:pt>
                <c:pt idx="12">
                  <c:v>4409.1499999999996</c:v>
                </c:pt>
                <c:pt idx="13">
                  <c:v>4183.93</c:v>
                </c:pt>
                <c:pt idx="14">
                  <c:v>4134.04</c:v>
                </c:pt>
                <c:pt idx="15">
                  <c:v>4191.79</c:v>
                </c:pt>
                <c:pt idx="16">
                  <c:v>4222.25</c:v>
                </c:pt>
                <c:pt idx="17">
                  <c:v>4148.72</c:v>
                </c:pt>
                <c:pt idx="18">
                  <c:v>4069.67</c:v>
                </c:pt>
                <c:pt idx="19">
                  <c:v>4186.71</c:v>
                </c:pt>
                <c:pt idx="20">
                  <c:v>4018.41</c:v>
                </c:pt>
                <c:pt idx="21">
                  <c:v>3923.55</c:v>
                </c:pt>
                <c:pt idx="22">
                  <c:v>3860.12</c:v>
                </c:pt>
                <c:pt idx="23">
                  <c:v>3744.43</c:v>
                </c:pt>
                <c:pt idx="24">
                  <c:v>3757.08</c:v>
                </c:pt>
                <c:pt idx="25">
                  <c:v>3670.47</c:v>
                </c:pt>
                <c:pt idx="26">
                  <c:v>3766.3</c:v>
                </c:pt>
              </c:numCache>
            </c:numRef>
          </c:val>
          <c:smooth val="0"/>
          <c:extLst>
            <c:ext xmlns:c16="http://schemas.microsoft.com/office/drawing/2014/chart" uri="{C3380CC4-5D6E-409C-BE32-E72D297353CC}">
              <c16:uniqueId val="{00000001-43FF-436E-B9AD-8A22F1AA0AE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autoZero"/>
        <c:auto val="1"/>
        <c:lblAlgn val="ctr"/>
        <c:lblOffset val="100"/>
        <c:noMultiLvlLbl val="0"/>
      </c:catAx>
      <c:valAx>
        <c:axId val="1367072048"/>
        <c:scaling>
          <c:orientation val="minMax"/>
          <c:min val="3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982346384784091E-2"/>
          <c:y val="0.18204457750660172"/>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Indicadores!$B$92:$C$118</c:f>
              <c:multiLvlStrCache>
                <c:ptCount val="27"/>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lvl>
                <c:lvl>
                  <c:pt idx="0">
                    <c:v>2024</c:v>
                  </c:pt>
                  <c:pt idx="12">
                    <c:v>2025</c:v>
                  </c:pt>
                  <c:pt idx="24">
                    <c:v>2026</c:v>
                  </c:pt>
                </c:lvl>
              </c:multiLvlStrCache>
            </c:multiLvlStrRef>
          </c:cat>
          <c:val>
            <c:numRef>
              <c:f>Indicadores!$D$92:$D$118</c:f>
              <c:numCache>
                <c:formatCode>General</c:formatCode>
                <c:ptCount val="27"/>
                <c:pt idx="0">
                  <c:v>11.731</c:v>
                </c:pt>
                <c:pt idx="1">
                  <c:v>11.819000000000001</c:v>
                </c:pt>
                <c:pt idx="2">
                  <c:v>11.454000000000001</c:v>
                </c:pt>
                <c:pt idx="3">
                  <c:v>11.026999999999999</c:v>
                </c:pt>
                <c:pt idx="4">
                  <c:v>10.99</c:v>
                </c:pt>
                <c:pt idx="5">
                  <c:v>10.538</c:v>
                </c:pt>
                <c:pt idx="6">
                  <c:v>10.102</c:v>
                </c:pt>
                <c:pt idx="7">
                  <c:v>10.099</c:v>
                </c:pt>
                <c:pt idx="8">
                  <c:v>9.593</c:v>
                </c:pt>
                <c:pt idx="9">
                  <c:v>9.1950000000000003</c:v>
                </c:pt>
                <c:pt idx="10">
                  <c:v>9.0679999999999996</c:v>
                </c:pt>
                <c:pt idx="11">
                  <c:v>8.9909999999999997</c:v>
                </c:pt>
                <c:pt idx="12">
                  <c:v>8.8510000000000009</c:v>
                </c:pt>
                <c:pt idx="13">
                  <c:v>8.9770000000000003</c:v>
                </c:pt>
                <c:pt idx="14">
                  <c:v>8.9480000000000004</c:v>
                </c:pt>
                <c:pt idx="15">
                  <c:v>8.75</c:v>
                </c:pt>
                <c:pt idx="16">
                  <c:v>8.7129999999999992</c:v>
                </c:pt>
                <c:pt idx="17">
                  <c:v>8.6020000000000003</c:v>
                </c:pt>
                <c:pt idx="18">
                  <c:v>8.7590000000000003</c:v>
                </c:pt>
                <c:pt idx="19">
                  <c:v>8.7560000000000002</c:v>
                </c:pt>
                <c:pt idx="20">
                  <c:v>8.7530000000000001</c:v>
                </c:pt>
                <c:pt idx="21">
                  <c:v>8.7569999999999997</c:v>
                </c:pt>
                <c:pt idx="22">
                  <c:v>8.7650000000000006</c:v>
                </c:pt>
                <c:pt idx="23">
                  <c:v>8.9049999999999994</c:v>
                </c:pt>
                <c:pt idx="24">
                  <c:v>9.2750000000000004</c:v>
                </c:pt>
                <c:pt idx="25">
                  <c:v>9.7089999999999996</c:v>
                </c:pt>
                <c:pt idx="26">
                  <c:v>10.555</c:v>
                </c:pt>
              </c:numCache>
            </c:numRef>
          </c:val>
          <c:smooth val="0"/>
          <c:extLst>
            <c:ext xmlns:c16="http://schemas.microsoft.com/office/drawing/2014/chart" uri="{C3380CC4-5D6E-409C-BE32-E72D297353CC}">
              <c16:uniqueId val="{00000000-6A2B-489C-9DE7-0CB8DFF1552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autoZero"/>
        <c:auto val="1"/>
        <c:lblAlgn val="ctr"/>
        <c:lblOffset val="100"/>
        <c:noMultiLvlLbl val="0"/>
      </c:catAx>
      <c:valAx>
        <c:axId val="1367072048"/>
        <c:scaling>
          <c:orientation val="minMax"/>
          <c:min val="7"/>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982346384784091E-2"/>
          <c:y val="0.18204457750660172"/>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Indicadores!$B$121:$C$147</c:f>
              <c:multiLvlStrCache>
                <c:ptCount val="27"/>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lvl>
                <c:lvl>
                  <c:pt idx="0">
                    <c:v>2024</c:v>
                  </c:pt>
                  <c:pt idx="12">
                    <c:v>2025</c:v>
                  </c:pt>
                  <c:pt idx="24">
                    <c:v>2026</c:v>
                  </c:pt>
                </c:lvl>
              </c:multiLvlStrCache>
            </c:multiLvlStrRef>
          </c:cat>
          <c:val>
            <c:numRef>
              <c:f>Indicadores!$D$121:$D$147</c:f>
              <c:numCache>
                <c:formatCode>General</c:formatCode>
                <c:ptCount val="27"/>
                <c:pt idx="0">
                  <c:v>12.95</c:v>
                </c:pt>
                <c:pt idx="1">
                  <c:v>12.73</c:v>
                </c:pt>
                <c:pt idx="2">
                  <c:v>12.23</c:v>
                </c:pt>
                <c:pt idx="3">
                  <c:v>12.25</c:v>
                </c:pt>
                <c:pt idx="4">
                  <c:v>11.75</c:v>
                </c:pt>
                <c:pt idx="5">
                  <c:v>11.74</c:v>
                </c:pt>
                <c:pt idx="6">
                  <c:v>11.24</c:v>
                </c:pt>
                <c:pt idx="7">
                  <c:v>10.75</c:v>
                </c:pt>
                <c:pt idx="8">
                  <c:v>10.75</c:v>
                </c:pt>
                <c:pt idx="9">
                  <c:v>10.26</c:v>
                </c:pt>
                <c:pt idx="10">
                  <c:v>9.75</c:v>
                </c:pt>
                <c:pt idx="11">
                  <c:v>9.51</c:v>
                </c:pt>
                <c:pt idx="12">
                  <c:v>9.5500000000000007</c:v>
                </c:pt>
                <c:pt idx="13">
                  <c:v>9.5</c:v>
                </c:pt>
                <c:pt idx="14">
                  <c:v>9.52</c:v>
                </c:pt>
                <c:pt idx="15">
                  <c:v>9.5</c:v>
                </c:pt>
                <c:pt idx="16">
                  <c:v>9.24</c:v>
                </c:pt>
                <c:pt idx="17">
                  <c:v>9.26</c:v>
                </c:pt>
                <c:pt idx="18">
                  <c:v>9.25</c:v>
                </c:pt>
                <c:pt idx="19">
                  <c:v>9.25</c:v>
                </c:pt>
                <c:pt idx="20">
                  <c:v>9.25</c:v>
                </c:pt>
                <c:pt idx="21">
                  <c:v>9.25</c:v>
                </c:pt>
                <c:pt idx="22">
                  <c:v>9.1300000000000008</c:v>
                </c:pt>
                <c:pt idx="23">
                  <c:v>9.26</c:v>
                </c:pt>
                <c:pt idx="24">
                  <c:v>9.27</c:v>
                </c:pt>
                <c:pt idx="25">
                  <c:v>10.25</c:v>
                </c:pt>
                <c:pt idx="26">
                  <c:v>10.25</c:v>
                </c:pt>
              </c:numCache>
            </c:numRef>
          </c:val>
          <c:smooth val="0"/>
          <c:extLst>
            <c:ext xmlns:c16="http://schemas.microsoft.com/office/drawing/2014/chart" uri="{C3380CC4-5D6E-409C-BE32-E72D297353CC}">
              <c16:uniqueId val="{00000000-EDF4-4E71-B79F-3EB36BE517E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autoZero"/>
        <c:auto val="1"/>
        <c:lblAlgn val="ctr"/>
        <c:lblOffset val="100"/>
        <c:noMultiLvlLbl val="0"/>
      </c:catAx>
      <c:valAx>
        <c:axId val="1367072048"/>
        <c:scaling>
          <c:orientation val="minMax"/>
          <c:min val="8"/>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353196999637275E-2"/>
          <c:y val="0.17273148148148151"/>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Indicadores!$G$34:$H$60</c:f>
              <c:multiLvlStrCache>
                <c:ptCount val="27"/>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lvl>
                <c:lvl>
                  <c:pt idx="0">
                    <c:v>2024</c:v>
                  </c:pt>
                  <c:pt idx="12">
                    <c:v>2025</c:v>
                  </c:pt>
                  <c:pt idx="24">
                    <c:v>2026</c:v>
                  </c:pt>
                </c:lvl>
              </c:multiLvlStrCache>
            </c:multiLvlStrRef>
          </c:cat>
          <c:val>
            <c:numRef>
              <c:f>Indicadores!$I$34:$I$60</c:f>
              <c:numCache>
                <c:formatCode>General</c:formatCode>
                <c:ptCount val="27"/>
                <c:pt idx="0">
                  <c:v>0.92</c:v>
                </c:pt>
                <c:pt idx="1">
                  <c:v>1.0900000000000001</c:v>
                </c:pt>
                <c:pt idx="2">
                  <c:v>0.7</c:v>
                </c:pt>
                <c:pt idx="3">
                  <c:v>0.59</c:v>
                </c:pt>
                <c:pt idx="4">
                  <c:v>0.43</c:v>
                </c:pt>
                <c:pt idx="5">
                  <c:v>0.32</c:v>
                </c:pt>
                <c:pt idx="6">
                  <c:v>0.2</c:v>
                </c:pt>
                <c:pt idx="7">
                  <c:v>0</c:v>
                </c:pt>
                <c:pt idx="8">
                  <c:v>0.24</c:v>
                </c:pt>
                <c:pt idx="9">
                  <c:v>-0.13</c:v>
                </c:pt>
                <c:pt idx="10">
                  <c:v>0.27</c:v>
                </c:pt>
                <c:pt idx="11">
                  <c:v>0.46</c:v>
                </c:pt>
                <c:pt idx="12">
                  <c:v>0.94</c:v>
                </c:pt>
                <c:pt idx="13">
                  <c:v>1.1399999999999999</c:v>
                </c:pt>
                <c:pt idx="14">
                  <c:v>0.52</c:v>
                </c:pt>
                <c:pt idx="15">
                  <c:v>0.66</c:v>
                </c:pt>
                <c:pt idx="16">
                  <c:v>0.32</c:v>
                </c:pt>
                <c:pt idx="17">
                  <c:v>0.1</c:v>
                </c:pt>
                <c:pt idx="18">
                  <c:v>0.28000000000000003</c:v>
                </c:pt>
                <c:pt idx="19">
                  <c:v>0.19</c:v>
                </c:pt>
                <c:pt idx="20">
                  <c:v>0.32</c:v>
                </c:pt>
                <c:pt idx="21">
                  <c:v>0.18</c:v>
                </c:pt>
                <c:pt idx="22">
                  <c:v>7.0000000000000007E-2</c:v>
                </c:pt>
                <c:pt idx="23">
                  <c:v>0.27</c:v>
                </c:pt>
                <c:pt idx="24">
                  <c:v>1.18</c:v>
                </c:pt>
                <c:pt idx="25">
                  <c:v>1.08</c:v>
                </c:pt>
                <c:pt idx="26">
                  <c:v>0.78</c:v>
                </c:pt>
              </c:numCache>
            </c:numRef>
          </c:val>
          <c:smooth val="0"/>
          <c:extLst>
            <c:ext xmlns:c16="http://schemas.microsoft.com/office/drawing/2014/chart" uri="{C3380CC4-5D6E-409C-BE32-E72D297353CC}">
              <c16:uniqueId val="{00000000-3737-40C4-8B1F-F2EC5D3DC7E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autoZero"/>
        <c:auto val="1"/>
        <c:lblAlgn val="ctr"/>
        <c:lblOffset val="100"/>
        <c:noMultiLvlLbl val="0"/>
      </c:catAx>
      <c:valAx>
        <c:axId val="136707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310142739006939"/>
          <c:y val="0.36121552085108066"/>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Indicadores!$G$63:$H$87</c:f>
              <c:multiLvlStrCache>
                <c:ptCount val="25"/>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lvl>
                <c:lvl>
                  <c:pt idx="0">
                    <c:v>2024</c:v>
                  </c:pt>
                  <c:pt idx="12">
                    <c:v>2025</c:v>
                  </c:pt>
                  <c:pt idx="24">
                    <c:v>6</c:v>
                  </c:pt>
                </c:lvl>
              </c:multiLvlStrCache>
            </c:multiLvlStrRef>
          </c:cat>
          <c:val>
            <c:numRef>
              <c:f>Indicadores!$I$63:$I$87</c:f>
              <c:numCache>
                <c:formatCode>General</c:formatCode>
                <c:ptCount val="25"/>
                <c:pt idx="0" formatCode="#,##0.00">
                  <c:v>-1084.0999999999999</c:v>
                </c:pt>
                <c:pt idx="1">
                  <c:v>-762.1</c:v>
                </c:pt>
                <c:pt idx="2">
                  <c:v>-650.4</c:v>
                </c:pt>
                <c:pt idx="3" formatCode="#,##0.00">
                  <c:v>-1122.8</c:v>
                </c:pt>
                <c:pt idx="4">
                  <c:v>-794.3</c:v>
                </c:pt>
                <c:pt idx="5">
                  <c:v>-545.20000000000005</c:v>
                </c:pt>
                <c:pt idx="6">
                  <c:v>-617.9</c:v>
                </c:pt>
                <c:pt idx="7" formatCode="#,##0.00">
                  <c:v>-1312.3</c:v>
                </c:pt>
                <c:pt idx="8">
                  <c:v>-660</c:v>
                </c:pt>
                <c:pt idx="9" formatCode="#,##0.00">
                  <c:v>-1054.7</c:v>
                </c:pt>
                <c:pt idx="10" formatCode="#,##0.00">
                  <c:v>-1375.1</c:v>
                </c:pt>
                <c:pt idx="11">
                  <c:v>-827.8</c:v>
                </c:pt>
                <c:pt idx="12" formatCode="#,##0.00">
                  <c:v>-1278.9000000000001</c:v>
                </c:pt>
                <c:pt idx="13" formatCode="#,##0.00">
                  <c:v>-1241</c:v>
                </c:pt>
                <c:pt idx="14">
                  <c:v>-837.3</c:v>
                </c:pt>
                <c:pt idx="15" formatCode="#,##0.00">
                  <c:v>-1355</c:v>
                </c:pt>
                <c:pt idx="16" formatCode="#,##0.00">
                  <c:v>-1449.1</c:v>
                </c:pt>
                <c:pt idx="17" formatCode="#,##0.00">
                  <c:v>-1099.8</c:v>
                </c:pt>
                <c:pt idx="18" formatCode="#,##0.00">
                  <c:v>-1694.2</c:v>
                </c:pt>
                <c:pt idx="19" formatCode="#,##0.00">
                  <c:v>-1649.1</c:v>
                </c:pt>
                <c:pt idx="20" formatCode="#,##0.00">
                  <c:v>-1135.0999999999999</c:v>
                </c:pt>
                <c:pt idx="21" formatCode="#,##0.00">
                  <c:v>-1914.5</c:v>
                </c:pt>
                <c:pt idx="22" formatCode="#,##0.00">
                  <c:v>-1548.5</c:v>
                </c:pt>
                <c:pt idx="23" formatCode="#,##0.00">
                  <c:v>-1173.0999999999999</c:v>
                </c:pt>
                <c:pt idx="24">
                  <c:v>-1328.8</c:v>
                </c:pt>
              </c:numCache>
            </c:numRef>
          </c:val>
          <c:smooth val="0"/>
          <c:extLst>
            <c:ext xmlns:c16="http://schemas.microsoft.com/office/drawing/2014/chart" uri="{C3380CC4-5D6E-409C-BE32-E72D297353CC}">
              <c16:uniqueId val="{00000000-4A25-4FBC-8BAE-6E9521E9BDC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t"/>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max"/>
        <c:auto val="1"/>
        <c:lblAlgn val="ctr"/>
        <c:lblOffset val="100"/>
        <c:noMultiLvlLbl val="0"/>
      </c:catAx>
      <c:valAx>
        <c:axId val="1367072048"/>
        <c:scaling>
          <c:orientation val="minMax"/>
          <c:min val="-2000"/>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982346384784091E-2"/>
          <c:y val="0.18204457750660172"/>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Indicadores!$G$92:$H$118</c:f>
              <c:multiLvlStrCache>
                <c:ptCount val="27"/>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Pendiente</c:v>
                  </c:pt>
                </c:lvl>
                <c:lvl>
                  <c:pt idx="0">
                    <c:v>2024</c:v>
                  </c:pt>
                  <c:pt idx="12">
                    <c:v>2025</c:v>
                  </c:pt>
                  <c:pt idx="24">
                    <c:v>2026</c:v>
                  </c:pt>
                </c:lvl>
              </c:multiLvlStrCache>
            </c:multiLvlStrRef>
          </c:cat>
          <c:val>
            <c:numRef>
              <c:f>Indicadores!$I$92:$I$118</c:f>
              <c:numCache>
                <c:formatCode>General</c:formatCode>
                <c:ptCount val="27"/>
                <c:pt idx="0">
                  <c:v>55.3</c:v>
                </c:pt>
                <c:pt idx="1">
                  <c:v>56.4</c:v>
                </c:pt>
                <c:pt idx="2">
                  <c:v>56.7</c:v>
                </c:pt>
                <c:pt idx="3">
                  <c:v>57.2</c:v>
                </c:pt>
                <c:pt idx="4">
                  <c:v>57.5</c:v>
                </c:pt>
                <c:pt idx="5">
                  <c:v>57.2</c:v>
                </c:pt>
                <c:pt idx="6">
                  <c:v>57.8</c:v>
                </c:pt>
                <c:pt idx="7">
                  <c:v>58.3</c:v>
                </c:pt>
                <c:pt idx="8">
                  <c:v>57.7</c:v>
                </c:pt>
                <c:pt idx="9">
                  <c:v>58.1</c:v>
                </c:pt>
                <c:pt idx="10">
                  <c:v>58.5</c:v>
                </c:pt>
                <c:pt idx="11">
                  <c:v>58.5</c:v>
                </c:pt>
                <c:pt idx="12">
                  <c:v>56.7</c:v>
                </c:pt>
                <c:pt idx="13">
                  <c:v>58</c:v>
                </c:pt>
                <c:pt idx="14">
                  <c:v>58.5</c:v>
                </c:pt>
                <c:pt idx="15">
                  <c:v>58.1</c:v>
                </c:pt>
                <c:pt idx="16">
                  <c:v>58.2</c:v>
                </c:pt>
                <c:pt idx="17">
                  <c:v>58.4</c:v>
                </c:pt>
                <c:pt idx="18">
                  <c:v>58.9</c:v>
                </c:pt>
                <c:pt idx="19">
                  <c:v>58.4</c:v>
                </c:pt>
                <c:pt idx="20">
                  <c:v>58.7</c:v>
                </c:pt>
                <c:pt idx="21">
                  <c:v>59.7</c:v>
                </c:pt>
                <c:pt idx="22">
                  <c:v>60.2</c:v>
                </c:pt>
                <c:pt idx="23">
                  <c:v>59.2</c:v>
                </c:pt>
                <c:pt idx="24">
                  <c:v>56.7</c:v>
                </c:pt>
                <c:pt idx="25">
                  <c:v>58.7</c:v>
                </c:pt>
              </c:numCache>
            </c:numRef>
          </c:val>
          <c:smooth val="0"/>
          <c:extLst>
            <c:ext xmlns:c16="http://schemas.microsoft.com/office/drawing/2014/chart" uri="{C3380CC4-5D6E-409C-BE32-E72D297353CC}">
              <c16:uniqueId val="{00000000-D93A-4FAF-A2C8-7B5C5CA01752}"/>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autoZero"/>
        <c:auto val="1"/>
        <c:lblAlgn val="ctr"/>
        <c:lblOffset val="100"/>
        <c:noMultiLvlLbl val="0"/>
      </c:catAx>
      <c:valAx>
        <c:axId val="1367072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6982346384784091E-2"/>
          <c:y val="0.18204457750660172"/>
          <c:w val="0.93553115040670287"/>
          <c:h val="0.47839566929133859"/>
        </c:manualLayout>
      </c:layout>
      <c:lineChart>
        <c:grouping val="standard"/>
        <c:varyColors val="0"/>
        <c:ser>
          <c:idx val="0"/>
          <c:order val="0"/>
          <c:spPr>
            <a:ln w="34925" cap="rnd">
              <a:solidFill>
                <a:schemeClr val="lt1"/>
              </a:solidFill>
              <a:round/>
            </a:ln>
            <a:effectLst>
              <a:outerShdw dist="25400" dir="2700000" algn="tl" rotWithShape="0">
                <a:schemeClr val="accent1"/>
              </a:outerShdw>
            </a:effectLst>
          </c:spPr>
          <c:marker>
            <c:symbol val="none"/>
          </c:marker>
          <c:cat>
            <c:multiLvlStrRef>
              <c:f>Indicadores!$G$121:$H$146</c:f>
              <c:multiLvlStrCache>
                <c:ptCount val="26"/>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lvl>
                <c:lvl>
                  <c:pt idx="0">
                    <c:v>2024</c:v>
                  </c:pt>
                  <c:pt idx="12">
                    <c:v>2025</c:v>
                  </c:pt>
                  <c:pt idx="24">
                    <c:v>2026</c:v>
                  </c:pt>
                </c:lvl>
              </c:multiLvlStrCache>
            </c:multiLvlStrRef>
          </c:cat>
          <c:val>
            <c:numRef>
              <c:f>Indicadores!$I$121:$I$146</c:f>
              <c:numCache>
                <c:formatCode>General</c:formatCode>
                <c:ptCount val="26"/>
                <c:pt idx="0">
                  <c:v>12.7</c:v>
                </c:pt>
                <c:pt idx="1">
                  <c:v>11.7</c:v>
                </c:pt>
                <c:pt idx="2">
                  <c:v>11.3</c:v>
                </c:pt>
                <c:pt idx="3">
                  <c:v>10.6</c:v>
                </c:pt>
                <c:pt idx="4">
                  <c:v>10.3</c:v>
                </c:pt>
                <c:pt idx="5">
                  <c:v>10.3</c:v>
                </c:pt>
                <c:pt idx="6">
                  <c:v>9.9</c:v>
                </c:pt>
                <c:pt idx="7">
                  <c:v>9.6999999999999993</c:v>
                </c:pt>
                <c:pt idx="8">
                  <c:v>9.1</c:v>
                </c:pt>
                <c:pt idx="9">
                  <c:v>9.1</c:v>
                </c:pt>
                <c:pt idx="10">
                  <c:v>8.1999999999999993</c:v>
                </c:pt>
                <c:pt idx="11">
                  <c:v>9.1</c:v>
                </c:pt>
                <c:pt idx="12">
                  <c:v>11.6</c:v>
                </c:pt>
                <c:pt idx="13">
                  <c:v>10.3</c:v>
                </c:pt>
                <c:pt idx="14">
                  <c:v>9.6</c:v>
                </c:pt>
                <c:pt idx="15">
                  <c:v>8.8000000000000007</c:v>
                </c:pt>
                <c:pt idx="16">
                  <c:v>9</c:v>
                </c:pt>
                <c:pt idx="17">
                  <c:v>8.6</c:v>
                </c:pt>
                <c:pt idx="18">
                  <c:v>8.8000000000000007</c:v>
                </c:pt>
                <c:pt idx="19">
                  <c:v>8.6</c:v>
                </c:pt>
                <c:pt idx="20">
                  <c:v>8.1999999999999993</c:v>
                </c:pt>
                <c:pt idx="21">
                  <c:v>8.1999999999999993</c:v>
                </c:pt>
                <c:pt idx="22">
                  <c:v>7</c:v>
                </c:pt>
                <c:pt idx="23">
                  <c:v>8</c:v>
                </c:pt>
                <c:pt idx="24">
                  <c:v>10.9</c:v>
                </c:pt>
                <c:pt idx="25">
                  <c:v>9.1999999999999993</c:v>
                </c:pt>
              </c:numCache>
            </c:numRef>
          </c:val>
          <c:smooth val="0"/>
          <c:extLst>
            <c:ext xmlns:c16="http://schemas.microsoft.com/office/drawing/2014/chart" uri="{C3380CC4-5D6E-409C-BE32-E72D297353CC}">
              <c16:uniqueId val="{00000000-AD91-4046-8B3C-33D3F8C2D18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358688384"/>
        <c:axId val="1367072048"/>
      </c:lineChart>
      <c:catAx>
        <c:axId val="13586883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s-CO"/>
          </a:p>
        </c:txPr>
        <c:crossAx val="1367072048"/>
        <c:crosses val="autoZero"/>
        <c:auto val="1"/>
        <c:lblAlgn val="ctr"/>
        <c:lblOffset val="100"/>
        <c:noMultiLvlLbl val="0"/>
      </c:catAx>
      <c:valAx>
        <c:axId val="1367072048"/>
        <c:scaling>
          <c:orientation val="minMax"/>
          <c:min val="6"/>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s-CO"/>
          </a:p>
        </c:txPr>
        <c:crossAx val="1358688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24</xdr:col>
      <xdr:colOff>28013</xdr:colOff>
      <xdr:row>25</xdr:row>
      <xdr:rowOff>45942</xdr:rowOff>
    </xdr:from>
    <xdr:to>
      <xdr:col>34</xdr:col>
      <xdr:colOff>0</xdr:colOff>
      <xdr:row>60</xdr:row>
      <xdr:rowOff>179293</xdr:rowOff>
    </xdr:to>
    <xdr:graphicFrame macro="">
      <xdr:nvGraphicFramePr>
        <xdr:cNvPr id="3" name="Gráfico 2">
          <a:extLst>
            <a:ext uri="{FF2B5EF4-FFF2-40B4-BE49-F238E27FC236}">
              <a16:creationId xmlns:a16="http://schemas.microsoft.com/office/drawing/2014/main" id="{92326568-5FA2-27EF-6A70-989247145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723900</xdr:colOff>
      <xdr:row>65</xdr:row>
      <xdr:rowOff>76200</xdr:rowOff>
    </xdr:from>
    <xdr:ext cx="5372100" cy="4419600"/>
    <xdr:pic>
      <xdr:nvPicPr>
        <xdr:cNvPr id="2" name="image2.png" title="Imagen">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695325</xdr:colOff>
      <xdr:row>89</xdr:row>
      <xdr:rowOff>95250</xdr:rowOff>
    </xdr:from>
    <xdr:ext cx="5419725" cy="3848100"/>
    <xdr:pic>
      <xdr:nvPicPr>
        <xdr:cNvPr id="3" name="image3.png" title="Imagen">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762000</xdr:colOff>
      <xdr:row>110</xdr:row>
      <xdr:rowOff>47625</xdr:rowOff>
    </xdr:from>
    <xdr:ext cx="5305425" cy="4752975"/>
    <xdr:pic>
      <xdr:nvPicPr>
        <xdr:cNvPr id="4" name="image12.png" title="Imagen">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2</xdr:col>
      <xdr:colOff>742950</xdr:colOff>
      <xdr:row>135</xdr:row>
      <xdr:rowOff>38100</xdr:rowOff>
    </xdr:from>
    <xdr:ext cx="5343525" cy="4057650"/>
    <xdr:pic>
      <xdr:nvPicPr>
        <xdr:cNvPr id="5" name="image10.png" title="Imagen">
          <a:extLst>
            <a:ext uri="{FF2B5EF4-FFF2-40B4-BE49-F238E27FC236}">
              <a16:creationId xmlns:a16="http://schemas.microsoft.com/office/drawing/2014/main" id="{00000000-0008-0000-08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752475</xdr:colOff>
      <xdr:row>157</xdr:row>
      <xdr:rowOff>66675</xdr:rowOff>
    </xdr:from>
    <xdr:ext cx="5324475" cy="3838575"/>
    <xdr:pic>
      <xdr:nvPicPr>
        <xdr:cNvPr id="6" name="image4.png" title="Imagen">
          <a:extLst>
            <a:ext uri="{FF2B5EF4-FFF2-40B4-BE49-F238E27FC236}">
              <a16:creationId xmlns:a16="http://schemas.microsoft.com/office/drawing/2014/main" id="{00000000-0008-0000-08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2</xdr:col>
      <xdr:colOff>752475</xdr:colOff>
      <xdr:row>177</xdr:row>
      <xdr:rowOff>180975</xdr:rowOff>
    </xdr:from>
    <xdr:ext cx="5314950" cy="4057650"/>
    <xdr:pic>
      <xdr:nvPicPr>
        <xdr:cNvPr id="7" name="image8.png" title="Imagen">
          <a:extLst>
            <a:ext uri="{FF2B5EF4-FFF2-40B4-BE49-F238E27FC236}">
              <a16:creationId xmlns:a16="http://schemas.microsoft.com/office/drawing/2014/main" id="{00000000-0008-0000-08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704850</xdr:colOff>
      <xdr:row>200</xdr:row>
      <xdr:rowOff>47625</xdr:rowOff>
    </xdr:from>
    <xdr:ext cx="5419725" cy="4400550"/>
    <xdr:pic>
      <xdr:nvPicPr>
        <xdr:cNvPr id="8" name="image5.png" title="Imagen">
          <a:extLst>
            <a:ext uri="{FF2B5EF4-FFF2-40B4-BE49-F238E27FC236}">
              <a16:creationId xmlns:a16="http://schemas.microsoft.com/office/drawing/2014/main" id="{00000000-0008-0000-08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2</xdr:col>
      <xdr:colOff>971550</xdr:colOff>
      <xdr:row>223</xdr:row>
      <xdr:rowOff>152400</xdr:rowOff>
    </xdr:from>
    <xdr:ext cx="4876800" cy="5934075"/>
    <xdr:pic>
      <xdr:nvPicPr>
        <xdr:cNvPr id="9" name="image13.png" title="Imagen">
          <a:extLst>
            <a:ext uri="{FF2B5EF4-FFF2-40B4-BE49-F238E27FC236}">
              <a16:creationId xmlns:a16="http://schemas.microsoft.com/office/drawing/2014/main" id="{00000000-0008-0000-08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2</xdr:col>
      <xdr:colOff>742950</xdr:colOff>
      <xdr:row>254</xdr:row>
      <xdr:rowOff>123825</xdr:rowOff>
    </xdr:from>
    <xdr:ext cx="5324475" cy="4257675"/>
    <xdr:pic>
      <xdr:nvPicPr>
        <xdr:cNvPr id="10" name="image9.png" title="Imagen">
          <a:extLst>
            <a:ext uri="{FF2B5EF4-FFF2-40B4-BE49-F238E27FC236}">
              <a16:creationId xmlns:a16="http://schemas.microsoft.com/office/drawing/2014/main" id="{00000000-0008-0000-08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2</xdr:col>
      <xdr:colOff>733425</xdr:colOff>
      <xdr:row>277</xdr:row>
      <xdr:rowOff>114300</xdr:rowOff>
    </xdr:from>
    <xdr:ext cx="5343525" cy="4124325"/>
    <xdr:pic>
      <xdr:nvPicPr>
        <xdr:cNvPr id="11" name="image14.png" title="Imagen">
          <a:extLst>
            <a:ext uri="{FF2B5EF4-FFF2-40B4-BE49-F238E27FC236}">
              <a16:creationId xmlns:a16="http://schemas.microsoft.com/office/drawing/2014/main" id="{00000000-0008-0000-08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2</xdr:col>
      <xdr:colOff>742950</xdr:colOff>
      <xdr:row>299</xdr:row>
      <xdr:rowOff>161925</xdr:rowOff>
    </xdr:from>
    <xdr:ext cx="5353050" cy="4619625"/>
    <xdr:pic>
      <xdr:nvPicPr>
        <xdr:cNvPr id="12" name="image11.png" title="Imagen">
          <a:extLst>
            <a:ext uri="{FF2B5EF4-FFF2-40B4-BE49-F238E27FC236}">
              <a16:creationId xmlns:a16="http://schemas.microsoft.com/office/drawing/2014/main" id="{00000000-0008-0000-08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1</xdr:col>
      <xdr:colOff>493485</xdr:colOff>
      <xdr:row>1</xdr:row>
      <xdr:rowOff>187779</xdr:rowOff>
    </xdr:from>
    <xdr:ext cx="7344682" cy="4454071"/>
    <xdr:pic>
      <xdr:nvPicPr>
        <xdr:cNvPr id="13" name="image7.png">
          <a:extLst>
            <a:ext uri="{FF2B5EF4-FFF2-40B4-BE49-F238E27FC236}">
              <a16:creationId xmlns:a16="http://schemas.microsoft.com/office/drawing/2014/main" id="{00000000-0008-0000-0800-00000D000000}"/>
            </a:ext>
          </a:extLst>
        </xdr:cNvPr>
        <xdr:cNvPicPr preferRelativeResize="0"/>
      </xdr:nvPicPr>
      <xdr:blipFill>
        <a:blip xmlns:r="http://schemas.openxmlformats.org/officeDocument/2006/relationships" r:embed="rId12" cstate="print"/>
        <a:stretch>
          <a:fillRect/>
        </a:stretch>
      </xdr:blipFill>
      <xdr:spPr>
        <a:xfrm>
          <a:off x="829128" y="378279"/>
          <a:ext cx="7344682" cy="4454071"/>
        </a:xfrm>
        <a:prstGeom prst="rect">
          <a:avLst/>
        </a:prstGeom>
        <a:noFill/>
      </xdr:spPr>
    </xdr:pic>
    <xdr:clientData fLocksWithSheet="0"/>
  </xdr:oneCellAnchor>
  <xdr:oneCellAnchor>
    <xdr:from>
      <xdr:col>1</xdr:col>
      <xdr:colOff>562428</xdr:colOff>
      <xdr:row>27</xdr:row>
      <xdr:rowOff>136070</xdr:rowOff>
    </xdr:from>
    <xdr:ext cx="7601857" cy="3075214"/>
    <xdr:pic>
      <xdr:nvPicPr>
        <xdr:cNvPr id="14" name="image1.png">
          <a:extLst>
            <a:ext uri="{FF2B5EF4-FFF2-40B4-BE49-F238E27FC236}">
              <a16:creationId xmlns:a16="http://schemas.microsoft.com/office/drawing/2014/main" id="{00000000-0008-0000-0800-00000E000000}"/>
            </a:ext>
          </a:extLst>
        </xdr:cNvPr>
        <xdr:cNvPicPr preferRelativeResize="0"/>
      </xdr:nvPicPr>
      <xdr:blipFill>
        <a:blip xmlns:r="http://schemas.openxmlformats.org/officeDocument/2006/relationships" r:embed="rId13" cstate="print"/>
        <a:stretch>
          <a:fillRect/>
        </a:stretch>
      </xdr:blipFill>
      <xdr:spPr>
        <a:xfrm>
          <a:off x="898071" y="5279570"/>
          <a:ext cx="7601857" cy="3075214"/>
        </a:xfrm>
        <a:prstGeom prst="rect">
          <a:avLst/>
        </a:prstGeom>
        <a:noFill/>
      </xdr:spPr>
    </xdr:pic>
    <xdr:clientData fLocksWithSheet="0"/>
  </xdr:oneCellAnchor>
  <xdr:oneCellAnchor>
    <xdr:from>
      <xdr:col>1</xdr:col>
      <xdr:colOff>707571</xdr:colOff>
      <xdr:row>45</xdr:row>
      <xdr:rowOff>99784</xdr:rowOff>
    </xdr:from>
    <xdr:ext cx="7402286" cy="3837215"/>
    <xdr:pic>
      <xdr:nvPicPr>
        <xdr:cNvPr id="15" name="image6.png">
          <a:extLst>
            <a:ext uri="{FF2B5EF4-FFF2-40B4-BE49-F238E27FC236}">
              <a16:creationId xmlns:a16="http://schemas.microsoft.com/office/drawing/2014/main" id="{00000000-0008-0000-0800-00000F000000}"/>
            </a:ext>
          </a:extLst>
        </xdr:cNvPr>
        <xdr:cNvPicPr preferRelativeResize="0"/>
      </xdr:nvPicPr>
      <xdr:blipFill>
        <a:blip xmlns:r="http://schemas.openxmlformats.org/officeDocument/2006/relationships" r:embed="rId14" cstate="print"/>
        <a:stretch>
          <a:fillRect/>
        </a:stretch>
      </xdr:blipFill>
      <xdr:spPr>
        <a:xfrm>
          <a:off x="1043214" y="8672284"/>
          <a:ext cx="7402286" cy="383721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21</xdr:row>
      <xdr:rowOff>0</xdr:rowOff>
    </xdr:from>
    <xdr:ext cx="5837464" cy="2857500"/>
    <xdr:pic>
      <xdr:nvPicPr>
        <xdr:cNvPr id="2" name="image15.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xfrm>
          <a:off x="2272393" y="4381500"/>
          <a:ext cx="5837464" cy="28575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twoCellAnchor>
    <xdr:from>
      <xdr:col>4</xdr:col>
      <xdr:colOff>142875</xdr:colOff>
      <xdr:row>6</xdr:row>
      <xdr:rowOff>123825</xdr:rowOff>
    </xdr:from>
    <xdr:to>
      <xdr:col>4</xdr:col>
      <xdr:colOff>2924175</xdr:colOff>
      <xdr:row>28</xdr:row>
      <xdr:rowOff>23812</xdr:rowOff>
    </xdr:to>
    <xdr:graphicFrame macro="">
      <xdr:nvGraphicFramePr>
        <xdr:cNvPr id="3" name="Gráfico 2">
          <a:extLst>
            <a:ext uri="{FF2B5EF4-FFF2-40B4-BE49-F238E27FC236}">
              <a16:creationId xmlns:a16="http://schemas.microsoft.com/office/drawing/2014/main" id="{8A517D36-FA67-25CF-996B-A1E99E833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142875</xdr:colOff>
      <xdr:row>6</xdr:row>
      <xdr:rowOff>123825</xdr:rowOff>
    </xdr:from>
    <xdr:to>
      <xdr:col>9</xdr:col>
      <xdr:colOff>2924175</xdr:colOff>
      <xdr:row>28</xdr:row>
      <xdr:rowOff>23812</xdr:rowOff>
    </xdr:to>
    <xdr:graphicFrame macro="">
      <xdr:nvGraphicFramePr>
        <xdr:cNvPr id="4" name="Gráfico 3">
          <a:extLst>
            <a:ext uri="{FF2B5EF4-FFF2-40B4-BE49-F238E27FC236}">
              <a16:creationId xmlns:a16="http://schemas.microsoft.com/office/drawing/2014/main" id="{E98318E2-8281-4BF3-BF5A-210385726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142875</xdr:colOff>
      <xdr:row>35</xdr:row>
      <xdr:rowOff>123825</xdr:rowOff>
    </xdr:from>
    <xdr:to>
      <xdr:col>4</xdr:col>
      <xdr:colOff>2924175</xdr:colOff>
      <xdr:row>57</xdr:row>
      <xdr:rowOff>23812</xdr:rowOff>
    </xdr:to>
    <xdr:graphicFrame macro="">
      <xdr:nvGraphicFramePr>
        <xdr:cNvPr id="5" name="Gráfico 4">
          <a:extLst>
            <a:ext uri="{FF2B5EF4-FFF2-40B4-BE49-F238E27FC236}">
              <a16:creationId xmlns:a16="http://schemas.microsoft.com/office/drawing/2014/main" id="{F221FBAE-7AAA-4DBA-8A27-C0DDB7EE6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142875</xdr:colOff>
      <xdr:row>64</xdr:row>
      <xdr:rowOff>123825</xdr:rowOff>
    </xdr:from>
    <xdr:to>
      <xdr:col>4</xdr:col>
      <xdr:colOff>2924175</xdr:colOff>
      <xdr:row>86</xdr:row>
      <xdr:rowOff>23812</xdr:rowOff>
    </xdr:to>
    <xdr:graphicFrame macro="">
      <xdr:nvGraphicFramePr>
        <xdr:cNvPr id="6" name="Gráfico 5">
          <a:extLst>
            <a:ext uri="{FF2B5EF4-FFF2-40B4-BE49-F238E27FC236}">
              <a16:creationId xmlns:a16="http://schemas.microsoft.com/office/drawing/2014/main" id="{0298832C-0CDD-4C42-A100-DBC37D6BA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142875</xdr:colOff>
      <xdr:row>93</xdr:row>
      <xdr:rowOff>123825</xdr:rowOff>
    </xdr:from>
    <xdr:to>
      <xdr:col>4</xdr:col>
      <xdr:colOff>2924175</xdr:colOff>
      <xdr:row>115</xdr:row>
      <xdr:rowOff>23812</xdr:rowOff>
    </xdr:to>
    <xdr:graphicFrame macro="">
      <xdr:nvGraphicFramePr>
        <xdr:cNvPr id="7" name="Gráfico 6">
          <a:extLst>
            <a:ext uri="{FF2B5EF4-FFF2-40B4-BE49-F238E27FC236}">
              <a16:creationId xmlns:a16="http://schemas.microsoft.com/office/drawing/2014/main" id="{434E7CF2-E293-495D-977B-23F2C2475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142875</xdr:colOff>
      <xdr:row>122</xdr:row>
      <xdr:rowOff>123825</xdr:rowOff>
    </xdr:from>
    <xdr:to>
      <xdr:col>4</xdr:col>
      <xdr:colOff>2924175</xdr:colOff>
      <xdr:row>144</xdr:row>
      <xdr:rowOff>23812</xdr:rowOff>
    </xdr:to>
    <xdr:graphicFrame macro="">
      <xdr:nvGraphicFramePr>
        <xdr:cNvPr id="8" name="Gráfico 7">
          <a:extLst>
            <a:ext uri="{FF2B5EF4-FFF2-40B4-BE49-F238E27FC236}">
              <a16:creationId xmlns:a16="http://schemas.microsoft.com/office/drawing/2014/main" id="{2F264291-AE21-44C1-88C2-BBCD5FC20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142875</xdr:colOff>
      <xdr:row>35</xdr:row>
      <xdr:rowOff>123825</xdr:rowOff>
    </xdr:from>
    <xdr:to>
      <xdr:col>9</xdr:col>
      <xdr:colOff>2924175</xdr:colOff>
      <xdr:row>57</xdr:row>
      <xdr:rowOff>23812</xdr:rowOff>
    </xdr:to>
    <xdr:graphicFrame macro="">
      <xdr:nvGraphicFramePr>
        <xdr:cNvPr id="9" name="Gráfico 8">
          <a:extLst>
            <a:ext uri="{FF2B5EF4-FFF2-40B4-BE49-F238E27FC236}">
              <a16:creationId xmlns:a16="http://schemas.microsoft.com/office/drawing/2014/main" id="{09448985-81A0-48CE-ABF7-A73D29FF6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142875</xdr:colOff>
      <xdr:row>64</xdr:row>
      <xdr:rowOff>123825</xdr:rowOff>
    </xdr:from>
    <xdr:to>
      <xdr:col>9</xdr:col>
      <xdr:colOff>2924175</xdr:colOff>
      <xdr:row>86</xdr:row>
      <xdr:rowOff>23812</xdr:rowOff>
    </xdr:to>
    <xdr:graphicFrame macro="">
      <xdr:nvGraphicFramePr>
        <xdr:cNvPr id="11" name="Gráfico 10">
          <a:extLst>
            <a:ext uri="{FF2B5EF4-FFF2-40B4-BE49-F238E27FC236}">
              <a16:creationId xmlns:a16="http://schemas.microsoft.com/office/drawing/2014/main" id="{7EF84890-8C1E-4EEE-B91A-3CDD2C3D0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142875</xdr:colOff>
      <xdr:row>93</xdr:row>
      <xdr:rowOff>123825</xdr:rowOff>
    </xdr:from>
    <xdr:to>
      <xdr:col>9</xdr:col>
      <xdr:colOff>2924175</xdr:colOff>
      <xdr:row>115</xdr:row>
      <xdr:rowOff>23812</xdr:rowOff>
    </xdr:to>
    <xdr:graphicFrame macro="">
      <xdr:nvGraphicFramePr>
        <xdr:cNvPr id="12" name="Gráfico 11">
          <a:extLst>
            <a:ext uri="{FF2B5EF4-FFF2-40B4-BE49-F238E27FC236}">
              <a16:creationId xmlns:a16="http://schemas.microsoft.com/office/drawing/2014/main" id="{609DAE20-789C-4B49-AF6C-38390278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142875</xdr:colOff>
      <xdr:row>122</xdr:row>
      <xdr:rowOff>123825</xdr:rowOff>
    </xdr:from>
    <xdr:to>
      <xdr:col>9</xdr:col>
      <xdr:colOff>2924175</xdr:colOff>
      <xdr:row>144</xdr:row>
      <xdr:rowOff>23812</xdr:rowOff>
    </xdr:to>
    <xdr:graphicFrame macro="">
      <xdr:nvGraphicFramePr>
        <xdr:cNvPr id="13" name="Gráfico 12">
          <a:extLst>
            <a:ext uri="{FF2B5EF4-FFF2-40B4-BE49-F238E27FC236}">
              <a16:creationId xmlns:a16="http://schemas.microsoft.com/office/drawing/2014/main" id="{F9D08699-0920-4669-B27B-12D01C50B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Helman P�rez Berm�dez" id="{EFE91682-3560-431D-9895-771B567D16BC}" userId="S::h.perezbermudez@alumnos-eneb.es::f79337e6-8c54-411d-8f1d-8510fb34bdaa"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4-27T01:40:03.38" personId="{EFE91682-3560-431D-9895-771B567D16BC}" id="{F713BA37-57E6-4843-B910-943FCE505C8E}">
    <text>CDT más rentable a la fecha</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8" Type="http://schemas.openxmlformats.org/officeDocument/2006/relationships/hyperlink" Target="https://pichinchacol-my.sharepoint.com/personal/jose_oyola_pichincha_com_co/Documents/COMPUTADOR/Archivos%20de%20Microsoft%C2%A0Copilot%20Chat/901252874_Perfil%20EMIS.pdf" TargetMode="External"/><Relationship Id="rId13" Type="http://schemas.openxmlformats.org/officeDocument/2006/relationships/hyperlink" Target="https://pichinchacol-my.sharepoint.com/personal/jose_oyola_pichincha_com_co/Documents/COMPUTADOR/Archivos%20de%20Microsoft%C2%A0Copilot%20Chat/901252874_Perfil%20EMIS.pdf" TargetMode="External"/><Relationship Id="rId18" Type="http://schemas.openxmlformats.org/officeDocument/2006/relationships/hyperlink" Target="https://pichinchacol-my.sharepoint.com/personal/jose_oyola_pichincha_com_co/Documents/COMPUTADOR/Archivos%20de%20Microsoft%C2%A0Copilot%20Chat/900156896_Perfil%20EMIS.pdf" TargetMode="External"/><Relationship Id="rId3" Type="http://schemas.openxmlformats.org/officeDocument/2006/relationships/hyperlink" Target="https://pichinchacol-my.sharepoint.com/personal/jose_oyola_pichincha_com_co/Documents/COMPUTADOR/Archivos%20de%20Microsoft%C2%A0Copilot%20Chat/901913314_Perfil%20EMIS.pdf" TargetMode="External"/><Relationship Id="rId21" Type="http://schemas.openxmlformats.org/officeDocument/2006/relationships/hyperlink" Target="https://bogota.infoisinfo.com.co/busqueda/marketing" TargetMode="External"/><Relationship Id="rId7" Type="http://schemas.openxmlformats.org/officeDocument/2006/relationships/hyperlink" Target="https://pichinchacol-my.sharepoint.com/personal/jose_oyola_pichincha_com_co/Documents/COMPUTADOR/Archivos%20de%20Microsoft%C2%A0Copilot%20Chat/901913314_Perfil%20EMIS.pdf" TargetMode="External"/><Relationship Id="rId12" Type="http://schemas.openxmlformats.org/officeDocument/2006/relationships/hyperlink" Target="https://pichinchacol-my.sharepoint.com/personal/jose_oyola_pichincha_com_co/Documents/COMPUTADOR/Archivos%20de%20Microsoft%C2%A0Copilot%20Chat/901252874_Perfil%20EMIS.pdf" TargetMode="External"/><Relationship Id="rId17" Type="http://schemas.openxmlformats.org/officeDocument/2006/relationships/hyperlink" Target="https://pichinchacol-my.sharepoint.com/personal/jose_oyola_pichincha_com_co/Documents/COMPUTADOR/Archivos%20de%20Microsoft%C2%A0Copilot%20Chat/900156896_Perfil%20EMIS.pdf" TargetMode="External"/><Relationship Id="rId2" Type="http://schemas.openxmlformats.org/officeDocument/2006/relationships/hyperlink" Target="https://pichinchacol-my.sharepoint.com/personal/jose_oyola_pichincha_com_co/Documents/COMPUTADOR/Archivos%20de%20Microsoft%C2%A0Copilot%20Chat/901913314_Perfil%20EMIS.pdf" TargetMode="External"/><Relationship Id="rId16" Type="http://schemas.openxmlformats.org/officeDocument/2006/relationships/hyperlink" Target="https://pichinchacol-my.sharepoint.com/personal/jose_oyola_pichincha_com_co/Documents/COMPUTADOR/Archivos%20de%20Microsoft%C2%A0Copilot%20Chat/900156896_Perfil%20EMIS.pdf" TargetMode="External"/><Relationship Id="rId20" Type="http://schemas.openxmlformats.org/officeDocument/2006/relationships/hyperlink" Target="https://bogota.infoisinfo.com.co/busqueda/marketing" TargetMode="External"/><Relationship Id="rId1" Type="http://schemas.openxmlformats.org/officeDocument/2006/relationships/hyperlink" Target="https://pichinchacol-my.sharepoint.com/personal/jose_oyola_pichincha_com_co/Documents/COMPUTADOR/Archivos%20de%20Microsoft%C2%A0Copilot%20Chat/901913314_Perfil%20EMIS.pdf" TargetMode="External"/><Relationship Id="rId6" Type="http://schemas.openxmlformats.org/officeDocument/2006/relationships/hyperlink" Target="https://pichinchacol-my.sharepoint.com/personal/jose_oyola_pichincha_com_co/Documents/COMPUTADOR/Archivos%20de%20Microsoft%C2%A0Copilot%20Chat/901913314_Perfil%20EMIS.pdf" TargetMode="External"/><Relationship Id="rId11" Type="http://schemas.openxmlformats.org/officeDocument/2006/relationships/hyperlink" Target="https://pichinchacol-my.sharepoint.com/personal/jose_oyola_pichincha_com_co/Documents/COMPUTADOR/Archivos%20de%20Microsoft%C2%A0Copilot%20Chat/901252874_Perfil%20EMIS.pdf" TargetMode="External"/><Relationship Id="rId24" Type="http://schemas.openxmlformats.org/officeDocument/2006/relationships/hyperlink" Target="https://bogota.infoisinfo.com.co/busqueda/marketing" TargetMode="External"/><Relationship Id="rId5" Type="http://schemas.openxmlformats.org/officeDocument/2006/relationships/hyperlink" Target="https://pichinchacol-my.sharepoint.com/personal/jose_oyola_pichincha_com_co/Documents/COMPUTADOR/Archivos%20de%20Microsoft%C2%A0Copilot%20Chat/901913314_Perfil%20EMIS.pdf" TargetMode="External"/><Relationship Id="rId15" Type="http://schemas.openxmlformats.org/officeDocument/2006/relationships/hyperlink" Target="https://pichinchacol-my.sharepoint.com/personal/jose_oyola_pichincha_com_co/Documents/COMPUTADOR/Archivos%20de%20Microsoft%C2%A0Copilot%20Chat/900156896_Perfil%20EMIS.pdf" TargetMode="External"/><Relationship Id="rId23" Type="http://schemas.openxmlformats.org/officeDocument/2006/relationships/hyperlink" Target="https://bogota.infoisinfo.com.co/busqueda/marketing" TargetMode="External"/><Relationship Id="rId10" Type="http://schemas.openxmlformats.org/officeDocument/2006/relationships/hyperlink" Target="https://pichinchacol-my.sharepoint.com/personal/jose_oyola_pichincha_com_co/Documents/COMPUTADOR/Archivos%20de%20Microsoft%C2%A0Copilot%20Chat/901252874_Perfil%20EMIS.pdf" TargetMode="External"/><Relationship Id="rId19" Type="http://schemas.openxmlformats.org/officeDocument/2006/relationships/hyperlink" Target="https://pichinchacol-my.sharepoint.com/personal/jose_oyola_pichincha_com_co/Documents/COMPUTADOR/Archivos%20de%20Microsoft%C2%A0Copilot%20Chat/900156896_Perfil%20EMIS.pdf" TargetMode="External"/><Relationship Id="rId4" Type="http://schemas.openxmlformats.org/officeDocument/2006/relationships/hyperlink" Target="https://pichinchacol-my.sharepoint.com/personal/jose_oyola_pichincha_com_co/Documents/COMPUTADOR/Archivos%20de%20Microsoft%C2%A0Copilot%20Chat/901913314_Perfil%20EMIS.pdf" TargetMode="External"/><Relationship Id="rId9" Type="http://schemas.openxmlformats.org/officeDocument/2006/relationships/hyperlink" Target="https://pichinchacol-my.sharepoint.com/personal/jose_oyola_pichincha_com_co/Documents/COMPUTADOR/Archivos%20de%20Microsoft%C2%A0Copilot%20Chat/901252874_Perfil%20EMIS.pdf" TargetMode="External"/><Relationship Id="rId14" Type="http://schemas.openxmlformats.org/officeDocument/2006/relationships/hyperlink" Target="https://pichinchacol-my.sharepoint.com/personal/jose_oyola_pichincha_com_co/Documents/COMPUTADOR/Archivos%20de%20Microsoft%C2%A0Copilot%20Chat/900156896_Perfil%20EMIS.pdf" TargetMode="External"/><Relationship Id="rId22" Type="http://schemas.openxmlformats.org/officeDocument/2006/relationships/hyperlink" Target="https://bogota.infoisinfo.com.co/busqueda/marketing"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AH1000"/>
  <sheetViews>
    <sheetView showGridLines="0" tabSelected="1" topLeftCell="O24" zoomScale="85" zoomScaleNormal="85" workbookViewId="0">
      <selection activeCell="AE25" sqref="AE25"/>
    </sheetView>
  </sheetViews>
  <sheetFormatPr baseColWidth="10" defaultColWidth="14.42578125" defaultRowHeight="15" customHeight="1"/>
  <cols>
    <col min="1" max="1" width="3.7109375" customWidth="1"/>
    <col min="2" max="2" width="28.7109375" bestFit="1" customWidth="1"/>
    <col min="3" max="3" width="13.42578125" bestFit="1" customWidth="1"/>
    <col min="4" max="4" width="5.28515625" customWidth="1"/>
    <col min="5" max="5" width="36.140625" bestFit="1" customWidth="1"/>
    <col min="6" max="6" width="15.5703125" customWidth="1"/>
    <col min="7" max="7" width="4.5703125" customWidth="1"/>
    <col min="8" max="8" width="12.42578125" bestFit="1" customWidth="1"/>
    <col min="9" max="9" width="16.140625" bestFit="1" customWidth="1"/>
    <col min="10" max="10" width="20.28515625" bestFit="1" customWidth="1"/>
    <col min="11" max="11" width="17.28515625" bestFit="1" customWidth="1"/>
    <col min="12" max="12" width="15" bestFit="1" customWidth="1"/>
    <col min="13" max="13" width="15.5703125" customWidth="1"/>
    <col min="14" max="14" width="23.42578125" bestFit="1" customWidth="1"/>
    <col min="15" max="15" width="12.42578125" bestFit="1" customWidth="1"/>
    <col min="16" max="16" width="18.140625" bestFit="1" customWidth="1"/>
    <col min="17" max="17" width="26" bestFit="1" customWidth="1"/>
    <col min="18" max="18" width="16.140625" bestFit="1" customWidth="1"/>
    <col min="19" max="19" width="15.5703125" customWidth="1"/>
    <col min="20" max="20" width="14.42578125" bestFit="1" customWidth="1"/>
    <col min="21" max="21" width="15.5703125" customWidth="1"/>
    <col min="22" max="22" width="16.140625" bestFit="1" customWidth="1"/>
    <col min="23" max="23" width="22.140625" bestFit="1" customWidth="1"/>
    <col min="24" max="24" width="6.140625" customWidth="1"/>
    <col min="25" max="25" width="28.28515625" bestFit="1" customWidth="1"/>
    <col min="26" max="26" width="14" bestFit="1" customWidth="1"/>
    <col min="27" max="34" width="13.42578125" bestFit="1" customWidth="1"/>
  </cols>
  <sheetData>
    <row r="1" spans="2:34" ht="14.25" customHeight="1">
      <c r="C1" s="1"/>
      <c r="F1" s="1"/>
      <c r="I1" s="2"/>
    </row>
    <row r="2" spans="2:34" ht="14.25" customHeight="1">
      <c r="B2" s="123" t="s">
        <v>0</v>
      </c>
      <c r="C2" s="124"/>
      <c r="E2" s="3" t="s">
        <v>1</v>
      </c>
      <c r="F2" s="4">
        <f>C9*0.4</f>
        <v>21735329</v>
      </c>
      <c r="H2" s="5" t="s">
        <v>2</v>
      </c>
      <c r="I2" s="6" t="s">
        <v>3</v>
      </c>
      <c r="J2" s="7" t="s">
        <v>4</v>
      </c>
      <c r="K2" s="7" t="s">
        <v>5</v>
      </c>
      <c r="L2" s="5" t="s">
        <v>6</v>
      </c>
      <c r="M2" s="5" t="s">
        <v>7</v>
      </c>
      <c r="N2" s="8" t="s">
        <v>8</v>
      </c>
      <c r="O2" s="5" t="s">
        <v>9</v>
      </c>
      <c r="P2" s="5" t="s">
        <v>10</v>
      </c>
      <c r="Q2" s="8" t="s">
        <v>11</v>
      </c>
      <c r="R2" s="8" t="s">
        <v>12</v>
      </c>
      <c r="S2" s="5" t="s">
        <v>13</v>
      </c>
      <c r="T2" s="5" t="s">
        <v>14</v>
      </c>
      <c r="U2" s="5" t="s">
        <v>15</v>
      </c>
      <c r="V2" s="5" t="s">
        <v>16</v>
      </c>
      <c r="W2" s="7" t="s">
        <v>17</v>
      </c>
      <c r="Y2" s="125" t="s">
        <v>18</v>
      </c>
      <c r="Z2" s="126"/>
      <c r="AA2" s="126"/>
      <c r="AB2" s="124"/>
      <c r="AC2" s="9"/>
      <c r="AD2" s="9"/>
      <c r="AE2" s="9"/>
      <c r="AF2" s="9"/>
      <c r="AG2" s="9"/>
      <c r="AH2" s="9"/>
    </row>
    <row r="3" spans="2:34" ht="14.25" customHeight="1">
      <c r="B3" s="10" t="s">
        <v>19</v>
      </c>
      <c r="C3" s="11">
        <f>0.075*C8</f>
        <v>1890622.5000000005</v>
      </c>
      <c r="F3" s="12"/>
      <c r="H3" s="13">
        <v>34</v>
      </c>
      <c r="I3" s="14">
        <f t="shared" ref="I3:I13" si="0">$C$56+H3*$C$59</f>
        <v>26551300.000000007</v>
      </c>
      <c r="J3" s="14">
        <f t="shared" ref="J3:J13" si="1">I3/H3</f>
        <v>780920.58823529433</v>
      </c>
      <c r="K3" s="14">
        <f t="shared" ref="K3:K13" si="2">$C$61*H3-I3</f>
        <v>308699.99999999255</v>
      </c>
      <c r="L3" s="15">
        <f t="shared" ref="L3:L13" si="3">(K3)/I3</f>
        <v>1.1626549359164804E-2</v>
      </c>
      <c r="M3" s="16">
        <f t="shared" ref="M3:M13" si="4">I3*(1+L3)/H3</f>
        <v>790000</v>
      </c>
      <c r="N3" s="17">
        <f t="shared" ref="N3:N13" si="5">K3-$F$9</f>
        <v>-788383.50385809643</v>
      </c>
      <c r="O3" s="18">
        <f t="shared" ref="O3:O13" si="6">(N3)/(I3+$F$9)</f>
        <v>-2.8514632826475522E-2</v>
      </c>
      <c r="P3" s="19">
        <f t="shared" ref="P3:P13" si="7">(I3+$F$9)*(O3+1)/H3</f>
        <v>790000</v>
      </c>
      <c r="Q3" s="20">
        <f t="shared" ref="Q3:Q13" si="8">N3*(1-$F$42)</f>
        <v>-512449.27750776272</v>
      </c>
      <c r="R3" s="19">
        <f t="shared" ref="R3:R13" si="9">$F$42*N3</f>
        <v>-275934.22635033372</v>
      </c>
      <c r="S3" s="18">
        <f t="shared" ref="S3:S13" si="10">Q3/(I3+$F$9+R3)</f>
        <v>-1.8721352711715419E-2</v>
      </c>
      <c r="T3" s="19">
        <f t="shared" ref="T3:T13" si="11">((I3+$F$9)*(1-$F$42))*(S3+1)/(H3*((1-$F$42)-S3*$F$42))</f>
        <v>790000</v>
      </c>
      <c r="U3" s="21">
        <f t="shared" ref="U3:U13" si="12">($C$61-J3)/$C$61</f>
        <v>1.1492926284437557E-2</v>
      </c>
      <c r="V3" s="19">
        <f t="shared" ref="V3:V13" si="13">I3/(H3*(1-U3))</f>
        <v>790000</v>
      </c>
      <c r="W3" s="22">
        <f t="shared" ref="W3:W13" si="14">$C$9/K3</f>
        <v>176.02307256236253</v>
      </c>
      <c r="Y3" s="23" t="s">
        <v>22</v>
      </c>
      <c r="Z3" s="23" t="s">
        <v>23</v>
      </c>
      <c r="AA3" s="23" t="s">
        <v>24</v>
      </c>
      <c r="AB3" s="23" t="s">
        <v>25</v>
      </c>
      <c r="AC3" s="9"/>
      <c r="AD3" s="9"/>
      <c r="AE3" s="9"/>
      <c r="AF3" s="9"/>
      <c r="AG3" s="9"/>
      <c r="AH3" s="9"/>
    </row>
    <row r="4" spans="2:34" ht="14.25" customHeight="1">
      <c r="B4" s="10" t="s">
        <v>26</v>
      </c>
      <c r="C4" s="11">
        <f>24220+8477*53795200/1000000</f>
        <v>480241.91039999999</v>
      </c>
      <c r="E4" s="123" t="s">
        <v>27</v>
      </c>
      <c r="F4" s="124"/>
      <c r="H4" s="13">
        <v>35</v>
      </c>
      <c r="I4" s="14">
        <f t="shared" si="0"/>
        <v>26590800.000000007</v>
      </c>
      <c r="J4" s="14">
        <f t="shared" si="1"/>
        <v>759737.14285714307</v>
      </c>
      <c r="K4" s="14">
        <f t="shared" si="2"/>
        <v>1059199.9999999925</v>
      </c>
      <c r="L4" s="15">
        <f t="shared" si="3"/>
        <v>3.9833325811934661E-2</v>
      </c>
      <c r="M4" s="16">
        <f t="shared" si="4"/>
        <v>789999.99999999988</v>
      </c>
      <c r="N4" s="17">
        <f t="shared" si="5"/>
        <v>-37883.503858096432</v>
      </c>
      <c r="O4" s="18">
        <f t="shared" si="6"/>
        <v>-1.3682340093932298E-3</v>
      </c>
      <c r="P4" s="19">
        <f t="shared" si="7"/>
        <v>790000</v>
      </c>
      <c r="Q4" s="20">
        <f t="shared" si="8"/>
        <v>-24624.277507762683</v>
      </c>
      <c r="R4" s="19">
        <f t="shared" si="9"/>
        <v>-13259.226350333751</v>
      </c>
      <c r="S4" s="18">
        <f t="shared" si="10"/>
        <v>-8.8977820478581117E-4</v>
      </c>
      <c r="T4" s="19">
        <f t="shared" si="11"/>
        <v>790000</v>
      </c>
      <c r="U4" s="21">
        <f t="shared" si="12"/>
        <v>3.8307414104882184E-2</v>
      </c>
      <c r="V4" s="19">
        <f t="shared" si="13"/>
        <v>789999.99999999988</v>
      </c>
      <c r="W4" s="22">
        <f t="shared" si="14"/>
        <v>51.301286348187674</v>
      </c>
      <c r="Y4" s="25" t="s">
        <v>28</v>
      </c>
      <c r="Z4" s="26">
        <f>C5</f>
        <v>26039400</v>
      </c>
      <c r="AA4" s="26">
        <f t="shared" ref="AA4:AA6" si="15">Z4/1.19</f>
        <v>21881848.739495799</v>
      </c>
      <c r="AB4" s="26">
        <f t="shared" ref="AB4:AB6" si="16">Z4-AA4</f>
        <v>4157551.2605042011</v>
      </c>
      <c r="AC4" s="9"/>
      <c r="AD4" s="9"/>
      <c r="AE4" s="9"/>
      <c r="AF4" s="9"/>
      <c r="AG4" s="9"/>
      <c r="AH4" s="9"/>
    </row>
    <row r="5" spans="2:34" ht="14.25" customHeight="1">
      <c r="B5" s="27" t="s">
        <v>29</v>
      </c>
      <c r="C5" s="11">
        <f>4339900*6</f>
        <v>26039400</v>
      </c>
      <c r="E5" s="27" t="s">
        <v>30</v>
      </c>
      <c r="F5" s="28">
        <f>C9*0.6</f>
        <v>32602993.5</v>
      </c>
      <c r="H5" s="13">
        <v>36</v>
      </c>
      <c r="I5" s="14">
        <f t="shared" si="0"/>
        <v>26630300.000000007</v>
      </c>
      <c r="J5" s="14">
        <f t="shared" si="1"/>
        <v>739730.55555555574</v>
      </c>
      <c r="K5" s="14">
        <f t="shared" si="2"/>
        <v>1809699.9999999925</v>
      </c>
      <c r="L5" s="15">
        <f t="shared" si="3"/>
        <v>6.7956425575378121E-2</v>
      </c>
      <c r="M5" s="16">
        <f t="shared" si="4"/>
        <v>790000</v>
      </c>
      <c r="N5" s="17">
        <f t="shared" si="5"/>
        <v>712616.49614190357</v>
      </c>
      <c r="O5" s="18">
        <f t="shared" si="6"/>
        <v>2.5700820131216034E-2</v>
      </c>
      <c r="P5" s="19">
        <f t="shared" si="7"/>
        <v>790000.00000000012</v>
      </c>
      <c r="Q5" s="20">
        <f t="shared" si="8"/>
        <v>463200.72249223734</v>
      </c>
      <c r="R5" s="19">
        <f t="shared" si="9"/>
        <v>249415.77364966623</v>
      </c>
      <c r="S5" s="18">
        <f t="shared" si="10"/>
        <v>1.6556601700489459E-2</v>
      </c>
      <c r="T5" s="19">
        <f t="shared" si="11"/>
        <v>789999.99999999988</v>
      </c>
      <c r="U5" s="21">
        <f t="shared" si="12"/>
        <v>6.3632208157524378E-2</v>
      </c>
      <c r="V5" s="19">
        <f t="shared" si="13"/>
        <v>790000</v>
      </c>
      <c r="W5" s="22">
        <f t="shared" si="14"/>
        <v>30.026149361772791</v>
      </c>
      <c r="Y5" s="25" t="s">
        <v>31</v>
      </c>
      <c r="Z5" s="26">
        <f>C6</f>
        <v>150000</v>
      </c>
      <c r="AA5" s="26">
        <f t="shared" si="15"/>
        <v>126050.42016806723</v>
      </c>
      <c r="AB5" s="26">
        <f t="shared" si="16"/>
        <v>23949.579831932773</v>
      </c>
      <c r="AC5" s="9"/>
      <c r="AD5" s="9"/>
      <c r="AE5" s="9"/>
      <c r="AF5" s="9"/>
      <c r="AG5" s="9"/>
      <c r="AH5" s="9"/>
    </row>
    <row r="6" spans="2:34" ht="14.25" customHeight="1">
      <c r="B6" s="27" t="s">
        <v>32</v>
      </c>
      <c r="C6" s="11">
        <f>25000*6</f>
        <v>150000</v>
      </c>
      <c r="E6" s="27" t="s">
        <v>33</v>
      </c>
      <c r="F6" s="29">
        <v>0.13700000000000001</v>
      </c>
      <c r="H6" s="13">
        <v>37</v>
      </c>
      <c r="I6" s="14">
        <f t="shared" si="0"/>
        <v>26669800.000000007</v>
      </c>
      <c r="J6" s="14">
        <f t="shared" si="1"/>
        <v>720805.40540540556</v>
      </c>
      <c r="K6" s="14">
        <f t="shared" si="2"/>
        <v>2560199.9999999925</v>
      </c>
      <c r="L6" s="15">
        <f t="shared" si="3"/>
        <v>9.5996220444097516E-2</v>
      </c>
      <c r="M6" s="16">
        <f t="shared" si="4"/>
        <v>790000.00000000012</v>
      </c>
      <c r="N6" s="17">
        <f t="shared" si="5"/>
        <v>1463116.4961419036</v>
      </c>
      <c r="O6" s="18">
        <f t="shared" si="6"/>
        <v>5.2692859677198181E-2</v>
      </c>
      <c r="P6" s="19">
        <f t="shared" si="7"/>
        <v>790000.00000000012</v>
      </c>
      <c r="Q6" s="20">
        <f t="shared" si="8"/>
        <v>951025.72249223734</v>
      </c>
      <c r="R6" s="19">
        <f t="shared" si="9"/>
        <v>512090.77364966623</v>
      </c>
      <c r="S6" s="18">
        <f t="shared" si="10"/>
        <v>3.3630134995690217E-2</v>
      </c>
      <c r="T6" s="19">
        <f t="shared" si="11"/>
        <v>790000</v>
      </c>
      <c r="U6" s="21">
        <f t="shared" si="12"/>
        <v>8.7588094423537266E-2</v>
      </c>
      <c r="V6" s="19">
        <f t="shared" si="13"/>
        <v>790000</v>
      </c>
      <c r="W6" s="22">
        <f t="shared" si="14"/>
        <v>21.224249082103022</v>
      </c>
      <c r="Y6" s="25" t="s">
        <v>34</v>
      </c>
      <c r="Z6" s="26">
        <f>C7</f>
        <v>1050000</v>
      </c>
      <c r="AA6" s="26">
        <f t="shared" si="15"/>
        <v>882352.9411764706</v>
      </c>
      <c r="AB6" s="26">
        <f t="shared" si="16"/>
        <v>167647.0588235294</v>
      </c>
      <c r="AC6" s="9"/>
      <c r="AD6" s="9"/>
      <c r="AE6" s="9"/>
      <c r="AF6" s="9"/>
      <c r="AG6" s="9"/>
      <c r="AH6" s="9"/>
    </row>
    <row r="7" spans="2:34" ht="14.25" customHeight="1">
      <c r="B7" s="27" t="s">
        <v>35</v>
      </c>
      <c r="C7" s="11">
        <f>350000*3</f>
        <v>1050000</v>
      </c>
      <c r="E7" s="27" t="s">
        <v>36</v>
      </c>
      <c r="F7" s="29">
        <f>(1+F6)^(1/12)-1</f>
        <v>1.0756878202714981E-2</v>
      </c>
      <c r="H7" s="13">
        <v>38</v>
      </c>
      <c r="I7" s="14">
        <f t="shared" si="0"/>
        <v>26709300.000000007</v>
      </c>
      <c r="J7" s="14">
        <f t="shared" si="1"/>
        <v>702876.31578947383</v>
      </c>
      <c r="K7" s="14">
        <f t="shared" si="2"/>
        <v>3310699.9999999925</v>
      </c>
      <c r="L7" s="15">
        <f t="shared" si="3"/>
        <v>0.12395308001332837</v>
      </c>
      <c r="M7" s="16">
        <f t="shared" si="4"/>
        <v>790000</v>
      </c>
      <c r="N7" s="17">
        <f t="shared" si="5"/>
        <v>2213616.4961419036</v>
      </c>
      <c r="O7" s="18">
        <f t="shared" si="6"/>
        <v>7.960821283482504E-2</v>
      </c>
      <c r="P7" s="19">
        <f t="shared" si="7"/>
        <v>790000</v>
      </c>
      <c r="Q7" s="20">
        <f t="shared" si="8"/>
        <v>1438850.7224922373</v>
      </c>
      <c r="R7" s="19">
        <f t="shared" si="9"/>
        <v>774765.77364966623</v>
      </c>
      <c r="S7" s="18">
        <f t="shared" si="10"/>
        <v>5.0342647474451142E-2</v>
      </c>
      <c r="T7" s="19">
        <f t="shared" si="11"/>
        <v>790000</v>
      </c>
      <c r="U7" s="21">
        <f t="shared" si="12"/>
        <v>0.1102831445702863</v>
      </c>
      <c r="V7" s="19">
        <f t="shared" si="13"/>
        <v>790000.00000000012</v>
      </c>
      <c r="W7" s="22">
        <f t="shared" si="14"/>
        <v>16.412940616788028</v>
      </c>
      <c r="Y7" s="25" t="s">
        <v>37</v>
      </c>
      <c r="Z7" s="26">
        <f t="shared" ref="Z7:AB7" si="17">SUM(Z4:Z6)</f>
        <v>27239400</v>
      </c>
      <c r="AA7" s="26">
        <f t="shared" si="17"/>
        <v>22890252.100840338</v>
      </c>
      <c r="AB7" s="26">
        <f t="shared" si="17"/>
        <v>4349147.8991596634</v>
      </c>
      <c r="AC7" s="9"/>
      <c r="AD7" s="9"/>
      <c r="AE7" s="9"/>
      <c r="AF7" s="9"/>
      <c r="AG7" s="9"/>
      <c r="AH7" s="9"/>
    </row>
    <row r="8" spans="2:34" ht="14.25" customHeight="1">
      <c r="B8" s="27" t="s">
        <v>38</v>
      </c>
      <c r="C8" s="11">
        <f>C56</f>
        <v>25208300.000000007</v>
      </c>
      <c r="E8" s="27" t="s">
        <v>39</v>
      </c>
      <c r="F8" s="30">
        <v>36</v>
      </c>
      <c r="H8" s="13">
        <v>39</v>
      </c>
      <c r="I8" s="14">
        <f t="shared" si="0"/>
        <v>26748800.000000007</v>
      </c>
      <c r="J8" s="14">
        <f t="shared" si="1"/>
        <v>685866.66666666686</v>
      </c>
      <c r="K8" s="14">
        <f t="shared" si="2"/>
        <v>4061199.9999999925</v>
      </c>
      <c r="L8" s="15">
        <f t="shared" si="3"/>
        <v>0.15182737169517851</v>
      </c>
      <c r="M8" s="16">
        <f t="shared" si="4"/>
        <v>790000</v>
      </c>
      <c r="N8" s="17">
        <f t="shared" si="5"/>
        <v>2964116.4961419036</v>
      </c>
      <c r="O8" s="18">
        <f t="shared" si="6"/>
        <v>0.10644720594809713</v>
      </c>
      <c r="P8" s="19">
        <f t="shared" si="7"/>
        <v>790000.00000000012</v>
      </c>
      <c r="Q8" s="20">
        <f t="shared" si="8"/>
        <v>1926675.7224922373</v>
      </c>
      <c r="R8" s="19">
        <f t="shared" si="9"/>
        <v>1037440.7736496662</v>
      </c>
      <c r="S8" s="18">
        <f t="shared" si="10"/>
        <v>6.6705470048424878E-2</v>
      </c>
      <c r="T8" s="19">
        <f t="shared" si="11"/>
        <v>790000</v>
      </c>
      <c r="U8" s="21">
        <f t="shared" si="12"/>
        <v>0.13181434599156094</v>
      </c>
      <c r="V8" s="19">
        <f t="shared" si="13"/>
        <v>790000</v>
      </c>
      <c r="W8" s="22">
        <f t="shared" si="14"/>
        <v>13.379868634886265</v>
      </c>
      <c r="Y8" s="9"/>
      <c r="Z8" s="9"/>
      <c r="AA8" s="9"/>
      <c r="AB8" s="9"/>
      <c r="AC8" s="9"/>
      <c r="AD8" s="9"/>
      <c r="AE8" s="9"/>
      <c r="AF8" s="9"/>
      <c r="AG8" s="9"/>
      <c r="AH8" s="9"/>
    </row>
    <row r="9" spans="2:34" ht="14.25" customHeight="1">
      <c r="B9" s="27" t="s">
        <v>40</v>
      </c>
      <c r="C9" s="11">
        <f>SUM(C3:C8)-C4</f>
        <v>54338322.5</v>
      </c>
      <c r="D9" s="1"/>
      <c r="E9" s="27" t="s">
        <v>41</v>
      </c>
      <c r="F9" s="31">
        <f>PMT(F7,F8,-F5)</f>
        <v>1097083.503858089</v>
      </c>
      <c r="H9" s="13">
        <v>40</v>
      </c>
      <c r="I9" s="14">
        <f t="shared" si="0"/>
        <v>26788300.000000007</v>
      </c>
      <c r="J9" s="14">
        <f t="shared" si="1"/>
        <v>669707.50000000023</v>
      </c>
      <c r="K9" s="14">
        <f t="shared" si="2"/>
        <v>4811699.9999999925</v>
      </c>
      <c r="L9" s="15">
        <f t="shared" si="3"/>
        <v>0.1796194607347234</v>
      </c>
      <c r="M9" s="16">
        <f t="shared" si="4"/>
        <v>790000</v>
      </c>
      <c r="N9" s="17">
        <f t="shared" si="5"/>
        <v>3714616.4961419036</v>
      </c>
      <c r="O9" s="18">
        <f t="shared" si="6"/>
        <v>0.13321016351193327</v>
      </c>
      <c r="P9" s="19">
        <f t="shared" si="7"/>
        <v>790000.00000000012</v>
      </c>
      <c r="Q9" s="20">
        <f t="shared" si="8"/>
        <v>2414500.7224922376</v>
      </c>
      <c r="R9" s="19">
        <f t="shared" si="9"/>
        <v>1300115.7736496662</v>
      </c>
      <c r="S9" s="18">
        <f t="shared" si="10"/>
        <v>8.2729464366333744E-2</v>
      </c>
      <c r="T9" s="19">
        <f t="shared" si="11"/>
        <v>790000</v>
      </c>
      <c r="U9" s="21">
        <f t="shared" si="12"/>
        <v>0.15226898734177186</v>
      </c>
      <c r="V9" s="19">
        <f t="shared" si="13"/>
        <v>789999.99999999988</v>
      </c>
      <c r="W9" s="22">
        <f t="shared" si="14"/>
        <v>11.292957270819063</v>
      </c>
      <c r="Y9" s="9"/>
      <c r="Z9" s="9"/>
      <c r="AA9" s="9"/>
      <c r="AB9" s="9"/>
      <c r="AC9" s="9"/>
      <c r="AD9" s="9"/>
      <c r="AE9" s="9"/>
      <c r="AF9" s="9"/>
      <c r="AG9" s="9"/>
      <c r="AH9" s="9"/>
    </row>
    <row r="10" spans="2:34" ht="14.25" customHeight="1">
      <c r="C10" s="32"/>
      <c r="E10" s="27" t="s">
        <v>42</v>
      </c>
      <c r="F10" s="31">
        <f>F9*F8</f>
        <v>39495006.138891205</v>
      </c>
      <c r="H10" s="13">
        <v>41</v>
      </c>
      <c r="I10" s="14">
        <f t="shared" si="0"/>
        <v>26827800.000000007</v>
      </c>
      <c r="J10" s="14">
        <f t="shared" si="1"/>
        <v>654336.58536585385</v>
      </c>
      <c r="K10" s="14">
        <f t="shared" si="2"/>
        <v>5562199.9999999925</v>
      </c>
      <c r="L10" s="15">
        <f t="shared" si="3"/>
        <v>0.20732971022595931</v>
      </c>
      <c r="M10" s="16">
        <f t="shared" si="4"/>
        <v>790000</v>
      </c>
      <c r="N10" s="17">
        <f t="shared" si="5"/>
        <v>4465116.4961419031</v>
      </c>
      <c r="O10" s="18">
        <f t="shared" si="6"/>
        <v>0.15989740818524822</v>
      </c>
      <c r="P10" s="19">
        <f t="shared" si="7"/>
        <v>790000</v>
      </c>
      <c r="Q10" s="20">
        <f t="shared" si="8"/>
        <v>2902325.7224922371</v>
      </c>
      <c r="R10" s="19">
        <f t="shared" si="9"/>
        <v>1562790.773649666</v>
      </c>
      <c r="S10" s="18">
        <f t="shared" si="10"/>
        <v>9.8425046857833626E-2</v>
      </c>
      <c r="T10" s="19">
        <f t="shared" si="11"/>
        <v>789999.99999999988</v>
      </c>
      <c r="U10" s="21">
        <f t="shared" si="12"/>
        <v>0.17172584130904575</v>
      </c>
      <c r="V10" s="19">
        <f t="shared" si="13"/>
        <v>790000</v>
      </c>
      <c r="W10" s="22">
        <f t="shared" si="14"/>
        <v>9.7692140699723264</v>
      </c>
      <c r="Y10" s="125" t="s">
        <v>43</v>
      </c>
      <c r="Z10" s="126"/>
      <c r="AA10" s="126"/>
      <c r="AB10" s="126"/>
      <c r="AC10" s="126"/>
      <c r="AD10" s="126"/>
      <c r="AE10" s="126"/>
      <c r="AF10" s="126"/>
      <c r="AG10" s="126"/>
      <c r="AH10" s="124"/>
    </row>
    <row r="11" spans="2:34" ht="14.25" customHeight="1">
      <c r="B11" s="129" t="s">
        <v>44</v>
      </c>
      <c r="C11" s="124"/>
      <c r="F11" s="1"/>
      <c r="H11" s="13">
        <v>42</v>
      </c>
      <c r="I11" s="14">
        <f t="shared" si="0"/>
        <v>26867300.000000007</v>
      </c>
      <c r="J11" s="14">
        <f t="shared" si="1"/>
        <v>639697.61904761917</v>
      </c>
      <c r="K11" s="14">
        <f t="shared" si="2"/>
        <v>6312699.9999999925</v>
      </c>
      <c r="L11" s="15">
        <f t="shared" si="3"/>
        <v>0.23495848112761575</v>
      </c>
      <c r="M11" s="16">
        <f t="shared" si="4"/>
        <v>790000</v>
      </c>
      <c r="N11" s="17">
        <f t="shared" si="5"/>
        <v>5215616.4961419031</v>
      </c>
      <c r="O11" s="18">
        <f t="shared" si="6"/>
        <v>0.18650926080391983</v>
      </c>
      <c r="P11" s="19">
        <f t="shared" si="7"/>
        <v>790000</v>
      </c>
      <c r="Q11" s="20">
        <f t="shared" si="8"/>
        <v>3390150.7224922371</v>
      </c>
      <c r="R11" s="19">
        <f t="shared" si="9"/>
        <v>1825465.773649666</v>
      </c>
      <c r="S11" s="18">
        <f t="shared" si="10"/>
        <v>0.11380221131403653</v>
      </c>
      <c r="T11" s="19">
        <f t="shared" si="11"/>
        <v>789999.99999999988</v>
      </c>
      <c r="U11" s="21">
        <f t="shared" si="12"/>
        <v>0.19025617842073522</v>
      </c>
      <c r="V11" s="19">
        <f t="shared" si="13"/>
        <v>790000</v>
      </c>
      <c r="W11" s="22">
        <f t="shared" si="14"/>
        <v>8.6077783674180726</v>
      </c>
      <c r="Y11" s="23" t="s">
        <v>22</v>
      </c>
      <c r="Z11" s="23" t="s">
        <v>45</v>
      </c>
      <c r="AA11" s="23" t="s">
        <v>46</v>
      </c>
      <c r="AB11" s="23" t="s">
        <v>47</v>
      </c>
      <c r="AC11" s="23" t="s">
        <v>48</v>
      </c>
      <c r="AD11" s="23" t="s">
        <v>49</v>
      </c>
      <c r="AE11" s="23" t="s">
        <v>50</v>
      </c>
      <c r="AF11" s="23" t="s">
        <v>51</v>
      </c>
      <c r="AG11" s="23" t="s">
        <v>52</v>
      </c>
      <c r="AH11" s="23" t="s">
        <v>53</v>
      </c>
    </row>
    <row r="12" spans="2:34" ht="14.25" customHeight="1">
      <c r="B12" s="27" t="s">
        <v>54</v>
      </c>
      <c r="C12" s="11">
        <v>5000</v>
      </c>
      <c r="E12" s="123" t="s">
        <v>55</v>
      </c>
      <c r="F12" s="124"/>
      <c r="H12" s="13">
        <v>43</v>
      </c>
      <c r="I12" s="14">
        <f t="shared" si="0"/>
        <v>26906800.000000007</v>
      </c>
      <c r="J12" s="14">
        <f t="shared" si="1"/>
        <v>625739.53488372115</v>
      </c>
      <c r="K12" s="14">
        <f t="shared" si="2"/>
        <v>7063199.9999999925</v>
      </c>
      <c r="L12" s="15">
        <f t="shared" si="3"/>
        <v>0.2625061322788288</v>
      </c>
      <c r="M12" s="16">
        <f t="shared" si="4"/>
        <v>790000</v>
      </c>
      <c r="N12" s="17">
        <f t="shared" si="5"/>
        <v>5966116.4961419031</v>
      </c>
      <c r="O12" s="18">
        <f t="shared" si="6"/>
        <v>0.2130460403936458</v>
      </c>
      <c r="P12" s="19">
        <f t="shared" si="7"/>
        <v>790000</v>
      </c>
      <c r="Q12" s="20">
        <f t="shared" si="8"/>
        <v>3877975.7224922371</v>
      </c>
      <c r="R12" s="19">
        <f t="shared" si="9"/>
        <v>2088140.773649666</v>
      </c>
      <c r="S12" s="18">
        <f t="shared" si="10"/>
        <v>0.12887055010755205</v>
      </c>
      <c r="T12" s="19">
        <f t="shared" si="11"/>
        <v>789999.99999999988</v>
      </c>
      <c r="U12" s="21">
        <f t="shared" si="12"/>
        <v>0.20792463938769476</v>
      </c>
      <c r="V12" s="19">
        <f t="shared" si="13"/>
        <v>790000</v>
      </c>
      <c r="W12" s="22">
        <f t="shared" si="14"/>
        <v>7.6931592620908456</v>
      </c>
      <c r="Y12" s="25" t="s">
        <v>56</v>
      </c>
      <c r="Z12" s="33">
        <v>0</v>
      </c>
      <c r="AA12" s="33">
        <v>45</v>
      </c>
      <c r="AB12" s="33">
        <v>45</v>
      </c>
      <c r="AC12" s="33">
        <v>45</v>
      </c>
      <c r="AD12" s="33">
        <v>45</v>
      </c>
      <c r="AE12" s="33">
        <v>45</v>
      </c>
      <c r="AF12" s="33">
        <v>45</v>
      </c>
      <c r="AG12" s="33">
        <v>45</v>
      </c>
      <c r="AH12" s="33">
        <v>45</v>
      </c>
    </row>
    <row r="13" spans="2:34" ht="14.25" customHeight="1">
      <c r="B13" s="27" t="s">
        <v>57</v>
      </c>
      <c r="C13" s="11">
        <v>10000</v>
      </c>
      <c r="E13" s="27" t="s">
        <v>30</v>
      </c>
      <c r="F13" s="28">
        <f>C9*0.6</f>
        <v>32602993.5</v>
      </c>
      <c r="H13" s="13">
        <v>44</v>
      </c>
      <c r="I13" s="14">
        <f t="shared" si="0"/>
        <v>26946300.000000007</v>
      </c>
      <c r="J13" s="14">
        <f t="shared" si="1"/>
        <v>612415.90909090929</v>
      </c>
      <c r="K13" s="14">
        <f t="shared" si="2"/>
        <v>7813699.9999999925</v>
      </c>
      <c r="L13" s="15">
        <f t="shared" si="3"/>
        <v>0.28997302041467626</v>
      </c>
      <c r="M13" s="16">
        <f t="shared" si="4"/>
        <v>790000</v>
      </c>
      <c r="N13" s="17">
        <f t="shared" si="5"/>
        <v>6716616.4961419031</v>
      </c>
      <c r="O13" s="18">
        <f t="shared" si="6"/>
        <v>0.23950806418269244</v>
      </c>
      <c r="P13" s="19">
        <f t="shared" si="7"/>
        <v>790000</v>
      </c>
      <c r="Q13" s="20">
        <f t="shared" si="8"/>
        <v>4365800.7224922376</v>
      </c>
      <c r="R13" s="19">
        <f t="shared" si="9"/>
        <v>2350815.773649666</v>
      </c>
      <c r="S13" s="18">
        <f t="shared" si="10"/>
        <v>0.14363927414672858</v>
      </c>
      <c r="T13" s="19">
        <f t="shared" si="11"/>
        <v>789999.99999999988</v>
      </c>
      <c r="U13" s="21">
        <f t="shared" si="12"/>
        <v>0.22478998849251988</v>
      </c>
      <c r="V13" s="19">
        <f t="shared" si="13"/>
        <v>789999.99999999988</v>
      </c>
      <c r="W13" s="22">
        <f t="shared" si="14"/>
        <v>6.9542371091800366</v>
      </c>
      <c r="Y13" s="25" t="s">
        <v>58</v>
      </c>
      <c r="Z13" s="26">
        <f t="shared" ref="Z13:AH13" si="18">Z12*$C$61</f>
        <v>0</v>
      </c>
      <c r="AA13" s="26">
        <f t="shared" si="18"/>
        <v>35550000</v>
      </c>
      <c r="AB13" s="26">
        <f t="shared" si="18"/>
        <v>35550000</v>
      </c>
      <c r="AC13" s="26">
        <f t="shared" si="18"/>
        <v>35550000</v>
      </c>
      <c r="AD13" s="26">
        <f t="shared" si="18"/>
        <v>35550000</v>
      </c>
      <c r="AE13" s="26">
        <f t="shared" si="18"/>
        <v>35550000</v>
      </c>
      <c r="AF13" s="26">
        <f t="shared" si="18"/>
        <v>35550000</v>
      </c>
      <c r="AG13" s="26">
        <f t="shared" si="18"/>
        <v>35550000</v>
      </c>
      <c r="AH13" s="26">
        <f t="shared" si="18"/>
        <v>35550000</v>
      </c>
    </row>
    <row r="14" spans="2:34" ht="14.25" customHeight="1">
      <c r="B14" s="27" t="s">
        <v>59</v>
      </c>
      <c r="C14" s="11">
        <v>40000</v>
      </c>
      <c r="E14" s="27" t="s">
        <v>33</v>
      </c>
      <c r="F14" s="29">
        <v>0.34</v>
      </c>
      <c r="H14" s="5" t="s">
        <v>2</v>
      </c>
      <c r="I14" s="6" t="s">
        <v>3</v>
      </c>
      <c r="J14" s="7" t="s">
        <v>4</v>
      </c>
      <c r="K14" s="7" t="s">
        <v>5</v>
      </c>
      <c r="L14" s="5" t="s">
        <v>6</v>
      </c>
      <c r="M14" s="5" t="s">
        <v>7</v>
      </c>
      <c r="N14" s="8" t="s">
        <v>8</v>
      </c>
      <c r="O14" s="5" t="s">
        <v>9</v>
      </c>
      <c r="P14" s="5" t="s">
        <v>10</v>
      </c>
      <c r="Q14" s="8" t="s">
        <v>11</v>
      </c>
      <c r="R14" s="8" t="s">
        <v>12</v>
      </c>
      <c r="S14" s="5" t="s">
        <v>13</v>
      </c>
      <c r="T14" s="5" t="s">
        <v>14</v>
      </c>
      <c r="U14" s="5" t="s">
        <v>15</v>
      </c>
      <c r="V14" s="5" t="s">
        <v>16</v>
      </c>
      <c r="W14" s="7" t="s">
        <v>17</v>
      </c>
      <c r="Y14" s="25" t="s">
        <v>60</v>
      </c>
      <c r="Z14" s="26">
        <f t="shared" ref="Z14:AH14" si="19">$C$56</f>
        <v>25208300.000000007</v>
      </c>
      <c r="AA14" s="26">
        <f t="shared" si="19"/>
        <v>25208300.000000007</v>
      </c>
      <c r="AB14" s="26">
        <f t="shared" si="19"/>
        <v>25208300.000000007</v>
      </c>
      <c r="AC14" s="26">
        <f t="shared" si="19"/>
        <v>25208300.000000007</v>
      </c>
      <c r="AD14" s="26">
        <f t="shared" si="19"/>
        <v>25208300.000000007</v>
      </c>
      <c r="AE14" s="26">
        <f t="shared" si="19"/>
        <v>25208300.000000007</v>
      </c>
      <c r="AF14" s="26">
        <f t="shared" si="19"/>
        <v>25208300.000000007</v>
      </c>
      <c r="AG14" s="26">
        <f t="shared" si="19"/>
        <v>25208300.000000007</v>
      </c>
      <c r="AH14" s="26">
        <f t="shared" si="19"/>
        <v>25208300.000000007</v>
      </c>
    </row>
    <row r="15" spans="2:34" ht="14.25" customHeight="1">
      <c r="B15" s="27" t="s">
        <v>61</v>
      </c>
      <c r="C15" s="11">
        <v>1500000</v>
      </c>
      <c r="E15" s="27" t="s">
        <v>36</v>
      </c>
      <c r="F15" s="29">
        <f>(1+F14)^(1/12)-1</f>
        <v>2.4688982150132599E-2</v>
      </c>
      <c r="H15" s="13">
        <v>45</v>
      </c>
      <c r="I15" s="34">
        <f t="shared" ref="I15:I24" si="20">$C$56+H15*$C$59</f>
        <v>26985800.000000007</v>
      </c>
      <c r="J15" s="20">
        <f t="shared" ref="J15:J24" si="21">I15/H15</f>
        <v>599684.44444444461</v>
      </c>
      <c r="K15" s="20">
        <f t="shared" ref="K15:K24" si="22">$C$61*H15-I15</f>
        <v>8564199.9999999925</v>
      </c>
      <c r="L15" s="15">
        <f t="shared" ref="L15:L24" si="23">(K15)/I15</f>
        <v>0.3173595001815766</v>
      </c>
      <c r="M15" s="35">
        <f t="shared" ref="M15:M24" si="24">I15*(1+L15)/H15</f>
        <v>790000</v>
      </c>
      <c r="N15" s="36">
        <f t="shared" ref="N15:N24" si="25">K15-$F$9</f>
        <v>7467116.4961419031</v>
      </c>
      <c r="O15" s="18">
        <f t="shared" ref="O15:O24" si="26">(N15)/(I15+$F$9)</f>
        <v>0.26589564761453544</v>
      </c>
      <c r="P15" s="20">
        <f t="shared" ref="P15:P24" si="27">(I15+$F$9)*(O15+1)/H15</f>
        <v>790000</v>
      </c>
      <c r="Q15" s="20">
        <f t="shared" ref="Q15:Q24" si="28">N15*(1-$F$42)</f>
        <v>4853625.7224922376</v>
      </c>
      <c r="R15" s="20">
        <f t="shared" ref="R15:R24" si="29">$F$42*N15</f>
        <v>2613490.773649666</v>
      </c>
      <c r="S15" s="18">
        <f t="shared" ref="S15:S24" si="30">Q15/(I15+$F$9+R15)</f>
        <v>0.15811723165131747</v>
      </c>
      <c r="T15" s="20">
        <f t="shared" ref="T15:T24" si="31">((I15+$F$9)*(1-$F$42))*(S15+1)/(H15*((1-$F$42)-S15*$F$42))</f>
        <v>790000</v>
      </c>
      <c r="U15" s="21">
        <f t="shared" ref="U15:U24" si="32">($C$61-J15)/$C$61</f>
        <v>0.24090576652601947</v>
      </c>
      <c r="V15" s="20">
        <f t="shared" ref="V15:V24" si="33">I15/(H15*(1-U15))</f>
        <v>789999.99999999988</v>
      </c>
      <c r="W15" s="37">
        <f t="shared" ref="W15:W24" si="34">$C$9/K15</f>
        <v>6.3448217580159323</v>
      </c>
      <c r="Y15" s="25" t="s">
        <v>62</v>
      </c>
      <c r="Z15" s="26">
        <f t="shared" ref="Z15:AH15" si="35">Z12*$C$59</f>
        <v>0</v>
      </c>
      <c r="AA15" s="26">
        <f t="shared" si="35"/>
        <v>1777500</v>
      </c>
      <c r="AB15" s="26">
        <f t="shared" si="35"/>
        <v>1777500</v>
      </c>
      <c r="AC15" s="26">
        <f t="shared" si="35"/>
        <v>1777500</v>
      </c>
      <c r="AD15" s="26">
        <f t="shared" si="35"/>
        <v>1777500</v>
      </c>
      <c r="AE15" s="26">
        <f t="shared" si="35"/>
        <v>1777500</v>
      </c>
      <c r="AF15" s="26">
        <f t="shared" si="35"/>
        <v>1777500</v>
      </c>
      <c r="AG15" s="26">
        <f t="shared" si="35"/>
        <v>1777500</v>
      </c>
      <c r="AH15" s="26">
        <f t="shared" si="35"/>
        <v>1777500</v>
      </c>
    </row>
    <row r="16" spans="2:34" ht="14.25" customHeight="1">
      <c r="B16" s="123" t="s">
        <v>63</v>
      </c>
      <c r="C16" s="124"/>
      <c r="E16" s="27" t="s">
        <v>39</v>
      </c>
      <c r="F16" s="30">
        <v>36</v>
      </c>
      <c r="H16" s="13">
        <v>46</v>
      </c>
      <c r="I16" s="14">
        <f t="shared" si="20"/>
        <v>27025300.000000007</v>
      </c>
      <c r="J16" s="19">
        <f t="shared" si="21"/>
        <v>587506.52173913061</v>
      </c>
      <c r="K16" s="19">
        <f t="shared" si="22"/>
        <v>9314699.9999999925</v>
      </c>
      <c r="L16" s="15">
        <f t="shared" si="23"/>
        <v>0.34466592415255298</v>
      </c>
      <c r="M16" s="16">
        <f t="shared" si="24"/>
        <v>790000</v>
      </c>
      <c r="N16" s="17">
        <f t="shared" si="25"/>
        <v>8217616.4961419031</v>
      </c>
      <c r="O16" s="18">
        <f t="shared" si="26"/>
        <v>0.29220910436039432</v>
      </c>
      <c r="P16" s="19">
        <f t="shared" si="27"/>
        <v>790000</v>
      </c>
      <c r="Q16" s="20">
        <f t="shared" si="28"/>
        <v>5341450.7224922376</v>
      </c>
      <c r="R16" s="19">
        <f t="shared" si="29"/>
        <v>2876165.773649666</v>
      </c>
      <c r="S16" s="18">
        <f t="shared" si="30"/>
        <v>0.17231292582998201</v>
      </c>
      <c r="T16" s="19">
        <f t="shared" si="31"/>
        <v>790000</v>
      </c>
      <c r="U16" s="21">
        <f t="shared" si="32"/>
        <v>0.25632085855806253</v>
      </c>
      <c r="V16" s="19">
        <f t="shared" si="33"/>
        <v>790000</v>
      </c>
      <c r="W16" s="37">
        <f t="shared" si="34"/>
        <v>5.8336095096997269</v>
      </c>
      <c r="Y16" s="25" t="s">
        <v>64</v>
      </c>
      <c r="Z16" s="26">
        <v>0</v>
      </c>
      <c r="AA16" s="26">
        <f>L27</f>
        <v>350706.43012340821</v>
      </c>
      <c r="AB16" s="26">
        <f>L28</f>
        <v>342677.74284794542</v>
      </c>
      <c r="AC16" s="26">
        <f>L29</f>
        <v>334562.69196133281</v>
      </c>
      <c r="AD16" s="26">
        <f>L30</f>
        <v>326360.34846072405</v>
      </c>
      <c r="AE16" s="26">
        <f>L31</f>
        <v>318069.77335010242</v>
      </c>
      <c r="AF16" s="26">
        <f>L32</f>
        <v>309690.01753278542</v>
      </c>
      <c r="AG16" s="26">
        <f>L33</f>
        <v>301220.12170277297</v>
      </c>
      <c r="AH16" s="26">
        <f>L34</f>
        <v>292659.11623492744</v>
      </c>
    </row>
    <row r="17" spans="2:34" ht="14.25" customHeight="1">
      <c r="B17" s="27" t="s">
        <v>65</v>
      </c>
      <c r="C17" s="11">
        <v>9000000</v>
      </c>
      <c r="E17" s="27" t="s">
        <v>41</v>
      </c>
      <c r="F17" s="31">
        <f>PMT(F15,F16,-F13)</f>
        <v>1377392.1847235044</v>
      </c>
      <c r="H17" s="13">
        <v>47</v>
      </c>
      <c r="I17" s="14">
        <f t="shared" si="20"/>
        <v>27064800.000000007</v>
      </c>
      <c r="J17" s="19">
        <f t="shared" si="21"/>
        <v>575846.80851063842</v>
      </c>
      <c r="K17" s="19">
        <f t="shared" si="22"/>
        <v>10065199.999999993</v>
      </c>
      <c r="L17" s="15">
        <f t="shared" si="23"/>
        <v>0.37189264284236312</v>
      </c>
      <c r="M17" s="16">
        <f t="shared" si="24"/>
        <v>790000</v>
      </c>
      <c r="N17" s="17">
        <f t="shared" si="25"/>
        <v>8968116.4961419031</v>
      </c>
      <c r="O17" s="18">
        <f t="shared" si="26"/>
        <v>0.31844874633166126</v>
      </c>
      <c r="P17" s="19">
        <f t="shared" si="27"/>
        <v>790000</v>
      </c>
      <c r="Q17" s="20">
        <f t="shared" si="28"/>
        <v>5829275.7224922376</v>
      </c>
      <c r="R17" s="19">
        <f t="shared" si="29"/>
        <v>3138840.773649666</v>
      </c>
      <c r="S17" s="18">
        <f t="shared" si="30"/>
        <v>0.18623453153386194</v>
      </c>
      <c r="T17" s="19">
        <f t="shared" si="31"/>
        <v>790000</v>
      </c>
      <c r="U17" s="21">
        <f t="shared" si="32"/>
        <v>0.27107998922703996</v>
      </c>
      <c r="V17" s="19">
        <f t="shared" si="33"/>
        <v>790000</v>
      </c>
      <c r="W17" s="37">
        <f t="shared" si="34"/>
        <v>5.3986331617851651</v>
      </c>
      <c r="Y17" s="25" t="s">
        <v>66</v>
      </c>
      <c r="Z17" s="26">
        <v>0</v>
      </c>
      <c r="AA17" s="26">
        <f>M27</f>
        <v>746377.07373468077</v>
      </c>
      <c r="AB17" s="26">
        <f>M28</f>
        <v>754405.76101014356</v>
      </c>
      <c r="AC17" s="26">
        <f>M29</f>
        <v>762520.81189675617</v>
      </c>
      <c r="AD17" s="26">
        <f>M30</f>
        <v>770723.15539736487</v>
      </c>
      <c r="AE17" s="26">
        <f>M31</f>
        <v>779013.73050798662</v>
      </c>
      <c r="AF17" s="26">
        <f>M32</f>
        <v>787393.48632530356</v>
      </c>
      <c r="AG17" s="26">
        <f>M33</f>
        <v>795863.38215531595</v>
      </c>
      <c r="AH17" s="26">
        <f>M34</f>
        <v>804424.38762316154</v>
      </c>
    </row>
    <row r="18" spans="2:34" ht="14.25" customHeight="1">
      <c r="B18" s="27" t="s">
        <v>67</v>
      </c>
      <c r="C18" s="11">
        <v>750000</v>
      </c>
      <c r="E18" s="27" t="s">
        <v>42</v>
      </c>
      <c r="F18" s="31">
        <f>F17*F16</f>
        <v>49586118.650046155</v>
      </c>
      <c r="H18" s="13">
        <v>48</v>
      </c>
      <c r="I18" s="14">
        <f t="shared" si="20"/>
        <v>27104300.000000007</v>
      </c>
      <c r="J18" s="19">
        <f t="shared" si="21"/>
        <v>564672.91666666686</v>
      </c>
      <c r="K18" s="19">
        <f t="shared" si="22"/>
        <v>10815699.999999993</v>
      </c>
      <c r="L18" s="15">
        <f t="shared" si="23"/>
        <v>0.39904000472249751</v>
      </c>
      <c r="M18" s="16">
        <f t="shared" si="24"/>
        <v>790000</v>
      </c>
      <c r="N18" s="17">
        <f t="shared" si="25"/>
        <v>9718616.4961419031</v>
      </c>
      <c r="O18" s="18">
        <f t="shared" si="26"/>
        <v>0.34461488369222543</v>
      </c>
      <c r="P18" s="19">
        <f t="shared" si="27"/>
        <v>790000</v>
      </c>
      <c r="Q18" s="20">
        <f t="shared" si="28"/>
        <v>6317100.7224922376</v>
      </c>
      <c r="R18" s="19">
        <f t="shared" si="29"/>
        <v>3401515.773649666</v>
      </c>
      <c r="S18" s="18">
        <f t="shared" si="30"/>
        <v>0.19988991095472713</v>
      </c>
      <c r="T18" s="19">
        <f t="shared" si="31"/>
        <v>790000</v>
      </c>
      <c r="U18" s="21">
        <f t="shared" si="32"/>
        <v>0.28522415611814322</v>
      </c>
      <c r="V18" s="19">
        <f t="shared" si="33"/>
        <v>790000</v>
      </c>
      <c r="W18" s="37">
        <f t="shared" si="34"/>
        <v>5.0240227169762512</v>
      </c>
      <c r="Y18" s="25" t="s">
        <v>68</v>
      </c>
      <c r="Z18" s="26">
        <f t="shared" ref="Z18:AH18" si="36">Z16+Z17</f>
        <v>0</v>
      </c>
      <c r="AA18" s="26">
        <f t="shared" si="36"/>
        <v>1097083.503858089</v>
      </c>
      <c r="AB18" s="26">
        <f t="shared" si="36"/>
        <v>1097083.503858089</v>
      </c>
      <c r="AC18" s="26">
        <f t="shared" si="36"/>
        <v>1097083.503858089</v>
      </c>
      <c r="AD18" s="26">
        <f t="shared" si="36"/>
        <v>1097083.503858089</v>
      </c>
      <c r="AE18" s="26">
        <f t="shared" si="36"/>
        <v>1097083.503858089</v>
      </c>
      <c r="AF18" s="26">
        <f t="shared" si="36"/>
        <v>1097083.503858089</v>
      </c>
      <c r="AG18" s="26">
        <f t="shared" si="36"/>
        <v>1097083.503858089</v>
      </c>
      <c r="AH18" s="26">
        <f t="shared" si="36"/>
        <v>1097083.503858089</v>
      </c>
    </row>
    <row r="19" spans="2:34" ht="14.25" customHeight="1">
      <c r="B19" s="27" t="s">
        <v>69</v>
      </c>
      <c r="C19" s="11">
        <v>750000</v>
      </c>
      <c r="F19" s="1"/>
      <c r="H19" s="13">
        <v>49</v>
      </c>
      <c r="I19" s="14">
        <f t="shared" si="20"/>
        <v>27143800.000000007</v>
      </c>
      <c r="J19" s="19">
        <f t="shared" si="21"/>
        <v>553955.10204081645</v>
      </c>
      <c r="K19" s="19">
        <f t="shared" si="22"/>
        <v>11566199.999999993</v>
      </c>
      <c r="L19" s="15">
        <f t="shared" si="23"/>
        <v>0.42610835623604615</v>
      </c>
      <c r="M19" s="16">
        <f t="shared" si="24"/>
        <v>790000</v>
      </c>
      <c r="N19" s="17">
        <f t="shared" si="25"/>
        <v>10469116.496141903</v>
      </c>
      <c r="O19" s="18">
        <f t="shared" si="26"/>
        <v>0.37070782487069415</v>
      </c>
      <c r="P19" s="19">
        <f t="shared" si="27"/>
        <v>790000</v>
      </c>
      <c r="Q19" s="20">
        <f t="shared" si="28"/>
        <v>6804925.7224922376</v>
      </c>
      <c r="R19" s="19">
        <f t="shared" si="29"/>
        <v>3664190.773649666</v>
      </c>
      <c r="S19" s="18">
        <f t="shared" si="30"/>
        <v>0.21328662843106216</v>
      </c>
      <c r="T19" s="19">
        <f t="shared" si="31"/>
        <v>790000</v>
      </c>
      <c r="U19" s="21">
        <f t="shared" si="32"/>
        <v>0.29879101007491587</v>
      </c>
      <c r="V19" s="19">
        <f t="shared" si="33"/>
        <v>790000</v>
      </c>
      <c r="W19" s="37">
        <f t="shared" si="34"/>
        <v>4.6980272258823152</v>
      </c>
      <c r="Y19" s="25" t="s">
        <v>70</v>
      </c>
      <c r="Z19" s="26">
        <f t="shared" ref="Z19:AH19" si="37">Z13-Z14-Z15-Z16</f>
        <v>-25208300.000000007</v>
      </c>
      <c r="AA19" s="26">
        <f t="shared" si="37"/>
        <v>8213493.5698765842</v>
      </c>
      <c r="AB19" s="26">
        <f t="shared" si="37"/>
        <v>8221522.257152047</v>
      </c>
      <c r="AC19" s="26">
        <f t="shared" si="37"/>
        <v>8229637.3080386594</v>
      </c>
      <c r="AD19" s="26">
        <f t="shared" si="37"/>
        <v>8237839.6515392689</v>
      </c>
      <c r="AE19" s="26">
        <f t="shared" si="37"/>
        <v>8246130.2266498897</v>
      </c>
      <c r="AF19" s="26">
        <f t="shared" si="37"/>
        <v>8254509.9824672071</v>
      </c>
      <c r="AG19" s="26">
        <f t="shared" si="37"/>
        <v>8262979.87829722</v>
      </c>
      <c r="AH19" s="26">
        <f t="shared" si="37"/>
        <v>8271540.8837650651</v>
      </c>
    </row>
    <row r="20" spans="2:34" ht="14.25" customHeight="1">
      <c r="B20" s="27" t="s">
        <v>71</v>
      </c>
      <c r="C20" s="11">
        <v>750000</v>
      </c>
      <c r="E20" s="123" t="s">
        <v>72</v>
      </c>
      <c r="F20" s="124"/>
      <c r="H20" s="13">
        <v>50</v>
      </c>
      <c r="I20" s="14">
        <f t="shared" si="20"/>
        <v>27183300.000000007</v>
      </c>
      <c r="J20" s="19">
        <f t="shared" si="21"/>
        <v>543666.00000000012</v>
      </c>
      <c r="K20" s="19">
        <f t="shared" si="22"/>
        <v>12316699.999999993</v>
      </c>
      <c r="L20" s="15">
        <f t="shared" si="23"/>
        <v>0.4530980418124359</v>
      </c>
      <c r="M20" s="16">
        <f t="shared" si="24"/>
        <v>790000</v>
      </c>
      <c r="N20" s="17">
        <f t="shared" si="25"/>
        <v>11219616.496141903</v>
      </c>
      <c r="O20" s="18">
        <f t="shared" si="26"/>
        <v>0.39672787657251141</v>
      </c>
      <c r="P20" s="19">
        <f t="shared" si="27"/>
        <v>790000</v>
      </c>
      <c r="Q20" s="20">
        <f t="shared" si="28"/>
        <v>7292750.7224922376</v>
      </c>
      <c r="R20" s="19">
        <f t="shared" si="29"/>
        <v>3926865.773649666</v>
      </c>
      <c r="S20" s="18">
        <f t="shared" si="30"/>
        <v>0.22643196442066846</v>
      </c>
      <c r="T20" s="19">
        <f t="shared" si="31"/>
        <v>790000</v>
      </c>
      <c r="U20" s="21">
        <f t="shared" si="32"/>
        <v>0.31181518987341755</v>
      </c>
      <c r="V20" s="19">
        <f t="shared" si="33"/>
        <v>790000.00000000012</v>
      </c>
      <c r="W20" s="37">
        <f t="shared" si="34"/>
        <v>4.4117598463874277</v>
      </c>
      <c r="Y20" s="25" t="s">
        <v>73</v>
      </c>
      <c r="Z20" s="26">
        <v>0</v>
      </c>
      <c r="AA20" s="26">
        <v>0</v>
      </c>
      <c r="AB20" s="26">
        <v>0</v>
      </c>
      <c r="AC20" s="26">
        <v>0</v>
      </c>
      <c r="AD20" s="26">
        <v>0</v>
      </c>
      <c r="AE20" s="26">
        <v>0</v>
      </c>
      <c r="AF20" s="26">
        <v>0</v>
      </c>
      <c r="AG20" s="26">
        <v>0</v>
      </c>
      <c r="AH20" s="26">
        <f>IF(SUM(Z19:AH19)&gt;0,SUM(Z19:AH19)*$F$42,0)</f>
        <v>14255273.815225078</v>
      </c>
    </row>
    <row r="21" spans="2:34" ht="14.25" customHeight="1">
      <c r="B21" s="27" t="s">
        <v>74</v>
      </c>
      <c r="C21" s="11">
        <v>90000</v>
      </c>
      <c r="E21" s="27" t="s">
        <v>30</v>
      </c>
      <c r="F21" s="28">
        <f>C9*0.6</f>
        <v>32602993.5</v>
      </c>
      <c r="H21" s="13">
        <v>51</v>
      </c>
      <c r="I21" s="14">
        <f t="shared" si="20"/>
        <v>27222800.000000007</v>
      </c>
      <c r="J21" s="19">
        <f t="shared" si="21"/>
        <v>533780.39215686289</v>
      </c>
      <c r="K21" s="19">
        <f t="shared" si="22"/>
        <v>13067199.999999993</v>
      </c>
      <c r="L21" s="15">
        <f t="shared" si="23"/>
        <v>0.48000940388203966</v>
      </c>
      <c r="M21" s="16">
        <f t="shared" si="24"/>
        <v>790000</v>
      </c>
      <c r="N21" s="17">
        <f t="shared" si="25"/>
        <v>11970116.496141903</v>
      </c>
      <c r="O21" s="18">
        <f t="shared" si="26"/>
        <v>0.42267534379197502</v>
      </c>
      <c r="P21" s="19">
        <f t="shared" si="27"/>
        <v>790000</v>
      </c>
      <c r="Q21" s="20">
        <f t="shared" si="28"/>
        <v>7780575.7224922376</v>
      </c>
      <c r="R21" s="19">
        <f t="shared" si="29"/>
        <v>4189540.773649666</v>
      </c>
      <c r="S21" s="18">
        <f t="shared" si="30"/>
        <v>0.23933292869401476</v>
      </c>
      <c r="T21" s="19">
        <f t="shared" si="31"/>
        <v>789999.99999999988</v>
      </c>
      <c r="U21" s="21">
        <f t="shared" si="32"/>
        <v>0.32432861752295838</v>
      </c>
      <c r="V21" s="19">
        <f t="shared" si="33"/>
        <v>790000</v>
      </c>
      <c r="W21" s="37">
        <f t="shared" si="34"/>
        <v>4.1583753596791988</v>
      </c>
      <c r="Y21" s="25" t="s">
        <v>75</v>
      </c>
      <c r="Z21" s="26">
        <f t="shared" ref="Z21:AH21" si="38">Z19-Z20</f>
        <v>-25208300.000000007</v>
      </c>
      <c r="AA21" s="26">
        <f t="shared" si="38"/>
        <v>8213493.5698765842</v>
      </c>
      <c r="AB21" s="26">
        <f t="shared" si="38"/>
        <v>8221522.257152047</v>
      </c>
      <c r="AC21" s="26">
        <f t="shared" si="38"/>
        <v>8229637.3080386594</v>
      </c>
      <c r="AD21" s="26">
        <f t="shared" si="38"/>
        <v>8237839.6515392689</v>
      </c>
      <c r="AE21" s="26">
        <f t="shared" si="38"/>
        <v>8246130.2266498897</v>
      </c>
      <c r="AF21" s="26">
        <f t="shared" si="38"/>
        <v>8254509.9824672071</v>
      </c>
      <c r="AG21" s="26">
        <f t="shared" si="38"/>
        <v>8262979.87829722</v>
      </c>
      <c r="AH21" s="26">
        <f t="shared" si="38"/>
        <v>-5983732.9314600127</v>
      </c>
    </row>
    <row r="22" spans="2:34" ht="14.25" customHeight="1">
      <c r="B22" s="27" t="s">
        <v>76</v>
      </c>
      <c r="C22" s="11">
        <f>C17*0.085</f>
        <v>765000</v>
      </c>
      <c r="E22" s="27" t="s">
        <v>33</v>
      </c>
      <c r="F22" s="29">
        <v>0.08</v>
      </c>
      <c r="H22" s="13">
        <v>52</v>
      </c>
      <c r="I22" s="14">
        <f t="shared" si="20"/>
        <v>27262300.000000007</v>
      </c>
      <c r="J22" s="19">
        <f t="shared" si="21"/>
        <v>524275.00000000012</v>
      </c>
      <c r="K22" s="19">
        <f t="shared" si="22"/>
        <v>13817699.999999993</v>
      </c>
      <c r="L22" s="15">
        <f t="shared" si="23"/>
        <v>0.50684278289065809</v>
      </c>
      <c r="M22" s="16">
        <f t="shared" si="24"/>
        <v>790000</v>
      </c>
      <c r="N22" s="17">
        <f t="shared" si="25"/>
        <v>12720616.496141903</v>
      </c>
      <c r="O22" s="18">
        <f t="shared" si="26"/>
        <v>0.44855052982415333</v>
      </c>
      <c r="P22" s="19">
        <f t="shared" si="27"/>
        <v>790000</v>
      </c>
      <c r="Q22" s="20">
        <f t="shared" si="28"/>
        <v>8268400.7224922376</v>
      </c>
      <c r="R22" s="19">
        <f t="shared" si="29"/>
        <v>4452215.7736496655</v>
      </c>
      <c r="S22" s="18">
        <f t="shared" si="30"/>
        <v>0.2519962727985709</v>
      </c>
      <c r="T22" s="19">
        <f t="shared" si="31"/>
        <v>790000.00000000012</v>
      </c>
      <c r="U22" s="21">
        <f t="shared" si="32"/>
        <v>0.33636075949367072</v>
      </c>
      <c r="V22" s="19">
        <f t="shared" si="33"/>
        <v>790000</v>
      </c>
      <c r="W22" s="37">
        <f t="shared" si="34"/>
        <v>3.9325157225876977</v>
      </c>
      <c r="Y22" s="25" t="s">
        <v>77</v>
      </c>
      <c r="Z22" s="26">
        <f>$F$2+$F$5-$C$3-$C$5-$C$6-$C$7-$C$8</f>
        <v>0</v>
      </c>
      <c r="AA22" s="26">
        <f t="shared" ref="AA22:AG22" si="39">AA13-AA14-AA15-AA18</f>
        <v>7467116.4961419031</v>
      </c>
      <c r="AB22" s="26">
        <f t="shared" si="39"/>
        <v>7467116.4961419031</v>
      </c>
      <c r="AC22" s="26">
        <f t="shared" si="39"/>
        <v>7467116.4961419031</v>
      </c>
      <c r="AD22" s="26">
        <f t="shared" si="39"/>
        <v>7467116.4961419031</v>
      </c>
      <c r="AE22" s="26">
        <f t="shared" si="39"/>
        <v>7467116.4961419031</v>
      </c>
      <c r="AF22" s="26">
        <f t="shared" si="39"/>
        <v>7467116.4961419031</v>
      </c>
      <c r="AG22" s="26">
        <f t="shared" si="39"/>
        <v>7467116.4961419031</v>
      </c>
      <c r="AH22" s="26">
        <f>AH13-AH14-AH15-AH18-AH20</f>
        <v>-6788157.3190831747</v>
      </c>
    </row>
    <row r="23" spans="2:34" ht="14.25" customHeight="1">
      <c r="B23" s="27" t="s">
        <v>78</v>
      </c>
      <c r="C23" s="11">
        <f>C17*0.00522</f>
        <v>46980</v>
      </c>
      <c r="E23" s="27" t="s">
        <v>36</v>
      </c>
      <c r="F23" s="29">
        <f>(1+F22)^(1/12)-1</f>
        <v>6.4340301100034303E-3</v>
      </c>
      <c r="H23" s="13">
        <v>53</v>
      </c>
      <c r="I23" s="14">
        <f t="shared" si="20"/>
        <v>27301800.000000007</v>
      </c>
      <c r="J23" s="19">
        <f t="shared" si="21"/>
        <v>515128.30188679259</v>
      </c>
      <c r="K23" s="19">
        <f t="shared" si="22"/>
        <v>14568199.999999993</v>
      </c>
      <c r="L23" s="15">
        <f t="shared" si="23"/>
        <v>0.53359851731387631</v>
      </c>
      <c r="M23" s="16">
        <f t="shared" si="24"/>
        <v>790000</v>
      </c>
      <c r="N23" s="17">
        <f t="shared" si="25"/>
        <v>13471116.496141903</v>
      </c>
      <c r="O23" s="18">
        <f t="shared" si="26"/>
        <v>0.47435373627670258</v>
      </c>
      <c r="P23" s="19">
        <f t="shared" si="27"/>
        <v>790000</v>
      </c>
      <c r="Q23" s="20">
        <f t="shared" si="28"/>
        <v>8756225.7224922366</v>
      </c>
      <c r="R23" s="19">
        <f t="shared" si="29"/>
        <v>4714890.7736496655</v>
      </c>
      <c r="S23" s="18">
        <f t="shared" si="30"/>
        <v>0.2644285018406925</v>
      </c>
      <c r="T23" s="19">
        <f t="shared" si="31"/>
        <v>790000</v>
      </c>
      <c r="U23" s="21">
        <f t="shared" si="32"/>
        <v>0.34793885837114863</v>
      </c>
      <c r="V23" s="19">
        <f t="shared" si="33"/>
        <v>790000.00000000012</v>
      </c>
      <c r="W23" s="37">
        <f t="shared" si="34"/>
        <v>3.7299269985310488</v>
      </c>
      <c r="Y23" s="25" t="s">
        <v>79</v>
      </c>
      <c r="Z23" s="26">
        <f>Z22</f>
        <v>0</v>
      </c>
      <c r="AA23" s="26">
        <f t="shared" ref="AA23:AH23" si="40">Z23+AA22</f>
        <v>7467116.4961419031</v>
      </c>
      <c r="AB23" s="26">
        <f t="shared" si="40"/>
        <v>14934232.992283806</v>
      </c>
      <c r="AC23" s="26">
        <f t="shared" si="40"/>
        <v>22401349.488425709</v>
      </c>
      <c r="AD23" s="26">
        <f t="shared" si="40"/>
        <v>29868465.984567612</v>
      </c>
      <c r="AE23" s="26">
        <f t="shared" si="40"/>
        <v>37335582.480709516</v>
      </c>
      <c r="AF23" s="26">
        <f t="shared" si="40"/>
        <v>44802698.976851419</v>
      </c>
      <c r="AG23" s="26">
        <f t="shared" si="40"/>
        <v>52269815.472993322</v>
      </c>
      <c r="AH23" s="26">
        <f t="shared" si="40"/>
        <v>45481658.153910145</v>
      </c>
    </row>
    <row r="24" spans="2:34" ht="14.25" customHeight="1">
      <c r="B24" s="27" t="s">
        <v>80</v>
      </c>
      <c r="C24" s="11">
        <f>C17*0.12</f>
        <v>1080000</v>
      </c>
      <c r="E24" s="27" t="s">
        <v>39</v>
      </c>
      <c r="F24" s="30">
        <v>36</v>
      </c>
      <c r="H24" s="13">
        <v>54</v>
      </c>
      <c r="I24" s="14">
        <f t="shared" si="20"/>
        <v>27341300.000000007</v>
      </c>
      <c r="J24" s="19">
        <f t="shared" si="21"/>
        <v>506320.37037037051</v>
      </c>
      <c r="K24" s="19">
        <f t="shared" si="22"/>
        <v>15318699.999999993</v>
      </c>
      <c r="L24" s="15">
        <f t="shared" si="23"/>
        <v>0.56027694367129544</v>
      </c>
      <c r="M24" s="16">
        <f t="shared" si="24"/>
        <v>790000</v>
      </c>
      <c r="N24" s="17">
        <f t="shared" si="25"/>
        <v>14221616.496141903</v>
      </c>
      <c r="O24" s="18">
        <f t="shared" si="26"/>
        <v>0.50008526308158574</v>
      </c>
      <c r="P24" s="19">
        <f t="shared" si="27"/>
        <v>790000</v>
      </c>
      <c r="Q24" s="20">
        <f t="shared" si="28"/>
        <v>9244050.7224922366</v>
      </c>
      <c r="R24" s="19">
        <f t="shared" si="29"/>
        <v>4977565.7736496655</v>
      </c>
      <c r="S24" s="18">
        <f t="shared" si="30"/>
        <v>0.27663588562825586</v>
      </c>
      <c r="T24" s="19">
        <f t="shared" si="31"/>
        <v>789999.99999999988</v>
      </c>
      <c r="U24" s="21">
        <f t="shared" si="32"/>
        <v>0.35908813877168289</v>
      </c>
      <c r="V24" s="19">
        <f t="shared" si="33"/>
        <v>790000</v>
      </c>
      <c r="W24" s="37">
        <f t="shared" si="34"/>
        <v>3.547188893313403</v>
      </c>
    </row>
    <row r="25" spans="2:34" ht="14.25" customHeight="1">
      <c r="B25" s="27" t="s">
        <v>81</v>
      </c>
      <c r="C25" s="11">
        <f>C17*0.09</f>
        <v>810000</v>
      </c>
      <c r="E25" s="27" t="s">
        <v>41</v>
      </c>
      <c r="F25" s="31">
        <f>PMT(F23,F24,-F21)</f>
        <v>1017465.790447714</v>
      </c>
      <c r="I25" s="2"/>
    </row>
    <row r="26" spans="2:34" ht="14.25" customHeight="1">
      <c r="B26" s="123" t="s">
        <v>82</v>
      </c>
      <c r="C26" s="124"/>
      <c r="E26" s="27" t="s">
        <v>42</v>
      </c>
      <c r="F26" s="31">
        <f>F25*F24</f>
        <v>36628768.456117705</v>
      </c>
      <c r="H26" s="38" t="s">
        <v>83</v>
      </c>
      <c r="I26" s="38" t="s">
        <v>84</v>
      </c>
      <c r="J26" s="38" t="s">
        <v>85</v>
      </c>
      <c r="K26" s="38" t="s">
        <v>86</v>
      </c>
      <c r="L26" s="38" t="s">
        <v>87</v>
      </c>
      <c r="M26" s="38" t="s">
        <v>88</v>
      </c>
      <c r="N26" s="38" t="s">
        <v>89</v>
      </c>
      <c r="O26" s="38" t="s">
        <v>90</v>
      </c>
      <c r="P26" s="38" t="s">
        <v>91</v>
      </c>
      <c r="Q26" s="38" t="s">
        <v>84</v>
      </c>
      <c r="R26" s="38" t="s">
        <v>85</v>
      </c>
      <c r="S26" s="38" t="s">
        <v>86</v>
      </c>
      <c r="T26" s="38" t="s">
        <v>87</v>
      </c>
      <c r="U26" s="38" t="s">
        <v>88</v>
      </c>
      <c r="V26" s="38" t="s">
        <v>89</v>
      </c>
      <c r="W26" s="38" t="s">
        <v>90</v>
      </c>
    </row>
    <row r="27" spans="2:34" ht="14.25" customHeight="1">
      <c r="B27" s="27" t="s">
        <v>65</v>
      </c>
      <c r="C27" s="11">
        <v>2000000</v>
      </c>
      <c r="F27" s="1"/>
      <c r="H27" s="39">
        <v>1</v>
      </c>
      <c r="I27" s="40">
        <v>2</v>
      </c>
      <c r="J27" s="41">
        <f>F5</f>
        <v>32602993.5</v>
      </c>
      <c r="K27" s="42">
        <f t="shared" ref="K27:K62" si="41">$F$9</f>
        <v>1097083.503858089</v>
      </c>
      <c r="L27" s="43">
        <f t="shared" ref="L27:L62" si="42">J27*$F$7</f>
        <v>350706.43012340821</v>
      </c>
      <c r="M27" s="42">
        <f t="shared" ref="M27:M63" si="43">K27-L27</f>
        <v>746377.07373468077</v>
      </c>
      <c r="N27" s="43">
        <f t="shared" ref="N27:N62" si="44">J27-M27</f>
        <v>31856616.426265318</v>
      </c>
      <c r="O27" s="40" t="s">
        <v>92</v>
      </c>
      <c r="P27" s="39">
        <v>1</v>
      </c>
      <c r="Q27" s="40">
        <v>2</v>
      </c>
      <c r="R27" s="43">
        <f>C9*0.6</f>
        <v>32602993.5</v>
      </c>
      <c r="S27" s="42">
        <f>PMT(AVERAGE(F15,F23,F31,(1+F37)^(1/12)-1,(1+F38)^(1/12)-1,(1+F39)^(1/12)-1,(1+F40)^(1/12)-1), 36, -R27)</f>
        <v>1157921.2012898736</v>
      </c>
      <c r="T27" s="43">
        <f t="shared" ref="T27:T62" si="45">R27*(AVERAGE($F$15,$F$23,$F$31,(1+$F$37)^(1/12)-1,(1+$F$38)^(1/12)-1,(1+$F$39)^(1/12)-1,(1+$F$40)^(1/12)-1))</f>
        <v>454392.14636583533</v>
      </c>
      <c r="U27" s="42">
        <f t="shared" ref="U27:U62" si="46">S27-T27</f>
        <v>703529.05492403824</v>
      </c>
      <c r="V27" s="43">
        <f t="shared" ref="V27:V62" si="47">R27-U27</f>
        <v>31899464.445075963</v>
      </c>
      <c r="W27" s="40" t="s">
        <v>92</v>
      </c>
    </row>
    <row r="28" spans="2:34" ht="14.25" customHeight="1">
      <c r="B28" s="27" t="s">
        <v>67</v>
      </c>
      <c r="C28" s="11">
        <v>250000</v>
      </c>
      <c r="E28" s="123" t="s">
        <v>93</v>
      </c>
      <c r="F28" s="124"/>
      <c r="H28" s="39">
        <v>2</v>
      </c>
      <c r="I28" s="40">
        <v>3</v>
      </c>
      <c r="J28" s="43">
        <f t="shared" ref="J28:J62" si="48">N27</f>
        <v>31856616.426265318</v>
      </c>
      <c r="K28" s="42">
        <f t="shared" si="41"/>
        <v>1097083.503858089</v>
      </c>
      <c r="L28" s="43">
        <f t="shared" si="42"/>
        <v>342677.74284794542</v>
      </c>
      <c r="M28" s="42">
        <f t="shared" si="43"/>
        <v>754405.76101014356</v>
      </c>
      <c r="N28" s="43">
        <f t="shared" si="44"/>
        <v>31102210.665255174</v>
      </c>
      <c r="O28" s="40" t="s">
        <v>92</v>
      </c>
      <c r="P28" s="39">
        <v>2</v>
      </c>
      <c r="Q28" s="40">
        <v>3</v>
      </c>
      <c r="R28" s="43">
        <f t="shared" ref="R28:R62" si="49">V27</f>
        <v>31899464.445075963</v>
      </c>
      <c r="S28" s="42">
        <f t="shared" ref="S28:S62" si="50">$S$27</f>
        <v>1157921.2012898736</v>
      </c>
      <c r="T28" s="43">
        <f t="shared" si="45"/>
        <v>444586.97073686554</v>
      </c>
      <c r="U28" s="42">
        <f t="shared" si="46"/>
        <v>713334.23055300803</v>
      </c>
      <c r="V28" s="43">
        <f t="shared" si="47"/>
        <v>31186130.214522954</v>
      </c>
      <c r="W28" s="40" t="s">
        <v>92</v>
      </c>
    </row>
    <row r="29" spans="2:34" ht="14.25" customHeight="1">
      <c r="B29" s="27" t="s">
        <v>69</v>
      </c>
      <c r="C29" s="11">
        <f>C27/12</f>
        <v>166666.66666666666</v>
      </c>
      <c r="E29" s="27" t="s">
        <v>30</v>
      </c>
      <c r="F29" s="28">
        <f>C9*0.6</f>
        <v>32602993.5</v>
      </c>
      <c r="H29" s="39">
        <v>3</v>
      </c>
      <c r="I29" s="40">
        <v>4</v>
      </c>
      <c r="J29" s="43">
        <f t="shared" si="48"/>
        <v>31102210.665255174</v>
      </c>
      <c r="K29" s="42">
        <f t="shared" si="41"/>
        <v>1097083.503858089</v>
      </c>
      <c r="L29" s="43">
        <f t="shared" si="42"/>
        <v>334562.69196133281</v>
      </c>
      <c r="M29" s="42">
        <f t="shared" si="43"/>
        <v>762520.81189675617</v>
      </c>
      <c r="N29" s="43">
        <f t="shared" si="44"/>
        <v>30339689.853358418</v>
      </c>
      <c r="O29" s="40" t="s">
        <v>92</v>
      </c>
      <c r="P29" s="39">
        <v>3</v>
      </c>
      <c r="Q29" s="40">
        <v>4</v>
      </c>
      <c r="R29" s="43">
        <f t="shared" si="49"/>
        <v>31186130.214522954</v>
      </c>
      <c r="S29" s="42">
        <f t="shared" si="50"/>
        <v>1157921.2012898736</v>
      </c>
      <c r="T29" s="43">
        <f t="shared" si="45"/>
        <v>434645.13910422102</v>
      </c>
      <c r="U29" s="42">
        <f t="shared" si="46"/>
        <v>723276.06218565255</v>
      </c>
      <c r="V29" s="43">
        <f t="shared" si="47"/>
        <v>30462854.152337302</v>
      </c>
      <c r="W29" s="40" t="s">
        <v>92</v>
      </c>
    </row>
    <row r="30" spans="2:34" ht="14.25" customHeight="1">
      <c r="B30" s="27" t="s">
        <v>71</v>
      </c>
      <c r="C30" s="11">
        <f>C27/12</f>
        <v>166666.66666666666</v>
      </c>
      <c r="E30" s="27" t="s">
        <v>33</v>
      </c>
      <c r="F30" s="29">
        <v>0.17</v>
      </c>
      <c r="H30" s="39">
        <v>4</v>
      </c>
      <c r="I30" s="40">
        <v>5</v>
      </c>
      <c r="J30" s="43">
        <f t="shared" si="48"/>
        <v>30339689.853358418</v>
      </c>
      <c r="K30" s="42">
        <f t="shared" si="41"/>
        <v>1097083.503858089</v>
      </c>
      <c r="L30" s="43">
        <f t="shared" si="42"/>
        <v>326360.34846072405</v>
      </c>
      <c r="M30" s="42">
        <f t="shared" si="43"/>
        <v>770723.15539736487</v>
      </c>
      <c r="N30" s="43">
        <f t="shared" si="44"/>
        <v>29568966.697961055</v>
      </c>
      <c r="O30" s="40" t="s">
        <v>92</v>
      </c>
      <c r="P30" s="39">
        <v>4</v>
      </c>
      <c r="Q30" s="40">
        <v>5</v>
      </c>
      <c r="R30" s="43">
        <f t="shared" si="49"/>
        <v>30462854.152337302</v>
      </c>
      <c r="S30" s="42">
        <f t="shared" si="50"/>
        <v>1157921.2012898736</v>
      </c>
      <c r="T30" s="43">
        <f t="shared" si="45"/>
        <v>424564.74687546544</v>
      </c>
      <c r="U30" s="42">
        <f t="shared" si="46"/>
        <v>733356.45441440819</v>
      </c>
      <c r="V30" s="43">
        <f t="shared" si="47"/>
        <v>29729497.697922893</v>
      </c>
      <c r="W30" s="40" t="s">
        <v>92</v>
      </c>
    </row>
    <row r="31" spans="2:34" ht="14.25" customHeight="1">
      <c r="B31" s="27" t="s">
        <v>74</v>
      </c>
      <c r="C31" s="11">
        <v>20000</v>
      </c>
      <c r="E31" s="27" t="s">
        <v>36</v>
      </c>
      <c r="F31" s="29">
        <f>(1+F30)^(1/12)-1</f>
        <v>1.3169611131462311E-2</v>
      </c>
      <c r="H31" s="39">
        <v>5</v>
      </c>
      <c r="I31" s="40">
        <v>6</v>
      </c>
      <c r="J31" s="43">
        <f t="shared" si="48"/>
        <v>29568966.697961055</v>
      </c>
      <c r="K31" s="42">
        <f t="shared" si="41"/>
        <v>1097083.503858089</v>
      </c>
      <c r="L31" s="43">
        <f t="shared" si="42"/>
        <v>318069.77335010242</v>
      </c>
      <c r="M31" s="42">
        <f t="shared" si="43"/>
        <v>779013.73050798662</v>
      </c>
      <c r="N31" s="43">
        <f t="shared" si="44"/>
        <v>28789952.96745307</v>
      </c>
      <c r="O31" s="40" t="s">
        <v>92</v>
      </c>
      <c r="P31" s="39">
        <v>5</v>
      </c>
      <c r="Q31" s="40">
        <v>6</v>
      </c>
      <c r="R31" s="43">
        <f t="shared" si="49"/>
        <v>29729497.697922893</v>
      </c>
      <c r="S31" s="42">
        <f t="shared" si="50"/>
        <v>1157921.2012898736</v>
      </c>
      <c r="T31" s="43">
        <f t="shared" si="45"/>
        <v>414343.86291361076</v>
      </c>
      <c r="U31" s="42">
        <f t="shared" si="46"/>
        <v>743577.33837626281</v>
      </c>
      <c r="V31" s="43">
        <f t="shared" si="47"/>
        <v>28985920.359546632</v>
      </c>
      <c r="W31" s="40" t="s">
        <v>92</v>
      </c>
    </row>
    <row r="32" spans="2:34" ht="14.25" customHeight="1">
      <c r="B32" s="27" t="s">
        <v>76</v>
      </c>
      <c r="C32" s="11">
        <f>C27*0.085</f>
        <v>170000</v>
      </c>
      <c r="E32" s="27" t="s">
        <v>39</v>
      </c>
      <c r="F32" s="30">
        <v>36</v>
      </c>
      <c r="H32" s="39">
        <v>6</v>
      </c>
      <c r="I32" s="40">
        <v>7</v>
      </c>
      <c r="J32" s="43">
        <f t="shared" si="48"/>
        <v>28789952.96745307</v>
      </c>
      <c r="K32" s="42">
        <f t="shared" si="41"/>
        <v>1097083.503858089</v>
      </c>
      <c r="L32" s="43">
        <f t="shared" si="42"/>
        <v>309690.01753278542</v>
      </c>
      <c r="M32" s="42">
        <f t="shared" si="43"/>
        <v>787393.48632530356</v>
      </c>
      <c r="N32" s="43">
        <f t="shared" si="44"/>
        <v>28002559.481127765</v>
      </c>
      <c r="O32" s="40" t="s">
        <v>92</v>
      </c>
      <c r="P32" s="39">
        <v>6</v>
      </c>
      <c r="Q32" s="40">
        <v>7</v>
      </c>
      <c r="R32" s="43">
        <f t="shared" si="49"/>
        <v>28985920.359546632</v>
      </c>
      <c r="S32" s="42">
        <f t="shared" si="50"/>
        <v>1157921.2012898736</v>
      </c>
      <c r="T32" s="43">
        <f t="shared" si="45"/>
        <v>403980.52916716249</v>
      </c>
      <c r="U32" s="42">
        <f t="shared" si="46"/>
        <v>753940.67212271108</v>
      </c>
      <c r="V32" s="43">
        <f t="shared" si="47"/>
        <v>28231979.687423922</v>
      </c>
      <c r="W32" s="40" t="s">
        <v>92</v>
      </c>
    </row>
    <row r="33" spans="2:23" ht="14.25" customHeight="1">
      <c r="B33" s="27" t="s">
        <v>78</v>
      </c>
      <c r="C33" s="11">
        <f>C27*0.00522</f>
        <v>10440</v>
      </c>
      <c r="E33" s="27" t="s">
        <v>41</v>
      </c>
      <c r="F33" s="31">
        <f>PMT(F31,F32,-F29)</f>
        <v>1143064.6704343804</v>
      </c>
      <c r="H33" s="39">
        <v>7</v>
      </c>
      <c r="I33" s="40">
        <v>8</v>
      </c>
      <c r="J33" s="43">
        <f t="shared" si="48"/>
        <v>28002559.481127765</v>
      </c>
      <c r="K33" s="42">
        <f t="shared" si="41"/>
        <v>1097083.503858089</v>
      </c>
      <c r="L33" s="43">
        <f t="shared" si="42"/>
        <v>301220.12170277297</v>
      </c>
      <c r="M33" s="42">
        <f t="shared" si="43"/>
        <v>795863.38215531595</v>
      </c>
      <c r="N33" s="43">
        <f t="shared" si="44"/>
        <v>27206696.098972447</v>
      </c>
      <c r="O33" s="40" t="s">
        <v>92</v>
      </c>
      <c r="P33" s="39">
        <v>7</v>
      </c>
      <c r="Q33" s="40">
        <v>8</v>
      </c>
      <c r="R33" s="43">
        <f t="shared" si="49"/>
        <v>28231979.687423922</v>
      </c>
      <c r="S33" s="42">
        <f t="shared" si="50"/>
        <v>1157921.2012898736</v>
      </c>
      <c r="T33" s="43">
        <f t="shared" si="45"/>
        <v>393472.76029500848</v>
      </c>
      <c r="U33" s="42">
        <f t="shared" si="46"/>
        <v>764448.44099486503</v>
      </c>
      <c r="V33" s="43">
        <f t="shared" si="47"/>
        <v>27467531.246429056</v>
      </c>
      <c r="W33" s="40" t="s">
        <v>92</v>
      </c>
    </row>
    <row r="34" spans="2:23" ht="14.25" customHeight="1">
      <c r="B34" s="27" t="s">
        <v>80</v>
      </c>
      <c r="C34" s="11">
        <f>C27*0.12</f>
        <v>240000</v>
      </c>
      <c r="E34" s="27" t="s">
        <v>42</v>
      </c>
      <c r="F34" s="31">
        <f>F33*F32</f>
        <v>41150328.135637693</v>
      </c>
      <c r="H34" s="39">
        <v>8</v>
      </c>
      <c r="I34" s="40">
        <v>9</v>
      </c>
      <c r="J34" s="43">
        <f t="shared" si="48"/>
        <v>27206696.098972447</v>
      </c>
      <c r="K34" s="42">
        <f t="shared" si="41"/>
        <v>1097083.503858089</v>
      </c>
      <c r="L34" s="43">
        <f t="shared" si="42"/>
        <v>292659.11623492744</v>
      </c>
      <c r="M34" s="42">
        <f t="shared" si="43"/>
        <v>804424.38762316154</v>
      </c>
      <c r="N34" s="43">
        <f t="shared" si="44"/>
        <v>26402271.711349286</v>
      </c>
      <c r="O34" s="40" t="s">
        <v>92</v>
      </c>
      <c r="P34" s="39">
        <v>8</v>
      </c>
      <c r="Q34" s="40">
        <v>9</v>
      </c>
      <c r="R34" s="43">
        <f t="shared" si="49"/>
        <v>27467531.246429056</v>
      </c>
      <c r="S34" s="42">
        <f t="shared" si="50"/>
        <v>1157921.2012898736</v>
      </c>
      <c r="T34" s="43">
        <f t="shared" si="45"/>
        <v>382818.54328608036</v>
      </c>
      <c r="U34" s="42">
        <f t="shared" si="46"/>
        <v>775102.65800379321</v>
      </c>
      <c r="V34" s="43">
        <f t="shared" si="47"/>
        <v>26692428.588425264</v>
      </c>
      <c r="W34" s="40" t="s">
        <v>92</v>
      </c>
    </row>
    <row r="35" spans="2:23" ht="14.25" customHeight="1">
      <c r="B35" s="27" t="s">
        <v>81</v>
      </c>
      <c r="C35" s="11">
        <f>C27*0.09</f>
        <v>180000</v>
      </c>
      <c r="F35" s="1"/>
      <c r="H35" s="39">
        <v>9</v>
      </c>
      <c r="I35" s="40">
        <v>10</v>
      </c>
      <c r="J35" s="43">
        <f t="shared" si="48"/>
        <v>26402271.711349286</v>
      </c>
      <c r="K35" s="42">
        <f t="shared" si="41"/>
        <v>1097083.503858089</v>
      </c>
      <c r="L35" s="43">
        <f t="shared" si="42"/>
        <v>284006.02107397153</v>
      </c>
      <c r="M35" s="42">
        <f t="shared" si="43"/>
        <v>813077.48278411746</v>
      </c>
      <c r="N35" s="43">
        <f t="shared" si="44"/>
        <v>25589194.228565168</v>
      </c>
      <c r="O35" s="40" t="s">
        <v>94</v>
      </c>
      <c r="P35" s="39">
        <v>9</v>
      </c>
      <c r="Q35" s="40">
        <v>10</v>
      </c>
      <c r="R35" s="43">
        <f t="shared" si="49"/>
        <v>26692428.588425264</v>
      </c>
      <c r="S35" s="42">
        <f t="shared" si="50"/>
        <v>1157921.2012898736</v>
      </c>
      <c r="T35" s="43">
        <f t="shared" si="45"/>
        <v>372015.83707371348</v>
      </c>
      <c r="U35" s="42">
        <f t="shared" si="46"/>
        <v>785905.36421616003</v>
      </c>
      <c r="V35" s="43">
        <f t="shared" si="47"/>
        <v>25906523.224209104</v>
      </c>
      <c r="W35" s="40" t="s">
        <v>94</v>
      </c>
    </row>
    <row r="36" spans="2:23" ht="14.25" customHeight="1">
      <c r="B36" s="123" t="s">
        <v>95</v>
      </c>
      <c r="C36" s="124"/>
      <c r="E36" s="123" t="s">
        <v>96</v>
      </c>
      <c r="F36" s="124"/>
      <c r="H36" s="39">
        <v>10</v>
      </c>
      <c r="I36" s="40">
        <v>11</v>
      </c>
      <c r="J36" s="43">
        <f t="shared" si="48"/>
        <v>25589194.228565168</v>
      </c>
      <c r="K36" s="42">
        <f t="shared" si="41"/>
        <v>1097083.503858089</v>
      </c>
      <c r="L36" s="43">
        <f t="shared" si="42"/>
        <v>275259.84562229266</v>
      </c>
      <c r="M36" s="42">
        <f t="shared" si="43"/>
        <v>821823.65823579626</v>
      </c>
      <c r="N36" s="43">
        <f t="shared" si="44"/>
        <v>24767370.570329372</v>
      </c>
      <c r="O36" s="40" t="s">
        <v>94</v>
      </c>
      <c r="P36" s="39">
        <v>10</v>
      </c>
      <c r="Q36" s="40">
        <v>11</v>
      </c>
      <c r="R36" s="43">
        <f t="shared" si="49"/>
        <v>25906523.224209104</v>
      </c>
      <c r="S36" s="42">
        <f t="shared" si="50"/>
        <v>1157921.2012898736</v>
      </c>
      <c r="T36" s="43">
        <f t="shared" si="45"/>
        <v>361062.57214463252</v>
      </c>
      <c r="U36" s="42">
        <f t="shared" si="46"/>
        <v>796858.62914524111</v>
      </c>
      <c r="V36" s="43">
        <f t="shared" si="47"/>
        <v>25109664.595063861</v>
      </c>
      <c r="W36" s="40" t="s">
        <v>94</v>
      </c>
    </row>
    <row r="37" spans="2:23" ht="14.25" customHeight="1">
      <c r="B37" s="27" t="s">
        <v>65</v>
      </c>
      <c r="C37" s="11">
        <v>2000000</v>
      </c>
      <c r="E37" s="27" t="s">
        <v>97</v>
      </c>
      <c r="F37" s="44">
        <v>0.13880000000000001</v>
      </c>
      <c r="H37" s="39">
        <v>11</v>
      </c>
      <c r="I37" s="40">
        <v>12</v>
      </c>
      <c r="J37" s="43">
        <f t="shared" si="48"/>
        <v>24767370.570329372</v>
      </c>
      <c r="K37" s="42">
        <f t="shared" si="41"/>
        <v>1097083.503858089</v>
      </c>
      <c r="L37" s="43">
        <f t="shared" si="42"/>
        <v>266419.58862654056</v>
      </c>
      <c r="M37" s="42">
        <f t="shared" si="43"/>
        <v>830663.91523154848</v>
      </c>
      <c r="N37" s="43">
        <f t="shared" si="44"/>
        <v>23936706.655097824</v>
      </c>
      <c r="O37" s="40" t="s">
        <v>94</v>
      </c>
      <c r="P37" s="39">
        <v>11</v>
      </c>
      <c r="Q37" s="40">
        <v>12</v>
      </c>
      <c r="R37" s="43">
        <f t="shared" si="49"/>
        <v>25109664.595063861</v>
      </c>
      <c r="S37" s="42">
        <f t="shared" si="50"/>
        <v>1157921.2012898736</v>
      </c>
      <c r="T37" s="43">
        <f t="shared" si="45"/>
        <v>349956.65014248743</v>
      </c>
      <c r="U37" s="42">
        <f t="shared" si="46"/>
        <v>807964.5511473862</v>
      </c>
      <c r="V37" s="43">
        <f t="shared" si="47"/>
        <v>24301700.043916475</v>
      </c>
      <c r="W37" s="40" t="s">
        <v>94</v>
      </c>
    </row>
    <row r="38" spans="2:23" ht="14.25" customHeight="1">
      <c r="B38" s="27" t="s">
        <v>67</v>
      </c>
      <c r="C38" s="11">
        <v>250000</v>
      </c>
      <c r="E38" s="27" t="s">
        <v>98</v>
      </c>
      <c r="F38" s="44">
        <v>0.17499999999999999</v>
      </c>
      <c r="H38" s="39">
        <v>12</v>
      </c>
      <c r="I38" s="40">
        <v>13</v>
      </c>
      <c r="J38" s="43">
        <f t="shared" si="48"/>
        <v>23936706.655097824</v>
      </c>
      <c r="K38" s="42">
        <f t="shared" si="41"/>
        <v>1097083.503858089</v>
      </c>
      <c r="L38" s="43">
        <f t="shared" si="42"/>
        <v>257484.23806300439</v>
      </c>
      <c r="M38" s="42">
        <f t="shared" si="43"/>
        <v>839599.26579508465</v>
      </c>
      <c r="N38" s="43">
        <f t="shared" si="44"/>
        <v>23097107.389302738</v>
      </c>
      <c r="O38" s="40" t="s">
        <v>94</v>
      </c>
      <c r="P38" s="39">
        <v>12</v>
      </c>
      <c r="Q38" s="40">
        <v>13</v>
      </c>
      <c r="R38" s="43">
        <f t="shared" si="49"/>
        <v>24301700.043916475</v>
      </c>
      <c r="S38" s="42">
        <f t="shared" si="50"/>
        <v>1157921.2012898736</v>
      </c>
      <c r="T38" s="43">
        <f t="shared" si="45"/>
        <v>338695.9434658637</v>
      </c>
      <c r="U38" s="42">
        <f t="shared" si="46"/>
        <v>819225.25782400987</v>
      </c>
      <c r="V38" s="43">
        <f t="shared" si="47"/>
        <v>23482474.786092464</v>
      </c>
      <c r="W38" s="40" t="s">
        <v>94</v>
      </c>
    </row>
    <row r="39" spans="2:23" ht="14.25" customHeight="1">
      <c r="B39" s="27" t="s">
        <v>69</v>
      </c>
      <c r="C39" s="11">
        <f>C37/12</f>
        <v>166666.66666666666</v>
      </c>
      <c r="E39" s="27" t="s">
        <v>99</v>
      </c>
      <c r="F39" s="44">
        <v>0.185</v>
      </c>
      <c r="H39" s="39">
        <v>13</v>
      </c>
      <c r="I39" s="40">
        <v>14</v>
      </c>
      <c r="J39" s="43">
        <f t="shared" si="48"/>
        <v>23097107.389302738</v>
      </c>
      <c r="K39" s="42">
        <f t="shared" si="41"/>
        <v>1097083.503858089</v>
      </c>
      <c r="L39" s="43">
        <f t="shared" si="42"/>
        <v>248452.77102175774</v>
      </c>
      <c r="M39" s="42">
        <f t="shared" si="43"/>
        <v>848630.73283633124</v>
      </c>
      <c r="N39" s="43">
        <f t="shared" si="44"/>
        <v>22248476.656466406</v>
      </c>
      <c r="O39" s="40" t="s">
        <v>94</v>
      </c>
      <c r="P39" s="39">
        <v>13</v>
      </c>
      <c r="Q39" s="40">
        <v>14</v>
      </c>
      <c r="R39" s="43">
        <f t="shared" si="49"/>
        <v>23482474.786092464</v>
      </c>
      <c r="S39" s="42">
        <f t="shared" si="50"/>
        <v>1157921.2012898736</v>
      </c>
      <c r="T39" s="43">
        <f t="shared" si="45"/>
        <v>327278.29486069013</v>
      </c>
      <c r="U39" s="42">
        <f t="shared" si="46"/>
        <v>830642.90642918344</v>
      </c>
      <c r="V39" s="43">
        <f t="shared" si="47"/>
        <v>22651831.879663281</v>
      </c>
      <c r="W39" s="40" t="s">
        <v>94</v>
      </c>
    </row>
    <row r="40" spans="2:23" ht="14.25" customHeight="1">
      <c r="B40" s="27" t="s">
        <v>71</v>
      </c>
      <c r="C40" s="11">
        <f>C37/12</f>
        <v>166666.66666666666</v>
      </c>
      <c r="E40" s="27" t="s">
        <v>100</v>
      </c>
      <c r="F40" s="44">
        <v>0.19</v>
      </c>
      <c r="H40" s="39">
        <v>14</v>
      </c>
      <c r="I40" s="40">
        <v>15</v>
      </c>
      <c r="J40" s="43">
        <f t="shared" si="48"/>
        <v>22248476.656466406</v>
      </c>
      <c r="K40" s="42">
        <f t="shared" si="41"/>
        <v>1097083.503858089</v>
      </c>
      <c r="L40" s="43">
        <f t="shared" si="42"/>
        <v>239324.15358955658</v>
      </c>
      <c r="M40" s="42">
        <f t="shared" si="43"/>
        <v>857759.35026853241</v>
      </c>
      <c r="N40" s="43">
        <f t="shared" si="44"/>
        <v>21390717.306197874</v>
      </c>
      <c r="O40" s="40" t="s">
        <v>94</v>
      </c>
      <c r="P40" s="39">
        <v>14</v>
      </c>
      <c r="Q40" s="40">
        <v>15</v>
      </c>
      <c r="R40" s="43">
        <f t="shared" si="49"/>
        <v>22651831.879663281</v>
      </c>
      <c r="S40" s="42">
        <f t="shared" si="50"/>
        <v>1157921.2012898736</v>
      </c>
      <c r="T40" s="43">
        <f t="shared" si="45"/>
        <v>315701.51700696599</v>
      </c>
      <c r="U40" s="42">
        <f t="shared" si="46"/>
        <v>842219.68428290752</v>
      </c>
      <c r="V40" s="43">
        <f t="shared" si="47"/>
        <v>21809612.195380375</v>
      </c>
      <c r="W40" s="40" t="s">
        <v>94</v>
      </c>
    </row>
    <row r="41" spans="2:23" ht="14.25" customHeight="1">
      <c r="B41" s="27" t="s">
        <v>74</v>
      </c>
      <c r="C41" s="11">
        <v>20000</v>
      </c>
      <c r="F41" s="1"/>
      <c r="H41" s="39">
        <v>15</v>
      </c>
      <c r="I41" s="40">
        <v>16</v>
      </c>
      <c r="J41" s="43">
        <f t="shared" si="48"/>
        <v>21390717.306197874</v>
      </c>
      <c r="K41" s="42">
        <f t="shared" si="41"/>
        <v>1097083.503858089</v>
      </c>
      <c r="L41" s="43">
        <f t="shared" si="42"/>
        <v>230097.34073147803</v>
      </c>
      <c r="M41" s="42">
        <f t="shared" si="43"/>
        <v>866986.16312661092</v>
      </c>
      <c r="N41" s="43">
        <f t="shared" si="44"/>
        <v>20523731.143071264</v>
      </c>
      <c r="O41" s="40" t="s">
        <v>94</v>
      </c>
      <c r="P41" s="39">
        <v>15</v>
      </c>
      <c r="Q41" s="40">
        <v>16</v>
      </c>
      <c r="R41" s="43">
        <f t="shared" si="49"/>
        <v>21809612.195380375</v>
      </c>
      <c r="S41" s="42">
        <f t="shared" si="50"/>
        <v>1157921.2012898736</v>
      </c>
      <c r="T41" s="43">
        <f t="shared" si="45"/>
        <v>303963.39209972811</v>
      </c>
      <c r="U41" s="42">
        <f t="shared" si="46"/>
        <v>853957.80919014546</v>
      </c>
      <c r="V41" s="43">
        <f t="shared" si="47"/>
        <v>20955654.386190228</v>
      </c>
      <c r="W41" s="40" t="s">
        <v>94</v>
      </c>
    </row>
    <row r="42" spans="2:23" ht="14.25" customHeight="1">
      <c r="B42" s="27" t="s">
        <v>76</v>
      </c>
      <c r="C42" s="11">
        <f>C37*0.085</f>
        <v>170000</v>
      </c>
      <c r="E42" s="45" t="s">
        <v>101</v>
      </c>
      <c r="F42" s="24">
        <v>0.35</v>
      </c>
      <c r="H42" s="39">
        <v>16</v>
      </c>
      <c r="I42" s="40">
        <v>17</v>
      </c>
      <c r="J42" s="43">
        <f t="shared" si="48"/>
        <v>20523731.143071264</v>
      </c>
      <c r="K42" s="42">
        <f t="shared" si="41"/>
        <v>1097083.503858089</v>
      </c>
      <c r="L42" s="43">
        <f t="shared" si="42"/>
        <v>220771.27617128589</v>
      </c>
      <c r="M42" s="42">
        <f t="shared" si="43"/>
        <v>876312.22768680309</v>
      </c>
      <c r="N42" s="43">
        <f t="shared" si="44"/>
        <v>19647418.91538446</v>
      </c>
      <c r="O42" s="40" t="s">
        <v>94</v>
      </c>
      <c r="P42" s="39">
        <v>16</v>
      </c>
      <c r="Q42" s="40">
        <v>17</v>
      </c>
      <c r="R42" s="43">
        <f t="shared" si="49"/>
        <v>20955654.386190228</v>
      </c>
      <c r="S42" s="42">
        <f t="shared" si="50"/>
        <v>1157921.2012898736</v>
      </c>
      <c r="T42" s="43">
        <f t="shared" si="45"/>
        <v>292061.67142417794</v>
      </c>
      <c r="U42" s="42">
        <f t="shared" si="46"/>
        <v>865859.52986569563</v>
      </c>
      <c r="V42" s="43">
        <f t="shared" si="47"/>
        <v>20089794.856324531</v>
      </c>
      <c r="W42" s="40" t="s">
        <v>94</v>
      </c>
    </row>
    <row r="43" spans="2:23" ht="14.25" customHeight="1">
      <c r="B43" s="27" t="s">
        <v>78</v>
      </c>
      <c r="C43" s="11">
        <f>C37*0.00522</f>
        <v>10440</v>
      </c>
      <c r="E43" s="46" t="s">
        <v>102</v>
      </c>
      <c r="F43" s="47">
        <v>160</v>
      </c>
      <c r="H43" s="39">
        <v>17</v>
      </c>
      <c r="I43" s="40">
        <v>18</v>
      </c>
      <c r="J43" s="43">
        <f t="shared" si="48"/>
        <v>19647418.91538446</v>
      </c>
      <c r="K43" s="42">
        <f t="shared" si="41"/>
        <v>1097083.503858089</v>
      </c>
      <c r="L43" s="43">
        <f t="shared" si="42"/>
        <v>211344.89227050912</v>
      </c>
      <c r="M43" s="42">
        <f t="shared" si="43"/>
        <v>885738.61158757983</v>
      </c>
      <c r="N43" s="43">
        <f t="shared" si="44"/>
        <v>18761680.30379688</v>
      </c>
      <c r="O43" s="40" t="s">
        <v>94</v>
      </c>
      <c r="P43" s="39">
        <v>17</v>
      </c>
      <c r="Q43" s="40">
        <v>18</v>
      </c>
      <c r="R43" s="43">
        <f t="shared" si="49"/>
        <v>20089794.856324531</v>
      </c>
      <c r="S43" s="42">
        <f t="shared" si="50"/>
        <v>1157921.2012898736</v>
      </c>
      <c r="T43" s="43">
        <f t="shared" si="45"/>
        <v>279994.07492488757</v>
      </c>
      <c r="U43" s="42">
        <f t="shared" si="46"/>
        <v>877927.12636498595</v>
      </c>
      <c r="V43" s="43">
        <f t="shared" si="47"/>
        <v>19211867.729959544</v>
      </c>
      <c r="W43" s="40" t="s">
        <v>94</v>
      </c>
    </row>
    <row r="44" spans="2:23" ht="14.25" customHeight="1">
      <c r="B44" s="27" t="s">
        <v>80</v>
      </c>
      <c r="C44" s="11">
        <f>C37*0.12</f>
        <v>240000</v>
      </c>
      <c r="E44" s="27" t="s">
        <v>103</v>
      </c>
      <c r="F44" s="24">
        <v>8</v>
      </c>
      <c r="H44" s="39">
        <v>18</v>
      </c>
      <c r="I44" s="40">
        <v>19</v>
      </c>
      <c r="J44" s="43">
        <f t="shared" si="48"/>
        <v>18761680.30379688</v>
      </c>
      <c r="K44" s="42">
        <f t="shared" si="41"/>
        <v>1097083.503858089</v>
      </c>
      <c r="L44" s="43">
        <f t="shared" si="42"/>
        <v>201817.10990621964</v>
      </c>
      <c r="M44" s="42">
        <f t="shared" si="43"/>
        <v>895266.39395186934</v>
      </c>
      <c r="N44" s="43">
        <f t="shared" si="44"/>
        <v>17866413.909845009</v>
      </c>
      <c r="O44" s="40" t="s">
        <v>94</v>
      </c>
      <c r="P44" s="39">
        <v>18</v>
      </c>
      <c r="Q44" s="40">
        <v>19</v>
      </c>
      <c r="R44" s="43">
        <f t="shared" si="49"/>
        <v>19211867.729959544</v>
      </c>
      <c r="S44" s="42">
        <f t="shared" si="50"/>
        <v>1157921.2012898736</v>
      </c>
      <c r="T44" s="43">
        <f t="shared" si="45"/>
        <v>267758.29076900089</v>
      </c>
      <c r="U44" s="42">
        <f t="shared" si="46"/>
        <v>890162.91052087268</v>
      </c>
      <c r="V44" s="43">
        <f t="shared" si="47"/>
        <v>18321704.81943867</v>
      </c>
      <c r="W44" s="40" t="s">
        <v>94</v>
      </c>
    </row>
    <row r="45" spans="2:23" ht="14.25" customHeight="1">
      <c r="B45" s="27" t="s">
        <v>81</v>
      </c>
      <c r="C45" s="11">
        <f>C37*0.09</f>
        <v>180000</v>
      </c>
      <c r="F45" s="1"/>
      <c r="H45" s="39">
        <v>19</v>
      </c>
      <c r="I45" s="40">
        <v>20</v>
      </c>
      <c r="J45" s="43">
        <f t="shared" si="48"/>
        <v>17866413.909845009</v>
      </c>
      <c r="K45" s="42">
        <f t="shared" si="41"/>
        <v>1097083.503858089</v>
      </c>
      <c r="L45" s="43">
        <f t="shared" si="42"/>
        <v>192186.83834749553</v>
      </c>
      <c r="M45" s="42">
        <f t="shared" si="43"/>
        <v>904896.66551059345</v>
      </c>
      <c r="N45" s="43">
        <f t="shared" si="44"/>
        <v>16961517.244334415</v>
      </c>
      <c r="O45" s="40" t="s">
        <v>94</v>
      </c>
      <c r="P45" s="39">
        <v>19</v>
      </c>
      <c r="Q45" s="40">
        <v>20</v>
      </c>
      <c r="R45" s="43">
        <f t="shared" si="49"/>
        <v>18321704.81943867</v>
      </c>
      <c r="S45" s="42">
        <f t="shared" si="50"/>
        <v>1157921.2012898736</v>
      </c>
      <c r="T45" s="43">
        <f t="shared" si="45"/>
        <v>255351.97490334764</v>
      </c>
      <c r="U45" s="42">
        <f t="shared" si="46"/>
        <v>902569.2263865259</v>
      </c>
      <c r="V45" s="43">
        <f t="shared" si="47"/>
        <v>17419135.593052145</v>
      </c>
      <c r="W45" s="40" t="s">
        <v>94</v>
      </c>
    </row>
    <row r="46" spans="2:23" ht="14.25" customHeight="1">
      <c r="B46" s="123" t="s">
        <v>104</v>
      </c>
      <c r="C46" s="124"/>
      <c r="E46" s="123" t="s">
        <v>105</v>
      </c>
      <c r="F46" s="124"/>
      <c r="H46" s="39">
        <v>20</v>
      </c>
      <c r="I46" s="40">
        <v>21</v>
      </c>
      <c r="J46" s="43">
        <f t="shared" si="48"/>
        <v>16961517.244334415</v>
      </c>
      <c r="K46" s="42">
        <f t="shared" si="41"/>
        <v>1097083.503858089</v>
      </c>
      <c r="L46" s="43">
        <f t="shared" si="42"/>
        <v>182452.97513055513</v>
      </c>
      <c r="M46" s="42">
        <f t="shared" si="43"/>
        <v>914630.52872753388</v>
      </c>
      <c r="N46" s="43">
        <f t="shared" si="44"/>
        <v>16046886.715606881</v>
      </c>
      <c r="O46" s="40" t="s">
        <v>94</v>
      </c>
      <c r="P46" s="39">
        <v>20</v>
      </c>
      <c r="Q46" s="40">
        <v>21</v>
      </c>
      <c r="R46" s="43">
        <f t="shared" si="49"/>
        <v>17419135.593052145</v>
      </c>
      <c r="S46" s="42">
        <f t="shared" si="50"/>
        <v>1157921.2012898736</v>
      </c>
      <c r="T46" s="43">
        <f t="shared" si="45"/>
        <v>242772.75060538482</v>
      </c>
      <c r="U46" s="42">
        <f t="shared" si="46"/>
        <v>915148.45068448875</v>
      </c>
      <c r="V46" s="43">
        <f t="shared" si="47"/>
        <v>16503987.142367657</v>
      </c>
      <c r="W46" s="40" t="s">
        <v>94</v>
      </c>
    </row>
    <row r="47" spans="2:23" ht="14.25" customHeight="1">
      <c r="B47" s="27" t="s">
        <v>65</v>
      </c>
      <c r="C47" s="11">
        <v>2000000</v>
      </c>
      <c r="E47" s="27" t="s">
        <v>106</v>
      </c>
      <c r="F47" s="48">
        <f>160*0.75</f>
        <v>120</v>
      </c>
      <c r="H47" s="39">
        <v>21</v>
      </c>
      <c r="I47" s="40">
        <v>22</v>
      </c>
      <c r="J47" s="43">
        <f t="shared" si="48"/>
        <v>16046886.715606881</v>
      </c>
      <c r="K47" s="42">
        <f t="shared" si="41"/>
        <v>1097083.503858089</v>
      </c>
      <c r="L47" s="43">
        <f t="shared" si="42"/>
        <v>172614.40593254825</v>
      </c>
      <c r="M47" s="42">
        <f t="shared" si="43"/>
        <v>924469.09792554076</v>
      </c>
      <c r="N47" s="43">
        <f t="shared" si="44"/>
        <v>15122417.617681341</v>
      </c>
      <c r="O47" s="40" t="s">
        <v>94</v>
      </c>
      <c r="P47" s="39">
        <v>21</v>
      </c>
      <c r="Q47" s="40">
        <v>22</v>
      </c>
      <c r="R47" s="43">
        <f t="shared" si="49"/>
        <v>16503987.142367657</v>
      </c>
      <c r="S47" s="42">
        <f t="shared" si="50"/>
        <v>1157921.2012898736</v>
      </c>
      <c r="T47" s="43">
        <f t="shared" si="45"/>
        <v>230018.20802787907</v>
      </c>
      <c r="U47" s="42">
        <f t="shared" si="46"/>
        <v>927902.99326199456</v>
      </c>
      <c r="V47" s="43">
        <f t="shared" si="47"/>
        <v>15576084.149105662</v>
      </c>
      <c r="W47" s="40" t="s">
        <v>94</v>
      </c>
    </row>
    <row r="48" spans="2:23" ht="14.25" customHeight="1">
      <c r="B48" s="27" t="s">
        <v>67</v>
      </c>
      <c r="C48" s="11">
        <v>250000</v>
      </c>
      <c r="E48" s="27" t="s">
        <v>107</v>
      </c>
      <c r="F48" s="48">
        <f>160*0.9</f>
        <v>144</v>
      </c>
      <c r="H48" s="39">
        <v>22</v>
      </c>
      <c r="I48" s="40">
        <v>23</v>
      </c>
      <c r="J48" s="43">
        <f t="shared" si="48"/>
        <v>15122417.617681341</v>
      </c>
      <c r="K48" s="42">
        <f t="shared" si="41"/>
        <v>1097083.503858089</v>
      </c>
      <c r="L48" s="43">
        <f t="shared" si="42"/>
        <v>162670.00444398943</v>
      </c>
      <c r="M48" s="42">
        <f t="shared" si="43"/>
        <v>934413.49941409961</v>
      </c>
      <c r="N48" s="43">
        <f t="shared" si="44"/>
        <v>14188004.118267242</v>
      </c>
      <c r="O48" s="40" t="s">
        <v>94</v>
      </c>
      <c r="P48" s="39">
        <v>22</v>
      </c>
      <c r="Q48" s="40">
        <v>23</v>
      </c>
      <c r="R48" s="43">
        <f t="shared" si="49"/>
        <v>15576084.149105662</v>
      </c>
      <c r="S48" s="42">
        <f t="shared" si="50"/>
        <v>1157921.2012898736</v>
      </c>
      <c r="T48" s="43">
        <f t="shared" si="45"/>
        <v>217085.90373724388</v>
      </c>
      <c r="U48" s="42">
        <f t="shared" si="46"/>
        <v>940835.29755262972</v>
      </c>
      <c r="V48" s="43">
        <f t="shared" si="47"/>
        <v>14635248.851553032</v>
      </c>
      <c r="W48" s="40" t="s">
        <v>94</v>
      </c>
    </row>
    <row r="49" spans="2:23" ht="14.25" customHeight="1">
      <c r="B49" s="27" t="s">
        <v>69</v>
      </c>
      <c r="C49" s="11">
        <f>C47/12</f>
        <v>166666.66666666666</v>
      </c>
      <c r="F49" s="49"/>
      <c r="H49" s="39">
        <v>23</v>
      </c>
      <c r="I49" s="40">
        <v>24</v>
      </c>
      <c r="J49" s="43">
        <f t="shared" si="48"/>
        <v>14188004.118267242</v>
      </c>
      <c r="K49" s="42">
        <f t="shared" si="41"/>
        <v>1097083.503858089</v>
      </c>
      <c r="L49" s="43">
        <f t="shared" si="42"/>
        <v>152618.63223981927</v>
      </c>
      <c r="M49" s="42">
        <f t="shared" si="43"/>
        <v>944464.87161826971</v>
      </c>
      <c r="N49" s="43">
        <f t="shared" si="44"/>
        <v>13243539.246648973</v>
      </c>
      <c r="O49" s="40" t="s">
        <v>94</v>
      </c>
      <c r="P49" s="39">
        <v>23</v>
      </c>
      <c r="Q49" s="40">
        <v>24</v>
      </c>
      <c r="R49" s="43">
        <f t="shared" si="49"/>
        <v>14635248.851553032</v>
      </c>
      <c r="S49" s="42">
        <f t="shared" si="50"/>
        <v>1157921.2012898736</v>
      </c>
      <c r="T49" s="43">
        <f t="shared" si="45"/>
        <v>203973.36024544213</v>
      </c>
      <c r="U49" s="42">
        <f t="shared" si="46"/>
        <v>953947.84104443144</v>
      </c>
      <c r="V49" s="43">
        <f t="shared" si="47"/>
        <v>13681301.010508601</v>
      </c>
      <c r="W49" s="40" t="s">
        <v>94</v>
      </c>
    </row>
    <row r="50" spans="2:23" ht="14.25" customHeight="1">
      <c r="B50" s="27" t="s">
        <v>71</v>
      </c>
      <c r="C50" s="11">
        <f>C47/12</f>
        <v>166666.66666666666</v>
      </c>
      <c r="E50" s="123" t="s">
        <v>108</v>
      </c>
      <c r="F50" s="124"/>
      <c r="H50" s="39">
        <v>24</v>
      </c>
      <c r="I50" s="40">
        <v>25</v>
      </c>
      <c r="J50" s="43">
        <f t="shared" si="48"/>
        <v>13243539.246648973</v>
      </c>
      <c r="K50" s="42">
        <f t="shared" si="41"/>
        <v>1097083.503858089</v>
      </c>
      <c r="L50" s="43">
        <f t="shared" si="42"/>
        <v>142459.13864907873</v>
      </c>
      <c r="M50" s="42">
        <f t="shared" si="43"/>
        <v>954624.3652090102</v>
      </c>
      <c r="N50" s="43">
        <f t="shared" si="44"/>
        <v>12288914.881439963</v>
      </c>
      <c r="O50" s="40" t="s">
        <v>94</v>
      </c>
      <c r="P50" s="39">
        <v>24</v>
      </c>
      <c r="Q50" s="40">
        <v>25</v>
      </c>
      <c r="R50" s="43">
        <f t="shared" si="49"/>
        <v>13681301.010508601</v>
      </c>
      <c r="S50" s="42">
        <f t="shared" si="50"/>
        <v>1157921.2012898736</v>
      </c>
      <c r="T50" s="43">
        <f t="shared" si="45"/>
        <v>190678.06553536488</v>
      </c>
      <c r="U50" s="42">
        <f t="shared" si="46"/>
        <v>967243.13575450866</v>
      </c>
      <c r="V50" s="43">
        <f t="shared" si="47"/>
        <v>12714057.874754092</v>
      </c>
      <c r="W50" s="40" t="s">
        <v>94</v>
      </c>
    </row>
    <row r="51" spans="2:23" ht="14.25" customHeight="1">
      <c r="B51" s="27" t="s">
        <v>74</v>
      </c>
      <c r="C51" s="11">
        <v>20000</v>
      </c>
      <c r="E51" s="27" t="s">
        <v>109</v>
      </c>
      <c r="F51" s="48">
        <f>ROUNDUP(C63/3,0)</f>
        <v>12</v>
      </c>
      <c r="H51" s="39">
        <v>25</v>
      </c>
      <c r="I51" s="40">
        <v>26</v>
      </c>
      <c r="J51" s="43">
        <f t="shared" si="48"/>
        <v>12288914.881439963</v>
      </c>
      <c r="K51" s="42">
        <f t="shared" si="41"/>
        <v>1097083.503858089</v>
      </c>
      <c r="L51" s="43">
        <f t="shared" si="42"/>
        <v>132190.3606231813</v>
      </c>
      <c r="M51" s="42">
        <f t="shared" si="43"/>
        <v>964893.14323490765</v>
      </c>
      <c r="N51" s="43">
        <f t="shared" si="44"/>
        <v>11324021.738205057</v>
      </c>
      <c r="O51" s="40" t="s">
        <v>94</v>
      </c>
      <c r="P51" s="39">
        <v>25</v>
      </c>
      <c r="Q51" s="40">
        <v>26</v>
      </c>
      <c r="R51" s="43">
        <f t="shared" si="49"/>
        <v>12714057.874754092</v>
      </c>
      <c r="S51" s="42">
        <f t="shared" si="50"/>
        <v>1157921.2012898736</v>
      </c>
      <c r="T51" s="43">
        <f t="shared" si="45"/>
        <v>177197.47257959496</v>
      </c>
      <c r="U51" s="42">
        <f t="shared" si="46"/>
        <v>980723.72871027864</v>
      </c>
      <c r="V51" s="43">
        <f t="shared" si="47"/>
        <v>11733334.146043813</v>
      </c>
      <c r="W51" s="40" t="s">
        <v>94</v>
      </c>
    </row>
    <row r="52" spans="2:23" ht="14.25" customHeight="1">
      <c r="B52" s="27" t="s">
        <v>76</v>
      </c>
      <c r="C52" s="11">
        <f>C47*0.085</f>
        <v>170000</v>
      </c>
      <c r="E52" s="27" t="s">
        <v>110</v>
      </c>
      <c r="F52" s="48">
        <f>F47/F44</f>
        <v>15</v>
      </c>
      <c r="H52" s="39">
        <v>26</v>
      </c>
      <c r="I52" s="40">
        <v>27</v>
      </c>
      <c r="J52" s="43">
        <f t="shared" si="48"/>
        <v>11324021.738205057</v>
      </c>
      <c r="K52" s="42">
        <f t="shared" si="41"/>
        <v>1097083.503858089</v>
      </c>
      <c r="L52" s="43">
        <f t="shared" si="42"/>
        <v>121811.12260276859</v>
      </c>
      <c r="M52" s="42">
        <f t="shared" si="43"/>
        <v>975272.38125532039</v>
      </c>
      <c r="N52" s="43">
        <f t="shared" si="44"/>
        <v>10348749.356949735</v>
      </c>
      <c r="O52" s="40" t="s">
        <v>94</v>
      </c>
      <c r="P52" s="39">
        <v>26</v>
      </c>
      <c r="Q52" s="40">
        <v>27</v>
      </c>
      <c r="R52" s="43">
        <f t="shared" si="49"/>
        <v>11733334.146043813</v>
      </c>
      <c r="S52" s="42">
        <f t="shared" si="50"/>
        <v>1157921.2012898736</v>
      </c>
      <c r="T52" s="43">
        <f t="shared" si="45"/>
        <v>163528.99885246408</v>
      </c>
      <c r="U52" s="42">
        <f t="shared" si="46"/>
        <v>994392.20243740943</v>
      </c>
      <c r="V52" s="43">
        <f t="shared" si="47"/>
        <v>10738941.943606403</v>
      </c>
      <c r="W52" s="40" t="s">
        <v>94</v>
      </c>
    </row>
    <row r="53" spans="2:23" ht="14.25" customHeight="1">
      <c r="B53" s="27" t="s">
        <v>78</v>
      </c>
      <c r="C53" s="11">
        <f>C47*0.00522</f>
        <v>10440</v>
      </c>
      <c r="E53" s="50" t="s">
        <v>111</v>
      </c>
      <c r="F53" s="48">
        <f>F48/F44</f>
        <v>18</v>
      </c>
      <c r="H53" s="39">
        <v>27</v>
      </c>
      <c r="I53" s="40">
        <v>28</v>
      </c>
      <c r="J53" s="43">
        <f t="shared" si="48"/>
        <v>10348749.356949735</v>
      </c>
      <c r="K53" s="42">
        <f t="shared" si="41"/>
        <v>1097083.503858089</v>
      </c>
      <c r="L53" s="43">
        <f t="shared" si="42"/>
        <v>111320.23638313329</v>
      </c>
      <c r="M53" s="42">
        <f t="shared" si="43"/>
        <v>985763.26747495565</v>
      </c>
      <c r="N53" s="43">
        <f t="shared" si="44"/>
        <v>9362986.0894747805</v>
      </c>
      <c r="O53" s="40" t="s">
        <v>94</v>
      </c>
      <c r="P53" s="39">
        <v>27</v>
      </c>
      <c r="Q53" s="40">
        <v>28</v>
      </c>
      <c r="R53" s="43">
        <f t="shared" si="49"/>
        <v>10738941.943606403</v>
      </c>
      <c r="S53" s="42">
        <f t="shared" si="50"/>
        <v>1157921.2012898736</v>
      </c>
      <c r="T53" s="43">
        <f t="shared" si="45"/>
        <v>149670.02583530892</v>
      </c>
      <c r="U53" s="42">
        <f t="shared" si="46"/>
        <v>1008251.1754545646</v>
      </c>
      <c r="V53" s="43">
        <f t="shared" si="47"/>
        <v>9730690.7681518383</v>
      </c>
      <c r="W53" s="40" t="s">
        <v>94</v>
      </c>
    </row>
    <row r="54" spans="2:23" ht="14.25" customHeight="1">
      <c r="B54" s="27" t="s">
        <v>80</v>
      </c>
      <c r="C54" s="11">
        <f>C47*0.12</f>
        <v>240000</v>
      </c>
      <c r="E54" s="49"/>
      <c r="F54" s="49"/>
      <c r="H54" s="39">
        <v>28</v>
      </c>
      <c r="I54" s="40">
        <v>29</v>
      </c>
      <c r="J54" s="43">
        <f t="shared" si="48"/>
        <v>9362986.0894747805</v>
      </c>
      <c r="K54" s="42">
        <f t="shared" si="41"/>
        <v>1097083.503858089</v>
      </c>
      <c r="L54" s="43">
        <f t="shared" si="42"/>
        <v>100716.50097819485</v>
      </c>
      <c r="M54" s="42">
        <f t="shared" si="43"/>
        <v>996367.00287989411</v>
      </c>
      <c r="N54" s="43">
        <f t="shared" si="44"/>
        <v>8366619.0865948861</v>
      </c>
      <c r="O54" s="40" t="s">
        <v>94</v>
      </c>
      <c r="P54" s="39">
        <v>28</v>
      </c>
      <c r="Q54" s="40">
        <v>29</v>
      </c>
      <c r="R54" s="43">
        <f t="shared" si="49"/>
        <v>9730690.7681518383</v>
      </c>
      <c r="S54" s="42">
        <f t="shared" si="50"/>
        <v>1157921.2012898736</v>
      </c>
      <c r="T54" s="43">
        <f t="shared" si="45"/>
        <v>135617.89851483217</v>
      </c>
      <c r="U54" s="42">
        <f t="shared" si="46"/>
        <v>1022303.3027750414</v>
      </c>
      <c r="V54" s="43">
        <f t="shared" si="47"/>
        <v>8708387.4653767962</v>
      </c>
      <c r="W54" s="40" t="s">
        <v>94</v>
      </c>
    </row>
    <row r="55" spans="2:23" ht="14.25" customHeight="1">
      <c r="B55" s="27" t="s">
        <v>81</v>
      </c>
      <c r="C55" s="11">
        <f>C47*0.09</f>
        <v>180000</v>
      </c>
      <c r="E55" s="127" t="s">
        <v>112</v>
      </c>
      <c r="F55" s="124"/>
      <c r="H55" s="39">
        <v>29</v>
      </c>
      <c r="I55" s="40">
        <v>30</v>
      </c>
      <c r="J55" s="43">
        <f t="shared" si="48"/>
        <v>8366619.0865948861</v>
      </c>
      <c r="K55" s="42">
        <f t="shared" si="41"/>
        <v>1097083.503858089</v>
      </c>
      <c r="L55" s="43">
        <f t="shared" si="42"/>
        <v>89998.702483011657</v>
      </c>
      <c r="M55" s="42">
        <f t="shared" si="43"/>
        <v>1007084.8013750773</v>
      </c>
      <c r="N55" s="43">
        <f t="shared" si="44"/>
        <v>7359534.285219809</v>
      </c>
      <c r="O55" s="40" t="s">
        <v>94</v>
      </c>
      <c r="P55" s="39">
        <v>29</v>
      </c>
      <c r="Q55" s="40">
        <v>30</v>
      </c>
      <c r="R55" s="43">
        <f t="shared" si="49"/>
        <v>8708387.4653767962</v>
      </c>
      <c r="S55" s="42">
        <f t="shared" si="50"/>
        <v>1157921.2012898736</v>
      </c>
      <c r="T55" s="43">
        <f t="shared" si="45"/>
        <v>121369.924874472</v>
      </c>
      <c r="U55" s="42">
        <f t="shared" si="46"/>
        <v>1036551.2764154016</v>
      </c>
      <c r="V55" s="43">
        <f t="shared" si="47"/>
        <v>7671836.1889613941</v>
      </c>
      <c r="W55" s="40" t="s">
        <v>94</v>
      </c>
    </row>
    <row r="56" spans="2:23" ht="14.25" customHeight="1">
      <c r="B56" s="27" t="s">
        <v>113</v>
      </c>
      <c r="C56" s="11">
        <f>SUM(C12:C55)</f>
        <v>25208300.000000007</v>
      </c>
      <c r="E56" s="50" t="s">
        <v>109</v>
      </c>
      <c r="F56" s="48">
        <f>C63</f>
        <v>34</v>
      </c>
      <c r="H56" s="39">
        <v>30</v>
      </c>
      <c r="I56" s="40">
        <v>31</v>
      </c>
      <c r="J56" s="43">
        <f t="shared" si="48"/>
        <v>7359534.285219809</v>
      </c>
      <c r="K56" s="42">
        <f t="shared" si="41"/>
        <v>1097083.503858089</v>
      </c>
      <c r="L56" s="43">
        <f t="shared" si="42"/>
        <v>79165.613934814537</v>
      </c>
      <c r="M56" s="42">
        <f t="shared" si="43"/>
        <v>1017917.8899232744</v>
      </c>
      <c r="N56" s="43">
        <f t="shared" si="44"/>
        <v>6341616.3952965345</v>
      </c>
      <c r="O56" s="40" t="s">
        <v>94</v>
      </c>
      <c r="P56" s="39">
        <v>30</v>
      </c>
      <c r="Q56" s="40">
        <v>31</v>
      </c>
      <c r="R56" s="43">
        <f t="shared" si="49"/>
        <v>7671836.1889613941</v>
      </c>
      <c r="S56" s="42">
        <f t="shared" si="50"/>
        <v>1157921.2012898736</v>
      </c>
      <c r="T56" s="43">
        <f t="shared" si="45"/>
        <v>106923.37537868289</v>
      </c>
      <c r="U56" s="42">
        <f t="shared" si="46"/>
        <v>1050997.8259111906</v>
      </c>
      <c r="V56" s="43">
        <f t="shared" si="47"/>
        <v>6620838.3630502038</v>
      </c>
      <c r="W56" s="40" t="s">
        <v>94</v>
      </c>
    </row>
    <row r="57" spans="2:23" ht="14.25" customHeight="1">
      <c r="C57" s="1"/>
      <c r="E57" s="50" t="s">
        <v>110</v>
      </c>
      <c r="F57" s="48">
        <f t="shared" ref="F57:F58" si="51">F52*3</f>
        <v>45</v>
      </c>
      <c r="H57" s="39">
        <v>31</v>
      </c>
      <c r="I57" s="40">
        <v>32</v>
      </c>
      <c r="J57" s="43">
        <f t="shared" si="48"/>
        <v>6341616.3952965345</v>
      </c>
      <c r="K57" s="42">
        <f t="shared" si="41"/>
        <v>1097083.503858089</v>
      </c>
      <c r="L57" s="43">
        <f t="shared" si="42"/>
        <v>68215.995172545241</v>
      </c>
      <c r="M57" s="42">
        <f t="shared" si="43"/>
        <v>1028867.5086855438</v>
      </c>
      <c r="N57" s="43">
        <f t="shared" si="44"/>
        <v>5312748.8866109904</v>
      </c>
      <c r="O57" s="40" t="s">
        <v>94</v>
      </c>
      <c r="P57" s="39">
        <v>31</v>
      </c>
      <c r="Q57" s="40">
        <v>32</v>
      </c>
      <c r="R57" s="43">
        <f t="shared" si="49"/>
        <v>6620838.3630502038</v>
      </c>
      <c r="S57" s="42">
        <f t="shared" si="50"/>
        <v>1157921.2012898736</v>
      </c>
      <c r="T57" s="43">
        <f t="shared" si="45"/>
        <v>92275.482450028576</v>
      </c>
      <c r="U57" s="42">
        <f t="shared" si="46"/>
        <v>1065645.7188398449</v>
      </c>
      <c r="V57" s="43">
        <f t="shared" si="47"/>
        <v>5555192.6442103591</v>
      </c>
      <c r="W57" s="40" t="s">
        <v>94</v>
      </c>
    </row>
    <row r="58" spans="2:23" ht="14.25" customHeight="1">
      <c r="B58" s="128" t="s">
        <v>114</v>
      </c>
      <c r="C58" s="124"/>
      <c r="E58" s="50" t="s">
        <v>111</v>
      </c>
      <c r="F58" s="48">
        <f t="shared" si="51"/>
        <v>54</v>
      </c>
      <c r="H58" s="39">
        <v>32</v>
      </c>
      <c r="I58" s="40">
        <v>33</v>
      </c>
      <c r="J58" s="43">
        <f t="shared" si="48"/>
        <v>5312748.8866109904</v>
      </c>
      <c r="K58" s="42">
        <f t="shared" si="41"/>
        <v>1097083.503858089</v>
      </c>
      <c r="L58" s="43">
        <f t="shared" si="42"/>
        <v>57148.59269488405</v>
      </c>
      <c r="M58" s="42">
        <f t="shared" si="43"/>
        <v>1039934.9111632049</v>
      </c>
      <c r="N58" s="43">
        <f t="shared" si="44"/>
        <v>4272813.9754477851</v>
      </c>
      <c r="O58" s="40" t="s">
        <v>94</v>
      </c>
      <c r="P58" s="39">
        <v>32</v>
      </c>
      <c r="Q58" s="40">
        <v>33</v>
      </c>
      <c r="R58" s="43">
        <f t="shared" si="49"/>
        <v>5555192.6442103591</v>
      </c>
      <c r="S58" s="42">
        <f t="shared" si="50"/>
        <v>1157921.2012898736</v>
      </c>
      <c r="T58" s="43">
        <f t="shared" si="45"/>
        <v>77423.439938987358</v>
      </c>
      <c r="U58" s="42">
        <f t="shared" si="46"/>
        <v>1080497.7613508862</v>
      </c>
      <c r="V58" s="43">
        <f t="shared" si="47"/>
        <v>4474694.8828594731</v>
      </c>
      <c r="W58" s="40" t="s">
        <v>94</v>
      </c>
    </row>
    <row r="59" spans="2:23" ht="14.25" customHeight="1">
      <c r="B59" s="13" t="s">
        <v>115</v>
      </c>
      <c r="C59" s="51">
        <f>C61*0.05</f>
        <v>39500</v>
      </c>
      <c r="F59" s="1"/>
      <c r="H59" s="39">
        <v>33</v>
      </c>
      <c r="I59" s="40">
        <v>34</v>
      </c>
      <c r="J59" s="43">
        <f t="shared" si="48"/>
        <v>4272813.9754477851</v>
      </c>
      <c r="K59" s="42">
        <f t="shared" si="41"/>
        <v>1097083.503858089</v>
      </c>
      <c r="L59" s="43">
        <f t="shared" si="42"/>
        <v>45962.139516750227</v>
      </c>
      <c r="M59" s="42">
        <f t="shared" si="43"/>
        <v>1051121.3643413389</v>
      </c>
      <c r="N59" s="43">
        <f t="shared" si="44"/>
        <v>3221692.611106446</v>
      </c>
      <c r="O59" s="40" t="s">
        <v>94</v>
      </c>
      <c r="P59" s="39">
        <v>33</v>
      </c>
      <c r="Q59" s="40">
        <v>34</v>
      </c>
      <c r="R59" s="43">
        <f t="shared" si="49"/>
        <v>4474694.8828594731</v>
      </c>
      <c r="S59" s="42">
        <f t="shared" si="50"/>
        <v>1157921.2012898736</v>
      </c>
      <c r="T59" s="43">
        <f t="shared" si="45"/>
        <v>62364.402586367905</v>
      </c>
      <c r="U59" s="42">
        <f t="shared" si="46"/>
        <v>1095556.7987035057</v>
      </c>
      <c r="V59" s="43">
        <f t="shared" si="47"/>
        <v>3379138.0841559675</v>
      </c>
      <c r="W59" s="40" t="s">
        <v>94</v>
      </c>
    </row>
    <row r="60" spans="2:23" ht="14.25" customHeight="1">
      <c r="C60" s="1"/>
      <c r="E60" s="128" t="s">
        <v>116</v>
      </c>
      <c r="F60" s="124"/>
      <c r="H60" s="39">
        <v>34</v>
      </c>
      <c r="I60" s="40">
        <v>35</v>
      </c>
      <c r="J60" s="43">
        <f t="shared" si="48"/>
        <v>3221692.611106446</v>
      </c>
      <c r="K60" s="42">
        <f t="shared" si="41"/>
        <v>1097083.503858089</v>
      </c>
      <c r="L60" s="43">
        <f t="shared" si="42"/>
        <v>34655.355024258839</v>
      </c>
      <c r="M60" s="42">
        <f t="shared" si="43"/>
        <v>1062428.1488338301</v>
      </c>
      <c r="N60" s="43">
        <f t="shared" si="44"/>
        <v>2159264.4622726161</v>
      </c>
      <c r="O60" s="40" t="s">
        <v>94</v>
      </c>
      <c r="P60" s="39">
        <v>34</v>
      </c>
      <c r="Q60" s="40">
        <v>35</v>
      </c>
      <c r="R60" s="43">
        <f t="shared" si="49"/>
        <v>3379138.0841559675</v>
      </c>
      <c r="S60" s="42">
        <f t="shared" si="50"/>
        <v>1157921.2012898736</v>
      </c>
      <c r="T60" s="43">
        <f t="shared" si="45"/>
        <v>47095.485478232753</v>
      </c>
      <c r="U60" s="42">
        <f t="shared" si="46"/>
        <v>1110825.7158116407</v>
      </c>
      <c r="V60" s="43">
        <f t="shared" si="47"/>
        <v>2268312.3683443265</v>
      </c>
      <c r="W60" s="40" t="s">
        <v>94</v>
      </c>
    </row>
    <row r="61" spans="2:23" ht="14.25" customHeight="1">
      <c r="B61" s="45" t="s">
        <v>117</v>
      </c>
      <c r="C61" s="11">
        <v>790000</v>
      </c>
      <c r="E61" s="13" t="s">
        <v>118</v>
      </c>
      <c r="F61" s="51">
        <f t="shared" ref="F61:F63" si="52">SUM($C$17:$C$25)/3</f>
        <v>4680660</v>
      </c>
      <c r="H61" s="39">
        <v>35</v>
      </c>
      <c r="I61" s="40">
        <v>36</v>
      </c>
      <c r="J61" s="43">
        <f t="shared" si="48"/>
        <v>2159264.4622726161</v>
      </c>
      <c r="K61" s="42">
        <f t="shared" si="41"/>
        <v>1097083.503858089</v>
      </c>
      <c r="L61" s="43">
        <f t="shared" si="42"/>
        <v>23226.94482811739</v>
      </c>
      <c r="M61" s="42">
        <f t="shared" si="43"/>
        <v>1073856.5590299715</v>
      </c>
      <c r="N61" s="43">
        <f t="shared" si="44"/>
        <v>1085407.9032426446</v>
      </c>
      <c r="O61" s="40" t="s">
        <v>94</v>
      </c>
      <c r="P61" s="39">
        <v>35</v>
      </c>
      <c r="Q61" s="40">
        <v>36</v>
      </c>
      <c r="R61" s="43">
        <f t="shared" si="49"/>
        <v>2268312.3683443265</v>
      </c>
      <c r="S61" s="42">
        <f t="shared" si="50"/>
        <v>1157921.2012898736</v>
      </c>
      <c r="T61" s="43">
        <f t="shared" si="45"/>
        <v>31613.763493224931</v>
      </c>
      <c r="U61" s="42">
        <f t="shared" si="46"/>
        <v>1126307.4377966486</v>
      </c>
      <c r="V61" s="43">
        <f t="shared" si="47"/>
        <v>1142004.9305476779</v>
      </c>
      <c r="W61" s="40" t="s">
        <v>94</v>
      </c>
    </row>
    <row r="62" spans="2:23" ht="14.25" customHeight="1">
      <c r="C62" s="1"/>
      <c r="E62" s="13" t="s">
        <v>119</v>
      </c>
      <c r="F62" s="51">
        <f t="shared" si="52"/>
        <v>4680660</v>
      </c>
      <c r="H62" s="39">
        <v>36</v>
      </c>
      <c r="I62" s="40">
        <v>37</v>
      </c>
      <c r="J62" s="43">
        <f t="shared" si="48"/>
        <v>1085407.9032426446</v>
      </c>
      <c r="K62" s="42">
        <f t="shared" si="41"/>
        <v>1097083.503858089</v>
      </c>
      <c r="L62" s="43">
        <f t="shared" si="42"/>
        <v>11675.600615445375</v>
      </c>
      <c r="M62" s="42">
        <f t="shared" si="43"/>
        <v>1085407.9032426437</v>
      </c>
      <c r="N62" s="43">
        <f t="shared" si="44"/>
        <v>0</v>
      </c>
      <c r="O62" s="40" t="s">
        <v>94</v>
      </c>
      <c r="P62" s="39">
        <v>36</v>
      </c>
      <c r="Q62" s="40">
        <v>37</v>
      </c>
      <c r="R62" s="43">
        <f t="shared" si="49"/>
        <v>1142004.9305476779</v>
      </c>
      <c r="S62" s="42">
        <f t="shared" si="50"/>
        <v>1157921.2012898736</v>
      </c>
      <c r="T62" s="43">
        <f t="shared" si="45"/>
        <v>15916.270742192004</v>
      </c>
      <c r="U62" s="42">
        <f t="shared" si="46"/>
        <v>1142004.9305476816</v>
      </c>
      <c r="V62" s="43">
        <f t="shared" si="47"/>
        <v>-3.7252902984619141E-9</v>
      </c>
      <c r="W62" s="40" t="s">
        <v>94</v>
      </c>
    </row>
    <row r="63" spans="2:23" ht="14.25" customHeight="1">
      <c r="B63" s="45" t="s">
        <v>120</v>
      </c>
      <c r="C63" s="24">
        <f>ROUNDUP(C56/(C61*0.95),0)</f>
        <v>34</v>
      </c>
      <c r="E63" s="13" t="s">
        <v>121</v>
      </c>
      <c r="F63" s="51">
        <f t="shared" si="52"/>
        <v>4680660</v>
      </c>
      <c r="I63" s="2"/>
      <c r="K63" s="52">
        <f t="shared" ref="K63:L63" si="53">SUM(K27:K62)</f>
        <v>39495006.138891213</v>
      </c>
      <c r="L63" s="17">
        <f t="shared" si="53"/>
        <v>6892012.6388912071</v>
      </c>
      <c r="M63" s="42">
        <f t="shared" si="43"/>
        <v>32602993.500000007</v>
      </c>
      <c r="S63" s="52">
        <f t="shared" ref="S63:U63" si="54">SUM(S27:S62)</f>
        <v>41685163.246435478</v>
      </c>
      <c r="T63" s="52">
        <f t="shared" si="54"/>
        <v>9082169.7464354467</v>
      </c>
      <c r="U63" s="53">
        <f t="shared" si="54"/>
        <v>32602993.499999989</v>
      </c>
    </row>
    <row r="64" spans="2:23" ht="14.25" customHeight="1">
      <c r="C64" s="1"/>
      <c r="F64" s="1"/>
      <c r="I64" s="2"/>
    </row>
    <row r="65" spans="3:17" ht="14.25" customHeight="1">
      <c r="C65" s="1"/>
      <c r="F65" s="1"/>
      <c r="I65" s="2"/>
    </row>
    <row r="66" spans="3:17" ht="14.25" customHeight="1">
      <c r="C66" s="1"/>
      <c r="F66" s="1"/>
      <c r="I66" s="2"/>
    </row>
    <row r="67" spans="3:17" ht="14.25" customHeight="1">
      <c r="C67" s="1"/>
      <c r="F67" s="1"/>
      <c r="I67" s="2"/>
    </row>
    <row r="68" spans="3:17" ht="14.25" customHeight="1">
      <c r="C68" s="1"/>
      <c r="F68" s="1"/>
      <c r="I68" s="2"/>
    </row>
    <row r="69" spans="3:17" ht="14.25" customHeight="1">
      <c r="C69" s="1"/>
      <c r="F69" s="1"/>
      <c r="I69" s="2"/>
    </row>
    <row r="70" spans="3:17" ht="14.25" customHeight="1">
      <c r="C70" s="1"/>
      <c r="F70" s="1"/>
      <c r="I70" s="2"/>
    </row>
    <row r="71" spans="3:17" ht="14.25" customHeight="1">
      <c r="C71" s="1"/>
      <c r="F71" s="1"/>
      <c r="I71" s="2"/>
    </row>
    <row r="72" spans="3:17" ht="14.25" customHeight="1">
      <c r="C72" s="1"/>
      <c r="F72" s="1"/>
      <c r="I72" s="2"/>
    </row>
    <row r="73" spans="3:17" ht="14.25" customHeight="1">
      <c r="C73" s="1"/>
      <c r="F73" s="1"/>
      <c r="I73" s="2"/>
    </row>
    <row r="74" spans="3:17" ht="14.25" customHeight="1">
      <c r="C74" s="1"/>
      <c r="F74" s="1"/>
      <c r="I74" s="2"/>
      <c r="Q74">
        <v>4853625.7224922404</v>
      </c>
    </row>
    <row r="75" spans="3:17" ht="14.25" customHeight="1">
      <c r="C75" s="1"/>
      <c r="F75" s="1"/>
      <c r="I75" s="2"/>
    </row>
    <row r="76" spans="3:17" ht="14.25" customHeight="1">
      <c r="C76" s="1"/>
      <c r="F76" s="1"/>
      <c r="I76" s="2"/>
    </row>
    <row r="77" spans="3:17" ht="14.25" customHeight="1">
      <c r="C77" s="1"/>
      <c r="F77" s="1"/>
      <c r="I77" s="2"/>
    </row>
    <row r="78" spans="3:17" ht="14.25" customHeight="1">
      <c r="C78" s="1"/>
      <c r="F78" s="1"/>
      <c r="I78" s="2"/>
    </row>
    <row r="79" spans="3:17" ht="14.25" customHeight="1">
      <c r="C79" s="1"/>
      <c r="F79" s="1"/>
      <c r="I79" s="2"/>
    </row>
    <row r="80" spans="3:17" ht="14.25" customHeight="1">
      <c r="C80" s="1"/>
      <c r="F80" s="1"/>
      <c r="I80" s="2"/>
    </row>
    <row r="81" spans="3:9" ht="14.25" customHeight="1">
      <c r="C81" s="1"/>
      <c r="F81" s="1"/>
      <c r="I81" s="2"/>
    </row>
    <row r="82" spans="3:9" ht="14.25" customHeight="1">
      <c r="C82" s="1"/>
      <c r="F82" s="1"/>
      <c r="I82" s="2"/>
    </row>
    <row r="83" spans="3:9" ht="14.25" customHeight="1">
      <c r="C83" s="1"/>
      <c r="F83" s="1"/>
      <c r="I83" s="2"/>
    </row>
    <row r="84" spans="3:9" ht="14.25" customHeight="1">
      <c r="C84" s="1"/>
      <c r="F84" s="1"/>
      <c r="I84" s="2"/>
    </row>
    <row r="85" spans="3:9" ht="14.25" customHeight="1">
      <c r="C85" s="1"/>
      <c r="F85" s="1"/>
      <c r="I85" s="2"/>
    </row>
    <row r="86" spans="3:9" ht="14.25" customHeight="1">
      <c r="C86" s="1"/>
      <c r="F86" s="1"/>
      <c r="I86" s="2"/>
    </row>
    <row r="87" spans="3:9" ht="14.25" customHeight="1">
      <c r="C87" s="1"/>
      <c r="F87" s="1"/>
      <c r="I87" s="2"/>
    </row>
    <row r="88" spans="3:9" ht="14.25" customHeight="1">
      <c r="C88" s="1"/>
      <c r="F88" s="1"/>
      <c r="I88" s="2"/>
    </row>
    <row r="89" spans="3:9" ht="14.25" customHeight="1">
      <c r="C89" s="1"/>
      <c r="F89" s="1"/>
      <c r="I89" s="2"/>
    </row>
    <row r="90" spans="3:9" ht="14.25" customHeight="1">
      <c r="C90" s="1"/>
      <c r="F90" s="1"/>
      <c r="I90" s="2"/>
    </row>
    <row r="91" spans="3:9" ht="14.25" customHeight="1">
      <c r="C91" s="1"/>
      <c r="F91" s="1"/>
      <c r="I91" s="2"/>
    </row>
    <row r="92" spans="3:9" ht="14.25" customHeight="1">
      <c r="C92" s="1"/>
      <c r="F92" s="1"/>
      <c r="I92" s="2"/>
    </row>
    <row r="93" spans="3:9" ht="14.25" customHeight="1">
      <c r="C93" s="1"/>
      <c r="F93" s="1"/>
      <c r="I93" s="2"/>
    </row>
    <row r="94" spans="3:9" ht="14.25" customHeight="1">
      <c r="C94" s="1"/>
      <c r="F94" s="1"/>
      <c r="I94" s="2"/>
    </row>
    <row r="95" spans="3:9" ht="14.25" customHeight="1">
      <c r="C95" s="1"/>
      <c r="F95" s="1"/>
      <c r="I95" s="2"/>
    </row>
    <row r="96" spans="3:9" ht="14.25" customHeight="1">
      <c r="C96" s="1"/>
      <c r="F96" s="1"/>
      <c r="I96" s="2"/>
    </row>
    <row r="97" spans="3:9" ht="14.25" customHeight="1">
      <c r="C97" s="1"/>
      <c r="F97" s="1"/>
      <c r="I97" s="2"/>
    </row>
    <row r="98" spans="3:9" ht="14.25" customHeight="1">
      <c r="C98" s="1"/>
      <c r="F98" s="1"/>
      <c r="I98" s="2"/>
    </row>
    <row r="99" spans="3:9" ht="14.25" customHeight="1">
      <c r="C99" s="1"/>
      <c r="F99" s="1"/>
      <c r="I99" s="2"/>
    </row>
    <row r="100" spans="3:9" ht="14.25" customHeight="1">
      <c r="C100" s="1"/>
      <c r="F100" s="1"/>
      <c r="I100" s="2"/>
    </row>
    <row r="101" spans="3:9" ht="14.25" customHeight="1">
      <c r="C101" s="1"/>
      <c r="F101" s="1"/>
      <c r="I101" s="2"/>
    </row>
    <row r="102" spans="3:9" ht="14.25" customHeight="1">
      <c r="C102" s="1"/>
      <c r="F102" s="1"/>
      <c r="I102" s="2"/>
    </row>
    <row r="103" spans="3:9" ht="14.25" customHeight="1">
      <c r="C103" s="1"/>
      <c r="F103" s="1"/>
      <c r="I103" s="2"/>
    </row>
    <row r="104" spans="3:9" ht="14.25" customHeight="1">
      <c r="C104" s="1"/>
      <c r="F104" s="1"/>
      <c r="I104" s="2"/>
    </row>
    <row r="105" spans="3:9" ht="14.25" customHeight="1">
      <c r="C105" s="1"/>
      <c r="F105" s="1"/>
      <c r="I105" s="2"/>
    </row>
    <row r="106" spans="3:9" ht="14.25" customHeight="1">
      <c r="C106" s="1"/>
      <c r="F106" s="1"/>
      <c r="I106" s="2"/>
    </row>
    <row r="107" spans="3:9" ht="14.25" customHeight="1">
      <c r="C107" s="1"/>
      <c r="F107" s="1"/>
      <c r="I107" s="2"/>
    </row>
    <row r="108" spans="3:9" ht="14.25" customHeight="1">
      <c r="C108" s="1"/>
      <c r="F108" s="1"/>
      <c r="I108" s="2"/>
    </row>
    <row r="109" spans="3:9" ht="14.25" customHeight="1">
      <c r="C109" s="1"/>
      <c r="F109" s="1"/>
      <c r="I109" s="2"/>
    </row>
    <row r="110" spans="3:9" ht="14.25" customHeight="1">
      <c r="C110" s="1"/>
      <c r="F110" s="1"/>
      <c r="I110" s="2"/>
    </row>
    <row r="111" spans="3:9" ht="14.25" customHeight="1">
      <c r="C111" s="1"/>
      <c r="F111" s="1"/>
      <c r="I111" s="2"/>
    </row>
    <row r="112" spans="3:9" ht="14.25" customHeight="1">
      <c r="C112" s="1"/>
      <c r="F112" s="1"/>
      <c r="I112" s="2"/>
    </row>
    <row r="113" spans="3:9" ht="14.25" customHeight="1">
      <c r="C113" s="1"/>
      <c r="F113" s="1"/>
      <c r="I113" s="2"/>
    </row>
    <row r="114" spans="3:9" ht="14.25" customHeight="1">
      <c r="C114" s="1"/>
      <c r="F114" s="1"/>
      <c r="I114" s="2"/>
    </row>
    <row r="115" spans="3:9" ht="14.25" customHeight="1">
      <c r="C115" s="1"/>
      <c r="F115" s="1"/>
      <c r="I115" s="2"/>
    </row>
    <row r="116" spans="3:9" ht="14.25" customHeight="1">
      <c r="C116" s="1"/>
      <c r="F116" s="1"/>
      <c r="I116" s="2"/>
    </row>
    <row r="117" spans="3:9" ht="14.25" customHeight="1">
      <c r="C117" s="1"/>
      <c r="F117" s="1"/>
      <c r="I117" s="2"/>
    </row>
    <row r="118" spans="3:9" ht="14.25" customHeight="1">
      <c r="C118" s="1"/>
      <c r="F118" s="1"/>
      <c r="I118" s="2"/>
    </row>
    <row r="119" spans="3:9" ht="14.25" customHeight="1">
      <c r="C119" s="1"/>
      <c r="F119" s="1"/>
      <c r="I119" s="2"/>
    </row>
    <row r="120" spans="3:9" ht="14.25" customHeight="1">
      <c r="C120" s="1"/>
      <c r="F120" s="1"/>
      <c r="I120" s="2"/>
    </row>
    <row r="121" spans="3:9" ht="14.25" customHeight="1">
      <c r="C121" s="1"/>
      <c r="F121" s="1"/>
      <c r="I121" s="2"/>
    </row>
    <row r="122" spans="3:9" ht="14.25" customHeight="1">
      <c r="C122" s="1"/>
      <c r="F122" s="1"/>
      <c r="I122" s="2"/>
    </row>
    <row r="123" spans="3:9" ht="14.25" customHeight="1">
      <c r="C123" s="1"/>
      <c r="F123" s="1"/>
      <c r="I123" s="2"/>
    </row>
    <row r="124" spans="3:9" ht="14.25" customHeight="1">
      <c r="C124" s="1"/>
      <c r="F124" s="1"/>
      <c r="I124" s="2"/>
    </row>
    <row r="125" spans="3:9" ht="14.25" customHeight="1">
      <c r="C125" s="1"/>
      <c r="F125" s="1"/>
      <c r="I125" s="2"/>
    </row>
    <row r="126" spans="3:9" ht="14.25" customHeight="1">
      <c r="C126" s="1"/>
      <c r="F126" s="1"/>
      <c r="I126" s="2"/>
    </row>
    <row r="127" spans="3:9" ht="14.25" customHeight="1">
      <c r="C127" s="1"/>
      <c r="F127" s="1"/>
      <c r="I127" s="2"/>
    </row>
    <row r="128" spans="3:9" ht="14.25" customHeight="1">
      <c r="C128" s="1"/>
      <c r="F128" s="1"/>
      <c r="I128" s="2"/>
    </row>
    <row r="129" spans="3:9" ht="14.25" customHeight="1">
      <c r="C129" s="1"/>
      <c r="F129" s="1"/>
      <c r="I129" s="2"/>
    </row>
    <row r="130" spans="3:9" ht="14.25" customHeight="1">
      <c r="C130" s="1"/>
      <c r="F130" s="1"/>
      <c r="I130" s="2"/>
    </row>
    <row r="131" spans="3:9" ht="14.25" customHeight="1">
      <c r="C131" s="1"/>
      <c r="F131" s="1"/>
      <c r="I131" s="2"/>
    </row>
    <row r="132" spans="3:9" ht="14.25" customHeight="1">
      <c r="C132" s="1"/>
      <c r="F132" s="1"/>
      <c r="I132" s="2"/>
    </row>
    <row r="133" spans="3:9" ht="14.25" customHeight="1">
      <c r="C133" s="1"/>
      <c r="F133" s="1"/>
      <c r="I133" s="2"/>
    </row>
    <row r="134" spans="3:9" ht="14.25" customHeight="1">
      <c r="C134" s="1"/>
      <c r="F134" s="1"/>
      <c r="I134" s="2"/>
    </row>
    <row r="135" spans="3:9" ht="14.25" customHeight="1">
      <c r="C135" s="1"/>
      <c r="F135" s="1"/>
      <c r="I135" s="2"/>
    </row>
    <row r="136" spans="3:9" ht="14.25" customHeight="1">
      <c r="C136" s="1"/>
      <c r="F136" s="1"/>
      <c r="I136" s="2"/>
    </row>
    <row r="137" spans="3:9" ht="14.25" customHeight="1">
      <c r="C137" s="1"/>
      <c r="F137" s="1"/>
      <c r="I137" s="2"/>
    </row>
    <row r="138" spans="3:9" ht="14.25" customHeight="1">
      <c r="C138" s="1"/>
      <c r="F138" s="1"/>
      <c r="I138" s="2"/>
    </row>
    <row r="139" spans="3:9" ht="14.25" customHeight="1">
      <c r="C139" s="1"/>
      <c r="F139" s="1"/>
      <c r="I139" s="2"/>
    </row>
    <row r="140" spans="3:9" ht="14.25" customHeight="1">
      <c r="C140" s="1"/>
      <c r="F140" s="1"/>
      <c r="I140" s="2"/>
    </row>
    <row r="141" spans="3:9" ht="14.25" customHeight="1">
      <c r="C141" s="1"/>
      <c r="F141" s="1"/>
      <c r="I141" s="2"/>
    </row>
    <row r="142" spans="3:9" ht="14.25" customHeight="1">
      <c r="C142" s="1"/>
      <c r="F142" s="1"/>
      <c r="I142" s="2"/>
    </row>
    <row r="143" spans="3:9" ht="14.25" customHeight="1">
      <c r="C143" s="1"/>
      <c r="F143" s="1"/>
      <c r="I143" s="2"/>
    </row>
    <row r="144" spans="3:9" ht="14.25" customHeight="1">
      <c r="C144" s="1"/>
      <c r="F144" s="1"/>
      <c r="I144" s="2"/>
    </row>
    <row r="145" spans="3:9" ht="14.25" customHeight="1">
      <c r="C145" s="1"/>
      <c r="F145" s="1"/>
      <c r="I145" s="2"/>
    </row>
    <row r="146" spans="3:9" ht="14.25" customHeight="1">
      <c r="C146" s="1"/>
      <c r="F146" s="1"/>
      <c r="I146" s="2"/>
    </row>
    <row r="147" spans="3:9" ht="14.25" customHeight="1">
      <c r="C147" s="1"/>
      <c r="F147" s="1"/>
      <c r="I147" s="2"/>
    </row>
    <row r="148" spans="3:9" ht="14.25" customHeight="1">
      <c r="C148" s="1"/>
      <c r="F148" s="1"/>
      <c r="I148" s="2"/>
    </row>
    <row r="149" spans="3:9" ht="14.25" customHeight="1">
      <c r="C149" s="1"/>
      <c r="F149" s="1"/>
      <c r="I149" s="2"/>
    </row>
    <row r="150" spans="3:9" ht="14.25" customHeight="1">
      <c r="C150" s="1"/>
      <c r="F150" s="1"/>
      <c r="I150" s="2"/>
    </row>
    <row r="151" spans="3:9" ht="14.25" customHeight="1">
      <c r="C151" s="1"/>
      <c r="F151" s="1"/>
      <c r="I151" s="2"/>
    </row>
    <row r="152" spans="3:9" ht="14.25" customHeight="1">
      <c r="C152" s="1"/>
      <c r="F152" s="1"/>
      <c r="I152" s="2"/>
    </row>
    <row r="153" spans="3:9" ht="14.25" customHeight="1">
      <c r="C153" s="1"/>
      <c r="F153" s="1"/>
      <c r="I153" s="2"/>
    </row>
    <row r="154" spans="3:9" ht="14.25" customHeight="1">
      <c r="C154" s="1"/>
      <c r="F154" s="1"/>
      <c r="I154" s="2"/>
    </row>
    <row r="155" spans="3:9" ht="14.25" customHeight="1">
      <c r="C155" s="1"/>
      <c r="F155" s="1"/>
      <c r="I155" s="2"/>
    </row>
    <row r="156" spans="3:9" ht="14.25" customHeight="1">
      <c r="C156" s="1"/>
      <c r="F156" s="1"/>
      <c r="I156" s="2"/>
    </row>
    <row r="157" spans="3:9" ht="14.25" customHeight="1">
      <c r="C157" s="1"/>
      <c r="F157" s="1"/>
      <c r="I157" s="2"/>
    </row>
    <row r="158" spans="3:9" ht="14.25" customHeight="1">
      <c r="C158" s="1"/>
      <c r="F158" s="1"/>
      <c r="I158" s="2"/>
    </row>
    <row r="159" spans="3:9" ht="14.25" customHeight="1">
      <c r="C159" s="1"/>
      <c r="F159" s="1"/>
      <c r="I159" s="2"/>
    </row>
    <row r="160" spans="3:9" ht="14.25" customHeight="1">
      <c r="C160" s="1"/>
      <c r="F160" s="1"/>
      <c r="I160" s="2"/>
    </row>
    <row r="161" spans="3:9" ht="14.25" customHeight="1">
      <c r="C161" s="1"/>
      <c r="F161" s="1"/>
      <c r="I161" s="2"/>
    </row>
    <row r="162" spans="3:9" ht="14.25" customHeight="1">
      <c r="C162" s="1"/>
      <c r="F162" s="1"/>
      <c r="I162" s="2"/>
    </row>
    <row r="163" spans="3:9" ht="14.25" customHeight="1">
      <c r="C163" s="1"/>
      <c r="F163" s="1"/>
      <c r="I163" s="2"/>
    </row>
    <row r="164" spans="3:9" ht="14.25" customHeight="1">
      <c r="C164" s="1"/>
      <c r="F164" s="1"/>
      <c r="I164" s="2"/>
    </row>
    <row r="165" spans="3:9" ht="14.25" customHeight="1">
      <c r="C165" s="1"/>
      <c r="F165" s="1"/>
      <c r="I165" s="2"/>
    </row>
    <row r="166" spans="3:9" ht="14.25" customHeight="1">
      <c r="C166" s="1"/>
      <c r="F166" s="1"/>
      <c r="I166" s="2"/>
    </row>
    <row r="167" spans="3:9" ht="14.25" customHeight="1">
      <c r="C167" s="1"/>
      <c r="F167" s="1"/>
      <c r="I167" s="2"/>
    </row>
    <row r="168" spans="3:9" ht="14.25" customHeight="1">
      <c r="C168" s="1"/>
      <c r="F168" s="1"/>
      <c r="I168" s="2"/>
    </row>
    <row r="169" spans="3:9" ht="14.25" customHeight="1">
      <c r="C169" s="1"/>
      <c r="F169" s="1"/>
      <c r="I169" s="2"/>
    </row>
    <row r="170" spans="3:9" ht="14.25" customHeight="1">
      <c r="C170" s="1"/>
      <c r="F170" s="1"/>
      <c r="I170" s="2"/>
    </row>
    <row r="171" spans="3:9" ht="14.25" customHeight="1">
      <c r="C171" s="1"/>
      <c r="F171" s="1"/>
      <c r="I171" s="2"/>
    </row>
    <row r="172" spans="3:9" ht="14.25" customHeight="1">
      <c r="C172" s="1"/>
      <c r="F172" s="1"/>
      <c r="I172" s="2"/>
    </row>
    <row r="173" spans="3:9" ht="14.25" customHeight="1">
      <c r="C173" s="1"/>
      <c r="F173" s="1"/>
      <c r="I173" s="2"/>
    </row>
    <row r="174" spans="3:9" ht="14.25" customHeight="1">
      <c r="C174" s="1"/>
      <c r="F174" s="1"/>
      <c r="I174" s="2"/>
    </row>
    <row r="175" spans="3:9" ht="14.25" customHeight="1">
      <c r="C175" s="1"/>
      <c r="F175" s="1"/>
      <c r="I175" s="2"/>
    </row>
    <row r="176" spans="3:9" ht="14.25" customHeight="1">
      <c r="C176" s="1"/>
      <c r="F176" s="1"/>
      <c r="I176" s="2"/>
    </row>
    <row r="177" spans="3:9" ht="14.25" customHeight="1">
      <c r="C177" s="1"/>
      <c r="F177" s="1"/>
      <c r="I177" s="2"/>
    </row>
    <row r="178" spans="3:9" ht="14.25" customHeight="1">
      <c r="C178" s="1"/>
      <c r="F178" s="1"/>
      <c r="I178" s="2"/>
    </row>
    <row r="179" spans="3:9" ht="14.25" customHeight="1">
      <c r="C179" s="1"/>
      <c r="F179" s="1"/>
      <c r="I179" s="2"/>
    </row>
    <row r="180" spans="3:9" ht="14.25" customHeight="1">
      <c r="C180" s="1"/>
      <c r="F180" s="1"/>
      <c r="I180" s="2"/>
    </row>
    <row r="181" spans="3:9" ht="14.25" customHeight="1">
      <c r="C181" s="1"/>
      <c r="F181" s="1"/>
      <c r="I181" s="2"/>
    </row>
    <row r="182" spans="3:9" ht="14.25" customHeight="1">
      <c r="C182" s="1"/>
      <c r="F182" s="1"/>
      <c r="I182" s="2"/>
    </row>
    <row r="183" spans="3:9" ht="14.25" customHeight="1">
      <c r="C183" s="1"/>
      <c r="F183" s="1"/>
      <c r="I183" s="2"/>
    </row>
    <row r="184" spans="3:9" ht="14.25" customHeight="1">
      <c r="C184" s="1"/>
      <c r="F184" s="1"/>
      <c r="I184" s="2"/>
    </row>
    <row r="185" spans="3:9" ht="14.25" customHeight="1">
      <c r="C185" s="1"/>
      <c r="F185" s="1"/>
      <c r="I185" s="2"/>
    </row>
    <row r="186" spans="3:9" ht="14.25" customHeight="1">
      <c r="C186" s="1"/>
      <c r="F186" s="1"/>
      <c r="I186" s="2"/>
    </row>
    <row r="187" spans="3:9" ht="14.25" customHeight="1">
      <c r="C187" s="1"/>
      <c r="F187" s="1"/>
      <c r="I187" s="2"/>
    </row>
    <row r="188" spans="3:9" ht="14.25" customHeight="1">
      <c r="C188" s="1"/>
      <c r="F188" s="1"/>
      <c r="I188" s="2"/>
    </row>
    <row r="189" spans="3:9" ht="14.25" customHeight="1">
      <c r="C189" s="1"/>
      <c r="F189" s="1"/>
      <c r="I189" s="2"/>
    </row>
    <row r="190" spans="3:9" ht="14.25" customHeight="1">
      <c r="C190" s="1"/>
      <c r="F190" s="1"/>
      <c r="I190" s="2"/>
    </row>
    <row r="191" spans="3:9" ht="14.25" customHeight="1">
      <c r="C191" s="1"/>
      <c r="F191" s="1"/>
      <c r="I191" s="2"/>
    </row>
    <row r="192" spans="3:9" ht="14.25" customHeight="1">
      <c r="C192" s="1"/>
      <c r="F192" s="1"/>
      <c r="I192" s="2"/>
    </row>
    <row r="193" spans="3:9" ht="14.25" customHeight="1">
      <c r="C193" s="1"/>
      <c r="F193" s="1"/>
      <c r="I193" s="2"/>
    </row>
    <row r="194" spans="3:9" ht="14.25" customHeight="1">
      <c r="C194" s="1"/>
      <c r="F194" s="1"/>
      <c r="I194" s="2"/>
    </row>
    <row r="195" spans="3:9" ht="14.25" customHeight="1">
      <c r="C195" s="1"/>
      <c r="F195" s="1"/>
      <c r="I195" s="2"/>
    </row>
    <row r="196" spans="3:9" ht="14.25" customHeight="1">
      <c r="C196" s="1"/>
      <c r="F196" s="1"/>
      <c r="I196" s="2"/>
    </row>
    <row r="197" spans="3:9" ht="14.25" customHeight="1">
      <c r="C197" s="1"/>
      <c r="F197" s="1"/>
      <c r="I197" s="2"/>
    </row>
    <row r="198" spans="3:9" ht="14.25" customHeight="1">
      <c r="C198" s="1"/>
      <c r="F198" s="1"/>
      <c r="I198" s="2"/>
    </row>
    <row r="199" spans="3:9" ht="14.25" customHeight="1">
      <c r="C199" s="1"/>
      <c r="F199" s="1"/>
      <c r="I199" s="2"/>
    </row>
    <row r="200" spans="3:9" ht="14.25" customHeight="1">
      <c r="C200" s="1"/>
      <c r="F200" s="1"/>
      <c r="I200" s="2"/>
    </row>
    <row r="201" spans="3:9" ht="14.25" customHeight="1">
      <c r="C201" s="1"/>
      <c r="F201" s="1"/>
      <c r="I201" s="2"/>
    </row>
    <row r="202" spans="3:9" ht="14.25" customHeight="1">
      <c r="C202" s="1"/>
      <c r="F202" s="1"/>
      <c r="I202" s="2"/>
    </row>
    <row r="203" spans="3:9" ht="14.25" customHeight="1">
      <c r="C203" s="1"/>
      <c r="F203" s="1"/>
      <c r="I203" s="2"/>
    </row>
    <row r="204" spans="3:9" ht="14.25" customHeight="1">
      <c r="C204" s="1"/>
      <c r="F204" s="1"/>
      <c r="I204" s="2"/>
    </row>
    <row r="205" spans="3:9" ht="14.25" customHeight="1">
      <c r="C205" s="1"/>
      <c r="F205" s="1"/>
      <c r="I205" s="2"/>
    </row>
    <row r="206" spans="3:9" ht="14.25" customHeight="1">
      <c r="C206" s="1"/>
      <c r="F206" s="1"/>
      <c r="I206" s="2"/>
    </row>
    <row r="207" spans="3:9" ht="14.25" customHeight="1">
      <c r="C207" s="1"/>
      <c r="F207" s="1"/>
      <c r="I207" s="2"/>
    </row>
    <row r="208" spans="3:9" ht="14.25" customHeight="1">
      <c r="C208" s="1"/>
      <c r="F208" s="1"/>
      <c r="I208" s="2"/>
    </row>
    <row r="209" spans="3:9" ht="14.25" customHeight="1">
      <c r="C209" s="1"/>
      <c r="F209" s="1"/>
      <c r="I209" s="2"/>
    </row>
    <row r="210" spans="3:9" ht="14.25" customHeight="1">
      <c r="C210" s="1"/>
      <c r="F210" s="1"/>
      <c r="I210" s="2"/>
    </row>
    <row r="211" spans="3:9" ht="14.25" customHeight="1">
      <c r="C211" s="1"/>
      <c r="F211" s="1"/>
      <c r="I211" s="2"/>
    </row>
    <row r="212" spans="3:9" ht="14.25" customHeight="1">
      <c r="C212" s="1"/>
      <c r="F212" s="1"/>
      <c r="I212" s="2"/>
    </row>
    <row r="213" spans="3:9" ht="14.25" customHeight="1">
      <c r="C213" s="1"/>
      <c r="F213" s="1"/>
      <c r="I213" s="2"/>
    </row>
    <row r="214" spans="3:9" ht="14.25" customHeight="1">
      <c r="C214" s="1"/>
      <c r="F214" s="1"/>
      <c r="I214" s="2"/>
    </row>
    <row r="215" spans="3:9" ht="14.25" customHeight="1">
      <c r="C215" s="1"/>
      <c r="F215" s="1"/>
      <c r="I215" s="2"/>
    </row>
    <row r="216" spans="3:9" ht="14.25" customHeight="1">
      <c r="C216" s="1"/>
      <c r="F216" s="1"/>
      <c r="I216" s="2"/>
    </row>
    <row r="217" spans="3:9" ht="14.25" customHeight="1">
      <c r="C217" s="1"/>
      <c r="F217" s="1"/>
      <c r="I217" s="2"/>
    </row>
    <row r="218" spans="3:9" ht="14.25" customHeight="1">
      <c r="C218" s="1"/>
      <c r="F218" s="1"/>
      <c r="I218" s="2"/>
    </row>
    <row r="219" spans="3:9" ht="14.25" customHeight="1">
      <c r="C219" s="1"/>
      <c r="F219" s="1"/>
      <c r="I219" s="2"/>
    </row>
    <row r="220" spans="3:9" ht="14.25" customHeight="1">
      <c r="C220" s="1"/>
      <c r="F220" s="1"/>
      <c r="I220" s="2"/>
    </row>
    <row r="221" spans="3:9" ht="14.25" customHeight="1">
      <c r="C221" s="1"/>
      <c r="F221" s="1"/>
      <c r="I221" s="2"/>
    </row>
    <row r="222" spans="3:9" ht="14.25" customHeight="1">
      <c r="C222" s="1"/>
      <c r="F222" s="1"/>
      <c r="I222" s="2"/>
    </row>
    <row r="223" spans="3:9" ht="14.25" customHeight="1">
      <c r="C223" s="1"/>
      <c r="F223" s="1"/>
      <c r="I223" s="2"/>
    </row>
    <row r="224" spans="3:9" ht="14.25" customHeight="1">
      <c r="C224" s="1"/>
      <c r="F224" s="1"/>
      <c r="I224" s="2"/>
    </row>
    <row r="225" spans="3:9" ht="14.25" customHeight="1">
      <c r="C225" s="1"/>
      <c r="F225" s="1"/>
      <c r="I225" s="2"/>
    </row>
    <row r="226" spans="3:9" ht="14.25" customHeight="1">
      <c r="C226" s="1"/>
      <c r="F226" s="1"/>
      <c r="I226" s="2"/>
    </row>
    <row r="227" spans="3:9" ht="14.25" customHeight="1">
      <c r="C227" s="1"/>
      <c r="F227" s="1"/>
      <c r="I227" s="2"/>
    </row>
    <row r="228" spans="3:9" ht="14.25" customHeight="1">
      <c r="C228" s="1"/>
      <c r="F228" s="1"/>
      <c r="I228" s="2"/>
    </row>
    <row r="229" spans="3:9" ht="14.25" customHeight="1">
      <c r="C229" s="1"/>
      <c r="F229" s="1"/>
      <c r="I229" s="2"/>
    </row>
    <row r="230" spans="3:9" ht="14.25" customHeight="1">
      <c r="C230" s="1"/>
      <c r="F230" s="1"/>
      <c r="I230" s="2"/>
    </row>
    <row r="231" spans="3:9" ht="14.25" customHeight="1">
      <c r="C231" s="1"/>
      <c r="F231" s="1"/>
      <c r="I231" s="2"/>
    </row>
    <row r="232" spans="3:9" ht="14.25" customHeight="1">
      <c r="C232" s="1"/>
      <c r="F232" s="1"/>
      <c r="I232" s="2"/>
    </row>
    <row r="233" spans="3:9" ht="14.25" customHeight="1">
      <c r="C233" s="1"/>
      <c r="F233" s="1"/>
      <c r="I233" s="2"/>
    </row>
    <row r="234" spans="3:9" ht="14.25" customHeight="1">
      <c r="C234" s="1"/>
      <c r="F234" s="1"/>
      <c r="I234" s="2"/>
    </row>
    <row r="235" spans="3:9" ht="14.25" customHeight="1">
      <c r="C235" s="1"/>
      <c r="F235" s="1"/>
      <c r="I235" s="2"/>
    </row>
    <row r="236" spans="3:9" ht="14.25" customHeight="1">
      <c r="C236" s="1"/>
      <c r="F236" s="1"/>
      <c r="I236" s="2"/>
    </row>
    <row r="237" spans="3:9" ht="14.25" customHeight="1">
      <c r="C237" s="1"/>
      <c r="F237" s="1"/>
      <c r="I237" s="2"/>
    </row>
    <row r="238" spans="3:9" ht="14.25" customHeight="1">
      <c r="C238" s="1"/>
      <c r="F238" s="1"/>
      <c r="I238" s="2"/>
    </row>
    <row r="239" spans="3:9" ht="14.25" customHeight="1">
      <c r="C239" s="1"/>
      <c r="F239" s="1"/>
      <c r="I239" s="2"/>
    </row>
    <row r="240" spans="3:9" ht="14.25" customHeight="1">
      <c r="C240" s="1"/>
      <c r="F240" s="1"/>
      <c r="I240" s="2"/>
    </row>
    <row r="241" spans="3:9" ht="14.25" customHeight="1">
      <c r="C241" s="1"/>
      <c r="F241" s="1"/>
      <c r="I241" s="2"/>
    </row>
    <row r="242" spans="3:9" ht="14.25" customHeight="1">
      <c r="C242" s="1"/>
      <c r="F242" s="1"/>
      <c r="I242" s="2"/>
    </row>
    <row r="243" spans="3:9" ht="14.25" customHeight="1">
      <c r="C243" s="1"/>
      <c r="F243" s="1"/>
      <c r="I243" s="2"/>
    </row>
    <row r="244" spans="3:9" ht="14.25" customHeight="1">
      <c r="C244" s="1"/>
      <c r="F244" s="1"/>
      <c r="I244" s="2"/>
    </row>
    <row r="245" spans="3:9" ht="14.25" customHeight="1">
      <c r="C245" s="1"/>
      <c r="F245" s="1"/>
      <c r="I245" s="2"/>
    </row>
    <row r="246" spans="3:9" ht="14.25" customHeight="1">
      <c r="C246" s="1"/>
      <c r="F246" s="1"/>
      <c r="I246" s="2"/>
    </row>
    <row r="247" spans="3:9" ht="14.25" customHeight="1">
      <c r="C247" s="1"/>
      <c r="F247" s="1"/>
      <c r="I247" s="2"/>
    </row>
    <row r="248" spans="3:9" ht="14.25" customHeight="1">
      <c r="C248" s="1"/>
      <c r="F248" s="1"/>
      <c r="I248" s="2"/>
    </row>
    <row r="249" spans="3:9" ht="14.25" customHeight="1">
      <c r="C249" s="1"/>
      <c r="F249" s="1"/>
      <c r="I249" s="2"/>
    </row>
    <row r="250" spans="3:9" ht="14.25" customHeight="1">
      <c r="C250" s="1"/>
      <c r="F250" s="1"/>
      <c r="I250" s="2"/>
    </row>
    <row r="251" spans="3:9" ht="14.25" customHeight="1">
      <c r="C251" s="1"/>
      <c r="F251" s="1"/>
      <c r="I251" s="2"/>
    </row>
    <row r="252" spans="3:9" ht="14.25" customHeight="1">
      <c r="C252" s="1"/>
      <c r="F252" s="1"/>
      <c r="I252" s="2"/>
    </row>
    <row r="253" spans="3:9" ht="14.25" customHeight="1">
      <c r="C253" s="1"/>
      <c r="F253" s="1"/>
      <c r="I253" s="2"/>
    </row>
    <row r="254" spans="3:9" ht="14.25" customHeight="1">
      <c r="C254" s="1"/>
      <c r="F254" s="1"/>
      <c r="I254" s="2"/>
    </row>
    <row r="255" spans="3:9" ht="14.25" customHeight="1">
      <c r="C255" s="1"/>
      <c r="F255" s="1"/>
      <c r="I255" s="2"/>
    </row>
    <row r="256" spans="3:9" ht="14.25" customHeight="1">
      <c r="C256" s="1"/>
      <c r="F256" s="1"/>
      <c r="I256" s="2"/>
    </row>
    <row r="257" spans="3:9" ht="14.25" customHeight="1">
      <c r="C257" s="1"/>
      <c r="F257" s="1"/>
      <c r="I257" s="2"/>
    </row>
    <row r="258" spans="3:9" ht="14.25" customHeight="1">
      <c r="C258" s="1"/>
      <c r="F258" s="1"/>
      <c r="I258" s="2"/>
    </row>
    <row r="259" spans="3:9" ht="14.25" customHeight="1">
      <c r="C259" s="1"/>
      <c r="F259" s="1"/>
      <c r="I259" s="2"/>
    </row>
    <row r="260" spans="3:9" ht="14.25" customHeight="1">
      <c r="C260" s="1"/>
      <c r="F260" s="1"/>
      <c r="I260" s="2"/>
    </row>
    <row r="261" spans="3:9" ht="14.25" customHeight="1">
      <c r="C261" s="1"/>
      <c r="F261" s="1"/>
      <c r="I261" s="2"/>
    </row>
    <row r="262" spans="3:9" ht="14.25" customHeight="1">
      <c r="C262" s="1"/>
      <c r="F262" s="1"/>
      <c r="I262" s="2"/>
    </row>
    <row r="263" spans="3:9" ht="14.25" customHeight="1">
      <c r="C263" s="1"/>
      <c r="F263" s="1"/>
      <c r="I263" s="2"/>
    </row>
    <row r="264" spans="3:9" ht="14.25" customHeight="1">
      <c r="C264" s="1"/>
      <c r="F264" s="1"/>
      <c r="I264" s="2"/>
    </row>
    <row r="265" spans="3:9" ht="14.25" customHeight="1">
      <c r="C265" s="1"/>
      <c r="F265" s="1"/>
      <c r="I265" s="2"/>
    </row>
    <row r="266" spans="3:9" ht="14.25" customHeight="1">
      <c r="C266" s="1"/>
      <c r="F266" s="1"/>
      <c r="I266" s="2"/>
    </row>
    <row r="267" spans="3:9" ht="14.25" customHeight="1">
      <c r="C267" s="1"/>
      <c r="F267" s="1"/>
      <c r="I267" s="2"/>
    </row>
    <row r="268" spans="3:9" ht="14.25" customHeight="1">
      <c r="C268" s="1"/>
      <c r="F268" s="1"/>
      <c r="I268" s="2"/>
    </row>
    <row r="269" spans="3:9" ht="14.25" customHeight="1">
      <c r="C269" s="1"/>
      <c r="F269" s="1"/>
      <c r="I269" s="2"/>
    </row>
    <row r="270" spans="3:9" ht="14.25" customHeight="1">
      <c r="C270" s="1"/>
      <c r="F270" s="1"/>
      <c r="I270" s="2"/>
    </row>
    <row r="271" spans="3:9" ht="14.25" customHeight="1">
      <c r="C271" s="1"/>
      <c r="F271" s="1"/>
      <c r="I271" s="2"/>
    </row>
    <row r="272" spans="3:9" ht="14.25" customHeight="1">
      <c r="C272" s="1"/>
      <c r="F272" s="1"/>
      <c r="I272" s="2"/>
    </row>
    <row r="273" spans="3:9" ht="14.25" customHeight="1">
      <c r="C273" s="1"/>
      <c r="F273" s="1"/>
      <c r="I273" s="2"/>
    </row>
    <row r="274" spans="3:9" ht="14.25" customHeight="1">
      <c r="C274" s="1"/>
      <c r="F274" s="1"/>
      <c r="I274" s="2"/>
    </row>
    <row r="275" spans="3:9" ht="14.25" customHeight="1">
      <c r="C275" s="1"/>
      <c r="F275" s="1"/>
      <c r="I275" s="2"/>
    </row>
    <row r="276" spans="3:9" ht="14.25" customHeight="1">
      <c r="C276" s="1"/>
      <c r="F276" s="1"/>
      <c r="I276" s="2"/>
    </row>
    <row r="277" spans="3:9" ht="14.25" customHeight="1">
      <c r="C277" s="1"/>
      <c r="F277" s="1"/>
      <c r="I277" s="2"/>
    </row>
    <row r="278" spans="3:9" ht="14.25" customHeight="1">
      <c r="C278" s="1"/>
      <c r="F278" s="1"/>
      <c r="I278" s="2"/>
    </row>
    <row r="279" spans="3:9" ht="14.25" customHeight="1">
      <c r="C279" s="1"/>
      <c r="F279" s="1"/>
      <c r="I279" s="2"/>
    </row>
    <row r="280" spans="3:9" ht="14.25" customHeight="1">
      <c r="C280" s="1"/>
      <c r="F280" s="1"/>
      <c r="I280" s="2"/>
    </row>
    <row r="281" spans="3:9" ht="14.25" customHeight="1">
      <c r="C281" s="1"/>
      <c r="F281" s="1"/>
      <c r="I281" s="2"/>
    </row>
    <row r="282" spans="3:9" ht="14.25" customHeight="1">
      <c r="C282" s="1"/>
      <c r="F282" s="1"/>
      <c r="I282" s="2"/>
    </row>
    <row r="283" spans="3:9" ht="14.25" customHeight="1">
      <c r="C283" s="1"/>
      <c r="F283" s="1"/>
      <c r="I283" s="2"/>
    </row>
    <row r="284" spans="3:9" ht="14.25" customHeight="1">
      <c r="C284" s="1"/>
      <c r="F284" s="1"/>
      <c r="I284" s="2"/>
    </row>
    <row r="285" spans="3:9" ht="14.25" customHeight="1">
      <c r="C285" s="1"/>
      <c r="F285" s="1"/>
      <c r="I285" s="2"/>
    </row>
    <row r="286" spans="3:9" ht="14.25" customHeight="1">
      <c r="C286" s="1"/>
      <c r="F286" s="1"/>
      <c r="I286" s="2"/>
    </row>
    <row r="287" spans="3:9" ht="14.25" customHeight="1">
      <c r="C287" s="1"/>
      <c r="F287" s="1"/>
      <c r="I287" s="2"/>
    </row>
    <row r="288" spans="3:9" ht="14.25" customHeight="1">
      <c r="C288" s="1"/>
      <c r="F288" s="1"/>
      <c r="I288" s="2"/>
    </row>
    <row r="289" spans="3:9" ht="14.25" customHeight="1">
      <c r="C289" s="1"/>
      <c r="F289" s="1"/>
      <c r="I289" s="2"/>
    </row>
    <row r="290" spans="3:9" ht="14.25" customHeight="1">
      <c r="C290" s="1"/>
      <c r="F290" s="1"/>
      <c r="I290" s="2"/>
    </row>
    <row r="291" spans="3:9" ht="14.25" customHeight="1">
      <c r="C291" s="1"/>
      <c r="F291" s="1"/>
      <c r="I291" s="2"/>
    </row>
    <row r="292" spans="3:9" ht="14.25" customHeight="1">
      <c r="C292" s="1"/>
      <c r="F292" s="1"/>
      <c r="I292" s="2"/>
    </row>
    <row r="293" spans="3:9" ht="14.25" customHeight="1">
      <c r="C293" s="1"/>
      <c r="F293" s="1"/>
      <c r="I293" s="2"/>
    </row>
    <row r="294" spans="3:9" ht="14.25" customHeight="1">
      <c r="C294" s="1"/>
      <c r="F294" s="1"/>
      <c r="I294" s="2"/>
    </row>
    <row r="295" spans="3:9" ht="14.25" customHeight="1">
      <c r="C295" s="1"/>
      <c r="F295" s="1"/>
      <c r="I295" s="2"/>
    </row>
    <row r="296" spans="3:9" ht="14.25" customHeight="1">
      <c r="C296" s="1"/>
      <c r="F296" s="1"/>
      <c r="I296" s="2"/>
    </row>
    <row r="297" spans="3:9" ht="14.25" customHeight="1">
      <c r="C297" s="1"/>
      <c r="F297" s="1"/>
      <c r="I297" s="2"/>
    </row>
    <row r="298" spans="3:9" ht="14.25" customHeight="1">
      <c r="C298" s="1"/>
      <c r="F298" s="1"/>
      <c r="I298" s="2"/>
    </row>
    <row r="299" spans="3:9" ht="14.25" customHeight="1">
      <c r="C299" s="1"/>
      <c r="F299" s="1"/>
      <c r="I299" s="2"/>
    </row>
    <row r="300" spans="3:9" ht="14.25" customHeight="1">
      <c r="C300" s="1"/>
      <c r="F300" s="1"/>
      <c r="I300" s="2"/>
    </row>
    <row r="301" spans="3:9" ht="14.25" customHeight="1">
      <c r="C301" s="1"/>
      <c r="F301" s="1"/>
      <c r="I301" s="2"/>
    </row>
    <row r="302" spans="3:9" ht="14.25" customHeight="1">
      <c r="C302" s="1"/>
      <c r="F302" s="1"/>
      <c r="I302" s="2"/>
    </row>
    <row r="303" spans="3:9" ht="14.25" customHeight="1">
      <c r="C303" s="1"/>
      <c r="F303" s="1"/>
      <c r="I303" s="2"/>
    </row>
    <row r="304" spans="3:9" ht="14.25" customHeight="1">
      <c r="C304" s="1"/>
      <c r="F304" s="1"/>
      <c r="I304" s="2"/>
    </row>
    <row r="305" spans="3:9" ht="14.25" customHeight="1">
      <c r="C305" s="1"/>
      <c r="F305" s="1"/>
      <c r="I305" s="2"/>
    </row>
    <row r="306" spans="3:9" ht="14.25" customHeight="1">
      <c r="C306" s="1"/>
      <c r="F306" s="1"/>
      <c r="I306" s="2"/>
    </row>
    <row r="307" spans="3:9" ht="14.25" customHeight="1">
      <c r="C307" s="1"/>
      <c r="F307" s="1"/>
      <c r="I307" s="2"/>
    </row>
    <row r="308" spans="3:9" ht="14.25" customHeight="1">
      <c r="C308" s="1"/>
      <c r="F308" s="1"/>
      <c r="I308" s="2"/>
    </row>
    <row r="309" spans="3:9" ht="14.25" customHeight="1">
      <c r="C309" s="1"/>
      <c r="F309" s="1"/>
      <c r="I309" s="2"/>
    </row>
    <row r="310" spans="3:9" ht="14.25" customHeight="1">
      <c r="C310" s="1"/>
      <c r="F310" s="1"/>
      <c r="I310" s="2"/>
    </row>
    <row r="311" spans="3:9" ht="14.25" customHeight="1">
      <c r="C311" s="1"/>
      <c r="F311" s="1"/>
      <c r="I311" s="2"/>
    </row>
    <row r="312" spans="3:9" ht="14.25" customHeight="1">
      <c r="C312" s="1"/>
      <c r="F312" s="1"/>
      <c r="I312" s="2"/>
    </row>
    <row r="313" spans="3:9" ht="14.25" customHeight="1">
      <c r="C313" s="1"/>
      <c r="F313" s="1"/>
      <c r="I313" s="2"/>
    </row>
    <row r="314" spans="3:9" ht="14.25" customHeight="1">
      <c r="C314" s="1"/>
      <c r="F314" s="1"/>
      <c r="I314" s="2"/>
    </row>
    <row r="315" spans="3:9" ht="14.25" customHeight="1">
      <c r="C315" s="1"/>
      <c r="F315" s="1"/>
      <c r="I315" s="2"/>
    </row>
    <row r="316" spans="3:9" ht="14.25" customHeight="1">
      <c r="C316" s="1"/>
      <c r="F316" s="1"/>
      <c r="I316" s="2"/>
    </row>
    <row r="317" spans="3:9" ht="14.25" customHeight="1">
      <c r="C317" s="1"/>
      <c r="F317" s="1"/>
      <c r="I317" s="2"/>
    </row>
    <row r="318" spans="3:9" ht="14.25" customHeight="1">
      <c r="C318" s="1"/>
      <c r="F318" s="1"/>
      <c r="I318" s="2"/>
    </row>
    <row r="319" spans="3:9" ht="14.25" customHeight="1">
      <c r="C319" s="1"/>
      <c r="F319" s="1"/>
      <c r="I319" s="2"/>
    </row>
    <row r="320" spans="3:9" ht="14.25" customHeight="1">
      <c r="C320" s="1"/>
      <c r="F320" s="1"/>
      <c r="I320" s="2"/>
    </row>
    <row r="321" spans="3:9" ht="14.25" customHeight="1">
      <c r="C321" s="1"/>
      <c r="F321" s="1"/>
      <c r="I321" s="2"/>
    </row>
    <row r="322" spans="3:9" ht="14.25" customHeight="1">
      <c r="C322" s="1"/>
      <c r="F322" s="1"/>
      <c r="I322" s="2"/>
    </row>
    <row r="323" spans="3:9" ht="14.25" customHeight="1">
      <c r="C323" s="1"/>
      <c r="F323" s="1"/>
      <c r="I323" s="2"/>
    </row>
    <row r="324" spans="3:9" ht="14.25" customHeight="1">
      <c r="C324" s="1"/>
      <c r="F324" s="1"/>
      <c r="I324" s="2"/>
    </row>
    <row r="325" spans="3:9" ht="14.25" customHeight="1">
      <c r="C325" s="1"/>
      <c r="F325" s="1"/>
      <c r="I325" s="2"/>
    </row>
    <row r="326" spans="3:9" ht="14.25" customHeight="1">
      <c r="C326" s="1"/>
      <c r="F326" s="1"/>
      <c r="I326" s="2"/>
    </row>
    <row r="327" spans="3:9" ht="14.25" customHeight="1">
      <c r="C327" s="1"/>
      <c r="F327" s="1"/>
      <c r="I327" s="2"/>
    </row>
    <row r="328" spans="3:9" ht="14.25" customHeight="1">
      <c r="C328" s="1"/>
      <c r="F328" s="1"/>
      <c r="I328" s="2"/>
    </row>
    <row r="329" spans="3:9" ht="14.25" customHeight="1">
      <c r="C329" s="1"/>
      <c r="F329" s="1"/>
      <c r="I329" s="2"/>
    </row>
    <row r="330" spans="3:9" ht="14.25" customHeight="1">
      <c r="C330" s="1"/>
      <c r="F330" s="1"/>
      <c r="I330" s="2"/>
    </row>
    <row r="331" spans="3:9" ht="14.25" customHeight="1">
      <c r="C331" s="1"/>
      <c r="F331" s="1"/>
      <c r="I331" s="2"/>
    </row>
    <row r="332" spans="3:9" ht="14.25" customHeight="1">
      <c r="C332" s="1"/>
      <c r="F332" s="1"/>
      <c r="I332" s="2"/>
    </row>
    <row r="333" spans="3:9" ht="14.25" customHeight="1">
      <c r="C333" s="1"/>
      <c r="F333" s="1"/>
      <c r="I333" s="2"/>
    </row>
    <row r="334" spans="3:9" ht="14.25" customHeight="1">
      <c r="C334" s="1"/>
      <c r="F334" s="1"/>
      <c r="I334" s="2"/>
    </row>
    <row r="335" spans="3:9" ht="14.25" customHeight="1">
      <c r="C335" s="1"/>
      <c r="F335" s="1"/>
      <c r="I335" s="2"/>
    </row>
    <row r="336" spans="3:9" ht="14.25" customHeight="1">
      <c r="C336" s="1"/>
      <c r="F336" s="1"/>
      <c r="I336" s="2"/>
    </row>
    <row r="337" spans="3:9" ht="14.25" customHeight="1">
      <c r="C337" s="1"/>
      <c r="F337" s="1"/>
      <c r="I337" s="2"/>
    </row>
    <row r="338" spans="3:9" ht="14.25" customHeight="1">
      <c r="C338" s="1"/>
      <c r="F338" s="1"/>
      <c r="I338" s="2"/>
    </row>
    <row r="339" spans="3:9" ht="14.25" customHeight="1">
      <c r="C339" s="1"/>
      <c r="F339" s="1"/>
      <c r="I339" s="2"/>
    </row>
    <row r="340" spans="3:9" ht="14.25" customHeight="1">
      <c r="C340" s="1"/>
      <c r="F340" s="1"/>
      <c r="I340" s="2"/>
    </row>
    <row r="341" spans="3:9" ht="14.25" customHeight="1">
      <c r="C341" s="1"/>
      <c r="F341" s="1"/>
      <c r="I341" s="2"/>
    </row>
    <row r="342" spans="3:9" ht="14.25" customHeight="1">
      <c r="C342" s="1"/>
      <c r="F342" s="1"/>
      <c r="I342" s="2"/>
    </row>
    <row r="343" spans="3:9" ht="14.25" customHeight="1">
      <c r="C343" s="1"/>
      <c r="F343" s="1"/>
      <c r="I343" s="2"/>
    </row>
    <row r="344" spans="3:9" ht="14.25" customHeight="1">
      <c r="C344" s="1"/>
      <c r="F344" s="1"/>
      <c r="I344" s="2"/>
    </row>
    <row r="345" spans="3:9" ht="14.25" customHeight="1">
      <c r="C345" s="1"/>
      <c r="F345" s="1"/>
      <c r="I345" s="2"/>
    </row>
    <row r="346" spans="3:9" ht="14.25" customHeight="1">
      <c r="C346" s="1"/>
      <c r="F346" s="1"/>
      <c r="I346" s="2"/>
    </row>
    <row r="347" spans="3:9" ht="14.25" customHeight="1">
      <c r="C347" s="1"/>
      <c r="F347" s="1"/>
      <c r="I347" s="2"/>
    </row>
    <row r="348" spans="3:9" ht="14.25" customHeight="1">
      <c r="C348" s="1"/>
      <c r="F348" s="1"/>
      <c r="I348" s="2"/>
    </row>
    <row r="349" spans="3:9" ht="14.25" customHeight="1">
      <c r="C349" s="1"/>
      <c r="F349" s="1"/>
      <c r="I349" s="2"/>
    </row>
    <row r="350" spans="3:9" ht="14.25" customHeight="1">
      <c r="C350" s="1"/>
      <c r="F350" s="1"/>
      <c r="I350" s="2"/>
    </row>
    <row r="351" spans="3:9" ht="14.25" customHeight="1">
      <c r="C351" s="1"/>
      <c r="F351" s="1"/>
      <c r="I351" s="2"/>
    </row>
    <row r="352" spans="3:9" ht="14.25" customHeight="1">
      <c r="C352" s="1"/>
      <c r="F352" s="1"/>
      <c r="I352" s="2"/>
    </row>
    <row r="353" spans="3:9" ht="14.25" customHeight="1">
      <c r="C353" s="1"/>
      <c r="F353" s="1"/>
      <c r="I353" s="2"/>
    </row>
    <row r="354" spans="3:9" ht="14.25" customHeight="1">
      <c r="C354" s="1"/>
      <c r="F354" s="1"/>
      <c r="I354" s="2"/>
    </row>
    <row r="355" spans="3:9" ht="14.25" customHeight="1">
      <c r="C355" s="1"/>
      <c r="F355" s="1"/>
      <c r="I355" s="2"/>
    </row>
    <row r="356" spans="3:9" ht="14.25" customHeight="1">
      <c r="C356" s="1"/>
      <c r="F356" s="1"/>
      <c r="I356" s="2"/>
    </row>
    <row r="357" spans="3:9" ht="14.25" customHeight="1">
      <c r="C357" s="1"/>
      <c r="F357" s="1"/>
      <c r="I357" s="2"/>
    </row>
    <row r="358" spans="3:9" ht="14.25" customHeight="1">
      <c r="C358" s="1"/>
      <c r="F358" s="1"/>
      <c r="I358" s="2"/>
    </row>
    <row r="359" spans="3:9" ht="14.25" customHeight="1">
      <c r="C359" s="1"/>
      <c r="F359" s="1"/>
      <c r="I359" s="2"/>
    </row>
    <row r="360" spans="3:9" ht="14.25" customHeight="1">
      <c r="C360" s="1"/>
      <c r="F360" s="1"/>
      <c r="I360" s="2"/>
    </row>
    <row r="361" spans="3:9" ht="14.25" customHeight="1">
      <c r="C361" s="1"/>
      <c r="F361" s="1"/>
      <c r="I361" s="2"/>
    </row>
    <row r="362" spans="3:9" ht="14.25" customHeight="1">
      <c r="C362" s="1"/>
      <c r="F362" s="1"/>
      <c r="I362" s="2"/>
    </row>
    <row r="363" spans="3:9" ht="14.25" customHeight="1">
      <c r="C363" s="1"/>
      <c r="F363" s="1"/>
      <c r="I363" s="2"/>
    </row>
    <row r="364" spans="3:9" ht="14.25" customHeight="1">
      <c r="C364" s="1"/>
      <c r="F364" s="1"/>
      <c r="I364" s="2"/>
    </row>
    <row r="365" spans="3:9" ht="14.25" customHeight="1">
      <c r="C365" s="1"/>
      <c r="F365" s="1"/>
      <c r="I365" s="2"/>
    </row>
    <row r="366" spans="3:9" ht="14.25" customHeight="1">
      <c r="C366" s="1"/>
      <c r="F366" s="1"/>
      <c r="I366" s="2"/>
    </row>
    <row r="367" spans="3:9" ht="14.25" customHeight="1">
      <c r="C367" s="1"/>
      <c r="F367" s="1"/>
      <c r="I367" s="2"/>
    </row>
    <row r="368" spans="3:9" ht="14.25" customHeight="1">
      <c r="C368" s="1"/>
      <c r="F368" s="1"/>
      <c r="I368" s="2"/>
    </row>
    <row r="369" spans="3:9" ht="14.25" customHeight="1">
      <c r="C369" s="1"/>
      <c r="F369" s="1"/>
      <c r="I369" s="2"/>
    </row>
    <row r="370" spans="3:9" ht="14.25" customHeight="1">
      <c r="C370" s="1"/>
      <c r="F370" s="1"/>
      <c r="I370" s="2"/>
    </row>
    <row r="371" spans="3:9" ht="14.25" customHeight="1">
      <c r="C371" s="1"/>
      <c r="F371" s="1"/>
      <c r="I371" s="2"/>
    </row>
    <row r="372" spans="3:9" ht="14.25" customHeight="1">
      <c r="C372" s="1"/>
      <c r="F372" s="1"/>
      <c r="I372" s="2"/>
    </row>
    <row r="373" spans="3:9" ht="14.25" customHeight="1">
      <c r="C373" s="1"/>
      <c r="F373" s="1"/>
      <c r="I373" s="2"/>
    </row>
    <row r="374" spans="3:9" ht="14.25" customHeight="1">
      <c r="C374" s="1"/>
      <c r="F374" s="1"/>
      <c r="I374" s="2"/>
    </row>
    <row r="375" spans="3:9" ht="14.25" customHeight="1">
      <c r="C375" s="1"/>
      <c r="F375" s="1"/>
      <c r="I375" s="2"/>
    </row>
    <row r="376" spans="3:9" ht="14.25" customHeight="1">
      <c r="C376" s="1"/>
      <c r="F376" s="1"/>
      <c r="I376" s="2"/>
    </row>
    <row r="377" spans="3:9" ht="14.25" customHeight="1">
      <c r="C377" s="1"/>
      <c r="F377" s="1"/>
      <c r="I377" s="2"/>
    </row>
    <row r="378" spans="3:9" ht="14.25" customHeight="1">
      <c r="C378" s="1"/>
      <c r="F378" s="1"/>
      <c r="I378" s="2"/>
    </row>
    <row r="379" spans="3:9" ht="14.25" customHeight="1">
      <c r="C379" s="1"/>
      <c r="F379" s="1"/>
      <c r="I379" s="2"/>
    </row>
    <row r="380" spans="3:9" ht="14.25" customHeight="1">
      <c r="C380" s="1"/>
      <c r="F380" s="1"/>
      <c r="I380" s="2"/>
    </row>
    <row r="381" spans="3:9" ht="14.25" customHeight="1">
      <c r="C381" s="1"/>
      <c r="F381" s="1"/>
      <c r="I381" s="2"/>
    </row>
    <row r="382" spans="3:9" ht="14.25" customHeight="1">
      <c r="C382" s="1"/>
      <c r="F382" s="1"/>
      <c r="I382" s="2"/>
    </row>
    <row r="383" spans="3:9" ht="14.25" customHeight="1">
      <c r="C383" s="1"/>
      <c r="F383" s="1"/>
      <c r="I383" s="2"/>
    </row>
    <row r="384" spans="3:9" ht="14.25" customHeight="1">
      <c r="C384" s="1"/>
      <c r="F384" s="1"/>
      <c r="I384" s="2"/>
    </row>
    <row r="385" spans="3:9" ht="14.25" customHeight="1">
      <c r="C385" s="1"/>
      <c r="F385" s="1"/>
      <c r="I385" s="2"/>
    </row>
    <row r="386" spans="3:9" ht="14.25" customHeight="1">
      <c r="C386" s="1"/>
      <c r="F386" s="1"/>
      <c r="I386" s="2"/>
    </row>
    <row r="387" spans="3:9" ht="14.25" customHeight="1">
      <c r="C387" s="1"/>
      <c r="F387" s="1"/>
      <c r="I387" s="2"/>
    </row>
    <row r="388" spans="3:9" ht="14.25" customHeight="1">
      <c r="C388" s="1"/>
      <c r="F388" s="1"/>
      <c r="I388" s="2"/>
    </row>
    <row r="389" spans="3:9" ht="14.25" customHeight="1">
      <c r="C389" s="1"/>
      <c r="F389" s="1"/>
      <c r="I389" s="2"/>
    </row>
    <row r="390" spans="3:9" ht="14.25" customHeight="1">
      <c r="C390" s="1"/>
      <c r="F390" s="1"/>
      <c r="I390" s="2"/>
    </row>
    <row r="391" spans="3:9" ht="14.25" customHeight="1">
      <c r="C391" s="1"/>
      <c r="F391" s="1"/>
      <c r="I391" s="2"/>
    </row>
    <row r="392" spans="3:9" ht="14.25" customHeight="1">
      <c r="C392" s="1"/>
      <c r="F392" s="1"/>
      <c r="I392" s="2"/>
    </row>
    <row r="393" spans="3:9" ht="14.25" customHeight="1">
      <c r="C393" s="1"/>
      <c r="F393" s="1"/>
      <c r="I393" s="2"/>
    </row>
    <row r="394" spans="3:9" ht="14.25" customHeight="1">
      <c r="C394" s="1"/>
      <c r="F394" s="1"/>
      <c r="I394" s="2"/>
    </row>
    <row r="395" spans="3:9" ht="14.25" customHeight="1">
      <c r="C395" s="1"/>
      <c r="F395" s="1"/>
      <c r="I395" s="2"/>
    </row>
    <row r="396" spans="3:9" ht="14.25" customHeight="1">
      <c r="C396" s="1"/>
      <c r="F396" s="1"/>
      <c r="I396" s="2"/>
    </row>
    <row r="397" spans="3:9" ht="14.25" customHeight="1">
      <c r="C397" s="1"/>
      <c r="F397" s="1"/>
      <c r="I397" s="2"/>
    </row>
    <row r="398" spans="3:9" ht="14.25" customHeight="1">
      <c r="C398" s="1"/>
      <c r="F398" s="1"/>
      <c r="I398" s="2"/>
    </row>
    <row r="399" spans="3:9" ht="14.25" customHeight="1">
      <c r="C399" s="1"/>
      <c r="F399" s="1"/>
      <c r="I399" s="2"/>
    </row>
    <row r="400" spans="3:9" ht="14.25" customHeight="1">
      <c r="C400" s="1"/>
      <c r="F400" s="1"/>
      <c r="I400" s="2"/>
    </row>
    <row r="401" spans="3:9" ht="14.25" customHeight="1">
      <c r="C401" s="1"/>
      <c r="F401" s="1"/>
      <c r="I401" s="2"/>
    </row>
    <row r="402" spans="3:9" ht="14.25" customHeight="1">
      <c r="C402" s="1"/>
      <c r="F402" s="1"/>
      <c r="I402" s="2"/>
    </row>
    <row r="403" spans="3:9" ht="14.25" customHeight="1">
      <c r="C403" s="1"/>
      <c r="F403" s="1"/>
      <c r="I403" s="2"/>
    </row>
    <row r="404" spans="3:9" ht="14.25" customHeight="1">
      <c r="C404" s="1"/>
      <c r="F404" s="1"/>
      <c r="I404" s="2"/>
    </row>
    <row r="405" spans="3:9" ht="14.25" customHeight="1">
      <c r="C405" s="1"/>
      <c r="F405" s="1"/>
      <c r="I405" s="2"/>
    </row>
    <row r="406" spans="3:9" ht="14.25" customHeight="1">
      <c r="C406" s="1"/>
      <c r="F406" s="1"/>
      <c r="I406" s="2"/>
    </row>
    <row r="407" spans="3:9" ht="14.25" customHeight="1">
      <c r="C407" s="1"/>
      <c r="F407" s="1"/>
      <c r="I407" s="2"/>
    </row>
    <row r="408" spans="3:9" ht="14.25" customHeight="1">
      <c r="C408" s="1"/>
      <c r="F408" s="1"/>
      <c r="I408" s="2"/>
    </row>
    <row r="409" spans="3:9" ht="14.25" customHeight="1">
      <c r="C409" s="1"/>
      <c r="F409" s="1"/>
      <c r="I409" s="2"/>
    </row>
    <row r="410" spans="3:9" ht="14.25" customHeight="1">
      <c r="C410" s="1"/>
      <c r="F410" s="1"/>
      <c r="I410" s="2"/>
    </row>
    <row r="411" spans="3:9" ht="14.25" customHeight="1">
      <c r="C411" s="1"/>
      <c r="F411" s="1"/>
      <c r="I411" s="2"/>
    </row>
    <row r="412" spans="3:9" ht="14.25" customHeight="1">
      <c r="C412" s="1"/>
      <c r="F412" s="1"/>
      <c r="I412" s="2"/>
    </row>
    <row r="413" spans="3:9" ht="14.25" customHeight="1">
      <c r="C413" s="1"/>
      <c r="F413" s="1"/>
      <c r="I413" s="2"/>
    </row>
    <row r="414" spans="3:9" ht="14.25" customHeight="1">
      <c r="C414" s="1"/>
      <c r="F414" s="1"/>
      <c r="I414" s="2"/>
    </row>
    <row r="415" spans="3:9" ht="14.25" customHeight="1">
      <c r="C415" s="1"/>
      <c r="F415" s="1"/>
      <c r="I415" s="2"/>
    </row>
    <row r="416" spans="3:9" ht="14.25" customHeight="1">
      <c r="C416" s="1"/>
      <c r="F416" s="1"/>
      <c r="I416" s="2"/>
    </row>
    <row r="417" spans="3:9" ht="14.25" customHeight="1">
      <c r="C417" s="1"/>
      <c r="F417" s="1"/>
      <c r="I417" s="2"/>
    </row>
    <row r="418" spans="3:9" ht="14.25" customHeight="1">
      <c r="C418" s="1"/>
      <c r="F418" s="1"/>
      <c r="I418" s="2"/>
    </row>
    <row r="419" spans="3:9" ht="14.25" customHeight="1">
      <c r="C419" s="1"/>
      <c r="F419" s="1"/>
      <c r="I419" s="2"/>
    </row>
    <row r="420" spans="3:9" ht="14.25" customHeight="1">
      <c r="C420" s="1"/>
      <c r="F420" s="1"/>
      <c r="I420" s="2"/>
    </row>
    <row r="421" spans="3:9" ht="14.25" customHeight="1">
      <c r="C421" s="1"/>
      <c r="F421" s="1"/>
      <c r="I421" s="2"/>
    </row>
    <row r="422" spans="3:9" ht="14.25" customHeight="1">
      <c r="C422" s="1"/>
      <c r="F422" s="1"/>
      <c r="I422" s="2"/>
    </row>
    <row r="423" spans="3:9" ht="14.25" customHeight="1">
      <c r="C423" s="1"/>
      <c r="F423" s="1"/>
      <c r="I423" s="2"/>
    </row>
    <row r="424" spans="3:9" ht="14.25" customHeight="1">
      <c r="C424" s="1"/>
      <c r="F424" s="1"/>
      <c r="I424" s="2"/>
    </row>
    <row r="425" spans="3:9" ht="14.25" customHeight="1">
      <c r="C425" s="1"/>
      <c r="F425" s="1"/>
      <c r="I425" s="2"/>
    </row>
    <row r="426" spans="3:9" ht="14.25" customHeight="1">
      <c r="C426" s="1"/>
      <c r="F426" s="1"/>
      <c r="I426" s="2"/>
    </row>
    <row r="427" spans="3:9" ht="14.25" customHeight="1">
      <c r="C427" s="1"/>
      <c r="F427" s="1"/>
      <c r="I427" s="2"/>
    </row>
    <row r="428" spans="3:9" ht="14.25" customHeight="1">
      <c r="C428" s="1"/>
      <c r="F428" s="1"/>
      <c r="I428" s="2"/>
    </row>
    <row r="429" spans="3:9" ht="14.25" customHeight="1">
      <c r="C429" s="1"/>
      <c r="F429" s="1"/>
      <c r="I429" s="2"/>
    </row>
    <row r="430" spans="3:9" ht="14.25" customHeight="1">
      <c r="C430" s="1"/>
      <c r="F430" s="1"/>
      <c r="I430" s="2"/>
    </row>
    <row r="431" spans="3:9" ht="14.25" customHeight="1">
      <c r="C431" s="1"/>
      <c r="F431" s="1"/>
      <c r="I431" s="2"/>
    </row>
    <row r="432" spans="3:9" ht="14.25" customHeight="1">
      <c r="C432" s="1"/>
      <c r="F432" s="1"/>
      <c r="I432" s="2"/>
    </row>
    <row r="433" spans="3:9" ht="14.25" customHeight="1">
      <c r="C433" s="1"/>
      <c r="F433" s="1"/>
      <c r="I433" s="2"/>
    </row>
    <row r="434" spans="3:9" ht="14.25" customHeight="1">
      <c r="C434" s="1"/>
      <c r="F434" s="1"/>
      <c r="I434" s="2"/>
    </row>
    <row r="435" spans="3:9" ht="14.25" customHeight="1">
      <c r="C435" s="1"/>
      <c r="F435" s="1"/>
      <c r="I435" s="2"/>
    </row>
    <row r="436" spans="3:9" ht="14.25" customHeight="1">
      <c r="C436" s="1"/>
      <c r="F436" s="1"/>
      <c r="I436" s="2"/>
    </row>
    <row r="437" spans="3:9" ht="14.25" customHeight="1">
      <c r="C437" s="1"/>
      <c r="F437" s="1"/>
      <c r="I437" s="2"/>
    </row>
    <row r="438" spans="3:9" ht="14.25" customHeight="1">
      <c r="C438" s="1"/>
      <c r="F438" s="1"/>
      <c r="I438" s="2"/>
    </row>
    <row r="439" spans="3:9" ht="14.25" customHeight="1">
      <c r="C439" s="1"/>
      <c r="F439" s="1"/>
      <c r="I439" s="2"/>
    </row>
    <row r="440" spans="3:9" ht="14.25" customHeight="1">
      <c r="C440" s="1"/>
      <c r="F440" s="1"/>
      <c r="I440" s="2"/>
    </row>
    <row r="441" spans="3:9" ht="14.25" customHeight="1">
      <c r="C441" s="1"/>
      <c r="F441" s="1"/>
      <c r="I441" s="2"/>
    </row>
    <row r="442" spans="3:9" ht="14.25" customHeight="1">
      <c r="C442" s="1"/>
      <c r="F442" s="1"/>
      <c r="I442" s="2"/>
    </row>
    <row r="443" spans="3:9" ht="14.25" customHeight="1">
      <c r="C443" s="1"/>
      <c r="F443" s="1"/>
      <c r="I443" s="2"/>
    </row>
    <row r="444" spans="3:9" ht="14.25" customHeight="1">
      <c r="C444" s="1"/>
      <c r="F444" s="1"/>
      <c r="I444" s="2"/>
    </row>
    <row r="445" spans="3:9" ht="14.25" customHeight="1">
      <c r="C445" s="1"/>
      <c r="F445" s="1"/>
      <c r="I445" s="2"/>
    </row>
    <row r="446" spans="3:9" ht="14.25" customHeight="1">
      <c r="C446" s="1"/>
      <c r="F446" s="1"/>
      <c r="I446" s="2"/>
    </row>
    <row r="447" spans="3:9" ht="14.25" customHeight="1">
      <c r="C447" s="1"/>
      <c r="F447" s="1"/>
      <c r="I447" s="2"/>
    </row>
    <row r="448" spans="3:9" ht="14.25" customHeight="1">
      <c r="C448" s="1"/>
      <c r="F448" s="1"/>
      <c r="I448" s="2"/>
    </row>
    <row r="449" spans="3:9" ht="14.25" customHeight="1">
      <c r="C449" s="1"/>
      <c r="F449" s="1"/>
      <c r="I449" s="2"/>
    </row>
    <row r="450" spans="3:9" ht="14.25" customHeight="1">
      <c r="C450" s="1"/>
      <c r="F450" s="1"/>
      <c r="I450" s="2"/>
    </row>
    <row r="451" spans="3:9" ht="14.25" customHeight="1">
      <c r="C451" s="1"/>
      <c r="F451" s="1"/>
      <c r="I451" s="2"/>
    </row>
    <row r="452" spans="3:9" ht="14.25" customHeight="1">
      <c r="C452" s="1"/>
      <c r="F452" s="1"/>
      <c r="I452" s="2"/>
    </row>
    <row r="453" spans="3:9" ht="14.25" customHeight="1">
      <c r="C453" s="1"/>
      <c r="F453" s="1"/>
      <c r="I453" s="2"/>
    </row>
    <row r="454" spans="3:9" ht="14.25" customHeight="1">
      <c r="C454" s="1"/>
      <c r="F454" s="1"/>
      <c r="I454" s="2"/>
    </row>
    <row r="455" spans="3:9" ht="14.25" customHeight="1">
      <c r="C455" s="1"/>
      <c r="F455" s="1"/>
      <c r="I455" s="2"/>
    </row>
    <row r="456" spans="3:9" ht="14.25" customHeight="1">
      <c r="C456" s="1"/>
      <c r="F456" s="1"/>
      <c r="I456" s="2"/>
    </row>
    <row r="457" spans="3:9" ht="14.25" customHeight="1">
      <c r="C457" s="1"/>
      <c r="F457" s="1"/>
      <c r="I457" s="2"/>
    </row>
    <row r="458" spans="3:9" ht="14.25" customHeight="1">
      <c r="C458" s="1"/>
      <c r="F458" s="1"/>
      <c r="I458" s="2"/>
    </row>
    <row r="459" spans="3:9" ht="14.25" customHeight="1">
      <c r="C459" s="1"/>
      <c r="F459" s="1"/>
      <c r="I459" s="2"/>
    </row>
    <row r="460" spans="3:9" ht="14.25" customHeight="1">
      <c r="C460" s="1"/>
      <c r="F460" s="1"/>
      <c r="I460" s="2"/>
    </row>
    <row r="461" spans="3:9" ht="14.25" customHeight="1">
      <c r="C461" s="1"/>
      <c r="F461" s="1"/>
      <c r="I461" s="2"/>
    </row>
    <row r="462" spans="3:9" ht="14.25" customHeight="1">
      <c r="C462" s="1"/>
      <c r="F462" s="1"/>
      <c r="I462" s="2"/>
    </row>
    <row r="463" spans="3:9" ht="14.25" customHeight="1">
      <c r="C463" s="1"/>
      <c r="F463" s="1"/>
      <c r="I463" s="2"/>
    </row>
    <row r="464" spans="3:9" ht="14.25" customHeight="1">
      <c r="C464" s="1"/>
      <c r="F464" s="1"/>
      <c r="I464" s="2"/>
    </row>
    <row r="465" spans="3:9" ht="14.25" customHeight="1">
      <c r="C465" s="1"/>
      <c r="F465" s="1"/>
      <c r="I465" s="2"/>
    </row>
    <row r="466" spans="3:9" ht="14.25" customHeight="1">
      <c r="C466" s="1"/>
      <c r="F466" s="1"/>
      <c r="I466" s="2"/>
    </row>
    <row r="467" spans="3:9" ht="14.25" customHeight="1">
      <c r="C467" s="1"/>
      <c r="F467" s="1"/>
      <c r="I467" s="2"/>
    </row>
    <row r="468" spans="3:9" ht="14.25" customHeight="1">
      <c r="C468" s="1"/>
      <c r="F468" s="1"/>
      <c r="I468" s="2"/>
    </row>
    <row r="469" spans="3:9" ht="14.25" customHeight="1">
      <c r="C469" s="1"/>
      <c r="F469" s="1"/>
      <c r="I469" s="2"/>
    </row>
    <row r="470" spans="3:9" ht="14.25" customHeight="1">
      <c r="C470" s="1"/>
      <c r="F470" s="1"/>
      <c r="I470" s="2"/>
    </row>
    <row r="471" spans="3:9" ht="14.25" customHeight="1">
      <c r="C471" s="1"/>
      <c r="F471" s="1"/>
      <c r="I471" s="2"/>
    </row>
    <row r="472" spans="3:9" ht="14.25" customHeight="1">
      <c r="C472" s="1"/>
      <c r="F472" s="1"/>
      <c r="I472" s="2"/>
    </row>
    <row r="473" spans="3:9" ht="14.25" customHeight="1">
      <c r="C473" s="1"/>
      <c r="F473" s="1"/>
      <c r="I473" s="2"/>
    </row>
    <row r="474" spans="3:9" ht="14.25" customHeight="1">
      <c r="C474" s="1"/>
      <c r="F474" s="1"/>
      <c r="I474" s="2"/>
    </row>
    <row r="475" spans="3:9" ht="14.25" customHeight="1">
      <c r="C475" s="1"/>
      <c r="F475" s="1"/>
      <c r="I475" s="2"/>
    </row>
    <row r="476" spans="3:9" ht="14.25" customHeight="1">
      <c r="C476" s="1"/>
      <c r="F476" s="1"/>
      <c r="I476" s="2"/>
    </row>
    <row r="477" spans="3:9" ht="14.25" customHeight="1">
      <c r="C477" s="1"/>
      <c r="F477" s="1"/>
      <c r="I477" s="2"/>
    </row>
    <row r="478" spans="3:9" ht="14.25" customHeight="1">
      <c r="C478" s="1"/>
      <c r="F478" s="1"/>
      <c r="I478" s="2"/>
    </row>
    <row r="479" spans="3:9" ht="14.25" customHeight="1">
      <c r="C479" s="1"/>
      <c r="F479" s="1"/>
      <c r="I479" s="2"/>
    </row>
    <row r="480" spans="3:9" ht="14.25" customHeight="1">
      <c r="C480" s="1"/>
      <c r="F480" s="1"/>
      <c r="I480" s="2"/>
    </row>
    <row r="481" spans="3:9" ht="14.25" customHeight="1">
      <c r="C481" s="1"/>
      <c r="F481" s="1"/>
      <c r="I481" s="2"/>
    </row>
    <row r="482" spans="3:9" ht="14.25" customHeight="1">
      <c r="C482" s="1"/>
      <c r="F482" s="1"/>
      <c r="I482" s="2"/>
    </row>
    <row r="483" spans="3:9" ht="14.25" customHeight="1">
      <c r="C483" s="1"/>
      <c r="F483" s="1"/>
      <c r="I483" s="2"/>
    </row>
    <row r="484" spans="3:9" ht="14.25" customHeight="1">
      <c r="C484" s="1"/>
      <c r="F484" s="1"/>
      <c r="I484" s="2"/>
    </row>
    <row r="485" spans="3:9" ht="14.25" customHeight="1">
      <c r="C485" s="1"/>
      <c r="F485" s="1"/>
      <c r="I485" s="2"/>
    </row>
    <row r="486" spans="3:9" ht="14.25" customHeight="1">
      <c r="C486" s="1"/>
      <c r="F486" s="1"/>
      <c r="I486" s="2"/>
    </row>
    <row r="487" spans="3:9" ht="14.25" customHeight="1">
      <c r="C487" s="1"/>
      <c r="F487" s="1"/>
      <c r="I487" s="2"/>
    </row>
    <row r="488" spans="3:9" ht="14.25" customHeight="1">
      <c r="C488" s="1"/>
      <c r="F488" s="1"/>
      <c r="I488" s="2"/>
    </row>
    <row r="489" spans="3:9" ht="14.25" customHeight="1">
      <c r="C489" s="1"/>
      <c r="F489" s="1"/>
      <c r="I489" s="2"/>
    </row>
    <row r="490" spans="3:9" ht="14.25" customHeight="1">
      <c r="C490" s="1"/>
      <c r="F490" s="1"/>
      <c r="I490" s="2"/>
    </row>
    <row r="491" spans="3:9" ht="14.25" customHeight="1">
      <c r="C491" s="1"/>
      <c r="F491" s="1"/>
      <c r="I491" s="2"/>
    </row>
    <row r="492" spans="3:9" ht="14.25" customHeight="1">
      <c r="C492" s="1"/>
      <c r="F492" s="1"/>
      <c r="I492" s="2"/>
    </row>
    <row r="493" spans="3:9" ht="14.25" customHeight="1">
      <c r="C493" s="1"/>
      <c r="F493" s="1"/>
      <c r="I493" s="2"/>
    </row>
    <row r="494" spans="3:9" ht="14.25" customHeight="1">
      <c r="C494" s="1"/>
      <c r="F494" s="1"/>
      <c r="I494" s="2"/>
    </row>
    <row r="495" spans="3:9" ht="14.25" customHeight="1">
      <c r="C495" s="1"/>
      <c r="F495" s="1"/>
      <c r="I495" s="2"/>
    </row>
    <row r="496" spans="3:9" ht="14.25" customHeight="1">
      <c r="C496" s="1"/>
      <c r="F496" s="1"/>
      <c r="I496" s="2"/>
    </row>
    <row r="497" spans="3:9" ht="14.25" customHeight="1">
      <c r="C497" s="1"/>
      <c r="F497" s="1"/>
      <c r="I497" s="2"/>
    </row>
    <row r="498" spans="3:9" ht="14.25" customHeight="1">
      <c r="C498" s="1"/>
      <c r="F498" s="1"/>
      <c r="I498" s="2"/>
    </row>
    <row r="499" spans="3:9" ht="14.25" customHeight="1">
      <c r="C499" s="1"/>
      <c r="F499" s="1"/>
      <c r="I499" s="2"/>
    </row>
    <row r="500" spans="3:9" ht="14.25" customHeight="1">
      <c r="C500" s="1"/>
      <c r="F500" s="1"/>
      <c r="I500" s="2"/>
    </row>
    <row r="501" spans="3:9" ht="14.25" customHeight="1">
      <c r="C501" s="1"/>
      <c r="F501" s="1"/>
      <c r="I501" s="2"/>
    </row>
    <row r="502" spans="3:9" ht="14.25" customHeight="1">
      <c r="C502" s="1"/>
      <c r="F502" s="1"/>
      <c r="I502" s="2"/>
    </row>
    <row r="503" spans="3:9" ht="14.25" customHeight="1">
      <c r="C503" s="1"/>
      <c r="F503" s="1"/>
      <c r="I503" s="2"/>
    </row>
    <row r="504" spans="3:9" ht="14.25" customHeight="1">
      <c r="C504" s="1"/>
      <c r="F504" s="1"/>
      <c r="I504" s="2"/>
    </row>
    <row r="505" spans="3:9" ht="14.25" customHeight="1">
      <c r="C505" s="1"/>
      <c r="F505" s="1"/>
      <c r="I505" s="2"/>
    </row>
    <row r="506" spans="3:9" ht="14.25" customHeight="1">
      <c r="C506" s="1"/>
      <c r="F506" s="1"/>
      <c r="I506" s="2"/>
    </row>
    <row r="507" spans="3:9" ht="14.25" customHeight="1">
      <c r="C507" s="1"/>
      <c r="F507" s="1"/>
      <c r="I507" s="2"/>
    </row>
    <row r="508" spans="3:9" ht="14.25" customHeight="1">
      <c r="C508" s="1"/>
      <c r="F508" s="1"/>
      <c r="I508" s="2"/>
    </row>
    <row r="509" spans="3:9" ht="14.25" customHeight="1">
      <c r="C509" s="1"/>
      <c r="F509" s="1"/>
      <c r="I509" s="2"/>
    </row>
    <row r="510" spans="3:9" ht="14.25" customHeight="1">
      <c r="C510" s="1"/>
      <c r="F510" s="1"/>
      <c r="I510" s="2"/>
    </row>
    <row r="511" spans="3:9" ht="14.25" customHeight="1">
      <c r="C511" s="1"/>
      <c r="F511" s="1"/>
      <c r="I511" s="2"/>
    </row>
    <row r="512" spans="3:9" ht="14.25" customHeight="1">
      <c r="C512" s="1"/>
      <c r="F512" s="1"/>
      <c r="I512" s="2"/>
    </row>
    <row r="513" spans="3:9" ht="14.25" customHeight="1">
      <c r="C513" s="1"/>
      <c r="F513" s="1"/>
      <c r="I513" s="2"/>
    </row>
    <row r="514" spans="3:9" ht="14.25" customHeight="1">
      <c r="C514" s="1"/>
      <c r="F514" s="1"/>
      <c r="I514" s="2"/>
    </row>
    <row r="515" spans="3:9" ht="14.25" customHeight="1">
      <c r="C515" s="1"/>
      <c r="F515" s="1"/>
      <c r="I515" s="2"/>
    </row>
    <row r="516" spans="3:9" ht="14.25" customHeight="1">
      <c r="C516" s="1"/>
      <c r="F516" s="1"/>
      <c r="I516" s="2"/>
    </row>
    <row r="517" spans="3:9" ht="14.25" customHeight="1">
      <c r="C517" s="1"/>
      <c r="F517" s="1"/>
      <c r="I517" s="2"/>
    </row>
    <row r="518" spans="3:9" ht="14.25" customHeight="1">
      <c r="C518" s="1"/>
      <c r="F518" s="1"/>
      <c r="I518" s="2"/>
    </row>
    <row r="519" spans="3:9" ht="14.25" customHeight="1">
      <c r="C519" s="1"/>
      <c r="F519" s="1"/>
      <c r="I519" s="2"/>
    </row>
    <row r="520" spans="3:9" ht="14.25" customHeight="1">
      <c r="C520" s="1"/>
      <c r="F520" s="1"/>
      <c r="I520" s="2"/>
    </row>
    <row r="521" spans="3:9" ht="14.25" customHeight="1">
      <c r="C521" s="1"/>
      <c r="F521" s="1"/>
      <c r="I521" s="2"/>
    </row>
    <row r="522" spans="3:9" ht="14.25" customHeight="1">
      <c r="C522" s="1"/>
      <c r="F522" s="1"/>
      <c r="I522" s="2"/>
    </row>
    <row r="523" spans="3:9" ht="14.25" customHeight="1">
      <c r="C523" s="1"/>
      <c r="F523" s="1"/>
      <c r="I523" s="2"/>
    </row>
    <row r="524" spans="3:9" ht="14.25" customHeight="1">
      <c r="C524" s="1"/>
      <c r="F524" s="1"/>
      <c r="I524" s="2"/>
    </row>
    <row r="525" spans="3:9" ht="14.25" customHeight="1">
      <c r="C525" s="1"/>
      <c r="F525" s="1"/>
      <c r="I525" s="2"/>
    </row>
    <row r="526" spans="3:9" ht="14.25" customHeight="1">
      <c r="C526" s="1"/>
      <c r="F526" s="1"/>
      <c r="I526" s="2"/>
    </row>
    <row r="527" spans="3:9" ht="14.25" customHeight="1">
      <c r="C527" s="1"/>
      <c r="F527" s="1"/>
      <c r="I527" s="2"/>
    </row>
    <row r="528" spans="3:9" ht="14.25" customHeight="1">
      <c r="C528" s="1"/>
      <c r="F528" s="1"/>
      <c r="I528" s="2"/>
    </row>
    <row r="529" spans="3:9" ht="14.25" customHeight="1">
      <c r="C529" s="1"/>
      <c r="F529" s="1"/>
      <c r="I529" s="2"/>
    </row>
    <row r="530" spans="3:9" ht="14.25" customHeight="1">
      <c r="C530" s="1"/>
      <c r="F530" s="1"/>
      <c r="I530" s="2"/>
    </row>
    <row r="531" spans="3:9" ht="14.25" customHeight="1">
      <c r="C531" s="1"/>
      <c r="F531" s="1"/>
      <c r="I531" s="2"/>
    </row>
    <row r="532" spans="3:9" ht="14.25" customHeight="1">
      <c r="C532" s="1"/>
      <c r="F532" s="1"/>
      <c r="I532" s="2"/>
    </row>
    <row r="533" spans="3:9" ht="14.25" customHeight="1">
      <c r="C533" s="1"/>
      <c r="F533" s="1"/>
      <c r="I533" s="2"/>
    </row>
    <row r="534" spans="3:9" ht="14.25" customHeight="1">
      <c r="C534" s="1"/>
      <c r="F534" s="1"/>
      <c r="I534" s="2"/>
    </row>
    <row r="535" spans="3:9" ht="14.25" customHeight="1">
      <c r="C535" s="1"/>
      <c r="F535" s="1"/>
      <c r="I535" s="2"/>
    </row>
    <row r="536" spans="3:9" ht="14.25" customHeight="1">
      <c r="C536" s="1"/>
      <c r="F536" s="1"/>
      <c r="I536" s="2"/>
    </row>
    <row r="537" spans="3:9" ht="14.25" customHeight="1">
      <c r="C537" s="1"/>
      <c r="F537" s="1"/>
      <c r="I537" s="2"/>
    </row>
    <row r="538" spans="3:9" ht="14.25" customHeight="1">
      <c r="C538" s="1"/>
      <c r="F538" s="1"/>
      <c r="I538" s="2"/>
    </row>
    <row r="539" spans="3:9" ht="14.25" customHeight="1">
      <c r="C539" s="1"/>
      <c r="F539" s="1"/>
      <c r="I539" s="2"/>
    </row>
    <row r="540" spans="3:9" ht="14.25" customHeight="1">
      <c r="C540" s="1"/>
      <c r="F540" s="1"/>
      <c r="I540" s="2"/>
    </row>
    <row r="541" spans="3:9" ht="14.25" customHeight="1">
      <c r="C541" s="1"/>
      <c r="F541" s="1"/>
      <c r="I541" s="2"/>
    </row>
    <row r="542" spans="3:9" ht="14.25" customHeight="1">
      <c r="C542" s="1"/>
      <c r="F542" s="1"/>
      <c r="I542" s="2"/>
    </row>
    <row r="543" spans="3:9" ht="14.25" customHeight="1">
      <c r="C543" s="1"/>
      <c r="F543" s="1"/>
      <c r="I543" s="2"/>
    </row>
    <row r="544" spans="3:9" ht="14.25" customHeight="1">
      <c r="C544" s="1"/>
      <c r="F544" s="1"/>
      <c r="I544" s="2"/>
    </row>
    <row r="545" spans="3:9" ht="14.25" customHeight="1">
      <c r="C545" s="1"/>
      <c r="F545" s="1"/>
      <c r="I545" s="2"/>
    </row>
    <row r="546" spans="3:9" ht="14.25" customHeight="1">
      <c r="C546" s="1"/>
      <c r="F546" s="1"/>
      <c r="I546" s="2"/>
    </row>
    <row r="547" spans="3:9" ht="14.25" customHeight="1">
      <c r="C547" s="1"/>
      <c r="F547" s="1"/>
      <c r="I547" s="2"/>
    </row>
    <row r="548" spans="3:9" ht="14.25" customHeight="1">
      <c r="C548" s="1"/>
      <c r="F548" s="1"/>
      <c r="I548" s="2"/>
    </row>
    <row r="549" spans="3:9" ht="14.25" customHeight="1">
      <c r="C549" s="1"/>
      <c r="F549" s="1"/>
      <c r="I549" s="2"/>
    </row>
    <row r="550" spans="3:9" ht="14.25" customHeight="1">
      <c r="C550" s="1"/>
      <c r="F550" s="1"/>
      <c r="I550" s="2"/>
    </row>
    <row r="551" spans="3:9" ht="14.25" customHeight="1">
      <c r="C551" s="1"/>
      <c r="F551" s="1"/>
      <c r="I551" s="2"/>
    </row>
    <row r="552" spans="3:9" ht="14.25" customHeight="1">
      <c r="C552" s="1"/>
      <c r="F552" s="1"/>
      <c r="I552" s="2"/>
    </row>
    <row r="553" spans="3:9" ht="14.25" customHeight="1">
      <c r="C553" s="1"/>
      <c r="F553" s="1"/>
      <c r="I553" s="2"/>
    </row>
    <row r="554" spans="3:9" ht="14.25" customHeight="1">
      <c r="C554" s="1"/>
      <c r="F554" s="1"/>
      <c r="I554" s="2"/>
    </row>
    <row r="555" spans="3:9" ht="14.25" customHeight="1">
      <c r="C555" s="1"/>
      <c r="F555" s="1"/>
      <c r="I555" s="2"/>
    </row>
    <row r="556" spans="3:9" ht="14.25" customHeight="1">
      <c r="C556" s="1"/>
      <c r="F556" s="1"/>
      <c r="I556" s="2"/>
    </row>
    <row r="557" spans="3:9" ht="14.25" customHeight="1">
      <c r="C557" s="1"/>
      <c r="F557" s="1"/>
      <c r="I557" s="2"/>
    </row>
    <row r="558" spans="3:9" ht="14.25" customHeight="1">
      <c r="C558" s="1"/>
      <c r="F558" s="1"/>
      <c r="I558" s="2"/>
    </row>
    <row r="559" spans="3:9" ht="14.25" customHeight="1">
      <c r="C559" s="1"/>
      <c r="F559" s="1"/>
      <c r="I559" s="2"/>
    </row>
    <row r="560" spans="3:9" ht="14.25" customHeight="1">
      <c r="C560" s="1"/>
      <c r="F560" s="1"/>
      <c r="I560" s="2"/>
    </row>
    <row r="561" spans="3:9" ht="14.25" customHeight="1">
      <c r="C561" s="1"/>
      <c r="F561" s="1"/>
      <c r="I561" s="2"/>
    </row>
    <row r="562" spans="3:9" ht="14.25" customHeight="1">
      <c r="C562" s="1"/>
      <c r="F562" s="1"/>
      <c r="I562" s="2"/>
    </row>
    <row r="563" spans="3:9" ht="14.25" customHeight="1">
      <c r="C563" s="1"/>
      <c r="F563" s="1"/>
      <c r="I563" s="2"/>
    </row>
    <row r="564" spans="3:9" ht="14.25" customHeight="1">
      <c r="C564" s="1"/>
      <c r="F564" s="1"/>
      <c r="I564" s="2"/>
    </row>
    <row r="565" spans="3:9" ht="14.25" customHeight="1">
      <c r="C565" s="1"/>
      <c r="F565" s="1"/>
      <c r="I565" s="2"/>
    </row>
    <row r="566" spans="3:9" ht="14.25" customHeight="1">
      <c r="C566" s="1"/>
      <c r="F566" s="1"/>
      <c r="I566" s="2"/>
    </row>
    <row r="567" spans="3:9" ht="14.25" customHeight="1">
      <c r="C567" s="1"/>
      <c r="F567" s="1"/>
      <c r="I567" s="2"/>
    </row>
    <row r="568" spans="3:9" ht="14.25" customHeight="1">
      <c r="C568" s="1"/>
      <c r="F568" s="1"/>
      <c r="I568" s="2"/>
    </row>
    <row r="569" spans="3:9" ht="14.25" customHeight="1">
      <c r="C569" s="1"/>
      <c r="F569" s="1"/>
      <c r="I569" s="2"/>
    </row>
    <row r="570" spans="3:9" ht="14.25" customHeight="1">
      <c r="C570" s="1"/>
      <c r="F570" s="1"/>
      <c r="I570" s="2"/>
    </row>
    <row r="571" spans="3:9" ht="14.25" customHeight="1">
      <c r="C571" s="1"/>
      <c r="F571" s="1"/>
      <c r="I571" s="2"/>
    </row>
    <row r="572" spans="3:9" ht="14.25" customHeight="1">
      <c r="C572" s="1"/>
      <c r="F572" s="1"/>
      <c r="I572" s="2"/>
    </row>
    <row r="573" spans="3:9" ht="14.25" customHeight="1">
      <c r="C573" s="1"/>
      <c r="F573" s="1"/>
      <c r="I573" s="2"/>
    </row>
    <row r="574" spans="3:9" ht="14.25" customHeight="1">
      <c r="C574" s="1"/>
      <c r="F574" s="1"/>
      <c r="I574" s="2"/>
    </row>
    <row r="575" spans="3:9" ht="14.25" customHeight="1">
      <c r="C575" s="1"/>
      <c r="F575" s="1"/>
      <c r="I575" s="2"/>
    </row>
    <row r="576" spans="3:9" ht="14.25" customHeight="1">
      <c r="C576" s="1"/>
      <c r="F576" s="1"/>
      <c r="I576" s="2"/>
    </row>
    <row r="577" spans="3:9" ht="14.25" customHeight="1">
      <c r="C577" s="1"/>
      <c r="F577" s="1"/>
      <c r="I577" s="2"/>
    </row>
    <row r="578" spans="3:9" ht="14.25" customHeight="1">
      <c r="C578" s="1"/>
      <c r="F578" s="1"/>
      <c r="I578" s="2"/>
    </row>
    <row r="579" spans="3:9" ht="14.25" customHeight="1">
      <c r="C579" s="1"/>
      <c r="F579" s="1"/>
      <c r="I579" s="2"/>
    </row>
    <row r="580" spans="3:9" ht="14.25" customHeight="1">
      <c r="C580" s="1"/>
      <c r="F580" s="1"/>
      <c r="I580" s="2"/>
    </row>
    <row r="581" spans="3:9" ht="14.25" customHeight="1">
      <c r="C581" s="1"/>
      <c r="F581" s="1"/>
      <c r="I581" s="2"/>
    </row>
    <row r="582" spans="3:9" ht="14.25" customHeight="1">
      <c r="C582" s="1"/>
      <c r="F582" s="1"/>
      <c r="I582" s="2"/>
    </row>
    <row r="583" spans="3:9" ht="14.25" customHeight="1">
      <c r="C583" s="1"/>
      <c r="F583" s="1"/>
      <c r="I583" s="2"/>
    </row>
    <row r="584" spans="3:9" ht="14.25" customHeight="1">
      <c r="C584" s="1"/>
      <c r="F584" s="1"/>
      <c r="I584" s="2"/>
    </row>
    <row r="585" spans="3:9" ht="14.25" customHeight="1">
      <c r="C585" s="1"/>
      <c r="F585" s="1"/>
      <c r="I585" s="2"/>
    </row>
    <row r="586" spans="3:9" ht="14.25" customHeight="1">
      <c r="C586" s="1"/>
      <c r="F586" s="1"/>
      <c r="I586" s="2"/>
    </row>
    <row r="587" spans="3:9" ht="14.25" customHeight="1">
      <c r="C587" s="1"/>
      <c r="F587" s="1"/>
      <c r="I587" s="2"/>
    </row>
    <row r="588" spans="3:9" ht="14.25" customHeight="1">
      <c r="C588" s="1"/>
      <c r="F588" s="1"/>
      <c r="I588" s="2"/>
    </row>
    <row r="589" spans="3:9" ht="14.25" customHeight="1">
      <c r="C589" s="1"/>
      <c r="F589" s="1"/>
      <c r="I589" s="2"/>
    </row>
    <row r="590" spans="3:9" ht="14.25" customHeight="1">
      <c r="C590" s="1"/>
      <c r="F590" s="1"/>
      <c r="I590" s="2"/>
    </row>
    <row r="591" spans="3:9" ht="14.25" customHeight="1">
      <c r="C591" s="1"/>
      <c r="F591" s="1"/>
      <c r="I591" s="2"/>
    </row>
    <row r="592" spans="3:9" ht="14.25" customHeight="1">
      <c r="C592" s="1"/>
      <c r="F592" s="1"/>
      <c r="I592" s="2"/>
    </row>
    <row r="593" spans="3:9" ht="14.25" customHeight="1">
      <c r="C593" s="1"/>
      <c r="F593" s="1"/>
      <c r="I593" s="2"/>
    </row>
    <row r="594" spans="3:9" ht="14.25" customHeight="1">
      <c r="C594" s="1"/>
      <c r="F594" s="1"/>
      <c r="I594" s="2"/>
    </row>
    <row r="595" spans="3:9" ht="14.25" customHeight="1">
      <c r="C595" s="1"/>
      <c r="F595" s="1"/>
      <c r="I595" s="2"/>
    </row>
    <row r="596" spans="3:9" ht="14.25" customHeight="1">
      <c r="C596" s="1"/>
      <c r="F596" s="1"/>
      <c r="I596" s="2"/>
    </row>
    <row r="597" spans="3:9" ht="14.25" customHeight="1">
      <c r="C597" s="1"/>
      <c r="F597" s="1"/>
      <c r="I597" s="2"/>
    </row>
    <row r="598" spans="3:9" ht="14.25" customHeight="1">
      <c r="C598" s="1"/>
      <c r="F598" s="1"/>
      <c r="I598" s="2"/>
    </row>
    <row r="599" spans="3:9" ht="14.25" customHeight="1">
      <c r="C599" s="1"/>
      <c r="F599" s="1"/>
      <c r="I599" s="2"/>
    </row>
    <row r="600" spans="3:9" ht="14.25" customHeight="1">
      <c r="C600" s="1"/>
      <c r="F600" s="1"/>
      <c r="I600" s="2"/>
    </row>
    <row r="601" spans="3:9" ht="14.25" customHeight="1">
      <c r="C601" s="1"/>
      <c r="F601" s="1"/>
      <c r="I601" s="2"/>
    </row>
    <row r="602" spans="3:9" ht="14.25" customHeight="1">
      <c r="C602" s="1"/>
      <c r="F602" s="1"/>
      <c r="I602" s="2"/>
    </row>
    <row r="603" spans="3:9" ht="14.25" customHeight="1">
      <c r="C603" s="1"/>
      <c r="F603" s="1"/>
      <c r="I603" s="2"/>
    </row>
    <row r="604" spans="3:9" ht="14.25" customHeight="1">
      <c r="C604" s="1"/>
      <c r="F604" s="1"/>
      <c r="I604" s="2"/>
    </row>
    <row r="605" spans="3:9" ht="14.25" customHeight="1">
      <c r="C605" s="1"/>
      <c r="F605" s="1"/>
      <c r="I605" s="2"/>
    </row>
    <row r="606" spans="3:9" ht="14.25" customHeight="1">
      <c r="C606" s="1"/>
      <c r="F606" s="1"/>
      <c r="I606" s="2"/>
    </row>
    <row r="607" spans="3:9" ht="14.25" customHeight="1">
      <c r="C607" s="1"/>
      <c r="F607" s="1"/>
      <c r="I607" s="2"/>
    </row>
    <row r="608" spans="3:9" ht="14.25" customHeight="1">
      <c r="C608" s="1"/>
      <c r="F608" s="1"/>
      <c r="I608" s="2"/>
    </row>
    <row r="609" spans="3:9" ht="14.25" customHeight="1">
      <c r="C609" s="1"/>
      <c r="F609" s="1"/>
      <c r="I609" s="2"/>
    </row>
    <row r="610" spans="3:9" ht="14.25" customHeight="1">
      <c r="C610" s="1"/>
      <c r="F610" s="1"/>
      <c r="I610" s="2"/>
    </row>
    <row r="611" spans="3:9" ht="14.25" customHeight="1">
      <c r="C611" s="1"/>
      <c r="F611" s="1"/>
      <c r="I611" s="2"/>
    </row>
    <row r="612" spans="3:9" ht="14.25" customHeight="1">
      <c r="C612" s="1"/>
      <c r="F612" s="1"/>
      <c r="I612" s="2"/>
    </row>
    <row r="613" spans="3:9" ht="14.25" customHeight="1">
      <c r="C613" s="1"/>
      <c r="F613" s="1"/>
      <c r="I613" s="2"/>
    </row>
    <row r="614" spans="3:9" ht="14.25" customHeight="1">
      <c r="C614" s="1"/>
      <c r="F614" s="1"/>
      <c r="I614" s="2"/>
    </row>
    <row r="615" spans="3:9" ht="14.25" customHeight="1">
      <c r="C615" s="1"/>
      <c r="F615" s="1"/>
      <c r="I615" s="2"/>
    </row>
    <row r="616" spans="3:9" ht="14.25" customHeight="1">
      <c r="C616" s="1"/>
      <c r="F616" s="1"/>
      <c r="I616" s="2"/>
    </row>
    <row r="617" spans="3:9" ht="14.25" customHeight="1">
      <c r="C617" s="1"/>
      <c r="F617" s="1"/>
      <c r="I617" s="2"/>
    </row>
    <row r="618" spans="3:9" ht="14.25" customHeight="1">
      <c r="C618" s="1"/>
      <c r="F618" s="1"/>
      <c r="I618" s="2"/>
    </row>
    <row r="619" spans="3:9" ht="14.25" customHeight="1">
      <c r="C619" s="1"/>
      <c r="F619" s="1"/>
      <c r="I619" s="2"/>
    </row>
    <row r="620" spans="3:9" ht="14.25" customHeight="1">
      <c r="C620" s="1"/>
      <c r="F620" s="1"/>
      <c r="I620" s="2"/>
    </row>
    <row r="621" spans="3:9" ht="14.25" customHeight="1">
      <c r="C621" s="1"/>
      <c r="F621" s="1"/>
      <c r="I621" s="2"/>
    </row>
    <row r="622" spans="3:9" ht="14.25" customHeight="1">
      <c r="C622" s="1"/>
      <c r="F622" s="1"/>
      <c r="I622" s="2"/>
    </row>
    <row r="623" spans="3:9" ht="14.25" customHeight="1">
      <c r="C623" s="1"/>
      <c r="F623" s="1"/>
      <c r="I623" s="2"/>
    </row>
    <row r="624" spans="3:9" ht="14.25" customHeight="1">
      <c r="C624" s="1"/>
      <c r="F624" s="1"/>
      <c r="I624" s="2"/>
    </row>
    <row r="625" spans="3:9" ht="14.25" customHeight="1">
      <c r="C625" s="1"/>
      <c r="F625" s="1"/>
      <c r="I625" s="2"/>
    </row>
    <row r="626" spans="3:9" ht="14.25" customHeight="1">
      <c r="C626" s="1"/>
      <c r="F626" s="1"/>
      <c r="I626" s="2"/>
    </row>
    <row r="627" spans="3:9" ht="14.25" customHeight="1">
      <c r="C627" s="1"/>
      <c r="F627" s="1"/>
      <c r="I627" s="2"/>
    </row>
    <row r="628" spans="3:9" ht="14.25" customHeight="1">
      <c r="C628" s="1"/>
      <c r="F628" s="1"/>
      <c r="I628" s="2"/>
    </row>
    <row r="629" spans="3:9" ht="14.25" customHeight="1">
      <c r="C629" s="1"/>
      <c r="F629" s="1"/>
      <c r="I629" s="2"/>
    </row>
    <row r="630" spans="3:9" ht="14.25" customHeight="1">
      <c r="C630" s="1"/>
      <c r="F630" s="1"/>
      <c r="I630" s="2"/>
    </row>
    <row r="631" spans="3:9" ht="14.25" customHeight="1">
      <c r="C631" s="1"/>
      <c r="F631" s="1"/>
      <c r="I631" s="2"/>
    </row>
    <row r="632" spans="3:9" ht="14.25" customHeight="1">
      <c r="C632" s="1"/>
      <c r="F632" s="1"/>
      <c r="I632" s="2"/>
    </row>
    <row r="633" spans="3:9" ht="14.25" customHeight="1">
      <c r="C633" s="1"/>
      <c r="F633" s="1"/>
      <c r="I633" s="2"/>
    </row>
    <row r="634" spans="3:9" ht="14.25" customHeight="1">
      <c r="C634" s="1"/>
      <c r="F634" s="1"/>
      <c r="I634" s="2"/>
    </row>
    <row r="635" spans="3:9" ht="14.25" customHeight="1">
      <c r="C635" s="1"/>
      <c r="F635" s="1"/>
      <c r="I635" s="2"/>
    </row>
    <row r="636" spans="3:9" ht="14.25" customHeight="1">
      <c r="C636" s="1"/>
      <c r="F636" s="1"/>
      <c r="I636" s="2"/>
    </row>
    <row r="637" spans="3:9" ht="14.25" customHeight="1">
      <c r="C637" s="1"/>
      <c r="F637" s="1"/>
      <c r="I637" s="2"/>
    </row>
    <row r="638" spans="3:9" ht="14.25" customHeight="1">
      <c r="C638" s="1"/>
      <c r="F638" s="1"/>
      <c r="I638" s="2"/>
    </row>
    <row r="639" spans="3:9" ht="14.25" customHeight="1">
      <c r="C639" s="1"/>
      <c r="F639" s="1"/>
      <c r="I639" s="2"/>
    </row>
    <row r="640" spans="3:9" ht="14.25" customHeight="1">
      <c r="C640" s="1"/>
      <c r="F640" s="1"/>
      <c r="I640" s="2"/>
    </row>
    <row r="641" spans="3:9" ht="14.25" customHeight="1">
      <c r="C641" s="1"/>
      <c r="F641" s="1"/>
      <c r="I641" s="2"/>
    </row>
    <row r="642" spans="3:9" ht="14.25" customHeight="1">
      <c r="C642" s="1"/>
      <c r="F642" s="1"/>
      <c r="I642" s="2"/>
    </row>
    <row r="643" spans="3:9" ht="14.25" customHeight="1">
      <c r="C643" s="1"/>
      <c r="F643" s="1"/>
      <c r="I643" s="2"/>
    </row>
    <row r="644" spans="3:9" ht="14.25" customHeight="1">
      <c r="C644" s="1"/>
      <c r="F644" s="1"/>
      <c r="I644" s="2"/>
    </row>
    <row r="645" spans="3:9" ht="14.25" customHeight="1">
      <c r="C645" s="1"/>
      <c r="F645" s="1"/>
      <c r="I645" s="2"/>
    </row>
    <row r="646" spans="3:9" ht="14.25" customHeight="1">
      <c r="C646" s="1"/>
      <c r="F646" s="1"/>
      <c r="I646" s="2"/>
    </row>
    <row r="647" spans="3:9" ht="14.25" customHeight="1">
      <c r="C647" s="1"/>
      <c r="F647" s="1"/>
      <c r="I647" s="2"/>
    </row>
    <row r="648" spans="3:9" ht="14.25" customHeight="1">
      <c r="C648" s="1"/>
      <c r="F648" s="1"/>
      <c r="I648" s="2"/>
    </row>
    <row r="649" spans="3:9" ht="14.25" customHeight="1">
      <c r="C649" s="1"/>
      <c r="F649" s="1"/>
      <c r="I649" s="2"/>
    </row>
    <row r="650" spans="3:9" ht="14.25" customHeight="1">
      <c r="C650" s="1"/>
      <c r="F650" s="1"/>
      <c r="I650" s="2"/>
    </row>
    <row r="651" spans="3:9" ht="14.25" customHeight="1">
      <c r="C651" s="1"/>
      <c r="F651" s="1"/>
      <c r="I651" s="2"/>
    </row>
    <row r="652" spans="3:9" ht="14.25" customHeight="1">
      <c r="C652" s="1"/>
      <c r="F652" s="1"/>
      <c r="I652" s="2"/>
    </row>
    <row r="653" spans="3:9" ht="14.25" customHeight="1">
      <c r="C653" s="1"/>
      <c r="F653" s="1"/>
      <c r="I653" s="2"/>
    </row>
    <row r="654" spans="3:9" ht="14.25" customHeight="1">
      <c r="C654" s="1"/>
      <c r="F654" s="1"/>
      <c r="I654" s="2"/>
    </row>
    <row r="655" spans="3:9" ht="14.25" customHeight="1">
      <c r="C655" s="1"/>
      <c r="F655" s="1"/>
      <c r="I655" s="2"/>
    </row>
    <row r="656" spans="3:9" ht="14.25" customHeight="1">
      <c r="C656" s="1"/>
      <c r="F656" s="1"/>
      <c r="I656" s="2"/>
    </row>
    <row r="657" spans="3:9" ht="14.25" customHeight="1">
      <c r="C657" s="1"/>
      <c r="F657" s="1"/>
      <c r="I657" s="2"/>
    </row>
    <row r="658" spans="3:9" ht="14.25" customHeight="1">
      <c r="C658" s="1"/>
      <c r="F658" s="1"/>
      <c r="I658" s="2"/>
    </row>
    <row r="659" spans="3:9" ht="14.25" customHeight="1">
      <c r="C659" s="1"/>
      <c r="F659" s="1"/>
      <c r="I659" s="2"/>
    </row>
    <row r="660" spans="3:9" ht="14.25" customHeight="1">
      <c r="C660" s="1"/>
      <c r="F660" s="1"/>
      <c r="I660" s="2"/>
    </row>
    <row r="661" spans="3:9" ht="14.25" customHeight="1">
      <c r="C661" s="1"/>
      <c r="F661" s="1"/>
      <c r="I661" s="2"/>
    </row>
    <row r="662" spans="3:9" ht="14.25" customHeight="1">
      <c r="C662" s="1"/>
      <c r="F662" s="1"/>
      <c r="I662" s="2"/>
    </row>
    <row r="663" spans="3:9" ht="14.25" customHeight="1">
      <c r="C663" s="1"/>
      <c r="F663" s="1"/>
      <c r="I663" s="2"/>
    </row>
    <row r="664" spans="3:9" ht="14.25" customHeight="1">
      <c r="C664" s="1"/>
      <c r="F664" s="1"/>
      <c r="I664" s="2"/>
    </row>
    <row r="665" spans="3:9" ht="14.25" customHeight="1">
      <c r="C665" s="1"/>
      <c r="F665" s="1"/>
      <c r="I665" s="2"/>
    </row>
    <row r="666" spans="3:9" ht="14.25" customHeight="1">
      <c r="C666" s="1"/>
      <c r="F666" s="1"/>
      <c r="I666" s="2"/>
    </row>
    <row r="667" spans="3:9" ht="14.25" customHeight="1">
      <c r="C667" s="1"/>
      <c r="F667" s="1"/>
      <c r="I667" s="2"/>
    </row>
    <row r="668" spans="3:9" ht="14.25" customHeight="1">
      <c r="C668" s="1"/>
      <c r="F668" s="1"/>
      <c r="I668" s="2"/>
    </row>
    <row r="669" spans="3:9" ht="14.25" customHeight="1">
      <c r="C669" s="1"/>
      <c r="F669" s="1"/>
      <c r="I669" s="2"/>
    </row>
    <row r="670" spans="3:9" ht="14.25" customHeight="1">
      <c r="C670" s="1"/>
      <c r="F670" s="1"/>
      <c r="I670" s="2"/>
    </row>
    <row r="671" spans="3:9" ht="14.25" customHeight="1">
      <c r="C671" s="1"/>
      <c r="F671" s="1"/>
      <c r="I671" s="2"/>
    </row>
    <row r="672" spans="3:9" ht="14.25" customHeight="1">
      <c r="C672" s="1"/>
      <c r="F672" s="1"/>
      <c r="I672" s="2"/>
    </row>
    <row r="673" spans="3:9" ht="14.25" customHeight="1">
      <c r="C673" s="1"/>
      <c r="F673" s="1"/>
      <c r="I673" s="2"/>
    </row>
    <row r="674" spans="3:9" ht="14.25" customHeight="1">
      <c r="C674" s="1"/>
      <c r="F674" s="1"/>
      <c r="I674" s="2"/>
    </row>
    <row r="675" spans="3:9" ht="14.25" customHeight="1">
      <c r="C675" s="1"/>
      <c r="F675" s="1"/>
      <c r="I675" s="2"/>
    </row>
    <row r="676" spans="3:9" ht="14.25" customHeight="1">
      <c r="C676" s="1"/>
      <c r="F676" s="1"/>
      <c r="I676" s="2"/>
    </row>
    <row r="677" spans="3:9" ht="14.25" customHeight="1">
      <c r="C677" s="1"/>
      <c r="F677" s="1"/>
      <c r="I677" s="2"/>
    </row>
    <row r="678" spans="3:9" ht="14.25" customHeight="1">
      <c r="C678" s="1"/>
      <c r="F678" s="1"/>
      <c r="I678" s="2"/>
    </row>
    <row r="679" spans="3:9" ht="14.25" customHeight="1">
      <c r="C679" s="1"/>
      <c r="F679" s="1"/>
      <c r="I679" s="2"/>
    </row>
    <row r="680" spans="3:9" ht="14.25" customHeight="1">
      <c r="C680" s="1"/>
      <c r="F680" s="1"/>
      <c r="I680" s="2"/>
    </row>
    <row r="681" spans="3:9" ht="14.25" customHeight="1">
      <c r="C681" s="1"/>
      <c r="F681" s="1"/>
      <c r="I681" s="2"/>
    </row>
    <row r="682" spans="3:9" ht="14.25" customHeight="1">
      <c r="C682" s="1"/>
      <c r="F682" s="1"/>
      <c r="I682" s="2"/>
    </row>
    <row r="683" spans="3:9" ht="14.25" customHeight="1">
      <c r="C683" s="1"/>
      <c r="F683" s="1"/>
      <c r="I683" s="2"/>
    </row>
    <row r="684" spans="3:9" ht="14.25" customHeight="1">
      <c r="C684" s="1"/>
      <c r="F684" s="1"/>
      <c r="I684" s="2"/>
    </row>
    <row r="685" spans="3:9" ht="14.25" customHeight="1">
      <c r="C685" s="1"/>
      <c r="F685" s="1"/>
      <c r="I685" s="2"/>
    </row>
    <row r="686" spans="3:9" ht="14.25" customHeight="1">
      <c r="C686" s="1"/>
      <c r="F686" s="1"/>
      <c r="I686" s="2"/>
    </row>
    <row r="687" spans="3:9" ht="14.25" customHeight="1">
      <c r="C687" s="1"/>
      <c r="F687" s="1"/>
      <c r="I687" s="2"/>
    </row>
    <row r="688" spans="3:9" ht="14.25" customHeight="1">
      <c r="C688" s="1"/>
      <c r="F688" s="1"/>
      <c r="I688" s="2"/>
    </row>
    <row r="689" spans="3:9" ht="14.25" customHeight="1">
      <c r="C689" s="1"/>
      <c r="F689" s="1"/>
      <c r="I689" s="2"/>
    </row>
    <row r="690" spans="3:9" ht="14.25" customHeight="1">
      <c r="C690" s="1"/>
      <c r="F690" s="1"/>
      <c r="I690" s="2"/>
    </row>
    <row r="691" spans="3:9" ht="14.25" customHeight="1">
      <c r="C691" s="1"/>
      <c r="F691" s="1"/>
      <c r="I691" s="2"/>
    </row>
    <row r="692" spans="3:9" ht="14.25" customHeight="1">
      <c r="C692" s="1"/>
      <c r="F692" s="1"/>
      <c r="I692" s="2"/>
    </row>
    <row r="693" spans="3:9" ht="14.25" customHeight="1">
      <c r="C693" s="1"/>
      <c r="F693" s="1"/>
      <c r="I693" s="2"/>
    </row>
    <row r="694" spans="3:9" ht="14.25" customHeight="1">
      <c r="C694" s="1"/>
      <c r="F694" s="1"/>
      <c r="I694" s="2"/>
    </row>
    <row r="695" spans="3:9" ht="14.25" customHeight="1">
      <c r="C695" s="1"/>
      <c r="F695" s="1"/>
      <c r="I695" s="2"/>
    </row>
    <row r="696" spans="3:9" ht="14.25" customHeight="1">
      <c r="C696" s="1"/>
      <c r="F696" s="1"/>
      <c r="I696" s="2"/>
    </row>
    <row r="697" spans="3:9" ht="14.25" customHeight="1">
      <c r="C697" s="1"/>
      <c r="F697" s="1"/>
      <c r="I697" s="2"/>
    </row>
    <row r="698" spans="3:9" ht="14.25" customHeight="1">
      <c r="C698" s="1"/>
      <c r="F698" s="1"/>
      <c r="I698" s="2"/>
    </row>
    <row r="699" spans="3:9" ht="14.25" customHeight="1">
      <c r="C699" s="1"/>
      <c r="F699" s="1"/>
      <c r="I699" s="2"/>
    </row>
    <row r="700" spans="3:9" ht="14.25" customHeight="1">
      <c r="C700" s="1"/>
      <c r="F700" s="1"/>
      <c r="I700" s="2"/>
    </row>
    <row r="701" spans="3:9" ht="14.25" customHeight="1">
      <c r="C701" s="1"/>
      <c r="F701" s="1"/>
      <c r="I701" s="2"/>
    </row>
    <row r="702" spans="3:9" ht="14.25" customHeight="1">
      <c r="C702" s="1"/>
      <c r="F702" s="1"/>
      <c r="I702" s="2"/>
    </row>
    <row r="703" spans="3:9" ht="14.25" customHeight="1">
      <c r="C703" s="1"/>
      <c r="F703" s="1"/>
      <c r="I703" s="2"/>
    </row>
    <row r="704" spans="3:9" ht="14.25" customHeight="1">
      <c r="C704" s="1"/>
      <c r="F704" s="1"/>
      <c r="I704" s="2"/>
    </row>
    <row r="705" spans="3:9" ht="14.25" customHeight="1">
      <c r="C705" s="1"/>
      <c r="F705" s="1"/>
      <c r="I705" s="2"/>
    </row>
    <row r="706" spans="3:9" ht="14.25" customHeight="1">
      <c r="C706" s="1"/>
      <c r="F706" s="1"/>
      <c r="I706" s="2"/>
    </row>
    <row r="707" spans="3:9" ht="14.25" customHeight="1">
      <c r="C707" s="1"/>
      <c r="F707" s="1"/>
      <c r="I707" s="2"/>
    </row>
    <row r="708" spans="3:9" ht="14.25" customHeight="1">
      <c r="C708" s="1"/>
      <c r="F708" s="1"/>
      <c r="I708" s="2"/>
    </row>
    <row r="709" spans="3:9" ht="14.25" customHeight="1">
      <c r="C709" s="1"/>
      <c r="F709" s="1"/>
      <c r="I709" s="2"/>
    </row>
    <row r="710" spans="3:9" ht="14.25" customHeight="1">
      <c r="C710" s="1"/>
      <c r="F710" s="1"/>
      <c r="I710" s="2"/>
    </row>
    <row r="711" spans="3:9" ht="14.25" customHeight="1">
      <c r="C711" s="1"/>
      <c r="F711" s="1"/>
      <c r="I711" s="2"/>
    </row>
    <row r="712" spans="3:9" ht="14.25" customHeight="1">
      <c r="C712" s="1"/>
      <c r="F712" s="1"/>
      <c r="I712" s="2"/>
    </row>
    <row r="713" spans="3:9" ht="14.25" customHeight="1">
      <c r="C713" s="1"/>
      <c r="F713" s="1"/>
      <c r="I713" s="2"/>
    </row>
    <row r="714" spans="3:9" ht="14.25" customHeight="1">
      <c r="C714" s="1"/>
      <c r="F714" s="1"/>
      <c r="I714" s="2"/>
    </row>
    <row r="715" spans="3:9" ht="14.25" customHeight="1">
      <c r="C715" s="1"/>
      <c r="F715" s="1"/>
      <c r="I715" s="2"/>
    </row>
    <row r="716" spans="3:9" ht="14.25" customHeight="1">
      <c r="C716" s="1"/>
      <c r="F716" s="1"/>
      <c r="I716" s="2"/>
    </row>
    <row r="717" spans="3:9" ht="14.25" customHeight="1">
      <c r="C717" s="1"/>
      <c r="F717" s="1"/>
      <c r="I717" s="2"/>
    </row>
    <row r="718" spans="3:9" ht="14.25" customHeight="1">
      <c r="C718" s="1"/>
      <c r="F718" s="1"/>
      <c r="I718" s="2"/>
    </row>
    <row r="719" spans="3:9" ht="14.25" customHeight="1">
      <c r="C719" s="1"/>
      <c r="F719" s="1"/>
      <c r="I719" s="2"/>
    </row>
    <row r="720" spans="3:9" ht="14.25" customHeight="1">
      <c r="C720" s="1"/>
      <c r="F720" s="1"/>
      <c r="I720" s="2"/>
    </row>
    <row r="721" spans="3:9" ht="14.25" customHeight="1">
      <c r="C721" s="1"/>
      <c r="F721" s="1"/>
      <c r="I721" s="2"/>
    </row>
    <row r="722" spans="3:9" ht="14.25" customHeight="1">
      <c r="C722" s="1"/>
      <c r="F722" s="1"/>
      <c r="I722" s="2"/>
    </row>
    <row r="723" spans="3:9" ht="14.25" customHeight="1">
      <c r="C723" s="1"/>
      <c r="F723" s="1"/>
      <c r="I723" s="2"/>
    </row>
    <row r="724" spans="3:9" ht="14.25" customHeight="1">
      <c r="C724" s="1"/>
      <c r="F724" s="1"/>
      <c r="I724" s="2"/>
    </row>
    <row r="725" spans="3:9" ht="14.25" customHeight="1">
      <c r="C725" s="1"/>
      <c r="F725" s="1"/>
      <c r="I725" s="2"/>
    </row>
    <row r="726" spans="3:9" ht="14.25" customHeight="1">
      <c r="C726" s="1"/>
      <c r="F726" s="1"/>
      <c r="I726" s="2"/>
    </row>
    <row r="727" spans="3:9" ht="14.25" customHeight="1">
      <c r="C727" s="1"/>
      <c r="F727" s="1"/>
      <c r="I727" s="2"/>
    </row>
    <row r="728" spans="3:9" ht="14.25" customHeight="1">
      <c r="C728" s="1"/>
      <c r="F728" s="1"/>
      <c r="I728" s="2"/>
    </row>
    <row r="729" spans="3:9" ht="14.25" customHeight="1">
      <c r="C729" s="1"/>
      <c r="F729" s="1"/>
      <c r="I729" s="2"/>
    </row>
    <row r="730" spans="3:9" ht="14.25" customHeight="1">
      <c r="C730" s="1"/>
      <c r="F730" s="1"/>
      <c r="I730" s="2"/>
    </row>
    <row r="731" spans="3:9" ht="14.25" customHeight="1">
      <c r="C731" s="1"/>
      <c r="F731" s="1"/>
      <c r="I731" s="2"/>
    </row>
    <row r="732" spans="3:9" ht="14.25" customHeight="1">
      <c r="C732" s="1"/>
      <c r="F732" s="1"/>
      <c r="I732" s="2"/>
    </row>
    <row r="733" spans="3:9" ht="14.25" customHeight="1">
      <c r="C733" s="1"/>
      <c r="F733" s="1"/>
      <c r="I733" s="2"/>
    </row>
    <row r="734" spans="3:9" ht="14.25" customHeight="1">
      <c r="C734" s="1"/>
      <c r="F734" s="1"/>
      <c r="I734" s="2"/>
    </row>
    <row r="735" spans="3:9" ht="14.25" customHeight="1">
      <c r="C735" s="1"/>
      <c r="F735" s="1"/>
      <c r="I735" s="2"/>
    </row>
    <row r="736" spans="3:9" ht="14.25" customHeight="1">
      <c r="C736" s="1"/>
      <c r="F736" s="1"/>
      <c r="I736" s="2"/>
    </row>
    <row r="737" spans="3:9" ht="14.25" customHeight="1">
      <c r="C737" s="1"/>
      <c r="F737" s="1"/>
      <c r="I737" s="2"/>
    </row>
    <row r="738" spans="3:9" ht="14.25" customHeight="1">
      <c r="C738" s="1"/>
      <c r="F738" s="1"/>
      <c r="I738" s="2"/>
    </row>
    <row r="739" spans="3:9" ht="14.25" customHeight="1">
      <c r="C739" s="1"/>
      <c r="F739" s="1"/>
      <c r="I739" s="2"/>
    </row>
    <row r="740" spans="3:9" ht="14.25" customHeight="1">
      <c r="C740" s="1"/>
      <c r="F740" s="1"/>
      <c r="I740" s="2"/>
    </row>
    <row r="741" spans="3:9" ht="14.25" customHeight="1">
      <c r="C741" s="1"/>
      <c r="F741" s="1"/>
      <c r="I741" s="2"/>
    </row>
    <row r="742" spans="3:9" ht="14.25" customHeight="1">
      <c r="C742" s="1"/>
      <c r="F742" s="1"/>
      <c r="I742" s="2"/>
    </row>
    <row r="743" spans="3:9" ht="14.25" customHeight="1">
      <c r="C743" s="1"/>
      <c r="F743" s="1"/>
      <c r="I743" s="2"/>
    </row>
    <row r="744" spans="3:9" ht="14.25" customHeight="1">
      <c r="C744" s="1"/>
      <c r="F744" s="1"/>
      <c r="I744" s="2"/>
    </row>
    <row r="745" spans="3:9" ht="14.25" customHeight="1">
      <c r="C745" s="1"/>
      <c r="F745" s="1"/>
      <c r="I745" s="2"/>
    </row>
    <row r="746" spans="3:9" ht="14.25" customHeight="1">
      <c r="C746" s="1"/>
      <c r="F746" s="1"/>
      <c r="I746" s="2"/>
    </row>
    <row r="747" spans="3:9" ht="14.25" customHeight="1">
      <c r="C747" s="1"/>
      <c r="F747" s="1"/>
      <c r="I747" s="2"/>
    </row>
    <row r="748" spans="3:9" ht="14.25" customHeight="1">
      <c r="C748" s="1"/>
      <c r="F748" s="1"/>
      <c r="I748" s="2"/>
    </row>
    <row r="749" spans="3:9" ht="14.25" customHeight="1">
      <c r="C749" s="1"/>
      <c r="F749" s="1"/>
      <c r="I749" s="2"/>
    </row>
    <row r="750" spans="3:9" ht="14.25" customHeight="1">
      <c r="C750" s="1"/>
      <c r="F750" s="1"/>
      <c r="I750" s="2"/>
    </row>
    <row r="751" spans="3:9" ht="14.25" customHeight="1">
      <c r="C751" s="1"/>
      <c r="F751" s="1"/>
      <c r="I751" s="2"/>
    </row>
    <row r="752" spans="3:9" ht="14.25" customHeight="1">
      <c r="C752" s="1"/>
      <c r="F752" s="1"/>
      <c r="I752" s="2"/>
    </row>
    <row r="753" spans="3:9" ht="14.25" customHeight="1">
      <c r="C753" s="1"/>
      <c r="F753" s="1"/>
      <c r="I753" s="2"/>
    </row>
    <row r="754" spans="3:9" ht="14.25" customHeight="1">
      <c r="C754" s="1"/>
      <c r="F754" s="1"/>
      <c r="I754" s="2"/>
    </row>
    <row r="755" spans="3:9" ht="14.25" customHeight="1">
      <c r="C755" s="1"/>
      <c r="F755" s="1"/>
      <c r="I755" s="2"/>
    </row>
    <row r="756" spans="3:9" ht="14.25" customHeight="1">
      <c r="C756" s="1"/>
      <c r="F756" s="1"/>
      <c r="I756" s="2"/>
    </row>
    <row r="757" spans="3:9" ht="14.25" customHeight="1">
      <c r="C757" s="1"/>
      <c r="F757" s="1"/>
      <c r="I757" s="2"/>
    </row>
    <row r="758" spans="3:9" ht="14.25" customHeight="1">
      <c r="C758" s="1"/>
      <c r="F758" s="1"/>
      <c r="I758" s="2"/>
    </row>
    <row r="759" spans="3:9" ht="14.25" customHeight="1">
      <c r="C759" s="1"/>
      <c r="F759" s="1"/>
      <c r="I759" s="2"/>
    </row>
    <row r="760" spans="3:9" ht="14.25" customHeight="1">
      <c r="C760" s="1"/>
      <c r="F760" s="1"/>
      <c r="I760" s="2"/>
    </row>
    <row r="761" spans="3:9" ht="14.25" customHeight="1">
      <c r="C761" s="1"/>
      <c r="F761" s="1"/>
      <c r="I761" s="2"/>
    </row>
    <row r="762" spans="3:9" ht="14.25" customHeight="1">
      <c r="C762" s="1"/>
      <c r="F762" s="1"/>
      <c r="I762" s="2"/>
    </row>
    <row r="763" spans="3:9" ht="14.25" customHeight="1">
      <c r="C763" s="1"/>
      <c r="F763" s="1"/>
      <c r="I763" s="2"/>
    </row>
    <row r="764" spans="3:9" ht="14.25" customHeight="1">
      <c r="C764" s="1"/>
      <c r="F764" s="1"/>
      <c r="I764" s="2"/>
    </row>
    <row r="765" spans="3:9" ht="14.25" customHeight="1">
      <c r="C765" s="1"/>
      <c r="F765" s="1"/>
      <c r="I765" s="2"/>
    </row>
    <row r="766" spans="3:9" ht="14.25" customHeight="1">
      <c r="C766" s="1"/>
      <c r="F766" s="1"/>
      <c r="I766" s="2"/>
    </row>
    <row r="767" spans="3:9" ht="14.25" customHeight="1">
      <c r="C767" s="1"/>
      <c r="F767" s="1"/>
      <c r="I767" s="2"/>
    </row>
    <row r="768" spans="3:9" ht="14.25" customHeight="1">
      <c r="C768" s="1"/>
      <c r="F768" s="1"/>
      <c r="I768" s="2"/>
    </row>
    <row r="769" spans="3:9" ht="14.25" customHeight="1">
      <c r="C769" s="1"/>
      <c r="F769" s="1"/>
      <c r="I769" s="2"/>
    </row>
    <row r="770" spans="3:9" ht="14.25" customHeight="1">
      <c r="C770" s="1"/>
      <c r="F770" s="1"/>
      <c r="I770" s="2"/>
    </row>
    <row r="771" spans="3:9" ht="14.25" customHeight="1">
      <c r="C771" s="1"/>
      <c r="F771" s="1"/>
      <c r="I771" s="2"/>
    </row>
    <row r="772" spans="3:9" ht="14.25" customHeight="1">
      <c r="C772" s="1"/>
      <c r="F772" s="1"/>
      <c r="I772" s="2"/>
    </row>
    <row r="773" spans="3:9" ht="14.25" customHeight="1">
      <c r="C773" s="1"/>
      <c r="F773" s="1"/>
      <c r="I773" s="2"/>
    </row>
    <row r="774" spans="3:9" ht="14.25" customHeight="1">
      <c r="C774" s="1"/>
      <c r="F774" s="1"/>
      <c r="I774" s="2"/>
    </row>
    <row r="775" spans="3:9" ht="14.25" customHeight="1">
      <c r="C775" s="1"/>
      <c r="F775" s="1"/>
      <c r="I775" s="2"/>
    </row>
    <row r="776" spans="3:9" ht="14.25" customHeight="1">
      <c r="C776" s="1"/>
      <c r="F776" s="1"/>
      <c r="I776" s="2"/>
    </row>
    <row r="777" spans="3:9" ht="14.25" customHeight="1">
      <c r="C777" s="1"/>
      <c r="F777" s="1"/>
      <c r="I777" s="2"/>
    </row>
    <row r="778" spans="3:9" ht="14.25" customHeight="1">
      <c r="C778" s="1"/>
      <c r="F778" s="1"/>
      <c r="I778" s="2"/>
    </row>
    <row r="779" spans="3:9" ht="14.25" customHeight="1">
      <c r="C779" s="1"/>
      <c r="F779" s="1"/>
      <c r="I779" s="2"/>
    </row>
    <row r="780" spans="3:9" ht="14.25" customHeight="1">
      <c r="C780" s="1"/>
      <c r="F780" s="1"/>
      <c r="I780" s="2"/>
    </row>
    <row r="781" spans="3:9" ht="14.25" customHeight="1">
      <c r="C781" s="1"/>
      <c r="F781" s="1"/>
      <c r="I781" s="2"/>
    </row>
    <row r="782" spans="3:9" ht="14.25" customHeight="1">
      <c r="C782" s="1"/>
      <c r="F782" s="1"/>
      <c r="I782" s="2"/>
    </row>
    <row r="783" spans="3:9" ht="14.25" customHeight="1">
      <c r="C783" s="1"/>
      <c r="F783" s="1"/>
      <c r="I783" s="2"/>
    </row>
    <row r="784" spans="3:9" ht="14.25" customHeight="1">
      <c r="C784" s="1"/>
      <c r="F784" s="1"/>
      <c r="I784" s="2"/>
    </row>
    <row r="785" spans="3:9" ht="14.25" customHeight="1">
      <c r="C785" s="1"/>
      <c r="F785" s="1"/>
      <c r="I785" s="2"/>
    </row>
    <row r="786" spans="3:9" ht="14.25" customHeight="1">
      <c r="C786" s="1"/>
      <c r="F786" s="1"/>
      <c r="I786" s="2"/>
    </row>
    <row r="787" spans="3:9" ht="14.25" customHeight="1">
      <c r="C787" s="1"/>
      <c r="F787" s="1"/>
      <c r="I787" s="2"/>
    </row>
    <row r="788" spans="3:9" ht="14.25" customHeight="1">
      <c r="C788" s="1"/>
      <c r="F788" s="1"/>
      <c r="I788" s="2"/>
    </row>
    <row r="789" spans="3:9" ht="14.25" customHeight="1">
      <c r="C789" s="1"/>
      <c r="F789" s="1"/>
      <c r="I789" s="2"/>
    </row>
    <row r="790" spans="3:9" ht="14.25" customHeight="1">
      <c r="C790" s="1"/>
      <c r="F790" s="1"/>
      <c r="I790" s="2"/>
    </row>
    <row r="791" spans="3:9" ht="14.25" customHeight="1">
      <c r="C791" s="1"/>
      <c r="F791" s="1"/>
      <c r="I791" s="2"/>
    </row>
    <row r="792" spans="3:9" ht="14.25" customHeight="1">
      <c r="C792" s="1"/>
      <c r="F792" s="1"/>
      <c r="I792" s="2"/>
    </row>
    <row r="793" spans="3:9" ht="14.25" customHeight="1">
      <c r="C793" s="1"/>
      <c r="F793" s="1"/>
      <c r="I793" s="2"/>
    </row>
    <row r="794" spans="3:9" ht="14.25" customHeight="1">
      <c r="C794" s="1"/>
      <c r="F794" s="1"/>
      <c r="I794" s="2"/>
    </row>
    <row r="795" spans="3:9" ht="14.25" customHeight="1">
      <c r="C795" s="1"/>
      <c r="F795" s="1"/>
      <c r="I795" s="2"/>
    </row>
    <row r="796" spans="3:9" ht="14.25" customHeight="1">
      <c r="C796" s="1"/>
      <c r="F796" s="1"/>
      <c r="I796" s="2"/>
    </row>
    <row r="797" spans="3:9" ht="14.25" customHeight="1">
      <c r="C797" s="1"/>
      <c r="F797" s="1"/>
      <c r="I797" s="2"/>
    </row>
    <row r="798" spans="3:9" ht="14.25" customHeight="1">
      <c r="C798" s="1"/>
      <c r="F798" s="1"/>
      <c r="I798" s="2"/>
    </row>
    <row r="799" spans="3:9" ht="14.25" customHeight="1">
      <c r="C799" s="1"/>
      <c r="F799" s="1"/>
      <c r="I799" s="2"/>
    </row>
    <row r="800" spans="3:9" ht="14.25" customHeight="1">
      <c r="C800" s="1"/>
      <c r="F800" s="1"/>
      <c r="I800" s="2"/>
    </row>
    <row r="801" spans="3:9" ht="14.25" customHeight="1">
      <c r="C801" s="1"/>
      <c r="F801" s="1"/>
      <c r="I801" s="2"/>
    </row>
    <row r="802" spans="3:9" ht="14.25" customHeight="1">
      <c r="C802" s="1"/>
      <c r="F802" s="1"/>
      <c r="I802" s="2"/>
    </row>
    <row r="803" spans="3:9" ht="14.25" customHeight="1">
      <c r="C803" s="1"/>
      <c r="F803" s="1"/>
      <c r="I803" s="2"/>
    </row>
    <row r="804" spans="3:9" ht="14.25" customHeight="1">
      <c r="C804" s="1"/>
      <c r="F804" s="1"/>
      <c r="I804" s="2"/>
    </row>
    <row r="805" spans="3:9" ht="14.25" customHeight="1">
      <c r="C805" s="1"/>
      <c r="F805" s="1"/>
      <c r="I805" s="2"/>
    </row>
    <row r="806" spans="3:9" ht="14.25" customHeight="1">
      <c r="C806" s="1"/>
      <c r="F806" s="1"/>
      <c r="I806" s="2"/>
    </row>
    <row r="807" spans="3:9" ht="14.25" customHeight="1">
      <c r="C807" s="1"/>
      <c r="F807" s="1"/>
      <c r="I807" s="2"/>
    </row>
    <row r="808" spans="3:9" ht="14.25" customHeight="1">
      <c r="C808" s="1"/>
      <c r="F808" s="1"/>
      <c r="I808" s="2"/>
    </row>
    <row r="809" spans="3:9" ht="14.25" customHeight="1">
      <c r="C809" s="1"/>
      <c r="F809" s="1"/>
      <c r="I809" s="2"/>
    </row>
    <row r="810" spans="3:9" ht="14.25" customHeight="1">
      <c r="C810" s="1"/>
      <c r="F810" s="1"/>
      <c r="I810" s="2"/>
    </row>
    <row r="811" spans="3:9" ht="14.25" customHeight="1">
      <c r="C811" s="1"/>
      <c r="F811" s="1"/>
      <c r="I811" s="2"/>
    </row>
    <row r="812" spans="3:9" ht="14.25" customHeight="1">
      <c r="C812" s="1"/>
      <c r="F812" s="1"/>
      <c r="I812" s="2"/>
    </row>
    <row r="813" spans="3:9" ht="14.25" customHeight="1">
      <c r="C813" s="1"/>
      <c r="F813" s="1"/>
      <c r="I813" s="2"/>
    </row>
    <row r="814" spans="3:9" ht="14.25" customHeight="1">
      <c r="C814" s="1"/>
      <c r="F814" s="1"/>
      <c r="I814" s="2"/>
    </row>
    <row r="815" spans="3:9" ht="14.25" customHeight="1">
      <c r="C815" s="1"/>
      <c r="F815" s="1"/>
      <c r="I815" s="2"/>
    </row>
    <row r="816" spans="3:9" ht="14.25" customHeight="1">
      <c r="C816" s="1"/>
      <c r="F816" s="1"/>
      <c r="I816" s="2"/>
    </row>
    <row r="817" spans="3:9" ht="14.25" customHeight="1">
      <c r="C817" s="1"/>
      <c r="F817" s="1"/>
      <c r="I817" s="2"/>
    </row>
    <row r="818" spans="3:9" ht="14.25" customHeight="1">
      <c r="C818" s="1"/>
      <c r="F818" s="1"/>
      <c r="I818" s="2"/>
    </row>
    <row r="819" spans="3:9" ht="14.25" customHeight="1">
      <c r="C819" s="1"/>
      <c r="F819" s="1"/>
      <c r="I819" s="2"/>
    </row>
    <row r="820" spans="3:9" ht="14.25" customHeight="1">
      <c r="C820" s="1"/>
      <c r="F820" s="1"/>
      <c r="I820" s="2"/>
    </row>
    <row r="821" spans="3:9" ht="14.25" customHeight="1">
      <c r="C821" s="1"/>
      <c r="F821" s="1"/>
      <c r="I821" s="2"/>
    </row>
    <row r="822" spans="3:9" ht="14.25" customHeight="1">
      <c r="C822" s="1"/>
      <c r="F822" s="1"/>
      <c r="I822" s="2"/>
    </row>
    <row r="823" spans="3:9" ht="14.25" customHeight="1">
      <c r="C823" s="1"/>
      <c r="F823" s="1"/>
      <c r="I823" s="2"/>
    </row>
    <row r="824" spans="3:9" ht="14.25" customHeight="1">
      <c r="C824" s="1"/>
      <c r="F824" s="1"/>
      <c r="I824" s="2"/>
    </row>
    <row r="825" spans="3:9" ht="14.25" customHeight="1">
      <c r="C825" s="1"/>
      <c r="F825" s="1"/>
      <c r="I825" s="2"/>
    </row>
    <row r="826" spans="3:9" ht="14.25" customHeight="1">
      <c r="C826" s="1"/>
      <c r="F826" s="1"/>
      <c r="I826" s="2"/>
    </row>
    <row r="827" spans="3:9" ht="14.25" customHeight="1">
      <c r="C827" s="1"/>
      <c r="F827" s="1"/>
      <c r="I827" s="2"/>
    </row>
    <row r="828" spans="3:9" ht="14.25" customHeight="1">
      <c r="C828" s="1"/>
      <c r="F828" s="1"/>
      <c r="I828" s="2"/>
    </row>
    <row r="829" spans="3:9" ht="14.25" customHeight="1">
      <c r="C829" s="1"/>
      <c r="F829" s="1"/>
      <c r="I829" s="2"/>
    </row>
    <row r="830" spans="3:9" ht="14.25" customHeight="1">
      <c r="C830" s="1"/>
      <c r="F830" s="1"/>
      <c r="I830" s="2"/>
    </row>
    <row r="831" spans="3:9" ht="14.25" customHeight="1">
      <c r="C831" s="1"/>
      <c r="F831" s="1"/>
      <c r="I831" s="2"/>
    </row>
    <row r="832" spans="3:9" ht="14.25" customHeight="1">
      <c r="C832" s="1"/>
      <c r="F832" s="1"/>
      <c r="I832" s="2"/>
    </row>
    <row r="833" spans="3:9" ht="14.25" customHeight="1">
      <c r="C833" s="1"/>
      <c r="F833" s="1"/>
      <c r="I833" s="2"/>
    </row>
    <row r="834" spans="3:9" ht="14.25" customHeight="1">
      <c r="C834" s="1"/>
      <c r="F834" s="1"/>
      <c r="I834" s="2"/>
    </row>
    <row r="835" spans="3:9" ht="14.25" customHeight="1">
      <c r="C835" s="1"/>
      <c r="F835" s="1"/>
      <c r="I835" s="2"/>
    </row>
    <row r="836" spans="3:9" ht="14.25" customHeight="1">
      <c r="C836" s="1"/>
      <c r="F836" s="1"/>
      <c r="I836" s="2"/>
    </row>
    <row r="837" spans="3:9" ht="14.25" customHeight="1">
      <c r="C837" s="1"/>
      <c r="F837" s="1"/>
      <c r="I837" s="2"/>
    </row>
    <row r="838" spans="3:9" ht="14.25" customHeight="1">
      <c r="C838" s="1"/>
      <c r="F838" s="1"/>
      <c r="I838" s="2"/>
    </row>
    <row r="839" spans="3:9" ht="14.25" customHeight="1">
      <c r="C839" s="1"/>
      <c r="F839" s="1"/>
      <c r="I839" s="2"/>
    </row>
    <row r="840" spans="3:9" ht="14.25" customHeight="1">
      <c r="C840" s="1"/>
      <c r="F840" s="1"/>
      <c r="I840" s="2"/>
    </row>
    <row r="841" spans="3:9" ht="14.25" customHeight="1">
      <c r="C841" s="1"/>
      <c r="F841" s="1"/>
      <c r="I841" s="2"/>
    </row>
    <row r="842" spans="3:9" ht="14.25" customHeight="1">
      <c r="C842" s="1"/>
      <c r="F842" s="1"/>
      <c r="I842" s="2"/>
    </row>
    <row r="843" spans="3:9" ht="14.25" customHeight="1">
      <c r="C843" s="1"/>
      <c r="F843" s="1"/>
      <c r="I843" s="2"/>
    </row>
    <row r="844" spans="3:9" ht="14.25" customHeight="1">
      <c r="C844" s="1"/>
      <c r="F844" s="1"/>
      <c r="I844" s="2"/>
    </row>
    <row r="845" spans="3:9" ht="14.25" customHeight="1">
      <c r="C845" s="1"/>
      <c r="F845" s="1"/>
      <c r="I845" s="2"/>
    </row>
    <row r="846" spans="3:9" ht="14.25" customHeight="1">
      <c r="C846" s="1"/>
      <c r="F846" s="1"/>
      <c r="I846" s="2"/>
    </row>
    <row r="847" spans="3:9" ht="14.25" customHeight="1">
      <c r="C847" s="1"/>
      <c r="F847" s="1"/>
      <c r="I847" s="2"/>
    </row>
    <row r="848" spans="3:9" ht="14.25" customHeight="1">
      <c r="C848" s="1"/>
      <c r="F848" s="1"/>
      <c r="I848" s="2"/>
    </row>
    <row r="849" spans="3:9" ht="14.25" customHeight="1">
      <c r="C849" s="1"/>
      <c r="F849" s="1"/>
      <c r="I849" s="2"/>
    </row>
    <row r="850" spans="3:9" ht="14.25" customHeight="1">
      <c r="C850" s="1"/>
      <c r="F850" s="1"/>
      <c r="I850" s="2"/>
    </row>
    <row r="851" spans="3:9" ht="14.25" customHeight="1">
      <c r="C851" s="1"/>
      <c r="F851" s="1"/>
      <c r="I851" s="2"/>
    </row>
    <row r="852" spans="3:9" ht="14.25" customHeight="1">
      <c r="C852" s="1"/>
      <c r="F852" s="1"/>
      <c r="I852" s="2"/>
    </row>
    <row r="853" spans="3:9" ht="14.25" customHeight="1">
      <c r="C853" s="1"/>
      <c r="F853" s="1"/>
      <c r="I853" s="2"/>
    </row>
    <row r="854" spans="3:9" ht="14.25" customHeight="1">
      <c r="C854" s="1"/>
      <c r="F854" s="1"/>
      <c r="I854" s="2"/>
    </row>
    <row r="855" spans="3:9" ht="14.25" customHeight="1">
      <c r="C855" s="1"/>
      <c r="F855" s="1"/>
      <c r="I855" s="2"/>
    </row>
    <row r="856" spans="3:9" ht="14.25" customHeight="1">
      <c r="C856" s="1"/>
      <c r="F856" s="1"/>
      <c r="I856" s="2"/>
    </row>
    <row r="857" spans="3:9" ht="14.25" customHeight="1">
      <c r="C857" s="1"/>
      <c r="F857" s="1"/>
      <c r="I857" s="2"/>
    </row>
    <row r="858" spans="3:9" ht="14.25" customHeight="1">
      <c r="C858" s="1"/>
      <c r="F858" s="1"/>
      <c r="I858" s="2"/>
    </row>
    <row r="859" spans="3:9" ht="14.25" customHeight="1">
      <c r="C859" s="1"/>
      <c r="F859" s="1"/>
      <c r="I859" s="2"/>
    </row>
    <row r="860" spans="3:9" ht="14.25" customHeight="1">
      <c r="C860" s="1"/>
      <c r="F860" s="1"/>
      <c r="I860" s="2"/>
    </row>
    <row r="861" spans="3:9" ht="14.25" customHeight="1">
      <c r="C861" s="1"/>
      <c r="F861" s="1"/>
      <c r="I861" s="2"/>
    </row>
    <row r="862" spans="3:9" ht="14.25" customHeight="1">
      <c r="C862" s="1"/>
      <c r="F862" s="1"/>
      <c r="I862" s="2"/>
    </row>
    <row r="863" spans="3:9" ht="14.25" customHeight="1">
      <c r="C863" s="1"/>
      <c r="F863" s="1"/>
      <c r="I863" s="2"/>
    </row>
    <row r="864" spans="3:9" ht="14.25" customHeight="1">
      <c r="C864" s="1"/>
      <c r="F864" s="1"/>
      <c r="I864" s="2"/>
    </row>
    <row r="865" spans="3:9" ht="14.25" customHeight="1">
      <c r="C865" s="1"/>
      <c r="F865" s="1"/>
      <c r="I865" s="2"/>
    </row>
    <row r="866" spans="3:9" ht="14.25" customHeight="1">
      <c r="C866" s="1"/>
      <c r="F866" s="1"/>
      <c r="I866" s="2"/>
    </row>
    <row r="867" spans="3:9" ht="14.25" customHeight="1">
      <c r="C867" s="1"/>
      <c r="F867" s="1"/>
      <c r="I867" s="2"/>
    </row>
    <row r="868" spans="3:9" ht="14.25" customHeight="1">
      <c r="C868" s="1"/>
      <c r="F868" s="1"/>
      <c r="I868" s="2"/>
    </row>
    <row r="869" spans="3:9" ht="14.25" customHeight="1">
      <c r="C869" s="1"/>
      <c r="F869" s="1"/>
      <c r="I869" s="2"/>
    </row>
    <row r="870" spans="3:9" ht="14.25" customHeight="1">
      <c r="C870" s="1"/>
      <c r="F870" s="1"/>
      <c r="I870" s="2"/>
    </row>
    <row r="871" spans="3:9" ht="14.25" customHeight="1">
      <c r="C871" s="1"/>
      <c r="F871" s="1"/>
      <c r="I871" s="2"/>
    </row>
    <row r="872" spans="3:9" ht="14.25" customHeight="1">
      <c r="C872" s="1"/>
      <c r="F872" s="1"/>
      <c r="I872" s="2"/>
    </row>
    <row r="873" spans="3:9" ht="14.25" customHeight="1">
      <c r="C873" s="1"/>
      <c r="F873" s="1"/>
      <c r="I873" s="2"/>
    </row>
    <row r="874" spans="3:9" ht="14.25" customHeight="1">
      <c r="C874" s="1"/>
      <c r="F874" s="1"/>
      <c r="I874" s="2"/>
    </row>
    <row r="875" spans="3:9" ht="14.25" customHeight="1">
      <c r="C875" s="1"/>
      <c r="F875" s="1"/>
      <c r="I875" s="2"/>
    </row>
    <row r="876" spans="3:9" ht="14.25" customHeight="1">
      <c r="C876" s="1"/>
      <c r="F876" s="1"/>
      <c r="I876" s="2"/>
    </row>
    <row r="877" spans="3:9" ht="14.25" customHeight="1">
      <c r="C877" s="1"/>
      <c r="F877" s="1"/>
      <c r="I877" s="2"/>
    </row>
    <row r="878" spans="3:9" ht="14.25" customHeight="1">
      <c r="C878" s="1"/>
      <c r="F878" s="1"/>
      <c r="I878" s="2"/>
    </row>
    <row r="879" spans="3:9" ht="14.25" customHeight="1">
      <c r="C879" s="1"/>
      <c r="F879" s="1"/>
      <c r="I879" s="2"/>
    </row>
    <row r="880" spans="3:9" ht="14.25" customHeight="1">
      <c r="C880" s="1"/>
      <c r="F880" s="1"/>
      <c r="I880" s="2"/>
    </row>
    <row r="881" spans="3:9" ht="14.25" customHeight="1">
      <c r="C881" s="1"/>
      <c r="F881" s="1"/>
      <c r="I881" s="2"/>
    </row>
    <row r="882" spans="3:9" ht="14.25" customHeight="1">
      <c r="C882" s="1"/>
      <c r="F882" s="1"/>
      <c r="I882" s="2"/>
    </row>
    <row r="883" spans="3:9" ht="14.25" customHeight="1">
      <c r="C883" s="1"/>
      <c r="F883" s="1"/>
      <c r="I883" s="2"/>
    </row>
    <row r="884" spans="3:9" ht="14.25" customHeight="1">
      <c r="C884" s="1"/>
      <c r="F884" s="1"/>
      <c r="I884" s="2"/>
    </row>
    <row r="885" spans="3:9" ht="14.25" customHeight="1">
      <c r="C885" s="1"/>
      <c r="F885" s="1"/>
      <c r="I885" s="2"/>
    </row>
    <row r="886" spans="3:9" ht="14.25" customHeight="1">
      <c r="C886" s="1"/>
      <c r="F886" s="1"/>
      <c r="I886" s="2"/>
    </row>
    <row r="887" spans="3:9" ht="14.25" customHeight="1">
      <c r="C887" s="1"/>
      <c r="F887" s="1"/>
      <c r="I887" s="2"/>
    </row>
    <row r="888" spans="3:9" ht="14.25" customHeight="1">
      <c r="C888" s="1"/>
      <c r="F888" s="1"/>
      <c r="I888" s="2"/>
    </row>
    <row r="889" spans="3:9" ht="14.25" customHeight="1">
      <c r="C889" s="1"/>
      <c r="F889" s="1"/>
      <c r="I889" s="2"/>
    </row>
    <row r="890" spans="3:9" ht="14.25" customHeight="1">
      <c r="C890" s="1"/>
      <c r="F890" s="1"/>
      <c r="I890" s="2"/>
    </row>
    <row r="891" spans="3:9" ht="14.25" customHeight="1">
      <c r="C891" s="1"/>
      <c r="F891" s="1"/>
      <c r="I891" s="2"/>
    </row>
    <row r="892" spans="3:9" ht="14.25" customHeight="1">
      <c r="C892" s="1"/>
      <c r="F892" s="1"/>
      <c r="I892" s="2"/>
    </row>
    <row r="893" spans="3:9" ht="14.25" customHeight="1">
      <c r="C893" s="1"/>
      <c r="F893" s="1"/>
      <c r="I893" s="2"/>
    </row>
    <row r="894" spans="3:9" ht="14.25" customHeight="1">
      <c r="C894" s="1"/>
      <c r="F894" s="1"/>
      <c r="I894" s="2"/>
    </row>
    <row r="895" spans="3:9" ht="14.25" customHeight="1">
      <c r="C895" s="1"/>
      <c r="F895" s="1"/>
      <c r="I895" s="2"/>
    </row>
    <row r="896" spans="3:9" ht="14.25" customHeight="1">
      <c r="C896" s="1"/>
      <c r="F896" s="1"/>
      <c r="I896" s="2"/>
    </row>
    <row r="897" spans="3:9" ht="14.25" customHeight="1">
      <c r="C897" s="1"/>
      <c r="F897" s="1"/>
      <c r="I897" s="2"/>
    </row>
    <row r="898" spans="3:9" ht="14.25" customHeight="1">
      <c r="C898" s="1"/>
      <c r="F898" s="1"/>
      <c r="I898" s="2"/>
    </row>
    <row r="899" spans="3:9" ht="14.25" customHeight="1">
      <c r="C899" s="1"/>
      <c r="F899" s="1"/>
      <c r="I899" s="2"/>
    </row>
    <row r="900" spans="3:9" ht="14.25" customHeight="1">
      <c r="C900" s="1"/>
      <c r="F900" s="1"/>
      <c r="I900" s="2"/>
    </row>
    <row r="901" spans="3:9" ht="14.25" customHeight="1">
      <c r="C901" s="1"/>
      <c r="F901" s="1"/>
      <c r="I901" s="2"/>
    </row>
    <row r="902" spans="3:9" ht="14.25" customHeight="1">
      <c r="C902" s="1"/>
      <c r="F902" s="1"/>
      <c r="I902" s="2"/>
    </row>
    <row r="903" spans="3:9" ht="14.25" customHeight="1">
      <c r="C903" s="1"/>
      <c r="F903" s="1"/>
      <c r="I903" s="2"/>
    </row>
    <row r="904" spans="3:9" ht="14.25" customHeight="1">
      <c r="C904" s="1"/>
      <c r="F904" s="1"/>
      <c r="I904" s="2"/>
    </row>
    <row r="905" spans="3:9" ht="14.25" customHeight="1">
      <c r="C905" s="1"/>
      <c r="F905" s="1"/>
      <c r="I905" s="2"/>
    </row>
    <row r="906" spans="3:9" ht="14.25" customHeight="1">
      <c r="C906" s="1"/>
      <c r="F906" s="1"/>
      <c r="I906" s="2"/>
    </row>
    <row r="907" spans="3:9" ht="14.25" customHeight="1">
      <c r="C907" s="1"/>
      <c r="F907" s="1"/>
      <c r="I907" s="2"/>
    </row>
    <row r="908" spans="3:9" ht="14.25" customHeight="1">
      <c r="C908" s="1"/>
      <c r="F908" s="1"/>
      <c r="I908" s="2"/>
    </row>
    <row r="909" spans="3:9" ht="14.25" customHeight="1">
      <c r="C909" s="1"/>
      <c r="F909" s="1"/>
      <c r="I909" s="2"/>
    </row>
    <row r="910" spans="3:9" ht="14.25" customHeight="1">
      <c r="C910" s="1"/>
      <c r="F910" s="1"/>
      <c r="I910" s="2"/>
    </row>
    <row r="911" spans="3:9" ht="14.25" customHeight="1">
      <c r="C911" s="1"/>
      <c r="F911" s="1"/>
      <c r="I911" s="2"/>
    </row>
    <row r="912" spans="3:9" ht="14.25" customHeight="1">
      <c r="C912" s="1"/>
      <c r="F912" s="1"/>
      <c r="I912" s="2"/>
    </row>
    <row r="913" spans="3:9" ht="14.25" customHeight="1">
      <c r="C913" s="1"/>
      <c r="F913" s="1"/>
      <c r="I913" s="2"/>
    </row>
    <row r="914" spans="3:9" ht="14.25" customHeight="1">
      <c r="C914" s="1"/>
      <c r="F914" s="1"/>
      <c r="I914" s="2"/>
    </row>
    <row r="915" spans="3:9" ht="14.25" customHeight="1">
      <c r="C915" s="1"/>
      <c r="F915" s="1"/>
      <c r="I915" s="2"/>
    </row>
    <row r="916" spans="3:9" ht="14.25" customHeight="1">
      <c r="C916" s="1"/>
      <c r="F916" s="1"/>
      <c r="I916" s="2"/>
    </row>
    <row r="917" spans="3:9" ht="14.25" customHeight="1">
      <c r="C917" s="1"/>
      <c r="F917" s="1"/>
      <c r="I917" s="2"/>
    </row>
    <row r="918" spans="3:9" ht="14.25" customHeight="1">
      <c r="C918" s="1"/>
      <c r="F918" s="1"/>
      <c r="I918" s="2"/>
    </row>
    <row r="919" spans="3:9" ht="14.25" customHeight="1">
      <c r="C919" s="1"/>
      <c r="F919" s="1"/>
      <c r="I919" s="2"/>
    </row>
    <row r="920" spans="3:9" ht="14.25" customHeight="1">
      <c r="C920" s="1"/>
      <c r="F920" s="1"/>
      <c r="I920" s="2"/>
    </row>
    <row r="921" spans="3:9" ht="14.25" customHeight="1">
      <c r="C921" s="1"/>
      <c r="F921" s="1"/>
      <c r="I921" s="2"/>
    </row>
    <row r="922" spans="3:9" ht="14.25" customHeight="1">
      <c r="C922" s="1"/>
      <c r="F922" s="1"/>
      <c r="I922" s="2"/>
    </row>
    <row r="923" spans="3:9" ht="14.25" customHeight="1">
      <c r="C923" s="1"/>
      <c r="F923" s="1"/>
      <c r="I923" s="2"/>
    </row>
    <row r="924" spans="3:9" ht="14.25" customHeight="1">
      <c r="C924" s="1"/>
      <c r="F924" s="1"/>
      <c r="I924" s="2"/>
    </row>
    <row r="925" spans="3:9" ht="14.25" customHeight="1">
      <c r="C925" s="1"/>
      <c r="F925" s="1"/>
      <c r="I925" s="2"/>
    </row>
    <row r="926" spans="3:9" ht="14.25" customHeight="1">
      <c r="C926" s="1"/>
      <c r="F926" s="1"/>
      <c r="I926" s="2"/>
    </row>
    <row r="927" spans="3:9" ht="14.25" customHeight="1">
      <c r="C927" s="1"/>
      <c r="F927" s="1"/>
      <c r="I927" s="2"/>
    </row>
    <row r="928" spans="3:9" ht="14.25" customHeight="1">
      <c r="C928" s="1"/>
      <c r="F928" s="1"/>
      <c r="I928" s="2"/>
    </row>
    <row r="929" spans="3:9" ht="14.25" customHeight="1">
      <c r="C929" s="1"/>
      <c r="F929" s="1"/>
      <c r="I929" s="2"/>
    </row>
    <row r="930" spans="3:9" ht="14.25" customHeight="1">
      <c r="C930" s="1"/>
      <c r="F930" s="1"/>
      <c r="I930" s="2"/>
    </row>
    <row r="931" spans="3:9" ht="14.25" customHeight="1">
      <c r="C931" s="1"/>
      <c r="F931" s="1"/>
      <c r="I931" s="2"/>
    </row>
    <row r="932" spans="3:9" ht="14.25" customHeight="1">
      <c r="C932" s="1"/>
      <c r="F932" s="1"/>
      <c r="I932" s="2"/>
    </row>
    <row r="933" spans="3:9" ht="14.25" customHeight="1">
      <c r="C933" s="1"/>
      <c r="F933" s="1"/>
      <c r="I933" s="2"/>
    </row>
    <row r="934" spans="3:9" ht="14.25" customHeight="1">
      <c r="C934" s="1"/>
      <c r="F934" s="1"/>
      <c r="I934" s="2"/>
    </row>
    <row r="935" spans="3:9" ht="14.25" customHeight="1">
      <c r="C935" s="1"/>
      <c r="F935" s="1"/>
      <c r="I935" s="2"/>
    </row>
    <row r="936" spans="3:9" ht="14.25" customHeight="1">
      <c r="C936" s="1"/>
      <c r="F936" s="1"/>
      <c r="I936" s="2"/>
    </row>
    <row r="937" spans="3:9" ht="14.25" customHeight="1">
      <c r="C937" s="1"/>
      <c r="F937" s="1"/>
      <c r="I937" s="2"/>
    </row>
    <row r="938" spans="3:9" ht="14.25" customHeight="1">
      <c r="C938" s="1"/>
      <c r="F938" s="1"/>
      <c r="I938" s="2"/>
    </row>
    <row r="939" spans="3:9" ht="14.25" customHeight="1">
      <c r="C939" s="1"/>
      <c r="F939" s="1"/>
      <c r="I939" s="2"/>
    </row>
    <row r="940" spans="3:9" ht="14.25" customHeight="1">
      <c r="C940" s="1"/>
      <c r="F940" s="1"/>
      <c r="I940" s="2"/>
    </row>
    <row r="941" spans="3:9" ht="14.25" customHeight="1">
      <c r="C941" s="1"/>
      <c r="F941" s="1"/>
      <c r="I941" s="2"/>
    </row>
    <row r="942" spans="3:9" ht="14.25" customHeight="1">
      <c r="C942" s="1"/>
      <c r="F942" s="1"/>
      <c r="I942" s="2"/>
    </row>
    <row r="943" spans="3:9" ht="14.25" customHeight="1">
      <c r="C943" s="1"/>
      <c r="F943" s="1"/>
      <c r="I943" s="2"/>
    </row>
    <row r="944" spans="3:9" ht="14.25" customHeight="1">
      <c r="C944" s="1"/>
      <c r="F944" s="1"/>
      <c r="I944" s="2"/>
    </row>
    <row r="945" spans="3:9" ht="14.25" customHeight="1">
      <c r="C945" s="1"/>
      <c r="F945" s="1"/>
      <c r="I945" s="2"/>
    </row>
    <row r="946" spans="3:9" ht="14.25" customHeight="1">
      <c r="C946" s="1"/>
      <c r="F946" s="1"/>
      <c r="I946" s="2"/>
    </row>
    <row r="947" spans="3:9" ht="14.25" customHeight="1">
      <c r="C947" s="1"/>
      <c r="F947" s="1"/>
      <c r="I947" s="2"/>
    </row>
    <row r="948" spans="3:9" ht="14.25" customHeight="1">
      <c r="C948" s="1"/>
      <c r="F948" s="1"/>
      <c r="I948" s="2"/>
    </row>
    <row r="949" spans="3:9" ht="14.25" customHeight="1">
      <c r="C949" s="1"/>
      <c r="F949" s="1"/>
      <c r="I949" s="2"/>
    </row>
    <row r="950" spans="3:9" ht="14.25" customHeight="1">
      <c r="C950" s="1"/>
      <c r="F950" s="1"/>
      <c r="I950" s="2"/>
    </row>
    <row r="951" spans="3:9" ht="14.25" customHeight="1">
      <c r="C951" s="1"/>
      <c r="F951" s="1"/>
      <c r="I951" s="2"/>
    </row>
    <row r="952" spans="3:9" ht="14.25" customHeight="1">
      <c r="C952" s="1"/>
      <c r="F952" s="1"/>
      <c r="I952" s="2"/>
    </row>
    <row r="953" spans="3:9" ht="14.25" customHeight="1">
      <c r="C953" s="1"/>
      <c r="F953" s="1"/>
      <c r="I953" s="2"/>
    </row>
    <row r="954" spans="3:9" ht="14.25" customHeight="1">
      <c r="C954" s="1"/>
      <c r="F954" s="1"/>
      <c r="I954" s="2"/>
    </row>
    <row r="955" spans="3:9" ht="14.25" customHeight="1">
      <c r="C955" s="1"/>
      <c r="F955" s="1"/>
      <c r="I955" s="2"/>
    </row>
    <row r="956" spans="3:9" ht="14.25" customHeight="1">
      <c r="C956" s="1"/>
      <c r="F956" s="1"/>
      <c r="I956" s="2"/>
    </row>
    <row r="957" spans="3:9" ht="14.25" customHeight="1">
      <c r="C957" s="1"/>
      <c r="F957" s="1"/>
      <c r="I957" s="2"/>
    </row>
    <row r="958" spans="3:9" ht="14.25" customHeight="1">
      <c r="C958" s="1"/>
      <c r="F958" s="1"/>
      <c r="I958" s="2"/>
    </row>
    <row r="959" spans="3:9" ht="14.25" customHeight="1">
      <c r="C959" s="1"/>
      <c r="F959" s="1"/>
      <c r="I959" s="2"/>
    </row>
    <row r="960" spans="3:9" ht="14.25" customHeight="1">
      <c r="C960" s="1"/>
      <c r="F960" s="1"/>
      <c r="I960" s="2"/>
    </row>
    <row r="961" spans="3:9" ht="14.25" customHeight="1">
      <c r="C961" s="1"/>
      <c r="F961" s="1"/>
      <c r="I961" s="2"/>
    </row>
    <row r="962" spans="3:9" ht="14.25" customHeight="1">
      <c r="C962" s="1"/>
      <c r="F962" s="1"/>
      <c r="I962" s="2"/>
    </row>
    <row r="963" spans="3:9" ht="14.25" customHeight="1">
      <c r="C963" s="1"/>
      <c r="F963" s="1"/>
      <c r="I963" s="2"/>
    </row>
    <row r="964" spans="3:9" ht="14.25" customHeight="1">
      <c r="C964" s="1"/>
      <c r="F964" s="1"/>
      <c r="I964" s="2"/>
    </row>
    <row r="965" spans="3:9" ht="14.25" customHeight="1">
      <c r="C965" s="1"/>
      <c r="F965" s="1"/>
      <c r="I965" s="2"/>
    </row>
    <row r="966" spans="3:9" ht="14.25" customHeight="1">
      <c r="C966" s="1"/>
      <c r="F966" s="1"/>
      <c r="I966" s="2"/>
    </row>
    <row r="967" spans="3:9" ht="14.25" customHeight="1">
      <c r="C967" s="1"/>
      <c r="F967" s="1"/>
      <c r="I967" s="2"/>
    </row>
    <row r="968" spans="3:9" ht="14.25" customHeight="1">
      <c r="C968" s="1"/>
      <c r="F968" s="1"/>
      <c r="I968" s="2"/>
    </row>
    <row r="969" spans="3:9" ht="14.25" customHeight="1">
      <c r="C969" s="1"/>
      <c r="F969" s="1"/>
      <c r="I969" s="2"/>
    </row>
    <row r="970" spans="3:9" ht="14.25" customHeight="1">
      <c r="C970" s="1"/>
      <c r="F970" s="1"/>
      <c r="I970" s="2"/>
    </row>
    <row r="971" spans="3:9" ht="14.25" customHeight="1">
      <c r="C971" s="1"/>
      <c r="F971" s="1"/>
      <c r="I971" s="2"/>
    </row>
    <row r="972" spans="3:9" ht="14.25" customHeight="1">
      <c r="C972" s="1"/>
      <c r="F972" s="1"/>
      <c r="I972" s="2"/>
    </row>
    <row r="973" spans="3:9" ht="14.25" customHeight="1">
      <c r="C973" s="1"/>
      <c r="F973" s="1"/>
      <c r="I973" s="2"/>
    </row>
    <row r="974" spans="3:9" ht="14.25" customHeight="1">
      <c r="C974" s="1"/>
      <c r="F974" s="1"/>
      <c r="I974" s="2"/>
    </row>
    <row r="975" spans="3:9" ht="14.25" customHeight="1">
      <c r="C975" s="1"/>
      <c r="F975" s="1"/>
      <c r="I975" s="2"/>
    </row>
    <row r="976" spans="3:9" ht="14.25" customHeight="1">
      <c r="C976" s="1"/>
      <c r="F976" s="1"/>
      <c r="I976" s="2"/>
    </row>
    <row r="977" spans="3:9" ht="14.25" customHeight="1">
      <c r="C977" s="1"/>
      <c r="F977" s="1"/>
      <c r="I977" s="2"/>
    </row>
    <row r="978" spans="3:9" ht="14.25" customHeight="1">
      <c r="C978" s="1"/>
      <c r="F978" s="1"/>
      <c r="I978" s="2"/>
    </row>
    <row r="979" spans="3:9" ht="14.25" customHeight="1">
      <c r="C979" s="1"/>
      <c r="F979" s="1"/>
      <c r="I979" s="2"/>
    </row>
    <row r="980" spans="3:9" ht="14.25" customHeight="1">
      <c r="C980" s="1"/>
      <c r="F980" s="1"/>
      <c r="I980" s="2"/>
    </row>
    <row r="981" spans="3:9" ht="14.25" customHeight="1">
      <c r="C981" s="1"/>
      <c r="F981" s="1"/>
      <c r="I981" s="2"/>
    </row>
    <row r="982" spans="3:9" ht="14.25" customHeight="1">
      <c r="C982" s="1"/>
      <c r="F982" s="1"/>
      <c r="I982" s="2"/>
    </row>
    <row r="983" spans="3:9" ht="14.25" customHeight="1">
      <c r="C983" s="1"/>
      <c r="F983" s="1"/>
      <c r="I983" s="2"/>
    </row>
    <row r="984" spans="3:9" ht="14.25" customHeight="1">
      <c r="C984" s="1"/>
      <c r="F984" s="1"/>
      <c r="I984" s="2"/>
    </row>
    <row r="985" spans="3:9" ht="14.25" customHeight="1">
      <c r="C985" s="1"/>
      <c r="F985" s="1"/>
      <c r="I985" s="2"/>
    </row>
    <row r="986" spans="3:9" ht="14.25" customHeight="1">
      <c r="C986" s="1"/>
      <c r="F986" s="1"/>
      <c r="I986" s="2"/>
    </row>
    <row r="987" spans="3:9" ht="14.25" customHeight="1">
      <c r="C987" s="1"/>
      <c r="F987" s="1"/>
      <c r="I987" s="2"/>
    </row>
    <row r="988" spans="3:9" ht="14.25" customHeight="1">
      <c r="C988" s="1"/>
      <c r="F988" s="1"/>
      <c r="I988" s="2"/>
    </row>
    <row r="989" spans="3:9" ht="14.25" customHeight="1">
      <c r="C989" s="1"/>
      <c r="F989" s="1"/>
      <c r="I989" s="2"/>
    </row>
    <row r="990" spans="3:9" ht="14.25" customHeight="1">
      <c r="C990" s="1"/>
      <c r="F990" s="1"/>
      <c r="I990" s="2"/>
    </row>
    <row r="991" spans="3:9" ht="14.25" customHeight="1">
      <c r="C991" s="1"/>
      <c r="F991" s="1"/>
      <c r="I991" s="2"/>
    </row>
    <row r="992" spans="3:9" ht="14.25" customHeight="1">
      <c r="C992" s="1"/>
      <c r="F992" s="1"/>
      <c r="I992" s="2"/>
    </row>
    <row r="993" spans="3:9" ht="14.25" customHeight="1">
      <c r="C993" s="1"/>
      <c r="F993" s="1"/>
      <c r="I993" s="2"/>
    </row>
    <row r="994" spans="3:9" ht="14.25" customHeight="1">
      <c r="C994" s="1"/>
      <c r="F994" s="1"/>
      <c r="I994" s="2"/>
    </row>
    <row r="995" spans="3:9" ht="14.25" customHeight="1">
      <c r="C995" s="1"/>
      <c r="F995" s="1"/>
      <c r="I995" s="2"/>
    </row>
    <row r="996" spans="3:9" ht="14.25" customHeight="1">
      <c r="C996" s="1"/>
      <c r="F996" s="1"/>
      <c r="I996" s="2"/>
    </row>
    <row r="997" spans="3:9" ht="14.25" customHeight="1">
      <c r="C997" s="1"/>
      <c r="F997" s="1"/>
      <c r="I997" s="2"/>
    </row>
    <row r="998" spans="3:9" ht="14.25" customHeight="1">
      <c r="C998" s="1"/>
      <c r="F998" s="1"/>
      <c r="I998" s="2"/>
    </row>
    <row r="999" spans="3:9" ht="14.25" customHeight="1">
      <c r="C999" s="1"/>
      <c r="F999" s="1"/>
      <c r="I999" s="2"/>
    </row>
    <row r="1000" spans="3:9" ht="14.25" customHeight="1">
      <c r="C1000" s="1"/>
      <c r="F1000" s="1"/>
      <c r="I1000" s="2"/>
    </row>
  </sheetData>
  <mergeCells count="18">
    <mergeCell ref="E60:F60"/>
    <mergeCell ref="B11:C11"/>
    <mergeCell ref="E12:F12"/>
    <mergeCell ref="B16:C16"/>
    <mergeCell ref="E20:F20"/>
    <mergeCell ref="B26:C26"/>
    <mergeCell ref="E28:F28"/>
    <mergeCell ref="E36:F36"/>
    <mergeCell ref="B46:C46"/>
    <mergeCell ref="E46:F46"/>
    <mergeCell ref="E50:F50"/>
    <mergeCell ref="E55:F55"/>
    <mergeCell ref="B58:C58"/>
    <mergeCell ref="B2:C2"/>
    <mergeCell ref="Y2:AB2"/>
    <mergeCell ref="E4:F4"/>
    <mergeCell ref="Y10:AH10"/>
    <mergeCell ref="B36:C36"/>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I1000"/>
  <sheetViews>
    <sheetView showGridLines="0" topLeftCell="A101" zoomScale="70" zoomScaleNormal="70" workbookViewId="0">
      <selection activeCell="B334" sqref="B334:C334"/>
    </sheetView>
  </sheetViews>
  <sheetFormatPr baseColWidth="10" defaultColWidth="14.42578125" defaultRowHeight="15" customHeight="1"/>
  <cols>
    <col min="1" max="1" width="2" customWidth="1"/>
    <col min="2" max="3" width="16" bestFit="1" customWidth="1"/>
    <col min="4" max="4" width="3" customWidth="1"/>
    <col min="5" max="6" width="15" customWidth="1"/>
    <col min="7" max="7" width="3" customWidth="1"/>
    <col min="8" max="8" width="14.85546875" bestFit="1" customWidth="1"/>
    <col min="9" max="9" width="16" bestFit="1" customWidth="1"/>
    <col min="10" max="26" width="8.7109375" customWidth="1"/>
  </cols>
  <sheetData>
    <row r="1" spans="2:9" ht="19.5" customHeight="1">
      <c r="B1" s="135" t="s">
        <v>122</v>
      </c>
      <c r="C1" s="134"/>
      <c r="D1" s="134"/>
      <c r="E1" s="134"/>
      <c r="F1" s="134"/>
      <c r="G1" s="134"/>
      <c r="H1" s="134"/>
      <c r="I1" s="132"/>
    </row>
    <row r="2" spans="2:9" ht="19.5" customHeight="1">
      <c r="B2" s="54"/>
      <c r="C2" s="54"/>
      <c r="D2" s="54"/>
      <c r="E2" s="54"/>
      <c r="F2" s="54"/>
      <c r="G2" s="54"/>
      <c r="H2" s="54"/>
      <c r="I2" s="54"/>
    </row>
    <row r="3" spans="2:9" ht="19.5" customHeight="1">
      <c r="B3" s="133" t="s">
        <v>123</v>
      </c>
      <c r="C3" s="134"/>
      <c r="D3" s="134"/>
      <c r="E3" s="134"/>
      <c r="F3" s="134"/>
      <c r="G3" s="134"/>
      <c r="H3" s="134"/>
      <c r="I3" s="132"/>
    </row>
    <row r="4" spans="2:9" ht="19.5" customHeight="1">
      <c r="B4" s="131" t="s">
        <v>124</v>
      </c>
      <c r="C4" s="132"/>
      <c r="D4" s="54"/>
      <c r="E4" s="131" t="s">
        <v>125</v>
      </c>
      <c r="F4" s="132"/>
      <c r="G4" s="54"/>
      <c r="H4" s="131" t="s">
        <v>126</v>
      </c>
      <c r="I4" s="132"/>
    </row>
    <row r="5" spans="2:9" ht="19.5" customHeight="1">
      <c r="B5" s="130" t="s">
        <v>127</v>
      </c>
      <c r="C5" s="124"/>
      <c r="D5" s="54"/>
      <c r="E5" s="130" t="s">
        <v>128</v>
      </c>
      <c r="F5" s="124"/>
      <c r="G5" s="54"/>
      <c r="H5" s="130" t="s">
        <v>129</v>
      </c>
      <c r="I5" s="124"/>
    </row>
    <row r="6" spans="2:9" ht="19.5" customHeight="1">
      <c r="B6" s="55" t="s">
        <v>130</v>
      </c>
      <c r="C6" s="55" t="s">
        <v>131</v>
      </c>
      <c r="D6" s="54"/>
      <c r="E6" s="55" t="s">
        <v>130</v>
      </c>
      <c r="F6" s="55" t="s">
        <v>131</v>
      </c>
      <c r="G6" s="54"/>
      <c r="H6" s="55" t="s">
        <v>130</v>
      </c>
      <c r="I6" s="55" t="s">
        <v>131</v>
      </c>
    </row>
    <row r="7" spans="2:9" ht="19.5" customHeight="1">
      <c r="B7" s="55">
        <f>Proyecciones!$F$2</f>
        <v>21735329</v>
      </c>
      <c r="C7" s="55">
        <f>Proyecciones!$C$3</f>
        <v>1890622.5000000005</v>
      </c>
      <c r="D7" s="54"/>
      <c r="E7" s="55">
        <f>Proyecciones!$C$3</f>
        <v>1890622.5000000005</v>
      </c>
      <c r="F7" s="55"/>
      <c r="G7" s="54"/>
      <c r="H7" s="55">
        <f>Proyecciones!$AA$4</f>
        <v>21881848.739495799</v>
      </c>
      <c r="I7" s="55"/>
    </row>
    <row r="8" spans="2:9" ht="19.5" customHeight="1">
      <c r="B8" s="55">
        <f>Proyecciones!$F$5</f>
        <v>32602993.5</v>
      </c>
      <c r="C8" s="55">
        <f>Proyecciones!$C$5</f>
        <v>26039400</v>
      </c>
      <c r="D8" s="54"/>
      <c r="E8" s="55"/>
      <c r="F8" s="55"/>
      <c r="G8" s="54"/>
      <c r="H8" s="55"/>
      <c r="I8" s="55"/>
    </row>
    <row r="9" spans="2:9" ht="19.5" customHeight="1">
      <c r="B9" s="55"/>
      <c r="C9" s="55">
        <f>Proyecciones!$C$6</f>
        <v>150000</v>
      </c>
      <c r="D9" s="54"/>
      <c r="E9" s="55"/>
      <c r="F9" s="55"/>
      <c r="G9" s="54"/>
      <c r="H9" s="55"/>
      <c r="I9" s="55"/>
    </row>
    <row r="10" spans="2:9" ht="19.5" customHeight="1">
      <c r="B10" s="55"/>
      <c r="C10" s="55">
        <f>Proyecciones!$C$7</f>
        <v>1050000</v>
      </c>
      <c r="D10" s="54"/>
      <c r="E10" s="55"/>
      <c r="F10" s="55"/>
      <c r="G10" s="54"/>
      <c r="H10" s="55"/>
      <c r="I10" s="55"/>
    </row>
    <row r="11" spans="2:9" ht="19.5" customHeight="1">
      <c r="B11" s="55"/>
      <c r="C11" s="55">
        <f>Proyecciones!$C$8</f>
        <v>25208300.000000007</v>
      </c>
      <c r="D11" s="54"/>
      <c r="E11" s="55"/>
      <c r="F11" s="55"/>
      <c r="G11" s="54"/>
      <c r="H11" s="55"/>
      <c r="I11" s="55"/>
    </row>
    <row r="12" spans="2:9" ht="19.5" customHeight="1">
      <c r="B12" s="55"/>
      <c r="C12" s="55"/>
      <c r="D12" s="54"/>
      <c r="E12" s="55"/>
      <c r="F12" s="55"/>
      <c r="G12" s="54"/>
      <c r="H12" s="55"/>
      <c r="I12" s="55"/>
    </row>
    <row r="13" spans="2:9" ht="19.5" customHeight="1">
      <c r="B13" s="55"/>
      <c r="C13" s="55"/>
      <c r="D13" s="54"/>
      <c r="E13" s="55"/>
      <c r="F13" s="55"/>
      <c r="G13" s="54"/>
      <c r="H13" s="55"/>
      <c r="I13" s="55"/>
    </row>
    <row r="14" spans="2:9" ht="19.5" customHeight="1">
      <c r="B14" s="55"/>
      <c r="C14" s="55"/>
      <c r="D14" s="54"/>
      <c r="E14" s="55"/>
      <c r="F14" s="55"/>
      <c r="G14" s="54"/>
      <c r="H14" s="55"/>
      <c r="I14" s="55"/>
    </row>
    <row r="15" spans="2:9" ht="19.5" customHeight="1">
      <c r="B15" s="55">
        <f t="shared" ref="B15:C15" si="0">SUM(B7:B14)</f>
        <v>54338322.5</v>
      </c>
      <c r="C15" s="55">
        <f t="shared" si="0"/>
        <v>54338322.500000007</v>
      </c>
      <c r="D15" s="54"/>
      <c r="E15" s="55">
        <f t="shared" ref="E15:F15" si="1">SUM(E7:E14)</f>
        <v>1890622.5000000005</v>
      </c>
      <c r="F15" s="55">
        <f t="shared" si="1"/>
        <v>0</v>
      </c>
      <c r="G15" s="54"/>
      <c r="H15" s="55">
        <f t="shared" ref="H15:I15" si="2">SUM(H7:H14)</f>
        <v>21881848.739495799</v>
      </c>
      <c r="I15" s="55">
        <f t="shared" si="2"/>
        <v>0</v>
      </c>
    </row>
    <row r="16" spans="2:9" ht="19.5" customHeight="1">
      <c r="B16" s="55" t="str">
        <f>IF((B15-C15)&gt;0,B15-C15,"")</f>
        <v/>
      </c>
      <c r="C16" s="55">
        <f>IF((C15-B15)&gt;0,C15-B15,"")</f>
        <v>7.4505805969238281E-9</v>
      </c>
      <c r="D16" s="54"/>
      <c r="E16" s="55">
        <f>IF((E15-F15)&gt;0,E15-F15,"")</f>
        <v>1890622.5000000005</v>
      </c>
      <c r="F16" s="55" t="str">
        <f>IF((F15-E15)&gt;0,F15-E15,"")</f>
        <v/>
      </c>
      <c r="G16" s="54"/>
      <c r="H16" s="55">
        <f>IF((H15-I15)&gt;0,H15-I15,"")</f>
        <v>21881848.739495799</v>
      </c>
      <c r="I16" s="55" t="str">
        <f>IF((I15-H15)&gt;0,I15-H15,"")</f>
        <v/>
      </c>
    </row>
    <row r="17" spans="2:9" ht="19.5" customHeight="1">
      <c r="B17" s="131" t="s">
        <v>132</v>
      </c>
      <c r="C17" s="132"/>
      <c r="D17" s="54"/>
      <c r="E17" s="131" t="s">
        <v>133</v>
      </c>
      <c r="F17" s="132"/>
      <c r="G17" s="54"/>
      <c r="H17" s="131" t="s">
        <v>134</v>
      </c>
      <c r="I17" s="132"/>
    </row>
    <row r="18" spans="2:9" ht="19.5" customHeight="1">
      <c r="B18" s="130" t="s">
        <v>135</v>
      </c>
      <c r="C18" s="124"/>
      <c r="D18" s="54"/>
      <c r="E18" s="130" t="s">
        <v>136</v>
      </c>
      <c r="F18" s="124"/>
      <c r="G18" s="54"/>
      <c r="H18" s="130" t="s">
        <v>137</v>
      </c>
      <c r="I18" s="124"/>
    </row>
    <row r="19" spans="2:9" ht="19.5" customHeight="1">
      <c r="B19" s="55" t="s">
        <v>130</v>
      </c>
      <c r="C19" s="55" t="s">
        <v>131</v>
      </c>
      <c r="D19" s="54"/>
      <c r="E19" s="55" t="s">
        <v>130</v>
      </c>
      <c r="F19" s="55" t="s">
        <v>131</v>
      </c>
      <c r="G19" s="54"/>
      <c r="H19" s="55" t="s">
        <v>130</v>
      </c>
      <c r="I19" s="55" t="s">
        <v>131</v>
      </c>
    </row>
    <row r="20" spans="2:9" ht="19.5" customHeight="1">
      <c r="B20" s="55">
        <f>Proyecciones!$AB$7</f>
        <v>4349147.8991596634</v>
      </c>
      <c r="C20" s="55"/>
      <c r="D20" s="54"/>
      <c r="E20" s="55">
        <f>Proyecciones!$AA$5</f>
        <v>126050.42016806723</v>
      </c>
      <c r="F20" s="55"/>
      <c r="G20" s="54"/>
      <c r="H20" s="55">
        <f>Proyecciones!$AA$6</f>
        <v>882352.9411764706</v>
      </c>
      <c r="I20" s="55"/>
    </row>
    <row r="21" spans="2:9" ht="19.5" customHeight="1">
      <c r="B21" s="55"/>
      <c r="C21" s="55"/>
      <c r="D21" s="54"/>
      <c r="E21" s="55"/>
      <c r="F21" s="55"/>
      <c r="G21" s="54"/>
      <c r="H21" s="55"/>
      <c r="I21" s="55"/>
    </row>
    <row r="22" spans="2:9" ht="19.5" customHeight="1">
      <c r="B22" s="55"/>
      <c r="C22" s="55"/>
      <c r="D22" s="54"/>
      <c r="E22" s="55"/>
      <c r="F22" s="55"/>
      <c r="G22" s="54"/>
      <c r="H22" s="55"/>
      <c r="I22" s="55"/>
    </row>
    <row r="23" spans="2:9" ht="19.5" customHeight="1">
      <c r="B23" s="55"/>
      <c r="C23" s="55"/>
      <c r="D23" s="54"/>
      <c r="E23" s="55"/>
      <c r="F23" s="55"/>
      <c r="G23" s="54"/>
      <c r="H23" s="55"/>
      <c r="I23" s="55"/>
    </row>
    <row r="24" spans="2:9" ht="19.5" customHeight="1">
      <c r="B24" s="55"/>
      <c r="C24" s="55"/>
      <c r="D24" s="54"/>
      <c r="E24" s="55"/>
      <c r="F24" s="55"/>
      <c r="G24" s="54"/>
      <c r="H24" s="55"/>
      <c r="I24" s="55"/>
    </row>
    <row r="25" spans="2:9" ht="19.5" customHeight="1">
      <c r="B25" s="55"/>
      <c r="C25" s="55"/>
      <c r="D25" s="54"/>
      <c r="E25" s="55"/>
      <c r="F25" s="55"/>
      <c r="G25" s="54"/>
      <c r="H25" s="55"/>
      <c r="I25" s="55"/>
    </row>
    <row r="26" spans="2:9" ht="19.5" customHeight="1">
      <c r="B26" s="55"/>
      <c r="C26" s="55"/>
      <c r="D26" s="54"/>
      <c r="E26" s="55"/>
      <c r="F26" s="55"/>
      <c r="G26" s="54"/>
      <c r="H26" s="55"/>
      <c r="I26" s="55"/>
    </row>
    <row r="27" spans="2:9" ht="19.5" customHeight="1">
      <c r="B27" s="55"/>
      <c r="C27" s="55"/>
      <c r="D27" s="54"/>
      <c r="E27" s="55"/>
      <c r="F27" s="55"/>
      <c r="G27" s="54"/>
      <c r="H27" s="55"/>
      <c r="I27" s="55"/>
    </row>
    <row r="28" spans="2:9" ht="19.5" customHeight="1">
      <c r="B28" s="55">
        <f t="shared" ref="B28:C28" si="3">SUM(B20:B27)</f>
        <v>4349147.8991596634</v>
      </c>
      <c r="C28" s="55">
        <f t="shared" si="3"/>
        <v>0</v>
      </c>
      <c r="D28" s="54"/>
      <c r="E28" s="55">
        <f t="shared" ref="E28:F28" si="4">SUM(E20:E27)</f>
        <v>126050.42016806723</v>
      </c>
      <c r="F28" s="55">
        <f t="shared" si="4"/>
        <v>0</v>
      </c>
      <c r="G28" s="54"/>
      <c r="H28" s="55">
        <f t="shared" ref="H28:I28" si="5">SUM(H20:H27)</f>
        <v>882352.9411764706</v>
      </c>
      <c r="I28" s="55">
        <f t="shared" si="5"/>
        <v>0</v>
      </c>
    </row>
    <row r="29" spans="2:9" ht="19.5" customHeight="1">
      <c r="B29" s="55">
        <f>IF((B28-C28)&gt;0,B28-C28,"")</f>
        <v>4349147.8991596634</v>
      </c>
      <c r="C29" s="55" t="str">
        <f>IF((C28-B28)&gt;0,C28-B28,"")</f>
        <v/>
      </c>
      <c r="D29" s="54"/>
      <c r="E29" s="55">
        <f>IF((E28-F28)&gt;0,E28-F28,"")</f>
        <v>126050.42016806723</v>
      </c>
      <c r="F29" s="55" t="str">
        <f>IF((F28-E28)&gt;0,F28-E28,"")</f>
        <v/>
      </c>
      <c r="G29" s="54"/>
      <c r="H29" s="55">
        <f>IF((H28-I28)&gt;0,H28-I28,"")</f>
        <v>882352.9411764706</v>
      </c>
      <c r="I29" s="55" t="str">
        <f>IF((I28-H28)&gt;0,I28-H28,"")</f>
        <v/>
      </c>
    </row>
    <row r="30" spans="2:9" ht="19.5" customHeight="1">
      <c r="B30" s="131" t="s">
        <v>138</v>
      </c>
      <c r="C30" s="132"/>
      <c r="D30" s="54"/>
      <c r="E30" s="131" t="s">
        <v>139</v>
      </c>
      <c r="F30" s="132"/>
      <c r="G30" s="54"/>
      <c r="H30" s="131" t="s">
        <v>140</v>
      </c>
      <c r="I30" s="132"/>
    </row>
    <row r="31" spans="2:9" ht="19.5" customHeight="1">
      <c r="B31" s="130" t="s">
        <v>141</v>
      </c>
      <c r="C31" s="124"/>
      <c r="D31" s="54"/>
      <c r="E31" s="130" t="s">
        <v>142</v>
      </c>
      <c r="F31" s="124"/>
      <c r="G31" s="54"/>
      <c r="H31" s="130" t="s">
        <v>143</v>
      </c>
      <c r="I31" s="124"/>
    </row>
    <row r="32" spans="2:9" ht="19.5" customHeight="1">
      <c r="B32" s="55" t="s">
        <v>130</v>
      </c>
      <c r="C32" s="55" t="s">
        <v>131</v>
      </c>
      <c r="D32" s="54"/>
      <c r="E32" s="55" t="s">
        <v>130</v>
      </c>
      <c r="F32" s="55" t="s">
        <v>131</v>
      </c>
      <c r="G32" s="54"/>
      <c r="H32" s="55" t="s">
        <v>130</v>
      </c>
      <c r="I32" s="55" t="s">
        <v>131</v>
      </c>
    </row>
    <row r="33" spans="2:9" ht="19.5" customHeight="1">
      <c r="B33" s="55"/>
      <c r="C33" s="55">
        <f>Proyecciones!$F$5</f>
        <v>32602993.5</v>
      </c>
      <c r="D33" s="54"/>
      <c r="E33" s="55"/>
      <c r="F33" s="55">
        <f>Proyecciones!$F$2</f>
        <v>21735329</v>
      </c>
      <c r="G33" s="54"/>
      <c r="H33" s="55">
        <f>Proyecciones!$Z$14</f>
        <v>25208300.000000007</v>
      </c>
      <c r="I33" s="55"/>
    </row>
    <row r="34" spans="2:9" ht="19.5" customHeight="1">
      <c r="B34" s="55"/>
      <c r="C34" s="55"/>
      <c r="D34" s="54"/>
      <c r="E34" s="55"/>
      <c r="F34" s="55"/>
      <c r="G34" s="54"/>
      <c r="H34" s="55"/>
      <c r="I34" s="55"/>
    </row>
    <row r="35" spans="2:9" ht="19.5" customHeight="1">
      <c r="B35" s="55"/>
      <c r="C35" s="55"/>
      <c r="D35" s="54"/>
      <c r="E35" s="55"/>
      <c r="F35" s="55"/>
      <c r="G35" s="54"/>
      <c r="H35" s="55"/>
      <c r="I35" s="55"/>
    </row>
    <row r="36" spans="2:9" ht="19.5" customHeight="1">
      <c r="B36" s="55"/>
      <c r="C36" s="55"/>
      <c r="D36" s="54"/>
      <c r="E36" s="55"/>
      <c r="F36" s="55"/>
      <c r="G36" s="54"/>
      <c r="H36" s="55"/>
      <c r="I36" s="55"/>
    </row>
    <row r="37" spans="2:9" ht="19.5" customHeight="1">
      <c r="B37" s="55"/>
      <c r="C37" s="55"/>
      <c r="D37" s="54"/>
      <c r="E37" s="55"/>
      <c r="F37" s="55"/>
      <c r="G37" s="54"/>
      <c r="H37" s="55"/>
      <c r="I37" s="55"/>
    </row>
    <row r="38" spans="2:9" ht="19.5" customHeight="1">
      <c r="B38" s="55"/>
      <c r="C38" s="55"/>
      <c r="D38" s="54"/>
      <c r="E38" s="55"/>
      <c r="F38" s="55"/>
      <c r="G38" s="54"/>
      <c r="H38" s="55"/>
      <c r="I38" s="55"/>
    </row>
    <row r="39" spans="2:9" ht="19.5" customHeight="1">
      <c r="B39" s="55"/>
      <c r="C39" s="55"/>
      <c r="D39" s="54"/>
      <c r="E39" s="55"/>
      <c r="F39" s="55"/>
      <c r="G39" s="54"/>
      <c r="H39" s="55"/>
      <c r="I39" s="55"/>
    </row>
    <row r="40" spans="2:9" ht="19.5" customHeight="1">
      <c r="B40" s="55"/>
      <c r="C40" s="55"/>
      <c r="D40" s="54"/>
      <c r="E40" s="55"/>
      <c r="F40" s="55"/>
      <c r="G40" s="54"/>
      <c r="H40" s="55"/>
      <c r="I40" s="55"/>
    </row>
    <row r="41" spans="2:9" ht="19.5" customHeight="1">
      <c r="B41" s="55">
        <f t="shared" ref="B41:C41" si="6">SUM(B33:B40)</f>
        <v>0</v>
      </c>
      <c r="C41" s="55">
        <f t="shared" si="6"/>
        <v>32602993.5</v>
      </c>
      <c r="D41" s="54"/>
      <c r="E41" s="55">
        <f t="shared" ref="E41:F41" si="7">SUM(E33:E40)</f>
        <v>0</v>
      </c>
      <c r="F41" s="55">
        <f t="shared" si="7"/>
        <v>21735329</v>
      </c>
      <c r="G41" s="54"/>
      <c r="H41" s="55">
        <f t="shared" ref="H41:I41" si="8">SUM(H33:H40)</f>
        <v>25208300.000000007</v>
      </c>
      <c r="I41" s="55">
        <f t="shared" si="8"/>
        <v>0</v>
      </c>
    </row>
    <row r="42" spans="2:9" ht="19.5" customHeight="1">
      <c r="B42" s="55" t="str">
        <f>IF((B41-C41)&gt;0,B41-C41,"")</f>
        <v/>
      </c>
      <c r="C42" s="55">
        <f>IF((C41-B41)&gt;0,C41-B41,"")</f>
        <v>32602993.5</v>
      </c>
      <c r="D42" s="54"/>
      <c r="E42" s="55" t="str">
        <f>IF((E41-F41)&gt;0,E41-F41,"")</f>
        <v/>
      </c>
      <c r="F42" s="55">
        <f>IF((F41-E41)&gt;0,F41-E41,"")</f>
        <v>21735329</v>
      </c>
      <c r="G42" s="54"/>
      <c r="H42" s="55">
        <f>IF((H41-I41)&gt;0,H41-I41,"")</f>
        <v>25208300.000000007</v>
      </c>
      <c r="I42" s="55" t="str">
        <f>IF((I41-H41)&gt;0,I41-H41,"")</f>
        <v/>
      </c>
    </row>
    <row r="43" spans="2:9" ht="19.5" customHeight="1">
      <c r="B43" s="54"/>
      <c r="C43" s="54"/>
      <c r="D43" s="54"/>
      <c r="E43" s="54"/>
      <c r="F43" s="54"/>
      <c r="G43" s="54"/>
      <c r="H43" s="54"/>
      <c r="I43" s="54"/>
    </row>
    <row r="44" spans="2:9" ht="19.5" customHeight="1">
      <c r="B44" s="133" t="s">
        <v>144</v>
      </c>
      <c r="C44" s="134"/>
      <c r="D44" s="134"/>
      <c r="E44" s="134"/>
      <c r="F44" s="134"/>
      <c r="G44" s="134"/>
      <c r="H44" s="134"/>
      <c r="I44" s="132"/>
    </row>
    <row r="45" spans="2:9" ht="19.5" customHeight="1">
      <c r="B45" s="131" t="s">
        <v>124</v>
      </c>
      <c r="C45" s="132"/>
      <c r="D45" s="54"/>
      <c r="E45" s="131" t="s">
        <v>58</v>
      </c>
      <c r="F45" s="132"/>
      <c r="G45" s="54"/>
      <c r="H45" s="131" t="s">
        <v>140</v>
      </c>
      <c r="I45" s="132"/>
    </row>
    <row r="46" spans="2:9" ht="19.5" customHeight="1">
      <c r="B46" s="130" t="s">
        <v>127</v>
      </c>
      <c r="C46" s="124"/>
      <c r="D46" s="54"/>
      <c r="E46" s="130" t="s">
        <v>145</v>
      </c>
      <c r="F46" s="124"/>
      <c r="G46" s="54"/>
      <c r="H46" s="130" t="s">
        <v>143</v>
      </c>
      <c r="I46" s="124"/>
    </row>
    <row r="47" spans="2:9" ht="19.5" customHeight="1">
      <c r="B47" s="55" t="s">
        <v>130</v>
      </c>
      <c r="C47" s="55" t="s">
        <v>131</v>
      </c>
      <c r="D47" s="54"/>
      <c r="E47" s="55" t="s">
        <v>130</v>
      </c>
      <c r="F47" s="55" t="s">
        <v>131</v>
      </c>
      <c r="G47" s="54"/>
      <c r="H47" s="55" t="s">
        <v>130</v>
      </c>
      <c r="I47" s="55" t="s">
        <v>131</v>
      </c>
    </row>
    <row r="48" spans="2:9" ht="19.5" customHeight="1">
      <c r="B48" s="55">
        <f>Proyecciones!$AA$13</f>
        <v>35550000</v>
      </c>
      <c r="C48" s="55">
        <f>Proyecciones!$AA$14</f>
        <v>25208300.000000007</v>
      </c>
      <c r="D48" s="54"/>
      <c r="E48" s="55"/>
      <c r="F48" s="55">
        <f>Proyecciones!$AA$13</f>
        <v>35550000</v>
      </c>
      <c r="G48" s="54"/>
      <c r="H48" s="55">
        <f>Proyecciones!$AA$14</f>
        <v>25208300.000000007</v>
      </c>
      <c r="I48" s="55"/>
    </row>
    <row r="49" spans="2:9" ht="19.5" customHeight="1">
      <c r="B49" s="55"/>
      <c r="C49" s="55">
        <f>Proyecciones!$AA$15</f>
        <v>1777500</v>
      </c>
      <c r="D49" s="54"/>
      <c r="E49" s="55"/>
      <c r="F49" s="55"/>
      <c r="G49" s="54"/>
      <c r="H49" s="55"/>
      <c r="I49" s="55"/>
    </row>
    <row r="50" spans="2:9" ht="19.5" customHeight="1">
      <c r="B50" s="55"/>
      <c r="C50" s="55">
        <f>Proyecciones!$AA$18</f>
        <v>1097083.503858089</v>
      </c>
      <c r="D50" s="54"/>
      <c r="E50" s="55"/>
      <c r="F50" s="55"/>
      <c r="G50" s="54"/>
      <c r="H50" s="55"/>
      <c r="I50" s="55"/>
    </row>
    <row r="51" spans="2:9" ht="19.5" customHeight="1">
      <c r="B51" s="55"/>
      <c r="C51" s="55"/>
      <c r="D51" s="54"/>
      <c r="E51" s="55"/>
      <c r="F51" s="55"/>
      <c r="G51" s="54"/>
      <c r="H51" s="55"/>
      <c r="I51" s="55"/>
    </row>
    <row r="52" spans="2:9" ht="19.5" customHeight="1">
      <c r="B52" s="55"/>
      <c r="C52" s="55"/>
      <c r="D52" s="54"/>
      <c r="E52" s="55"/>
      <c r="F52" s="55"/>
      <c r="G52" s="54"/>
      <c r="H52" s="55"/>
      <c r="I52" s="55"/>
    </row>
    <row r="53" spans="2:9" ht="19.5" customHeight="1">
      <c r="B53" s="55"/>
      <c r="C53" s="55"/>
      <c r="D53" s="54"/>
      <c r="E53" s="55"/>
      <c r="F53" s="55"/>
      <c r="G53" s="54"/>
      <c r="H53" s="55"/>
      <c r="I53" s="55"/>
    </row>
    <row r="54" spans="2:9" ht="19.5" customHeight="1">
      <c r="B54" s="55"/>
      <c r="C54" s="55"/>
      <c r="D54" s="54"/>
      <c r="E54" s="55"/>
      <c r="F54" s="55"/>
      <c r="G54" s="54"/>
      <c r="H54" s="55"/>
      <c r="I54" s="55"/>
    </row>
    <row r="55" spans="2:9" ht="19.5" customHeight="1">
      <c r="B55" s="55"/>
      <c r="C55" s="55"/>
      <c r="D55" s="54"/>
      <c r="E55" s="55"/>
      <c r="F55" s="55"/>
      <c r="G55" s="54"/>
      <c r="H55" s="55"/>
      <c r="I55" s="55"/>
    </row>
    <row r="56" spans="2:9" ht="19.5" customHeight="1">
      <c r="B56" s="55">
        <f t="shared" ref="B56:C56" si="9">SUM(B48:B55)</f>
        <v>35550000</v>
      </c>
      <c r="C56" s="55">
        <f t="shared" si="9"/>
        <v>28082883.503858097</v>
      </c>
      <c r="D56" s="54"/>
      <c r="E56" s="55">
        <f t="shared" ref="E56:F56" si="10">SUM(E48:E55)</f>
        <v>0</v>
      </c>
      <c r="F56" s="55">
        <f t="shared" si="10"/>
        <v>35550000</v>
      </c>
      <c r="G56" s="54"/>
      <c r="H56" s="55">
        <f t="shared" ref="H56:I56" si="11">SUM(H48:H55)</f>
        <v>25208300.000000007</v>
      </c>
      <c r="I56" s="55">
        <f t="shared" si="11"/>
        <v>0</v>
      </c>
    </row>
    <row r="57" spans="2:9" ht="19.5" customHeight="1">
      <c r="B57" s="55">
        <f>IF((B56-C56)&gt;0,B56-C56,"")</f>
        <v>7467116.4961419031</v>
      </c>
      <c r="C57" s="55" t="str">
        <f>IF((C56-B56)&gt;0,C56-B56,"")</f>
        <v/>
      </c>
      <c r="D57" s="54"/>
      <c r="E57" s="55" t="str">
        <f>IF((E56-F56)&gt;0,E56-F56,"")</f>
        <v/>
      </c>
      <c r="F57" s="55">
        <f>IF((F56-E56)&gt;0,F56-E56,"")</f>
        <v>35550000</v>
      </c>
      <c r="G57" s="54"/>
      <c r="H57" s="55">
        <f>IF((H56-I56)&gt;0,H56-I56,"")</f>
        <v>25208300.000000007</v>
      </c>
      <c r="I57" s="55" t="str">
        <f>IF((I56-H56)&gt;0,I56-H56,"")</f>
        <v/>
      </c>
    </row>
    <row r="58" spans="2:9" ht="19.5" customHeight="1">
      <c r="B58" s="131" t="s">
        <v>146</v>
      </c>
      <c r="C58" s="132"/>
      <c r="D58" s="54"/>
      <c r="E58" s="131" t="s">
        <v>147</v>
      </c>
      <c r="F58" s="132"/>
      <c r="G58" s="54"/>
      <c r="H58" s="131" t="s">
        <v>138</v>
      </c>
      <c r="I58" s="132"/>
    </row>
    <row r="59" spans="2:9" ht="19.5" customHeight="1">
      <c r="B59" s="130" t="s">
        <v>148</v>
      </c>
      <c r="C59" s="124"/>
      <c r="D59" s="54"/>
      <c r="E59" s="130" t="s">
        <v>149</v>
      </c>
      <c r="F59" s="124"/>
      <c r="G59" s="54"/>
      <c r="H59" s="130" t="s">
        <v>141</v>
      </c>
      <c r="I59" s="124"/>
    </row>
    <row r="60" spans="2:9" ht="19.5" customHeight="1">
      <c r="B60" s="55" t="s">
        <v>130</v>
      </c>
      <c r="C60" s="55" t="s">
        <v>131</v>
      </c>
      <c r="D60" s="54"/>
      <c r="E60" s="55" t="s">
        <v>130</v>
      </c>
      <c r="F60" s="55" t="s">
        <v>131</v>
      </c>
      <c r="G60" s="54"/>
      <c r="H60" s="55" t="s">
        <v>130</v>
      </c>
      <c r="I60" s="55" t="s">
        <v>131</v>
      </c>
    </row>
    <row r="61" spans="2:9" ht="19.5" customHeight="1">
      <c r="B61" s="55">
        <f>Proyecciones!$AA$15</f>
        <v>1777500</v>
      </c>
      <c r="C61" s="55"/>
      <c r="D61" s="54"/>
      <c r="E61" s="55">
        <f>Proyecciones!$AA$16</f>
        <v>350706.43012340821</v>
      </c>
      <c r="F61" s="55"/>
      <c r="G61" s="54"/>
      <c r="H61" s="55">
        <f>Proyecciones!$AA$17</f>
        <v>746377.07373468077</v>
      </c>
      <c r="I61" s="55"/>
    </row>
    <row r="62" spans="2:9" ht="19.5" customHeight="1">
      <c r="B62" s="55"/>
      <c r="C62" s="55"/>
      <c r="D62" s="54"/>
      <c r="E62" s="55"/>
      <c r="F62" s="55"/>
      <c r="G62" s="54"/>
      <c r="H62" s="55"/>
      <c r="I62" s="55"/>
    </row>
    <row r="63" spans="2:9" ht="19.5" customHeight="1">
      <c r="B63" s="55"/>
      <c r="C63" s="55"/>
      <c r="D63" s="54"/>
      <c r="E63" s="55"/>
      <c r="F63" s="55"/>
      <c r="G63" s="54"/>
      <c r="H63" s="55"/>
      <c r="I63" s="55"/>
    </row>
    <row r="64" spans="2:9" ht="19.5" customHeight="1">
      <c r="B64" s="55"/>
      <c r="C64" s="55"/>
      <c r="D64" s="54"/>
      <c r="E64" s="55"/>
      <c r="F64" s="55"/>
      <c r="G64" s="54"/>
      <c r="H64" s="55"/>
      <c r="I64" s="55"/>
    </row>
    <row r="65" spans="2:9" ht="19.5" customHeight="1">
      <c r="B65" s="55"/>
      <c r="C65" s="55"/>
      <c r="D65" s="54"/>
      <c r="E65" s="55"/>
      <c r="F65" s="55"/>
      <c r="G65" s="54"/>
      <c r="H65" s="55"/>
      <c r="I65" s="55"/>
    </row>
    <row r="66" spans="2:9" ht="19.5" customHeight="1">
      <c r="B66" s="55"/>
      <c r="C66" s="55"/>
      <c r="D66" s="54"/>
      <c r="E66" s="55"/>
      <c r="F66" s="55"/>
      <c r="G66" s="54"/>
      <c r="H66" s="55"/>
      <c r="I66" s="55"/>
    </row>
    <row r="67" spans="2:9" ht="19.5" customHeight="1">
      <c r="B67" s="55"/>
      <c r="C67" s="55"/>
      <c r="D67" s="54"/>
      <c r="E67" s="55"/>
      <c r="F67" s="55"/>
      <c r="G67" s="54"/>
      <c r="H67" s="55"/>
      <c r="I67" s="55"/>
    </row>
    <row r="68" spans="2:9" ht="19.5" customHeight="1">
      <c r="B68" s="55"/>
      <c r="C68" s="55"/>
      <c r="D68" s="54"/>
      <c r="E68" s="55"/>
      <c r="F68" s="55"/>
      <c r="G68" s="54"/>
      <c r="H68" s="55"/>
      <c r="I68" s="55"/>
    </row>
    <row r="69" spans="2:9" ht="19.5" customHeight="1">
      <c r="B69" s="55">
        <f t="shared" ref="B69:C69" si="12">SUM(B61:B68)</f>
        <v>1777500</v>
      </c>
      <c r="C69" s="55">
        <f t="shared" si="12"/>
        <v>0</v>
      </c>
      <c r="D69" s="54"/>
      <c r="E69" s="55">
        <f t="shared" ref="E69:F69" si="13">SUM(E61:E68)</f>
        <v>350706.43012340821</v>
      </c>
      <c r="F69" s="55">
        <f t="shared" si="13"/>
        <v>0</v>
      </c>
      <c r="G69" s="54"/>
      <c r="H69" s="55">
        <f t="shared" ref="H69:I69" si="14">SUM(H61:H68)</f>
        <v>746377.07373468077</v>
      </c>
      <c r="I69" s="55">
        <f t="shared" si="14"/>
        <v>0</v>
      </c>
    </row>
    <row r="70" spans="2:9" ht="19.5" customHeight="1">
      <c r="B70" s="55">
        <f>IF((B69-C69)&gt;0,B69-C69,"")</f>
        <v>1777500</v>
      </c>
      <c r="C70" s="55" t="str">
        <f>IF((C69-B69)&gt;0,C69-B69,"")</f>
        <v/>
      </c>
      <c r="D70" s="54"/>
      <c r="E70" s="55">
        <f>IF((E69-F69)&gt;0,E69-F69,"")</f>
        <v>350706.43012340821</v>
      </c>
      <c r="F70" s="55" t="str">
        <f>IF((F69-E69)&gt;0,F69-E69,"")</f>
        <v/>
      </c>
      <c r="G70" s="54"/>
      <c r="H70" s="55">
        <f>IF((H69-I69)&gt;0,H69-I69,"")</f>
        <v>746377.07373468077</v>
      </c>
      <c r="I70" s="55" t="str">
        <f>IF((I69-H69)&gt;0,I69-H69,"")</f>
        <v/>
      </c>
    </row>
    <row r="71" spans="2:9" ht="19.5" customHeight="1">
      <c r="B71" s="54"/>
      <c r="C71" s="54"/>
      <c r="D71" s="54"/>
      <c r="E71" s="54"/>
      <c r="F71" s="54"/>
      <c r="G71" s="54"/>
      <c r="H71" s="54"/>
      <c r="I71" s="54"/>
    </row>
    <row r="72" spans="2:9" ht="19.5" customHeight="1">
      <c r="B72" s="133" t="s">
        <v>150</v>
      </c>
      <c r="C72" s="134"/>
      <c r="D72" s="134"/>
      <c r="E72" s="134"/>
      <c r="F72" s="134"/>
      <c r="G72" s="134"/>
      <c r="H72" s="134"/>
      <c r="I72" s="132"/>
    </row>
    <row r="73" spans="2:9" ht="19.5" customHeight="1">
      <c r="B73" s="131" t="s">
        <v>124</v>
      </c>
      <c r="C73" s="132"/>
      <c r="D73" s="54"/>
      <c r="E73" s="131" t="s">
        <v>58</v>
      </c>
      <c r="F73" s="132"/>
      <c r="G73" s="54"/>
      <c r="H73" s="131" t="s">
        <v>140</v>
      </c>
      <c r="I73" s="132"/>
    </row>
    <row r="74" spans="2:9" ht="19.5" customHeight="1">
      <c r="B74" s="130" t="s">
        <v>127</v>
      </c>
      <c r="C74" s="124"/>
      <c r="D74" s="54"/>
      <c r="E74" s="130" t="s">
        <v>145</v>
      </c>
      <c r="F74" s="124"/>
      <c r="G74" s="54"/>
      <c r="H74" s="130" t="s">
        <v>143</v>
      </c>
      <c r="I74" s="124"/>
    </row>
    <row r="75" spans="2:9" ht="19.5" customHeight="1">
      <c r="B75" s="55" t="s">
        <v>130</v>
      </c>
      <c r="C75" s="55" t="s">
        <v>131</v>
      </c>
      <c r="D75" s="54"/>
      <c r="E75" s="55" t="s">
        <v>130</v>
      </c>
      <c r="F75" s="55" t="s">
        <v>131</v>
      </c>
      <c r="G75" s="54"/>
      <c r="H75" s="55" t="s">
        <v>130</v>
      </c>
      <c r="I75" s="55" t="s">
        <v>131</v>
      </c>
    </row>
    <row r="76" spans="2:9" ht="19.5" customHeight="1">
      <c r="B76" s="55">
        <f>Proyecciones!$AB$13</f>
        <v>35550000</v>
      </c>
      <c r="C76" s="55">
        <f>Proyecciones!$AB$14</f>
        <v>25208300.000000007</v>
      </c>
      <c r="D76" s="54"/>
      <c r="E76" s="55"/>
      <c r="F76" s="55">
        <f>Proyecciones!$AB$13</f>
        <v>35550000</v>
      </c>
      <c r="G76" s="54"/>
      <c r="H76" s="55">
        <f>Proyecciones!$AB$14</f>
        <v>25208300.000000007</v>
      </c>
      <c r="I76" s="55"/>
    </row>
    <row r="77" spans="2:9" ht="19.5" customHeight="1">
      <c r="B77" s="55"/>
      <c r="C77" s="55">
        <f>Proyecciones!$AB$15</f>
        <v>1777500</v>
      </c>
      <c r="D77" s="54"/>
      <c r="E77" s="55"/>
      <c r="F77" s="55"/>
      <c r="G77" s="54"/>
      <c r="H77" s="55"/>
      <c r="I77" s="55"/>
    </row>
    <row r="78" spans="2:9" ht="19.5" customHeight="1">
      <c r="B78" s="55"/>
      <c r="C78" s="55">
        <f>Proyecciones!$AB$18</f>
        <v>1097083.503858089</v>
      </c>
      <c r="D78" s="54"/>
      <c r="E78" s="55"/>
      <c r="F78" s="55"/>
      <c r="G78" s="54"/>
      <c r="H78" s="55"/>
      <c r="I78" s="55"/>
    </row>
    <row r="79" spans="2:9" ht="19.5" customHeight="1">
      <c r="B79" s="55"/>
      <c r="C79" s="55"/>
      <c r="D79" s="54"/>
      <c r="E79" s="55"/>
      <c r="F79" s="55"/>
      <c r="G79" s="54"/>
      <c r="H79" s="55"/>
      <c r="I79" s="55"/>
    </row>
    <row r="80" spans="2:9" ht="19.5" customHeight="1">
      <c r="B80" s="55"/>
      <c r="C80" s="55"/>
      <c r="D80" s="54"/>
      <c r="E80" s="55"/>
      <c r="F80" s="55"/>
      <c r="G80" s="54"/>
      <c r="H80" s="55"/>
      <c r="I80" s="55"/>
    </row>
    <row r="81" spans="2:9" ht="19.5" customHeight="1">
      <c r="B81" s="55"/>
      <c r="C81" s="55"/>
      <c r="D81" s="54"/>
      <c r="E81" s="55"/>
      <c r="F81" s="55"/>
      <c r="G81" s="54"/>
      <c r="H81" s="55"/>
      <c r="I81" s="55"/>
    </row>
    <row r="82" spans="2:9" ht="19.5" customHeight="1">
      <c r="B82" s="55"/>
      <c r="C82" s="55"/>
      <c r="D82" s="54"/>
      <c r="E82" s="55"/>
      <c r="F82" s="55"/>
      <c r="G82" s="54"/>
      <c r="H82" s="55"/>
      <c r="I82" s="55"/>
    </row>
    <row r="83" spans="2:9" ht="19.5" customHeight="1">
      <c r="B83" s="55"/>
      <c r="C83" s="55"/>
      <c r="D83" s="54"/>
      <c r="E83" s="55"/>
      <c r="F83" s="55"/>
      <c r="G83" s="54"/>
      <c r="H83" s="55"/>
      <c r="I83" s="55"/>
    </row>
    <row r="84" spans="2:9" ht="19.5" customHeight="1">
      <c r="B84" s="55">
        <f t="shared" ref="B84:C84" si="15">SUM(B76:B83)</f>
        <v>35550000</v>
      </c>
      <c r="C84" s="55">
        <f t="shared" si="15"/>
        <v>28082883.503858097</v>
      </c>
      <c r="D84" s="54"/>
      <c r="E84" s="55">
        <f t="shared" ref="E84:F84" si="16">SUM(E76:E83)</f>
        <v>0</v>
      </c>
      <c r="F84" s="55">
        <f t="shared" si="16"/>
        <v>35550000</v>
      </c>
      <c r="G84" s="54"/>
      <c r="H84" s="55">
        <f t="shared" ref="H84:I84" si="17">SUM(H76:H83)</f>
        <v>25208300.000000007</v>
      </c>
      <c r="I84" s="55">
        <f t="shared" si="17"/>
        <v>0</v>
      </c>
    </row>
    <row r="85" spans="2:9" ht="19.5" customHeight="1">
      <c r="B85" s="55">
        <f>IF((B84-C84)&gt;0,B84-C84,"")</f>
        <v>7467116.4961419031</v>
      </c>
      <c r="C85" s="55" t="str">
        <f>IF((C84-B84)&gt;0,C84-B84,"")</f>
        <v/>
      </c>
      <c r="D85" s="54"/>
      <c r="E85" s="55" t="str">
        <f>IF((E84-F84)&gt;0,E84-F84,"")</f>
        <v/>
      </c>
      <c r="F85" s="55">
        <f>IF((F84-E84)&gt;0,F84-E84,"")</f>
        <v>35550000</v>
      </c>
      <c r="G85" s="54"/>
      <c r="H85" s="55">
        <f>IF((H84-I84)&gt;0,H84-I84,"")</f>
        <v>25208300.000000007</v>
      </c>
      <c r="I85" s="55" t="str">
        <f>IF((I84-H84)&gt;0,I84-H84,"")</f>
        <v/>
      </c>
    </row>
    <row r="86" spans="2:9" ht="19.5" customHeight="1">
      <c r="B86" s="131" t="s">
        <v>146</v>
      </c>
      <c r="C86" s="132"/>
      <c r="D86" s="54"/>
      <c r="E86" s="131" t="s">
        <v>147</v>
      </c>
      <c r="F86" s="132"/>
      <c r="G86" s="54"/>
      <c r="H86" s="131" t="s">
        <v>138</v>
      </c>
      <c r="I86" s="132"/>
    </row>
    <row r="87" spans="2:9" ht="19.5" customHeight="1">
      <c r="B87" s="130" t="s">
        <v>148</v>
      </c>
      <c r="C87" s="124"/>
      <c r="D87" s="54"/>
      <c r="E87" s="130" t="s">
        <v>149</v>
      </c>
      <c r="F87" s="124"/>
      <c r="G87" s="54"/>
      <c r="H87" s="130" t="s">
        <v>141</v>
      </c>
      <c r="I87" s="124"/>
    </row>
    <row r="88" spans="2:9" ht="19.5" customHeight="1">
      <c r="B88" s="55" t="s">
        <v>130</v>
      </c>
      <c r="C88" s="55" t="s">
        <v>131</v>
      </c>
      <c r="D88" s="54"/>
      <c r="E88" s="55" t="s">
        <v>130</v>
      </c>
      <c r="F88" s="55" t="s">
        <v>131</v>
      </c>
      <c r="G88" s="54"/>
      <c r="H88" s="55" t="s">
        <v>130</v>
      </c>
      <c r="I88" s="55" t="s">
        <v>131</v>
      </c>
    </row>
    <row r="89" spans="2:9" ht="19.5" customHeight="1">
      <c r="B89" s="55">
        <f>Proyecciones!$AB$15</f>
        <v>1777500</v>
      </c>
      <c r="C89" s="55"/>
      <c r="D89" s="54"/>
      <c r="E89" s="55">
        <f>Proyecciones!$AB$16</f>
        <v>342677.74284794542</v>
      </c>
      <c r="F89" s="55"/>
      <c r="G89" s="54"/>
      <c r="H89" s="55">
        <f>Proyecciones!$AB$17</f>
        <v>754405.76101014356</v>
      </c>
      <c r="I89" s="55"/>
    </row>
    <row r="90" spans="2:9" ht="19.5" customHeight="1">
      <c r="B90" s="55"/>
      <c r="C90" s="55"/>
      <c r="D90" s="54"/>
      <c r="E90" s="55"/>
      <c r="F90" s="55"/>
      <c r="G90" s="54"/>
      <c r="H90" s="55"/>
      <c r="I90" s="55"/>
    </row>
    <row r="91" spans="2:9" ht="19.5" customHeight="1">
      <c r="B91" s="55"/>
      <c r="C91" s="55"/>
      <c r="D91" s="54"/>
      <c r="E91" s="55"/>
      <c r="F91" s="55"/>
      <c r="G91" s="54"/>
      <c r="H91" s="55"/>
      <c r="I91" s="55"/>
    </row>
    <row r="92" spans="2:9" ht="19.5" customHeight="1">
      <c r="B92" s="55"/>
      <c r="C92" s="55"/>
      <c r="D92" s="54"/>
      <c r="E92" s="55"/>
      <c r="F92" s="55"/>
      <c r="G92" s="54"/>
      <c r="H92" s="55"/>
      <c r="I92" s="55"/>
    </row>
    <row r="93" spans="2:9" ht="19.5" customHeight="1">
      <c r="B93" s="55"/>
      <c r="C93" s="55"/>
      <c r="D93" s="54"/>
      <c r="E93" s="55"/>
      <c r="F93" s="55"/>
      <c r="G93" s="54"/>
      <c r="H93" s="55"/>
      <c r="I93" s="55"/>
    </row>
    <row r="94" spans="2:9" ht="19.5" customHeight="1">
      <c r="B94" s="55"/>
      <c r="C94" s="55"/>
      <c r="D94" s="54"/>
      <c r="E94" s="55"/>
      <c r="F94" s="55"/>
      <c r="G94" s="54"/>
      <c r="H94" s="55"/>
      <c r="I94" s="55"/>
    </row>
    <row r="95" spans="2:9" ht="19.5" customHeight="1">
      <c r="B95" s="55"/>
      <c r="C95" s="55"/>
      <c r="D95" s="54"/>
      <c r="E95" s="55"/>
      <c r="F95" s="55"/>
      <c r="G95" s="54"/>
      <c r="H95" s="55"/>
      <c r="I95" s="55"/>
    </row>
    <row r="96" spans="2:9" ht="19.5" customHeight="1">
      <c r="B96" s="55"/>
      <c r="C96" s="55"/>
      <c r="D96" s="54"/>
      <c r="E96" s="55"/>
      <c r="F96" s="55"/>
      <c r="G96" s="54"/>
      <c r="H96" s="55"/>
      <c r="I96" s="55"/>
    </row>
    <row r="97" spans="2:9" ht="19.5" customHeight="1">
      <c r="B97" s="55">
        <f t="shared" ref="B97:C97" si="18">SUM(B89:B96)</f>
        <v>1777500</v>
      </c>
      <c r="C97" s="55">
        <f t="shared" si="18"/>
        <v>0</v>
      </c>
      <c r="D97" s="54"/>
      <c r="E97" s="55">
        <f t="shared" ref="E97:F97" si="19">SUM(E89:E96)</f>
        <v>342677.74284794542</v>
      </c>
      <c r="F97" s="55">
        <f t="shared" si="19"/>
        <v>0</v>
      </c>
      <c r="G97" s="54"/>
      <c r="H97" s="55">
        <f t="shared" ref="H97:I97" si="20">SUM(H89:H96)</f>
        <v>754405.76101014356</v>
      </c>
      <c r="I97" s="55">
        <f t="shared" si="20"/>
        <v>0</v>
      </c>
    </row>
    <row r="98" spans="2:9" ht="19.5" customHeight="1">
      <c r="B98" s="55">
        <f>IF((B97-C97)&gt;0,B97-C97,"")</f>
        <v>1777500</v>
      </c>
      <c r="C98" s="55" t="str">
        <f>IF((C97-B97)&gt;0,C97-B97,"")</f>
        <v/>
      </c>
      <c r="D98" s="54"/>
      <c r="E98" s="55">
        <f>IF((E97-F97)&gt;0,E97-F97,"")</f>
        <v>342677.74284794542</v>
      </c>
      <c r="F98" s="55" t="str">
        <f>IF((F97-E97)&gt;0,F97-E97,"")</f>
        <v/>
      </c>
      <c r="G98" s="54"/>
      <c r="H98" s="55">
        <f>IF((H97-I97)&gt;0,H97-I97,"")</f>
        <v>754405.76101014356</v>
      </c>
      <c r="I98" s="55" t="str">
        <f>IF((I97-H97)&gt;0,I97-H97,"")</f>
        <v/>
      </c>
    </row>
    <row r="99" spans="2:9" ht="19.5" customHeight="1">
      <c r="B99" s="54"/>
      <c r="C99" s="54"/>
      <c r="D99" s="54"/>
      <c r="E99" s="54"/>
      <c r="F99" s="54"/>
      <c r="G99" s="54"/>
      <c r="H99" s="54"/>
      <c r="I99" s="54"/>
    </row>
    <row r="100" spans="2:9" ht="19.5" customHeight="1">
      <c r="B100" s="133" t="s">
        <v>151</v>
      </c>
      <c r="C100" s="134"/>
      <c r="D100" s="134"/>
      <c r="E100" s="134"/>
      <c r="F100" s="134"/>
      <c r="G100" s="134"/>
      <c r="H100" s="134"/>
      <c r="I100" s="132"/>
    </row>
    <row r="101" spans="2:9" ht="19.5" customHeight="1">
      <c r="B101" s="131" t="s">
        <v>124</v>
      </c>
      <c r="C101" s="132"/>
      <c r="D101" s="54"/>
      <c r="E101" s="131" t="s">
        <v>58</v>
      </c>
      <c r="F101" s="132"/>
      <c r="G101" s="54"/>
      <c r="H101" s="131" t="s">
        <v>140</v>
      </c>
      <c r="I101" s="132"/>
    </row>
    <row r="102" spans="2:9" ht="19.5" customHeight="1">
      <c r="B102" s="130" t="s">
        <v>127</v>
      </c>
      <c r="C102" s="124"/>
      <c r="D102" s="54"/>
      <c r="E102" s="130" t="s">
        <v>145</v>
      </c>
      <c r="F102" s="124"/>
      <c r="G102" s="54"/>
      <c r="H102" s="130" t="s">
        <v>143</v>
      </c>
      <c r="I102" s="124"/>
    </row>
    <row r="103" spans="2:9" ht="19.5" customHeight="1">
      <c r="B103" s="55" t="s">
        <v>130</v>
      </c>
      <c r="C103" s="55" t="s">
        <v>131</v>
      </c>
      <c r="D103" s="54"/>
      <c r="E103" s="55" t="s">
        <v>130</v>
      </c>
      <c r="F103" s="55" t="s">
        <v>131</v>
      </c>
      <c r="G103" s="54"/>
      <c r="H103" s="55" t="s">
        <v>130</v>
      </c>
      <c r="I103" s="55" t="s">
        <v>131</v>
      </c>
    </row>
    <row r="104" spans="2:9" ht="19.5" customHeight="1">
      <c r="B104" s="55">
        <f>Proyecciones!$AC$13</f>
        <v>35550000</v>
      </c>
      <c r="C104" s="55">
        <f>Proyecciones!$AC$14</f>
        <v>25208300.000000007</v>
      </c>
      <c r="D104" s="54"/>
      <c r="E104" s="55"/>
      <c r="F104" s="55">
        <f>Proyecciones!$AC$13</f>
        <v>35550000</v>
      </c>
      <c r="G104" s="54"/>
      <c r="H104" s="55">
        <f>Proyecciones!$AC$14</f>
        <v>25208300.000000007</v>
      </c>
      <c r="I104" s="55"/>
    </row>
    <row r="105" spans="2:9" ht="19.5" customHeight="1">
      <c r="B105" s="55"/>
      <c r="C105" s="55">
        <f>Proyecciones!$AC$15</f>
        <v>1777500</v>
      </c>
      <c r="D105" s="54"/>
      <c r="E105" s="55"/>
      <c r="F105" s="55"/>
      <c r="G105" s="54"/>
      <c r="H105" s="55"/>
      <c r="I105" s="55"/>
    </row>
    <row r="106" spans="2:9" ht="19.5" customHeight="1">
      <c r="B106" s="55"/>
      <c r="C106" s="55">
        <f>Proyecciones!$AC$18</f>
        <v>1097083.503858089</v>
      </c>
      <c r="D106" s="54"/>
      <c r="E106" s="55"/>
      <c r="F106" s="55"/>
      <c r="G106" s="54"/>
      <c r="H106" s="55"/>
      <c r="I106" s="55"/>
    </row>
    <row r="107" spans="2:9" ht="19.5" customHeight="1">
      <c r="B107" s="55"/>
      <c r="C107" s="55"/>
      <c r="D107" s="54"/>
      <c r="E107" s="55"/>
      <c r="F107" s="55"/>
      <c r="G107" s="54"/>
      <c r="H107" s="55"/>
      <c r="I107" s="55"/>
    </row>
    <row r="108" spans="2:9" ht="19.5" customHeight="1">
      <c r="B108" s="55"/>
      <c r="C108" s="55"/>
      <c r="D108" s="54"/>
      <c r="E108" s="55"/>
      <c r="F108" s="55"/>
      <c r="G108" s="54"/>
      <c r="H108" s="55"/>
      <c r="I108" s="55"/>
    </row>
    <row r="109" spans="2:9" ht="19.5" customHeight="1">
      <c r="B109" s="55"/>
      <c r="C109" s="55"/>
      <c r="D109" s="54"/>
      <c r="E109" s="55"/>
      <c r="F109" s="55"/>
      <c r="G109" s="54"/>
      <c r="H109" s="55"/>
      <c r="I109" s="55"/>
    </row>
    <row r="110" spans="2:9" ht="19.5" customHeight="1">
      <c r="B110" s="55"/>
      <c r="C110" s="55"/>
      <c r="D110" s="54"/>
      <c r="E110" s="55"/>
      <c r="F110" s="55"/>
      <c r="G110" s="54"/>
      <c r="H110" s="55"/>
      <c r="I110" s="55"/>
    </row>
    <row r="111" spans="2:9" ht="19.5" customHeight="1">
      <c r="B111" s="55"/>
      <c r="C111" s="55"/>
      <c r="D111" s="54"/>
      <c r="E111" s="55"/>
      <c r="F111" s="55"/>
      <c r="G111" s="54"/>
      <c r="H111" s="55"/>
      <c r="I111" s="55"/>
    </row>
    <row r="112" spans="2:9" ht="19.5" customHeight="1">
      <c r="B112" s="55">
        <f t="shared" ref="B112:C112" si="21">SUM(B104:B111)</f>
        <v>35550000</v>
      </c>
      <c r="C112" s="55">
        <f t="shared" si="21"/>
        <v>28082883.503858097</v>
      </c>
      <c r="D112" s="54"/>
      <c r="E112" s="55">
        <f t="shared" ref="E112:F112" si="22">SUM(E104:E111)</f>
        <v>0</v>
      </c>
      <c r="F112" s="55">
        <f t="shared" si="22"/>
        <v>35550000</v>
      </c>
      <c r="G112" s="54"/>
      <c r="H112" s="55">
        <f t="shared" ref="H112:I112" si="23">SUM(H104:H111)</f>
        <v>25208300.000000007</v>
      </c>
      <c r="I112" s="55">
        <f t="shared" si="23"/>
        <v>0</v>
      </c>
    </row>
    <row r="113" spans="2:9" ht="19.5" customHeight="1">
      <c r="B113" s="55">
        <f>IF((B112-C112)&gt;0,B112-C112,"")</f>
        <v>7467116.4961419031</v>
      </c>
      <c r="C113" s="55" t="str">
        <f>IF((C112-B112)&gt;0,C112-B112,"")</f>
        <v/>
      </c>
      <c r="D113" s="54"/>
      <c r="E113" s="55" t="str">
        <f>IF((E112-F112)&gt;0,E112-F112,"")</f>
        <v/>
      </c>
      <c r="F113" s="55">
        <f>IF((F112-E112)&gt;0,F112-E112,"")</f>
        <v>35550000</v>
      </c>
      <c r="G113" s="54"/>
      <c r="H113" s="55">
        <f>IF((H112-I112)&gt;0,H112-I112,"")</f>
        <v>25208300.000000007</v>
      </c>
      <c r="I113" s="55" t="str">
        <f>IF((I112-H112)&gt;0,I112-H112,"")</f>
        <v/>
      </c>
    </row>
    <row r="114" spans="2:9" ht="19.5" customHeight="1">
      <c r="B114" s="131" t="s">
        <v>146</v>
      </c>
      <c r="C114" s="132"/>
      <c r="D114" s="54"/>
      <c r="E114" s="131" t="s">
        <v>147</v>
      </c>
      <c r="F114" s="132"/>
      <c r="G114" s="54"/>
      <c r="H114" s="131" t="s">
        <v>138</v>
      </c>
      <c r="I114" s="132"/>
    </row>
    <row r="115" spans="2:9" ht="19.5" customHeight="1">
      <c r="B115" s="130" t="s">
        <v>148</v>
      </c>
      <c r="C115" s="124"/>
      <c r="D115" s="54"/>
      <c r="E115" s="130" t="s">
        <v>149</v>
      </c>
      <c r="F115" s="124"/>
      <c r="G115" s="54"/>
      <c r="H115" s="130" t="s">
        <v>141</v>
      </c>
      <c r="I115" s="124"/>
    </row>
    <row r="116" spans="2:9" ht="19.5" customHeight="1">
      <c r="B116" s="55" t="s">
        <v>130</v>
      </c>
      <c r="C116" s="55" t="s">
        <v>131</v>
      </c>
      <c r="D116" s="54"/>
      <c r="E116" s="55" t="s">
        <v>130</v>
      </c>
      <c r="F116" s="55" t="s">
        <v>131</v>
      </c>
      <c r="G116" s="54"/>
      <c r="H116" s="55" t="s">
        <v>130</v>
      </c>
      <c r="I116" s="55" t="s">
        <v>131</v>
      </c>
    </row>
    <row r="117" spans="2:9" ht="19.5" customHeight="1">
      <c r="B117" s="55">
        <f>Proyecciones!$AC$15</f>
        <v>1777500</v>
      </c>
      <c r="C117" s="55"/>
      <c r="D117" s="54"/>
      <c r="E117" s="55">
        <f>Proyecciones!$AC$16</f>
        <v>334562.69196133281</v>
      </c>
      <c r="F117" s="55"/>
      <c r="G117" s="54"/>
      <c r="H117" s="55">
        <f>Proyecciones!$AC$17</f>
        <v>762520.81189675617</v>
      </c>
      <c r="I117" s="55"/>
    </row>
    <row r="118" spans="2:9" ht="19.5" customHeight="1">
      <c r="B118" s="55"/>
      <c r="C118" s="55"/>
      <c r="D118" s="54"/>
      <c r="E118" s="55"/>
      <c r="F118" s="55"/>
      <c r="G118" s="54"/>
      <c r="H118" s="55"/>
      <c r="I118" s="55"/>
    </row>
    <row r="119" spans="2:9" ht="19.5" customHeight="1">
      <c r="B119" s="55"/>
      <c r="C119" s="55"/>
      <c r="D119" s="54"/>
      <c r="E119" s="55"/>
      <c r="F119" s="55"/>
      <c r="G119" s="54"/>
      <c r="H119" s="55"/>
      <c r="I119" s="55"/>
    </row>
    <row r="120" spans="2:9" ht="19.5" customHeight="1">
      <c r="B120" s="55"/>
      <c r="C120" s="55"/>
      <c r="D120" s="54"/>
      <c r="E120" s="55"/>
      <c r="F120" s="55"/>
      <c r="G120" s="54"/>
      <c r="H120" s="55"/>
      <c r="I120" s="55"/>
    </row>
    <row r="121" spans="2:9" ht="19.5" customHeight="1">
      <c r="B121" s="55"/>
      <c r="C121" s="55"/>
      <c r="D121" s="54"/>
      <c r="E121" s="55"/>
      <c r="F121" s="55"/>
      <c r="G121" s="54"/>
      <c r="H121" s="55"/>
      <c r="I121" s="55"/>
    </row>
    <row r="122" spans="2:9" ht="19.5" customHeight="1">
      <c r="B122" s="55"/>
      <c r="C122" s="55"/>
      <c r="D122" s="54"/>
      <c r="E122" s="55"/>
      <c r="F122" s="55"/>
      <c r="G122" s="54"/>
      <c r="H122" s="55"/>
      <c r="I122" s="55"/>
    </row>
    <row r="123" spans="2:9" ht="19.5" customHeight="1">
      <c r="B123" s="55"/>
      <c r="C123" s="55"/>
      <c r="D123" s="54"/>
      <c r="E123" s="55"/>
      <c r="F123" s="55"/>
      <c r="G123" s="54"/>
      <c r="H123" s="55"/>
      <c r="I123" s="55"/>
    </row>
    <row r="124" spans="2:9" ht="19.5" customHeight="1">
      <c r="B124" s="55"/>
      <c r="C124" s="55"/>
      <c r="D124" s="54"/>
      <c r="E124" s="55"/>
      <c r="F124" s="55"/>
      <c r="G124" s="54"/>
      <c r="H124" s="55"/>
      <c r="I124" s="55"/>
    </row>
    <row r="125" spans="2:9" ht="19.5" customHeight="1">
      <c r="B125" s="55">
        <f t="shared" ref="B125:C125" si="24">SUM(B117:B124)</f>
        <v>1777500</v>
      </c>
      <c r="C125" s="55">
        <f t="shared" si="24"/>
        <v>0</v>
      </c>
      <c r="D125" s="54"/>
      <c r="E125" s="55">
        <f t="shared" ref="E125:F125" si="25">SUM(E117:E124)</f>
        <v>334562.69196133281</v>
      </c>
      <c r="F125" s="55">
        <f t="shared" si="25"/>
        <v>0</v>
      </c>
      <c r="G125" s="54"/>
      <c r="H125" s="55">
        <f t="shared" ref="H125:I125" si="26">SUM(H117:H124)</f>
        <v>762520.81189675617</v>
      </c>
      <c r="I125" s="55">
        <f t="shared" si="26"/>
        <v>0</v>
      </c>
    </row>
    <row r="126" spans="2:9" ht="19.5" customHeight="1">
      <c r="B126" s="55">
        <f>IF((B125-C125)&gt;0,B125-C125,"")</f>
        <v>1777500</v>
      </c>
      <c r="C126" s="55" t="str">
        <f>IF((C125-B125)&gt;0,C125-B125,"")</f>
        <v/>
      </c>
      <c r="D126" s="54"/>
      <c r="E126" s="55">
        <f>IF((E125-F125)&gt;0,E125-F125,"")</f>
        <v>334562.69196133281</v>
      </c>
      <c r="F126" s="55" t="str">
        <f>IF((F125-E125)&gt;0,F125-E125,"")</f>
        <v/>
      </c>
      <c r="G126" s="54"/>
      <c r="H126" s="55">
        <f>IF((H125-I125)&gt;0,H125-I125,"")</f>
        <v>762520.81189675617</v>
      </c>
      <c r="I126" s="55" t="str">
        <f>IF((I125-H125)&gt;0,I125-H125,"")</f>
        <v/>
      </c>
    </row>
    <row r="127" spans="2:9" ht="19.5" customHeight="1">
      <c r="B127" s="54"/>
      <c r="C127" s="54"/>
      <c r="D127" s="54"/>
      <c r="E127" s="54"/>
      <c r="F127" s="54"/>
      <c r="G127" s="54"/>
      <c r="H127" s="54"/>
      <c r="I127" s="54"/>
    </row>
    <row r="128" spans="2:9" ht="19.5" customHeight="1">
      <c r="B128" s="133" t="s">
        <v>152</v>
      </c>
      <c r="C128" s="134"/>
      <c r="D128" s="134"/>
      <c r="E128" s="134"/>
      <c r="F128" s="134"/>
      <c r="G128" s="134"/>
      <c r="H128" s="134"/>
      <c r="I128" s="132"/>
    </row>
    <row r="129" spans="2:9" ht="19.5" customHeight="1">
      <c r="B129" s="131" t="s">
        <v>124</v>
      </c>
      <c r="C129" s="132"/>
      <c r="D129" s="54"/>
      <c r="E129" s="131" t="s">
        <v>58</v>
      </c>
      <c r="F129" s="132"/>
      <c r="G129" s="54"/>
      <c r="H129" s="131" t="s">
        <v>140</v>
      </c>
      <c r="I129" s="132"/>
    </row>
    <row r="130" spans="2:9" ht="19.5" customHeight="1">
      <c r="B130" s="130" t="s">
        <v>127</v>
      </c>
      <c r="C130" s="124"/>
      <c r="D130" s="54"/>
      <c r="E130" s="130" t="s">
        <v>145</v>
      </c>
      <c r="F130" s="124"/>
      <c r="G130" s="54"/>
      <c r="H130" s="130" t="s">
        <v>143</v>
      </c>
      <c r="I130" s="124"/>
    </row>
    <row r="131" spans="2:9" ht="19.5" customHeight="1">
      <c r="B131" s="55" t="s">
        <v>130</v>
      </c>
      <c r="C131" s="55" t="s">
        <v>131</v>
      </c>
      <c r="D131" s="54"/>
      <c r="E131" s="55" t="s">
        <v>130</v>
      </c>
      <c r="F131" s="55" t="s">
        <v>131</v>
      </c>
      <c r="G131" s="54"/>
      <c r="H131" s="55" t="s">
        <v>130</v>
      </c>
      <c r="I131" s="55" t="s">
        <v>131</v>
      </c>
    </row>
    <row r="132" spans="2:9" ht="19.5" customHeight="1">
      <c r="B132" s="55">
        <f>Proyecciones!$AD$13</f>
        <v>35550000</v>
      </c>
      <c r="C132" s="55">
        <f>Proyecciones!$AD$14</f>
        <v>25208300.000000007</v>
      </c>
      <c r="D132" s="54"/>
      <c r="E132" s="55"/>
      <c r="F132" s="55">
        <f>Proyecciones!$AD$13</f>
        <v>35550000</v>
      </c>
      <c r="G132" s="54"/>
      <c r="H132" s="55">
        <f>Proyecciones!$AD$14</f>
        <v>25208300.000000007</v>
      </c>
      <c r="I132" s="55"/>
    </row>
    <row r="133" spans="2:9" ht="19.5" customHeight="1">
      <c r="B133" s="55"/>
      <c r="C133" s="55">
        <f>Proyecciones!$AD$15</f>
        <v>1777500</v>
      </c>
      <c r="D133" s="54"/>
      <c r="E133" s="55"/>
      <c r="F133" s="55"/>
      <c r="G133" s="54"/>
      <c r="H133" s="55"/>
      <c r="I133" s="55"/>
    </row>
    <row r="134" spans="2:9" ht="19.5" customHeight="1">
      <c r="B134" s="55"/>
      <c r="C134" s="55">
        <f>Proyecciones!$AD$18</f>
        <v>1097083.503858089</v>
      </c>
      <c r="D134" s="54"/>
      <c r="E134" s="55"/>
      <c r="F134" s="55"/>
      <c r="G134" s="54"/>
      <c r="H134" s="55"/>
      <c r="I134" s="55"/>
    </row>
    <row r="135" spans="2:9" ht="19.5" customHeight="1">
      <c r="B135" s="55"/>
      <c r="C135" s="55"/>
      <c r="D135" s="54"/>
      <c r="E135" s="55"/>
      <c r="F135" s="55"/>
      <c r="G135" s="54"/>
      <c r="H135" s="55"/>
      <c r="I135" s="55"/>
    </row>
    <row r="136" spans="2:9" ht="19.5" customHeight="1">
      <c r="B136" s="55"/>
      <c r="C136" s="55"/>
      <c r="D136" s="54"/>
      <c r="E136" s="55"/>
      <c r="F136" s="55"/>
      <c r="G136" s="54"/>
      <c r="H136" s="55"/>
      <c r="I136" s="55"/>
    </row>
    <row r="137" spans="2:9" ht="19.5" customHeight="1">
      <c r="B137" s="55"/>
      <c r="C137" s="55"/>
      <c r="D137" s="54"/>
      <c r="E137" s="55"/>
      <c r="F137" s="55"/>
      <c r="G137" s="54"/>
      <c r="H137" s="55"/>
      <c r="I137" s="55"/>
    </row>
    <row r="138" spans="2:9" ht="19.5" customHeight="1">
      <c r="B138" s="55"/>
      <c r="C138" s="55"/>
      <c r="D138" s="54"/>
      <c r="E138" s="55"/>
      <c r="F138" s="55"/>
      <c r="G138" s="54"/>
      <c r="H138" s="55"/>
      <c r="I138" s="55"/>
    </row>
    <row r="139" spans="2:9" ht="19.5" customHeight="1">
      <c r="B139" s="55"/>
      <c r="C139" s="55"/>
      <c r="D139" s="54"/>
      <c r="E139" s="55"/>
      <c r="F139" s="55"/>
      <c r="G139" s="54"/>
      <c r="H139" s="55"/>
      <c r="I139" s="55"/>
    </row>
    <row r="140" spans="2:9" ht="19.5" customHeight="1">
      <c r="B140" s="55">
        <f t="shared" ref="B140:C140" si="27">SUM(B132:B139)</f>
        <v>35550000</v>
      </c>
      <c r="C140" s="55">
        <f t="shared" si="27"/>
        <v>28082883.503858097</v>
      </c>
      <c r="D140" s="54"/>
      <c r="E140" s="55">
        <f t="shared" ref="E140:F140" si="28">SUM(E132:E139)</f>
        <v>0</v>
      </c>
      <c r="F140" s="55">
        <f t="shared" si="28"/>
        <v>35550000</v>
      </c>
      <c r="G140" s="54"/>
      <c r="H140" s="55">
        <f t="shared" ref="H140:I140" si="29">SUM(H132:H139)</f>
        <v>25208300.000000007</v>
      </c>
      <c r="I140" s="55">
        <f t="shared" si="29"/>
        <v>0</v>
      </c>
    </row>
    <row r="141" spans="2:9" ht="19.5" customHeight="1">
      <c r="B141" s="55">
        <f>IF((B140-C140)&gt;0,B140-C140,"")</f>
        <v>7467116.4961419031</v>
      </c>
      <c r="C141" s="55" t="str">
        <f>IF((C140-B140)&gt;0,C140-B140,"")</f>
        <v/>
      </c>
      <c r="D141" s="54"/>
      <c r="E141" s="55" t="str">
        <f>IF((E140-F140)&gt;0,E140-F140,"")</f>
        <v/>
      </c>
      <c r="F141" s="55">
        <f>IF((F140-E140)&gt;0,F140-E140,"")</f>
        <v>35550000</v>
      </c>
      <c r="G141" s="54"/>
      <c r="H141" s="55">
        <f>IF((H140-I140)&gt;0,H140-I140,"")</f>
        <v>25208300.000000007</v>
      </c>
      <c r="I141" s="55" t="str">
        <f>IF((I140-H140)&gt;0,I140-H140,"")</f>
        <v/>
      </c>
    </row>
    <row r="142" spans="2:9" ht="19.5" customHeight="1">
      <c r="B142" s="130" t="s">
        <v>146</v>
      </c>
      <c r="C142" s="124"/>
      <c r="D142" s="54"/>
      <c r="E142" s="130" t="s">
        <v>147</v>
      </c>
      <c r="F142" s="124"/>
      <c r="G142" s="54"/>
      <c r="H142" s="130" t="s">
        <v>138</v>
      </c>
      <c r="I142" s="124"/>
    </row>
    <row r="143" spans="2:9" ht="19.5" customHeight="1">
      <c r="B143" s="130" t="s">
        <v>148</v>
      </c>
      <c r="C143" s="124"/>
      <c r="D143" s="54"/>
      <c r="E143" s="130" t="s">
        <v>149</v>
      </c>
      <c r="F143" s="124"/>
      <c r="G143" s="54"/>
      <c r="H143" s="130" t="s">
        <v>141</v>
      </c>
      <c r="I143" s="124"/>
    </row>
    <row r="144" spans="2:9" ht="19.5" customHeight="1">
      <c r="B144" s="55" t="s">
        <v>130</v>
      </c>
      <c r="C144" s="55" t="s">
        <v>131</v>
      </c>
      <c r="D144" s="54"/>
      <c r="E144" s="55" t="s">
        <v>130</v>
      </c>
      <c r="F144" s="55" t="s">
        <v>131</v>
      </c>
      <c r="G144" s="54"/>
      <c r="H144" s="55" t="s">
        <v>130</v>
      </c>
      <c r="I144" s="55" t="s">
        <v>131</v>
      </c>
    </row>
    <row r="145" spans="2:9" ht="19.5" customHeight="1">
      <c r="B145" s="55">
        <f>Proyecciones!$AD$15</f>
        <v>1777500</v>
      </c>
      <c r="C145" s="55"/>
      <c r="D145" s="54"/>
      <c r="E145" s="55">
        <f>Proyecciones!$AD$16</f>
        <v>326360.34846072405</v>
      </c>
      <c r="F145" s="55"/>
      <c r="G145" s="54"/>
      <c r="H145" s="55">
        <f>Proyecciones!$AD$17</f>
        <v>770723.15539736487</v>
      </c>
      <c r="I145" s="55"/>
    </row>
    <row r="146" spans="2:9" ht="19.5" customHeight="1">
      <c r="B146" s="55"/>
      <c r="C146" s="55"/>
      <c r="D146" s="54"/>
      <c r="E146" s="55"/>
      <c r="F146" s="55"/>
      <c r="G146" s="54"/>
      <c r="H146" s="55"/>
      <c r="I146" s="55"/>
    </row>
    <row r="147" spans="2:9" ht="19.5" customHeight="1">
      <c r="B147" s="55"/>
      <c r="C147" s="55"/>
      <c r="D147" s="54"/>
      <c r="E147" s="55"/>
      <c r="F147" s="55"/>
      <c r="G147" s="54"/>
      <c r="H147" s="55"/>
      <c r="I147" s="55"/>
    </row>
    <row r="148" spans="2:9" ht="19.5" customHeight="1">
      <c r="B148" s="55"/>
      <c r="C148" s="55"/>
      <c r="D148" s="54"/>
      <c r="E148" s="55"/>
      <c r="F148" s="55"/>
      <c r="G148" s="54"/>
      <c r="H148" s="55"/>
      <c r="I148" s="55"/>
    </row>
    <row r="149" spans="2:9" ht="19.5" customHeight="1">
      <c r="B149" s="55"/>
      <c r="C149" s="55"/>
      <c r="D149" s="54"/>
      <c r="E149" s="55"/>
      <c r="F149" s="55"/>
      <c r="G149" s="54"/>
      <c r="H149" s="55"/>
      <c r="I149" s="55"/>
    </row>
    <row r="150" spans="2:9" ht="19.5" customHeight="1">
      <c r="B150" s="55"/>
      <c r="C150" s="55"/>
      <c r="D150" s="54"/>
      <c r="E150" s="55"/>
      <c r="F150" s="55"/>
      <c r="G150" s="54"/>
      <c r="H150" s="55"/>
      <c r="I150" s="55"/>
    </row>
    <row r="151" spans="2:9" ht="19.5" customHeight="1">
      <c r="B151" s="55"/>
      <c r="C151" s="55"/>
      <c r="D151" s="54"/>
      <c r="E151" s="55"/>
      <c r="F151" s="55"/>
      <c r="G151" s="54"/>
      <c r="H151" s="55"/>
      <c r="I151" s="55"/>
    </row>
    <row r="152" spans="2:9" ht="19.5" customHeight="1">
      <c r="B152" s="55"/>
      <c r="C152" s="55"/>
      <c r="D152" s="54"/>
      <c r="E152" s="55"/>
      <c r="F152" s="55"/>
      <c r="G152" s="54"/>
      <c r="H152" s="55"/>
      <c r="I152" s="55"/>
    </row>
    <row r="153" spans="2:9" ht="19.5" customHeight="1">
      <c r="B153" s="55">
        <f t="shared" ref="B153:C153" si="30">SUM(B145:B152)</f>
        <v>1777500</v>
      </c>
      <c r="C153" s="55">
        <f t="shared" si="30"/>
        <v>0</v>
      </c>
      <c r="D153" s="54"/>
      <c r="E153" s="55">
        <f t="shared" ref="E153:F153" si="31">SUM(E145:E152)</f>
        <v>326360.34846072405</v>
      </c>
      <c r="F153" s="55">
        <f t="shared" si="31"/>
        <v>0</v>
      </c>
      <c r="G153" s="54"/>
      <c r="H153" s="55">
        <f t="shared" ref="H153:I153" si="32">SUM(H145:H152)</f>
        <v>770723.15539736487</v>
      </c>
      <c r="I153" s="55">
        <f t="shared" si="32"/>
        <v>0</v>
      </c>
    </row>
    <row r="154" spans="2:9" ht="19.5" customHeight="1">
      <c r="B154" s="55">
        <f>IF((B153-C153)&gt;0,B153-C153,"")</f>
        <v>1777500</v>
      </c>
      <c r="C154" s="55" t="str">
        <f>IF((C153-B153)&gt;0,C153-B153,"")</f>
        <v/>
      </c>
      <c r="D154" s="54"/>
      <c r="E154" s="55">
        <f>IF((E153-F153)&gt;0,E153-F153,"")</f>
        <v>326360.34846072405</v>
      </c>
      <c r="F154" s="55" t="str">
        <f>IF((F153-E153)&gt;0,F153-E153,"")</f>
        <v/>
      </c>
      <c r="G154" s="54"/>
      <c r="H154" s="55">
        <f>IF((H153-I153)&gt;0,H153-I153,"")</f>
        <v>770723.15539736487</v>
      </c>
      <c r="I154" s="55" t="str">
        <f>IF((I153-H153)&gt;0,I153-H153,"")</f>
        <v/>
      </c>
    </row>
    <row r="155" spans="2:9" ht="19.5" customHeight="1">
      <c r="B155" s="54"/>
      <c r="C155" s="54"/>
      <c r="D155" s="54"/>
      <c r="E155" s="54"/>
      <c r="F155" s="54"/>
      <c r="G155" s="54"/>
      <c r="H155" s="54"/>
      <c r="I155" s="54"/>
    </row>
    <row r="156" spans="2:9" ht="19.5" customHeight="1">
      <c r="B156" s="133" t="s">
        <v>153</v>
      </c>
      <c r="C156" s="134"/>
      <c r="D156" s="134"/>
      <c r="E156" s="134"/>
      <c r="F156" s="134"/>
      <c r="G156" s="134"/>
      <c r="H156" s="134"/>
      <c r="I156" s="132"/>
    </row>
    <row r="157" spans="2:9" ht="19.5" customHeight="1">
      <c r="B157" s="131" t="s">
        <v>124</v>
      </c>
      <c r="C157" s="132"/>
      <c r="D157" s="54"/>
      <c r="E157" s="131" t="s">
        <v>58</v>
      </c>
      <c r="F157" s="132"/>
      <c r="G157" s="54"/>
      <c r="H157" s="131" t="s">
        <v>140</v>
      </c>
      <c r="I157" s="132"/>
    </row>
    <row r="158" spans="2:9" ht="19.5" customHeight="1">
      <c r="B158" s="130" t="s">
        <v>127</v>
      </c>
      <c r="C158" s="124"/>
      <c r="D158" s="54"/>
      <c r="E158" s="130" t="s">
        <v>145</v>
      </c>
      <c r="F158" s="124"/>
      <c r="G158" s="54"/>
      <c r="H158" s="130" t="s">
        <v>143</v>
      </c>
      <c r="I158" s="124"/>
    </row>
    <row r="159" spans="2:9" ht="19.5" customHeight="1">
      <c r="B159" s="55" t="s">
        <v>130</v>
      </c>
      <c r="C159" s="55" t="s">
        <v>131</v>
      </c>
      <c r="D159" s="54"/>
      <c r="E159" s="55" t="s">
        <v>130</v>
      </c>
      <c r="F159" s="55" t="s">
        <v>131</v>
      </c>
      <c r="G159" s="54"/>
      <c r="H159" s="55" t="s">
        <v>130</v>
      </c>
      <c r="I159" s="55" t="s">
        <v>131</v>
      </c>
    </row>
    <row r="160" spans="2:9" ht="19.5" customHeight="1">
      <c r="B160" s="55">
        <f>Proyecciones!$AE$13</f>
        <v>35550000</v>
      </c>
      <c r="C160" s="55">
        <f>Proyecciones!$AE$14</f>
        <v>25208300.000000007</v>
      </c>
      <c r="D160" s="54"/>
      <c r="E160" s="55"/>
      <c r="F160" s="55">
        <f>Proyecciones!$AE$13</f>
        <v>35550000</v>
      </c>
      <c r="G160" s="54"/>
      <c r="H160" s="55">
        <f>Proyecciones!$AE$14</f>
        <v>25208300.000000007</v>
      </c>
      <c r="I160" s="55"/>
    </row>
    <row r="161" spans="2:9" ht="19.5" customHeight="1">
      <c r="B161" s="55"/>
      <c r="C161" s="55">
        <f>Proyecciones!$AE$15</f>
        <v>1777500</v>
      </c>
      <c r="D161" s="54"/>
      <c r="E161" s="55"/>
      <c r="F161" s="55"/>
      <c r="G161" s="54"/>
      <c r="H161" s="55"/>
      <c r="I161" s="55"/>
    </row>
    <row r="162" spans="2:9" ht="19.5" customHeight="1">
      <c r="B162" s="55"/>
      <c r="C162" s="55">
        <f>Proyecciones!$AE$18</f>
        <v>1097083.503858089</v>
      </c>
      <c r="D162" s="54"/>
      <c r="E162" s="55"/>
      <c r="F162" s="55"/>
      <c r="G162" s="54"/>
      <c r="H162" s="55"/>
      <c r="I162" s="55"/>
    </row>
    <row r="163" spans="2:9" ht="19.5" customHeight="1">
      <c r="B163" s="55"/>
      <c r="C163" s="55"/>
      <c r="D163" s="54"/>
      <c r="E163" s="55"/>
      <c r="F163" s="55"/>
      <c r="G163" s="54"/>
      <c r="H163" s="55"/>
      <c r="I163" s="55"/>
    </row>
    <row r="164" spans="2:9" ht="19.5" customHeight="1">
      <c r="B164" s="55"/>
      <c r="C164" s="55"/>
      <c r="D164" s="54"/>
      <c r="E164" s="55"/>
      <c r="F164" s="55"/>
      <c r="G164" s="54"/>
      <c r="H164" s="55"/>
      <c r="I164" s="55"/>
    </row>
    <row r="165" spans="2:9" ht="19.5" customHeight="1">
      <c r="B165" s="55"/>
      <c r="C165" s="55"/>
      <c r="D165" s="54"/>
      <c r="E165" s="55"/>
      <c r="F165" s="55"/>
      <c r="G165" s="54"/>
      <c r="H165" s="55"/>
      <c r="I165" s="55"/>
    </row>
    <row r="166" spans="2:9" ht="19.5" customHeight="1">
      <c r="B166" s="55"/>
      <c r="C166" s="55"/>
      <c r="D166" s="54"/>
      <c r="E166" s="55"/>
      <c r="F166" s="55"/>
      <c r="G166" s="54"/>
      <c r="H166" s="55"/>
      <c r="I166" s="55"/>
    </row>
    <row r="167" spans="2:9" ht="19.5" customHeight="1">
      <c r="B167" s="55"/>
      <c r="C167" s="55"/>
      <c r="D167" s="54"/>
      <c r="E167" s="55"/>
      <c r="F167" s="55"/>
      <c r="G167" s="54"/>
      <c r="H167" s="55"/>
      <c r="I167" s="55"/>
    </row>
    <row r="168" spans="2:9" ht="19.5" customHeight="1">
      <c r="B168" s="55">
        <f t="shared" ref="B168:C168" si="33">SUM(B160:B167)</f>
        <v>35550000</v>
      </c>
      <c r="C168" s="55">
        <f t="shared" si="33"/>
        <v>28082883.503858097</v>
      </c>
      <c r="D168" s="54"/>
      <c r="E168" s="55">
        <f t="shared" ref="E168:F168" si="34">SUM(E160:E167)</f>
        <v>0</v>
      </c>
      <c r="F168" s="55">
        <f t="shared" si="34"/>
        <v>35550000</v>
      </c>
      <c r="G168" s="54"/>
      <c r="H168" s="55">
        <f t="shared" ref="H168:I168" si="35">SUM(H160:H167)</f>
        <v>25208300.000000007</v>
      </c>
      <c r="I168" s="55">
        <f t="shared" si="35"/>
        <v>0</v>
      </c>
    </row>
    <row r="169" spans="2:9" ht="19.5" customHeight="1">
      <c r="B169" s="55">
        <f>IF((B168-C168)&gt;0,B168-C168,"")</f>
        <v>7467116.4961419031</v>
      </c>
      <c r="C169" s="55" t="str">
        <f>IF((C168-B168)&gt;0,C168-B168,"")</f>
        <v/>
      </c>
      <c r="D169" s="54"/>
      <c r="E169" s="55" t="str">
        <f>IF((E168-F168)&gt;0,E168-F168,"")</f>
        <v/>
      </c>
      <c r="F169" s="55">
        <f>IF((F168-E168)&gt;0,F168-E168,"")</f>
        <v>35550000</v>
      </c>
      <c r="G169" s="54"/>
      <c r="H169" s="55">
        <f>IF((H168-I168)&gt;0,H168-I168,"")</f>
        <v>25208300.000000007</v>
      </c>
      <c r="I169" s="55" t="str">
        <f>IF((I168-H168)&gt;0,I168-H168,"")</f>
        <v/>
      </c>
    </row>
    <row r="170" spans="2:9" ht="19.5" customHeight="1">
      <c r="B170" s="130" t="s">
        <v>146</v>
      </c>
      <c r="C170" s="124"/>
      <c r="D170" s="54"/>
      <c r="E170" s="130" t="s">
        <v>147</v>
      </c>
      <c r="F170" s="124"/>
      <c r="G170" s="54"/>
      <c r="H170" s="130" t="s">
        <v>138</v>
      </c>
      <c r="I170" s="124"/>
    </row>
    <row r="171" spans="2:9" ht="19.5" customHeight="1">
      <c r="B171" s="130" t="s">
        <v>148</v>
      </c>
      <c r="C171" s="124"/>
      <c r="D171" s="54"/>
      <c r="E171" s="130" t="s">
        <v>149</v>
      </c>
      <c r="F171" s="124"/>
      <c r="G171" s="54"/>
      <c r="H171" s="130" t="s">
        <v>141</v>
      </c>
      <c r="I171" s="124"/>
    </row>
    <row r="172" spans="2:9" ht="19.5" customHeight="1">
      <c r="B172" s="55" t="s">
        <v>130</v>
      </c>
      <c r="C172" s="55" t="s">
        <v>131</v>
      </c>
      <c r="D172" s="54"/>
      <c r="E172" s="55" t="s">
        <v>130</v>
      </c>
      <c r="F172" s="55" t="s">
        <v>131</v>
      </c>
      <c r="G172" s="54"/>
      <c r="H172" s="55" t="s">
        <v>130</v>
      </c>
      <c r="I172" s="55" t="s">
        <v>131</v>
      </c>
    </row>
    <row r="173" spans="2:9" ht="19.5" customHeight="1">
      <c r="B173" s="55">
        <f>Proyecciones!$AE$15</f>
        <v>1777500</v>
      </c>
      <c r="C173" s="55"/>
      <c r="D173" s="54"/>
      <c r="E173" s="55">
        <f>Proyecciones!$AE$16</f>
        <v>318069.77335010242</v>
      </c>
      <c r="F173" s="55"/>
      <c r="G173" s="54"/>
      <c r="H173" s="55">
        <f>Proyecciones!$AE$17</f>
        <v>779013.73050798662</v>
      </c>
      <c r="I173" s="55"/>
    </row>
    <row r="174" spans="2:9" ht="19.5" customHeight="1">
      <c r="B174" s="55"/>
      <c r="C174" s="55"/>
      <c r="D174" s="54"/>
      <c r="E174" s="55"/>
      <c r="F174" s="55"/>
      <c r="G174" s="54"/>
      <c r="H174" s="55"/>
      <c r="I174" s="55"/>
    </row>
    <row r="175" spans="2:9" ht="19.5" customHeight="1">
      <c r="B175" s="55"/>
      <c r="C175" s="55"/>
      <c r="D175" s="54"/>
      <c r="E175" s="55"/>
      <c r="F175" s="55"/>
      <c r="G175" s="54"/>
      <c r="H175" s="55"/>
      <c r="I175" s="55"/>
    </row>
    <row r="176" spans="2:9" ht="19.5" customHeight="1">
      <c r="B176" s="55"/>
      <c r="C176" s="55"/>
      <c r="D176" s="54"/>
      <c r="E176" s="55"/>
      <c r="F176" s="55"/>
      <c r="G176" s="54"/>
      <c r="H176" s="55"/>
      <c r="I176" s="55"/>
    </row>
    <row r="177" spans="2:9" ht="19.5" customHeight="1">
      <c r="B177" s="55"/>
      <c r="C177" s="55"/>
      <c r="D177" s="54"/>
      <c r="E177" s="55"/>
      <c r="F177" s="55"/>
      <c r="G177" s="54"/>
      <c r="H177" s="55"/>
      <c r="I177" s="55"/>
    </row>
    <row r="178" spans="2:9" ht="19.5" customHeight="1">
      <c r="B178" s="55"/>
      <c r="C178" s="55"/>
      <c r="D178" s="54"/>
      <c r="E178" s="55"/>
      <c r="F178" s="55"/>
      <c r="G178" s="54"/>
      <c r="H178" s="55"/>
      <c r="I178" s="55"/>
    </row>
    <row r="179" spans="2:9" ht="19.5" customHeight="1">
      <c r="B179" s="55"/>
      <c r="C179" s="55"/>
      <c r="D179" s="54"/>
      <c r="E179" s="55"/>
      <c r="F179" s="55"/>
      <c r="G179" s="54"/>
      <c r="H179" s="55"/>
      <c r="I179" s="55"/>
    </row>
    <row r="180" spans="2:9" ht="19.5" customHeight="1">
      <c r="B180" s="55"/>
      <c r="C180" s="55"/>
      <c r="D180" s="54"/>
      <c r="E180" s="55"/>
      <c r="F180" s="55"/>
      <c r="G180" s="54"/>
      <c r="H180" s="55"/>
      <c r="I180" s="55"/>
    </row>
    <row r="181" spans="2:9" ht="19.5" customHeight="1">
      <c r="B181" s="55">
        <f t="shared" ref="B181:C181" si="36">SUM(B173:B180)</f>
        <v>1777500</v>
      </c>
      <c r="C181" s="55">
        <f t="shared" si="36"/>
        <v>0</v>
      </c>
      <c r="D181" s="54"/>
      <c r="E181" s="55">
        <f t="shared" ref="E181:F181" si="37">SUM(E173:E180)</f>
        <v>318069.77335010242</v>
      </c>
      <c r="F181" s="55">
        <f t="shared" si="37"/>
        <v>0</v>
      </c>
      <c r="G181" s="54"/>
      <c r="H181" s="55">
        <f t="shared" ref="H181:I181" si="38">SUM(H173:H180)</f>
        <v>779013.73050798662</v>
      </c>
      <c r="I181" s="55">
        <f t="shared" si="38"/>
        <v>0</v>
      </c>
    </row>
    <row r="182" spans="2:9" ht="19.5" customHeight="1">
      <c r="B182" s="55">
        <f>IF((B181-C181)&gt;0,B181-C181,"")</f>
        <v>1777500</v>
      </c>
      <c r="C182" s="55" t="str">
        <f>IF((C181-B181)&gt;0,C181-B181,"")</f>
        <v/>
      </c>
      <c r="D182" s="54"/>
      <c r="E182" s="55">
        <f>IF((E181-F181)&gt;0,E181-F181,"")</f>
        <v>318069.77335010242</v>
      </c>
      <c r="F182" s="55" t="str">
        <f>IF((F181-E181)&gt;0,F181-E181,"")</f>
        <v/>
      </c>
      <c r="G182" s="54"/>
      <c r="H182" s="55">
        <f>IF((H181-I181)&gt;0,H181-I181,"")</f>
        <v>779013.73050798662</v>
      </c>
      <c r="I182" s="55" t="str">
        <f>IF((I181-H181)&gt;0,I181-H181,"")</f>
        <v/>
      </c>
    </row>
    <row r="183" spans="2:9" ht="19.5" customHeight="1">
      <c r="B183" s="54"/>
      <c r="C183" s="54"/>
      <c r="D183" s="54"/>
      <c r="E183" s="54"/>
      <c r="F183" s="54"/>
      <c r="G183" s="54"/>
      <c r="H183" s="54"/>
      <c r="I183" s="54"/>
    </row>
    <row r="184" spans="2:9" ht="19.5" customHeight="1">
      <c r="B184" s="133" t="s">
        <v>154</v>
      </c>
      <c r="C184" s="134"/>
      <c r="D184" s="134"/>
      <c r="E184" s="134"/>
      <c r="F184" s="134"/>
      <c r="G184" s="134"/>
      <c r="H184" s="134"/>
      <c r="I184" s="132"/>
    </row>
    <row r="185" spans="2:9" ht="19.5" customHeight="1">
      <c r="B185" s="131" t="s">
        <v>124</v>
      </c>
      <c r="C185" s="132"/>
      <c r="D185" s="54"/>
      <c r="E185" s="131" t="s">
        <v>58</v>
      </c>
      <c r="F185" s="132"/>
      <c r="G185" s="54"/>
      <c r="H185" s="131" t="s">
        <v>140</v>
      </c>
      <c r="I185" s="132"/>
    </row>
    <row r="186" spans="2:9" ht="19.5" customHeight="1">
      <c r="B186" s="130" t="s">
        <v>127</v>
      </c>
      <c r="C186" s="124"/>
      <c r="D186" s="54"/>
      <c r="E186" s="130" t="s">
        <v>145</v>
      </c>
      <c r="F186" s="124"/>
      <c r="G186" s="54"/>
      <c r="H186" s="130" t="s">
        <v>143</v>
      </c>
      <c r="I186" s="124"/>
    </row>
    <row r="187" spans="2:9" ht="19.5" customHeight="1">
      <c r="B187" s="55" t="s">
        <v>130</v>
      </c>
      <c r="C187" s="55" t="s">
        <v>131</v>
      </c>
      <c r="D187" s="54"/>
      <c r="E187" s="55" t="s">
        <v>130</v>
      </c>
      <c r="F187" s="55" t="s">
        <v>131</v>
      </c>
      <c r="G187" s="54"/>
      <c r="H187" s="55" t="s">
        <v>130</v>
      </c>
      <c r="I187" s="55" t="s">
        <v>131</v>
      </c>
    </row>
    <row r="188" spans="2:9" ht="19.5" customHeight="1">
      <c r="B188" s="55">
        <f>Proyecciones!$AF$13</f>
        <v>35550000</v>
      </c>
      <c r="C188" s="55">
        <f>Proyecciones!$AF$14</f>
        <v>25208300.000000007</v>
      </c>
      <c r="D188" s="54"/>
      <c r="E188" s="55"/>
      <c r="F188" s="55">
        <f>Proyecciones!$AF$13</f>
        <v>35550000</v>
      </c>
      <c r="G188" s="54"/>
      <c r="H188" s="55">
        <f>Proyecciones!$AF$14</f>
        <v>25208300.000000007</v>
      </c>
      <c r="I188" s="55"/>
    </row>
    <row r="189" spans="2:9" ht="19.5" customHeight="1">
      <c r="B189" s="55"/>
      <c r="C189" s="55">
        <f>Proyecciones!$AF$15</f>
        <v>1777500</v>
      </c>
      <c r="D189" s="54"/>
      <c r="E189" s="55"/>
      <c r="F189" s="55"/>
      <c r="G189" s="54"/>
      <c r="H189" s="55"/>
      <c r="I189" s="55"/>
    </row>
    <row r="190" spans="2:9" ht="19.5" customHeight="1">
      <c r="B190" s="55"/>
      <c r="C190" s="55">
        <f>Proyecciones!$AF$18</f>
        <v>1097083.503858089</v>
      </c>
      <c r="D190" s="54"/>
      <c r="E190" s="55"/>
      <c r="F190" s="55"/>
      <c r="G190" s="54"/>
      <c r="H190" s="55"/>
      <c r="I190" s="55"/>
    </row>
    <row r="191" spans="2:9" ht="19.5" customHeight="1">
      <c r="B191" s="55"/>
      <c r="C191" s="55"/>
      <c r="D191" s="54"/>
      <c r="E191" s="55"/>
      <c r="F191" s="55"/>
      <c r="G191" s="54"/>
      <c r="H191" s="55"/>
      <c r="I191" s="55"/>
    </row>
    <row r="192" spans="2:9" ht="19.5" customHeight="1">
      <c r="B192" s="55"/>
      <c r="C192" s="55"/>
      <c r="D192" s="54"/>
      <c r="E192" s="55"/>
      <c r="F192" s="55"/>
      <c r="G192" s="54"/>
      <c r="H192" s="55"/>
      <c r="I192" s="55"/>
    </row>
    <row r="193" spans="2:9" ht="19.5" customHeight="1">
      <c r="B193" s="55"/>
      <c r="C193" s="55"/>
      <c r="D193" s="54"/>
      <c r="E193" s="55"/>
      <c r="F193" s="55"/>
      <c r="G193" s="54"/>
      <c r="H193" s="55"/>
      <c r="I193" s="55"/>
    </row>
    <row r="194" spans="2:9" ht="19.5" customHeight="1">
      <c r="B194" s="55"/>
      <c r="C194" s="55"/>
      <c r="D194" s="54"/>
      <c r="E194" s="55"/>
      <c r="F194" s="55"/>
      <c r="G194" s="54"/>
      <c r="H194" s="55"/>
      <c r="I194" s="55"/>
    </row>
    <row r="195" spans="2:9" ht="19.5" customHeight="1">
      <c r="B195" s="55"/>
      <c r="C195" s="55"/>
      <c r="D195" s="54"/>
      <c r="E195" s="55"/>
      <c r="F195" s="55"/>
      <c r="G195" s="54"/>
      <c r="H195" s="55"/>
      <c r="I195" s="55"/>
    </row>
    <row r="196" spans="2:9" ht="19.5" customHeight="1">
      <c r="B196" s="55">
        <f t="shared" ref="B196:C196" si="39">SUM(B188:B195)</f>
        <v>35550000</v>
      </c>
      <c r="C196" s="55">
        <f t="shared" si="39"/>
        <v>28082883.503858097</v>
      </c>
      <c r="D196" s="54"/>
      <c r="E196" s="55">
        <f t="shared" ref="E196:F196" si="40">SUM(E188:E195)</f>
        <v>0</v>
      </c>
      <c r="F196" s="55">
        <f t="shared" si="40"/>
        <v>35550000</v>
      </c>
      <c r="G196" s="54"/>
      <c r="H196" s="55">
        <f t="shared" ref="H196:I196" si="41">SUM(H188:H195)</f>
        <v>25208300.000000007</v>
      </c>
      <c r="I196" s="55">
        <f t="shared" si="41"/>
        <v>0</v>
      </c>
    </row>
    <row r="197" spans="2:9" ht="19.5" customHeight="1">
      <c r="B197" s="55">
        <f>IF((B196-C196)&gt;0,B196-C196,"")</f>
        <v>7467116.4961419031</v>
      </c>
      <c r="C197" s="55" t="str">
        <f>IF((C196-B196)&gt;0,C196-B196,"")</f>
        <v/>
      </c>
      <c r="D197" s="54"/>
      <c r="E197" s="55" t="str">
        <f>IF((E196-F196)&gt;0,E196-F196,"")</f>
        <v/>
      </c>
      <c r="F197" s="55">
        <f>IF((F196-E196)&gt;0,F196-E196,"")</f>
        <v>35550000</v>
      </c>
      <c r="G197" s="54"/>
      <c r="H197" s="55">
        <f>IF((H196-I196)&gt;0,H196-I196,"")</f>
        <v>25208300.000000007</v>
      </c>
      <c r="I197" s="55" t="str">
        <f>IF((I196-H196)&gt;0,I196-H196,"")</f>
        <v/>
      </c>
    </row>
    <row r="198" spans="2:9" ht="19.5" customHeight="1">
      <c r="B198" s="130" t="s">
        <v>146</v>
      </c>
      <c r="C198" s="124"/>
      <c r="D198" s="54"/>
      <c r="E198" s="130" t="s">
        <v>147</v>
      </c>
      <c r="F198" s="124"/>
      <c r="G198" s="54"/>
      <c r="H198" s="130" t="s">
        <v>138</v>
      </c>
      <c r="I198" s="124"/>
    </row>
    <row r="199" spans="2:9" ht="19.5" customHeight="1">
      <c r="B199" s="130" t="s">
        <v>148</v>
      </c>
      <c r="C199" s="124"/>
      <c r="D199" s="54"/>
      <c r="E199" s="130" t="s">
        <v>149</v>
      </c>
      <c r="F199" s="124"/>
      <c r="G199" s="54"/>
      <c r="H199" s="130" t="s">
        <v>141</v>
      </c>
      <c r="I199" s="124"/>
    </row>
    <row r="200" spans="2:9" ht="19.5" customHeight="1">
      <c r="B200" s="55" t="s">
        <v>130</v>
      </c>
      <c r="C200" s="55" t="s">
        <v>131</v>
      </c>
      <c r="D200" s="54"/>
      <c r="E200" s="55" t="s">
        <v>130</v>
      </c>
      <c r="F200" s="55" t="s">
        <v>131</v>
      </c>
      <c r="G200" s="54"/>
      <c r="H200" s="55" t="s">
        <v>130</v>
      </c>
      <c r="I200" s="55" t="s">
        <v>131</v>
      </c>
    </row>
    <row r="201" spans="2:9" ht="19.5" customHeight="1">
      <c r="B201" s="55">
        <f>Proyecciones!$AF$15</f>
        <v>1777500</v>
      </c>
      <c r="C201" s="55"/>
      <c r="D201" s="54"/>
      <c r="E201" s="55">
        <f>Proyecciones!$AF$16</f>
        <v>309690.01753278542</v>
      </c>
      <c r="F201" s="55"/>
      <c r="G201" s="54"/>
      <c r="H201" s="55">
        <f>Proyecciones!$AF$17</f>
        <v>787393.48632530356</v>
      </c>
      <c r="I201" s="55"/>
    </row>
    <row r="202" spans="2:9" ht="19.5" customHeight="1">
      <c r="B202" s="55"/>
      <c r="C202" s="55"/>
      <c r="D202" s="54"/>
      <c r="E202" s="55"/>
      <c r="F202" s="55"/>
      <c r="G202" s="54"/>
      <c r="H202" s="55"/>
      <c r="I202" s="55"/>
    </row>
    <row r="203" spans="2:9" ht="19.5" customHeight="1">
      <c r="B203" s="55"/>
      <c r="C203" s="55"/>
      <c r="D203" s="54"/>
      <c r="E203" s="55"/>
      <c r="F203" s="55"/>
      <c r="G203" s="54"/>
      <c r="H203" s="55"/>
      <c r="I203" s="55"/>
    </row>
    <row r="204" spans="2:9" ht="19.5" customHeight="1">
      <c r="B204" s="55"/>
      <c r="C204" s="55"/>
      <c r="D204" s="54"/>
      <c r="E204" s="55"/>
      <c r="F204" s="55"/>
      <c r="G204" s="54"/>
      <c r="H204" s="55"/>
      <c r="I204" s="55"/>
    </row>
    <row r="205" spans="2:9" ht="19.5" customHeight="1">
      <c r="B205" s="55"/>
      <c r="C205" s="55"/>
      <c r="D205" s="54"/>
      <c r="E205" s="55"/>
      <c r="F205" s="55"/>
      <c r="G205" s="54"/>
      <c r="H205" s="55"/>
      <c r="I205" s="55"/>
    </row>
    <row r="206" spans="2:9" ht="19.5" customHeight="1">
      <c r="B206" s="55"/>
      <c r="C206" s="55"/>
      <c r="D206" s="54"/>
      <c r="E206" s="55"/>
      <c r="F206" s="55"/>
      <c r="G206" s="54"/>
      <c r="H206" s="55"/>
      <c r="I206" s="55"/>
    </row>
    <row r="207" spans="2:9" ht="19.5" customHeight="1">
      <c r="B207" s="55"/>
      <c r="C207" s="55"/>
      <c r="D207" s="54"/>
      <c r="E207" s="55"/>
      <c r="F207" s="55"/>
      <c r="G207" s="54"/>
      <c r="H207" s="55"/>
      <c r="I207" s="55"/>
    </row>
    <row r="208" spans="2:9" ht="19.5" customHeight="1">
      <c r="B208" s="55"/>
      <c r="C208" s="55"/>
      <c r="D208" s="54"/>
      <c r="E208" s="55"/>
      <c r="F208" s="55"/>
      <c r="G208" s="54"/>
      <c r="H208" s="55"/>
      <c r="I208" s="55"/>
    </row>
    <row r="209" spans="2:9" ht="19.5" customHeight="1">
      <c r="B209" s="55">
        <f t="shared" ref="B209:C209" si="42">SUM(B201:B208)</f>
        <v>1777500</v>
      </c>
      <c r="C209" s="55">
        <f t="shared" si="42"/>
        <v>0</v>
      </c>
      <c r="D209" s="54"/>
      <c r="E209" s="55">
        <f t="shared" ref="E209:F209" si="43">SUM(E201:E208)</f>
        <v>309690.01753278542</v>
      </c>
      <c r="F209" s="55">
        <f t="shared" si="43"/>
        <v>0</v>
      </c>
      <c r="G209" s="54"/>
      <c r="H209" s="55">
        <f t="shared" ref="H209:I209" si="44">SUM(H201:H208)</f>
        <v>787393.48632530356</v>
      </c>
      <c r="I209" s="55">
        <f t="shared" si="44"/>
        <v>0</v>
      </c>
    </row>
    <row r="210" spans="2:9" ht="19.5" customHeight="1">
      <c r="B210" s="55">
        <f>IF((B209-C209)&gt;0,B209-C209,"")</f>
        <v>1777500</v>
      </c>
      <c r="C210" s="55" t="str">
        <f>IF((C209-B209)&gt;0,C209-B209,"")</f>
        <v/>
      </c>
      <c r="D210" s="54"/>
      <c r="E210" s="55">
        <f>IF((E209-F209)&gt;0,E209-F209,"")</f>
        <v>309690.01753278542</v>
      </c>
      <c r="F210" s="55" t="str">
        <f>IF((F209-E209)&gt;0,F209-E209,"")</f>
        <v/>
      </c>
      <c r="G210" s="54"/>
      <c r="H210" s="55">
        <f>IF((H209-I209)&gt;0,H209-I209,"")</f>
        <v>787393.48632530356</v>
      </c>
      <c r="I210" s="55" t="str">
        <f>IF((I209-H209)&gt;0,I209-H209,"")</f>
        <v/>
      </c>
    </row>
    <row r="211" spans="2:9" ht="19.5" customHeight="1">
      <c r="B211" s="54"/>
      <c r="C211" s="54"/>
      <c r="D211" s="54"/>
      <c r="E211" s="54"/>
      <c r="F211" s="54"/>
      <c r="G211" s="54"/>
      <c r="H211" s="54"/>
      <c r="I211" s="54"/>
    </row>
    <row r="212" spans="2:9" ht="19.5" customHeight="1">
      <c r="B212" s="133" t="s">
        <v>155</v>
      </c>
      <c r="C212" s="134"/>
      <c r="D212" s="134"/>
      <c r="E212" s="134"/>
      <c r="F212" s="134"/>
      <c r="G212" s="134"/>
      <c r="H212" s="134"/>
      <c r="I212" s="132"/>
    </row>
    <row r="213" spans="2:9" ht="19.5" customHeight="1">
      <c r="B213" s="131" t="s">
        <v>124</v>
      </c>
      <c r="C213" s="132"/>
      <c r="D213" s="54"/>
      <c r="E213" s="131" t="s">
        <v>58</v>
      </c>
      <c r="F213" s="132"/>
      <c r="G213" s="54"/>
      <c r="H213" s="131" t="s">
        <v>140</v>
      </c>
      <c r="I213" s="132"/>
    </row>
    <row r="214" spans="2:9" ht="19.5" customHeight="1">
      <c r="B214" s="130" t="s">
        <v>127</v>
      </c>
      <c r="C214" s="124"/>
      <c r="D214" s="54"/>
      <c r="E214" s="130" t="s">
        <v>145</v>
      </c>
      <c r="F214" s="124"/>
      <c r="G214" s="54"/>
      <c r="H214" s="130" t="s">
        <v>143</v>
      </c>
      <c r="I214" s="124"/>
    </row>
    <row r="215" spans="2:9" ht="19.5" customHeight="1">
      <c r="B215" s="55" t="s">
        <v>130</v>
      </c>
      <c r="C215" s="55" t="s">
        <v>131</v>
      </c>
      <c r="D215" s="54"/>
      <c r="E215" s="55" t="s">
        <v>130</v>
      </c>
      <c r="F215" s="55" t="s">
        <v>131</v>
      </c>
      <c r="G215" s="54"/>
      <c r="H215" s="55" t="s">
        <v>130</v>
      </c>
      <c r="I215" s="55" t="s">
        <v>131</v>
      </c>
    </row>
    <row r="216" spans="2:9" ht="19.5" customHeight="1">
      <c r="B216" s="55">
        <f>Proyecciones!$AG$13</f>
        <v>35550000</v>
      </c>
      <c r="C216" s="55">
        <f>Proyecciones!$AG$14</f>
        <v>25208300.000000007</v>
      </c>
      <c r="D216" s="54"/>
      <c r="E216" s="55"/>
      <c r="F216" s="55">
        <f>Proyecciones!$AG$13</f>
        <v>35550000</v>
      </c>
      <c r="G216" s="54"/>
      <c r="H216" s="55">
        <f>Proyecciones!$AG$14</f>
        <v>25208300.000000007</v>
      </c>
      <c r="I216" s="55"/>
    </row>
    <row r="217" spans="2:9" ht="19.5" customHeight="1">
      <c r="B217" s="55"/>
      <c r="C217" s="55">
        <f>Proyecciones!$AG$15</f>
        <v>1777500</v>
      </c>
      <c r="D217" s="54"/>
      <c r="E217" s="55"/>
      <c r="F217" s="55"/>
      <c r="G217" s="54"/>
      <c r="H217" s="55"/>
      <c r="I217" s="55"/>
    </row>
    <row r="218" spans="2:9" ht="19.5" customHeight="1">
      <c r="B218" s="55"/>
      <c r="C218" s="55">
        <f>Proyecciones!$AG$18</f>
        <v>1097083.503858089</v>
      </c>
      <c r="D218" s="54"/>
      <c r="E218" s="55"/>
      <c r="F218" s="55"/>
      <c r="G218" s="54"/>
      <c r="H218" s="55"/>
      <c r="I218" s="55"/>
    </row>
    <row r="219" spans="2:9" ht="19.5" customHeight="1">
      <c r="B219" s="55"/>
      <c r="C219" s="55"/>
      <c r="D219" s="54"/>
      <c r="E219" s="55"/>
      <c r="F219" s="55"/>
      <c r="G219" s="54"/>
      <c r="H219" s="55"/>
      <c r="I219" s="55"/>
    </row>
    <row r="220" spans="2:9" ht="19.5" customHeight="1">
      <c r="B220" s="55"/>
      <c r="C220" s="55"/>
      <c r="D220" s="54"/>
      <c r="E220" s="55"/>
      <c r="F220" s="55"/>
      <c r="G220" s="54"/>
      <c r="H220" s="55"/>
      <c r="I220" s="55"/>
    </row>
    <row r="221" spans="2:9" ht="19.5" customHeight="1">
      <c r="B221" s="55"/>
      <c r="C221" s="55"/>
      <c r="D221" s="54"/>
      <c r="E221" s="55"/>
      <c r="F221" s="55"/>
      <c r="G221" s="54"/>
      <c r="H221" s="55"/>
      <c r="I221" s="55"/>
    </row>
    <row r="222" spans="2:9" ht="19.5" customHeight="1">
      <c r="B222" s="55"/>
      <c r="C222" s="55"/>
      <c r="D222" s="54"/>
      <c r="E222" s="55"/>
      <c r="F222" s="55"/>
      <c r="G222" s="54"/>
      <c r="H222" s="55"/>
      <c r="I222" s="55"/>
    </row>
    <row r="223" spans="2:9" ht="19.5" customHeight="1">
      <c r="B223" s="55"/>
      <c r="C223" s="55"/>
      <c r="D223" s="54"/>
      <c r="E223" s="55"/>
      <c r="F223" s="55"/>
      <c r="G223" s="54"/>
      <c r="H223" s="55"/>
      <c r="I223" s="55"/>
    </row>
    <row r="224" spans="2:9" ht="19.5" customHeight="1">
      <c r="B224" s="55">
        <f t="shared" ref="B224:C224" si="45">SUM(B216:B223)</f>
        <v>35550000</v>
      </c>
      <c r="C224" s="55">
        <f t="shared" si="45"/>
        <v>28082883.503858097</v>
      </c>
      <c r="D224" s="54"/>
      <c r="E224" s="55">
        <f t="shared" ref="E224:F224" si="46">SUM(E216:E223)</f>
        <v>0</v>
      </c>
      <c r="F224" s="55">
        <f t="shared" si="46"/>
        <v>35550000</v>
      </c>
      <c r="G224" s="54"/>
      <c r="H224" s="55">
        <f t="shared" ref="H224:I224" si="47">SUM(H216:H223)</f>
        <v>25208300.000000007</v>
      </c>
      <c r="I224" s="55">
        <f t="shared" si="47"/>
        <v>0</v>
      </c>
    </row>
    <row r="225" spans="2:9" ht="19.5" customHeight="1">
      <c r="B225" s="55">
        <f>IF((B224-C224)&gt;0,B224-C224,"")</f>
        <v>7467116.4961419031</v>
      </c>
      <c r="C225" s="55" t="str">
        <f>IF((C224-B224)&gt;0,C224-B224,"")</f>
        <v/>
      </c>
      <c r="D225" s="54"/>
      <c r="E225" s="55" t="str">
        <f>IF((E224-F224)&gt;0,E224-F224,"")</f>
        <v/>
      </c>
      <c r="F225" s="55">
        <f>IF((F224-E224)&gt;0,F224-E224,"")</f>
        <v>35550000</v>
      </c>
      <c r="G225" s="54"/>
      <c r="H225" s="55">
        <f>IF((H224-I224)&gt;0,H224-I224,"")</f>
        <v>25208300.000000007</v>
      </c>
      <c r="I225" s="55" t="str">
        <f>IF((I224-H224)&gt;0,I224-H224,"")</f>
        <v/>
      </c>
    </row>
    <row r="226" spans="2:9" ht="19.5" customHeight="1">
      <c r="B226" s="131" t="s">
        <v>146</v>
      </c>
      <c r="C226" s="132"/>
      <c r="D226" s="54"/>
      <c r="E226" s="131" t="s">
        <v>147</v>
      </c>
      <c r="F226" s="132"/>
      <c r="G226" s="54"/>
      <c r="H226" s="131" t="s">
        <v>138</v>
      </c>
      <c r="I226" s="132"/>
    </row>
    <row r="227" spans="2:9" ht="19.5" customHeight="1">
      <c r="B227" s="130" t="s">
        <v>148</v>
      </c>
      <c r="C227" s="124"/>
      <c r="D227" s="54"/>
      <c r="E227" s="130" t="s">
        <v>149</v>
      </c>
      <c r="F227" s="124"/>
      <c r="G227" s="54"/>
      <c r="H227" s="130" t="s">
        <v>141</v>
      </c>
      <c r="I227" s="124"/>
    </row>
    <row r="228" spans="2:9" ht="19.5" customHeight="1">
      <c r="B228" s="55" t="s">
        <v>130</v>
      </c>
      <c r="C228" s="55" t="s">
        <v>131</v>
      </c>
      <c r="D228" s="54"/>
      <c r="E228" s="55" t="s">
        <v>130</v>
      </c>
      <c r="F228" s="55" t="s">
        <v>131</v>
      </c>
      <c r="G228" s="54"/>
      <c r="H228" s="55" t="s">
        <v>130</v>
      </c>
      <c r="I228" s="55" t="s">
        <v>131</v>
      </c>
    </row>
    <row r="229" spans="2:9" ht="19.5" customHeight="1">
      <c r="B229" s="55">
        <f>Proyecciones!$AG$15</f>
        <v>1777500</v>
      </c>
      <c r="C229" s="55"/>
      <c r="D229" s="54"/>
      <c r="E229" s="55">
        <f>Proyecciones!$AG$16</f>
        <v>301220.12170277297</v>
      </c>
      <c r="F229" s="55"/>
      <c r="G229" s="54"/>
      <c r="H229" s="55">
        <f>Proyecciones!$AG$17</f>
        <v>795863.38215531595</v>
      </c>
      <c r="I229" s="55"/>
    </row>
    <row r="230" spans="2:9" ht="19.5" customHeight="1">
      <c r="B230" s="55"/>
      <c r="C230" s="55"/>
      <c r="D230" s="54"/>
      <c r="E230" s="55"/>
      <c r="F230" s="55"/>
      <c r="G230" s="54"/>
      <c r="H230" s="55"/>
      <c r="I230" s="55"/>
    </row>
    <row r="231" spans="2:9" ht="19.5" customHeight="1">
      <c r="B231" s="55"/>
      <c r="C231" s="55"/>
      <c r="D231" s="54"/>
      <c r="E231" s="55"/>
      <c r="F231" s="55"/>
      <c r="G231" s="54"/>
      <c r="H231" s="55"/>
      <c r="I231" s="55"/>
    </row>
    <row r="232" spans="2:9" ht="19.5" customHeight="1">
      <c r="B232" s="55"/>
      <c r="C232" s="55"/>
      <c r="D232" s="54"/>
      <c r="E232" s="55"/>
      <c r="F232" s="55"/>
      <c r="G232" s="54"/>
      <c r="H232" s="55"/>
      <c r="I232" s="55"/>
    </row>
    <row r="233" spans="2:9" ht="19.5" customHeight="1">
      <c r="B233" s="55"/>
      <c r="C233" s="55"/>
      <c r="D233" s="54"/>
      <c r="E233" s="55"/>
      <c r="F233" s="55"/>
      <c r="G233" s="54"/>
      <c r="H233" s="55"/>
      <c r="I233" s="55"/>
    </row>
    <row r="234" spans="2:9" ht="19.5" customHeight="1">
      <c r="B234" s="55"/>
      <c r="C234" s="55"/>
      <c r="D234" s="54"/>
      <c r="E234" s="55"/>
      <c r="F234" s="55"/>
      <c r="G234" s="54"/>
      <c r="H234" s="55"/>
      <c r="I234" s="55"/>
    </row>
    <row r="235" spans="2:9" ht="19.5" customHeight="1">
      <c r="B235" s="55"/>
      <c r="C235" s="55"/>
      <c r="D235" s="54"/>
      <c r="E235" s="55"/>
      <c r="F235" s="55"/>
      <c r="G235" s="54"/>
      <c r="H235" s="55"/>
      <c r="I235" s="55"/>
    </row>
    <row r="236" spans="2:9" ht="19.5" customHeight="1">
      <c r="B236" s="55"/>
      <c r="C236" s="55"/>
      <c r="D236" s="54"/>
      <c r="E236" s="55"/>
      <c r="F236" s="55"/>
      <c r="G236" s="54"/>
      <c r="H236" s="55"/>
      <c r="I236" s="55"/>
    </row>
    <row r="237" spans="2:9" ht="19.5" customHeight="1">
      <c r="B237" s="55">
        <f t="shared" ref="B237:C237" si="48">SUM(B229:B236)</f>
        <v>1777500</v>
      </c>
      <c r="C237" s="55">
        <f t="shared" si="48"/>
        <v>0</v>
      </c>
      <c r="D237" s="54"/>
      <c r="E237" s="55">
        <f t="shared" ref="E237:F237" si="49">SUM(E229:E236)</f>
        <v>301220.12170277297</v>
      </c>
      <c r="F237" s="55">
        <f t="shared" si="49"/>
        <v>0</v>
      </c>
      <c r="G237" s="54"/>
      <c r="H237" s="55">
        <f t="shared" ref="H237:I237" si="50">SUM(H229:H236)</f>
        <v>795863.38215531595</v>
      </c>
      <c r="I237" s="55">
        <f t="shared" si="50"/>
        <v>0</v>
      </c>
    </row>
    <row r="238" spans="2:9" ht="19.5" customHeight="1">
      <c r="B238" s="55">
        <f>IF((B237-C237)&gt;0,B237-C237,"")</f>
        <v>1777500</v>
      </c>
      <c r="C238" s="55" t="str">
        <f>IF((C237-B237)&gt;0,C237-B237,"")</f>
        <v/>
      </c>
      <c r="D238" s="54"/>
      <c r="E238" s="55">
        <f>IF((E237-F237)&gt;0,E237-F237,"")</f>
        <v>301220.12170277297</v>
      </c>
      <c r="F238" s="55" t="str">
        <f>IF((F237-E237)&gt;0,F237-E237,"")</f>
        <v/>
      </c>
      <c r="G238" s="54"/>
      <c r="H238" s="55">
        <f>IF((H237-I237)&gt;0,H237-I237,"")</f>
        <v>795863.38215531595</v>
      </c>
      <c r="I238" s="55" t="str">
        <f>IF((I237-H237)&gt;0,I237-H237,"")</f>
        <v/>
      </c>
    </row>
    <row r="239" spans="2:9" ht="19.5" customHeight="1">
      <c r="B239" s="54"/>
      <c r="C239" s="54"/>
      <c r="D239" s="54"/>
      <c r="E239" s="54"/>
      <c r="F239" s="54"/>
      <c r="G239" s="54"/>
      <c r="H239" s="54"/>
      <c r="I239" s="54"/>
    </row>
    <row r="240" spans="2:9" ht="19.5" customHeight="1">
      <c r="B240" s="133" t="s">
        <v>156</v>
      </c>
      <c r="C240" s="134"/>
      <c r="D240" s="134"/>
      <c r="E240" s="134"/>
      <c r="F240" s="134"/>
      <c r="G240" s="134"/>
      <c r="H240" s="134"/>
      <c r="I240" s="132"/>
    </row>
    <row r="241" spans="2:9" ht="19.5" customHeight="1">
      <c r="B241" s="131" t="s">
        <v>124</v>
      </c>
      <c r="C241" s="132"/>
      <c r="D241" s="54"/>
      <c r="E241" s="131" t="s">
        <v>58</v>
      </c>
      <c r="F241" s="132"/>
      <c r="G241" s="54"/>
      <c r="H241" s="131" t="s">
        <v>140</v>
      </c>
      <c r="I241" s="132"/>
    </row>
    <row r="242" spans="2:9" ht="19.5" customHeight="1">
      <c r="B242" s="130" t="s">
        <v>127</v>
      </c>
      <c r="C242" s="124"/>
      <c r="D242" s="54"/>
      <c r="E242" s="130" t="s">
        <v>145</v>
      </c>
      <c r="F242" s="124"/>
      <c r="G242" s="54"/>
      <c r="H242" s="130" t="s">
        <v>143</v>
      </c>
      <c r="I242" s="124"/>
    </row>
    <row r="243" spans="2:9" ht="19.5" customHeight="1">
      <c r="B243" s="55" t="s">
        <v>130</v>
      </c>
      <c r="C243" s="55" t="s">
        <v>131</v>
      </c>
      <c r="D243" s="54"/>
      <c r="E243" s="55" t="s">
        <v>130</v>
      </c>
      <c r="F243" s="55" t="s">
        <v>131</v>
      </c>
      <c r="G243" s="54"/>
      <c r="H243" s="55" t="s">
        <v>130</v>
      </c>
      <c r="I243" s="55" t="s">
        <v>131</v>
      </c>
    </row>
    <row r="244" spans="2:9" ht="19.5" customHeight="1">
      <c r="B244" s="55">
        <f>Proyecciones!$AH$13</f>
        <v>35550000</v>
      </c>
      <c r="C244" s="55">
        <f>Proyecciones!$AH$14</f>
        <v>25208300.000000007</v>
      </c>
      <c r="D244" s="54"/>
      <c r="E244" s="55"/>
      <c r="F244" s="55">
        <f>Proyecciones!$AH$13</f>
        <v>35550000</v>
      </c>
      <c r="G244" s="54"/>
      <c r="H244" s="55">
        <f>Proyecciones!$AH$14</f>
        <v>25208300.000000007</v>
      </c>
      <c r="I244" s="55"/>
    </row>
    <row r="245" spans="2:9" ht="19.5" customHeight="1">
      <c r="B245" s="55"/>
      <c r="C245" s="55">
        <f>Proyecciones!$AH$15</f>
        <v>1777500</v>
      </c>
      <c r="D245" s="54"/>
      <c r="E245" s="55"/>
      <c r="F245" s="55"/>
      <c r="G245" s="54"/>
      <c r="H245" s="55"/>
      <c r="I245" s="55"/>
    </row>
    <row r="246" spans="2:9" ht="19.5" customHeight="1">
      <c r="B246" s="55"/>
      <c r="C246" s="55">
        <f>Proyecciones!$AH$18</f>
        <v>1097083.503858089</v>
      </c>
      <c r="D246" s="54"/>
      <c r="E246" s="55"/>
      <c r="F246" s="55"/>
      <c r="G246" s="54"/>
      <c r="H246" s="55"/>
      <c r="I246" s="55"/>
    </row>
    <row r="247" spans="2:9" ht="19.5" customHeight="1">
      <c r="B247" s="55"/>
      <c r="C247" s="55">
        <f>Proyecciones!$AH$20</f>
        <v>14255273.815225078</v>
      </c>
      <c r="D247" s="54"/>
      <c r="E247" s="55"/>
      <c r="F247" s="55"/>
      <c r="G247" s="54"/>
      <c r="H247" s="55"/>
      <c r="I247" s="55"/>
    </row>
    <row r="248" spans="2:9" ht="19.5" customHeight="1">
      <c r="B248" s="55"/>
      <c r="C248" s="55"/>
      <c r="D248" s="54"/>
      <c r="E248" s="55"/>
      <c r="F248" s="55"/>
      <c r="G248" s="54"/>
      <c r="H248" s="55"/>
      <c r="I248" s="55"/>
    </row>
    <row r="249" spans="2:9" ht="19.5" customHeight="1">
      <c r="B249" s="55"/>
      <c r="C249" s="55"/>
      <c r="D249" s="54"/>
      <c r="E249" s="55"/>
      <c r="F249" s="55"/>
      <c r="G249" s="54"/>
      <c r="H249" s="55"/>
      <c r="I249" s="55"/>
    </row>
    <row r="250" spans="2:9" ht="19.5" customHeight="1">
      <c r="B250" s="55"/>
      <c r="C250" s="55"/>
      <c r="D250" s="54"/>
      <c r="E250" s="55"/>
      <c r="F250" s="55"/>
      <c r="G250" s="54"/>
      <c r="H250" s="55"/>
      <c r="I250" s="55"/>
    </row>
    <row r="251" spans="2:9" ht="19.5" customHeight="1">
      <c r="B251" s="55"/>
      <c r="C251" s="55"/>
      <c r="D251" s="54"/>
      <c r="E251" s="55"/>
      <c r="F251" s="55"/>
      <c r="G251" s="54"/>
      <c r="H251" s="55"/>
      <c r="I251" s="55"/>
    </row>
    <row r="252" spans="2:9" ht="19.5" customHeight="1">
      <c r="B252" s="55">
        <f t="shared" ref="B252:C252" si="51">SUM(B244:B251)</f>
        <v>35550000</v>
      </c>
      <c r="C252" s="55">
        <f t="shared" si="51"/>
        <v>42338157.319083177</v>
      </c>
      <c r="D252" s="54"/>
      <c r="E252" s="55">
        <f t="shared" ref="E252:F252" si="52">SUM(E244:E251)</f>
        <v>0</v>
      </c>
      <c r="F252" s="55">
        <f t="shared" si="52"/>
        <v>35550000</v>
      </c>
      <c r="G252" s="54"/>
      <c r="H252" s="55">
        <f t="shared" ref="H252:I252" si="53">SUM(H244:H251)</f>
        <v>25208300.000000007</v>
      </c>
      <c r="I252" s="55">
        <f t="shared" si="53"/>
        <v>0</v>
      </c>
    </row>
    <row r="253" spans="2:9" ht="19.5" customHeight="1">
      <c r="B253" s="55" t="str">
        <f>IF((B252-C252)&gt;0,B252-C252,"")</f>
        <v/>
      </c>
      <c r="C253" s="55">
        <f>IF((C252-B252)&gt;0,C252-B252,"")</f>
        <v>6788157.3190831766</v>
      </c>
      <c r="D253" s="54"/>
      <c r="E253" s="55" t="str">
        <f>IF((E252-F252)&gt;0,E252-F252,"")</f>
        <v/>
      </c>
      <c r="F253" s="55">
        <f>IF((F252-E252)&gt;0,F252-E252,"")</f>
        <v>35550000</v>
      </c>
      <c r="G253" s="54"/>
      <c r="H253" s="55">
        <f>IF((H252-I252)&gt;0,H252-I252,"")</f>
        <v>25208300.000000007</v>
      </c>
      <c r="I253" s="55" t="str">
        <f>IF((I252-H252)&gt;0,I252-H252,"")</f>
        <v/>
      </c>
    </row>
    <row r="254" spans="2:9" ht="19.5" customHeight="1">
      <c r="B254" s="131" t="s">
        <v>146</v>
      </c>
      <c r="C254" s="132"/>
      <c r="D254" s="54"/>
      <c r="E254" s="131" t="s">
        <v>147</v>
      </c>
      <c r="F254" s="132"/>
      <c r="G254" s="54"/>
      <c r="H254" s="131" t="s">
        <v>138</v>
      </c>
      <c r="I254" s="132"/>
    </row>
    <row r="255" spans="2:9" ht="19.5" customHeight="1">
      <c r="B255" s="130" t="s">
        <v>148</v>
      </c>
      <c r="C255" s="124"/>
      <c r="D255" s="54"/>
      <c r="E255" s="130" t="s">
        <v>149</v>
      </c>
      <c r="F255" s="124"/>
      <c r="G255" s="54"/>
      <c r="H255" s="130" t="s">
        <v>141</v>
      </c>
      <c r="I255" s="124"/>
    </row>
    <row r="256" spans="2:9" ht="19.5" customHeight="1">
      <c r="B256" s="55" t="s">
        <v>130</v>
      </c>
      <c r="C256" s="55" t="s">
        <v>131</v>
      </c>
      <c r="D256" s="54"/>
      <c r="E256" s="55" t="s">
        <v>130</v>
      </c>
      <c r="F256" s="55" t="s">
        <v>131</v>
      </c>
      <c r="G256" s="54"/>
      <c r="H256" s="55" t="s">
        <v>130</v>
      </c>
      <c r="I256" s="55" t="s">
        <v>131</v>
      </c>
    </row>
    <row r="257" spans="2:9" ht="19.5" customHeight="1">
      <c r="B257" s="55">
        <f>Proyecciones!$AH$15</f>
        <v>1777500</v>
      </c>
      <c r="C257" s="55"/>
      <c r="D257" s="54"/>
      <c r="E257" s="55">
        <f>Proyecciones!$AH$16</f>
        <v>292659.11623492744</v>
      </c>
      <c r="F257" s="55"/>
      <c r="G257" s="54"/>
      <c r="H257" s="55">
        <f>Proyecciones!$AH$17</f>
        <v>804424.38762316154</v>
      </c>
      <c r="I257" s="55"/>
    </row>
    <row r="258" spans="2:9" ht="19.5" customHeight="1">
      <c r="B258" s="55"/>
      <c r="C258" s="55"/>
      <c r="D258" s="54"/>
      <c r="E258" s="55"/>
      <c r="F258" s="55"/>
      <c r="G258" s="54"/>
      <c r="H258" s="55"/>
      <c r="I258" s="55"/>
    </row>
    <row r="259" spans="2:9" ht="19.5" customHeight="1">
      <c r="B259" s="55"/>
      <c r="C259" s="55"/>
      <c r="D259" s="54"/>
      <c r="E259" s="55"/>
      <c r="F259" s="55"/>
      <c r="G259" s="54"/>
      <c r="H259" s="55"/>
      <c r="I259" s="55"/>
    </row>
    <row r="260" spans="2:9" ht="19.5" customHeight="1">
      <c r="B260" s="55"/>
      <c r="C260" s="55"/>
      <c r="D260" s="54"/>
      <c r="E260" s="55"/>
      <c r="F260" s="55"/>
      <c r="G260" s="54"/>
      <c r="H260" s="55"/>
      <c r="I260" s="55"/>
    </row>
    <row r="261" spans="2:9" ht="19.5" customHeight="1">
      <c r="B261" s="55"/>
      <c r="C261" s="55"/>
      <c r="D261" s="54"/>
      <c r="E261" s="55"/>
      <c r="F261" s="55"/>
      <c r="G261" s="54"/>
      <c r="H261" s="55"/>
      <c r="I261" s="55"/>
    </row>
    <row r="262" spans="2:9" ht="19.5" customHeight="1">
      <c r="B262" s="55"/>
      <c r="C262" s="55"/>
      <c r="D262" s="54"/>
      <c r="E262" s="55"/>
      <c r="F262" s="55"/>
      <c r="G262" s="54"/>
      <c r="H262" s="55"/>
      <c r="I262" s="55"/>
    </row>
    <row r="263" spans="2:9" ht="19.5" customHeight="1">
      <c r="B263" s="55"/>
      <c r="C263" s="55"/>
      <c r="D263" s="54"/>
      <c r="E263" s="55"/>
      <c r="F263" s="55"/>
      <c r="G263" s="54"/>
      <c r="H263" s="55"/>
      <c r="I263" s="55"/>
    </row>
    <row r="264" spans="2:9" ht="19.5" customHeight="1">
      <c r="B264" s="55"/>
      <c r="C264" s="55"/>
      <c r="D264" s="54"/>
      <c r="E264" s="55"/>
      <c r="F264" s="55"/>
      <c r="G264" s="54"/>
      <c r="H264" s="55"/>
      <c r="I264" s="55"/>
    </row>
    <row r="265" spans="2:9" ht="19.5" customHeight="1">
      <c r="B265" s="55">
        <f t="shared" ref="B265:C265" si="54">SUM(B257:B264)</f>
        <v>1777500</v>
      </c>
      <c r="C265" s="55">
        <f t="shared" si="54"/>
        <v>0</v>
      </c>
      <c r="D265" s="54"/>
      <c r="E265" s="55">
        <f t="shared" ref="E265:F265" si="55">SUM(E257:E264)</f>
        <v>292659.11623492744</v>
      </c>
      <c r="F265" s="55">
        <f t="shared" si="55"/>
        <v>0</v>
      </c>
      <c r="G265" s="54"/>
      <c r="H265" s="55">
        <f t="shared" ref="H265:I265" si="56">SUM(H257:H264)</f>
        <v>804424.38762316154</v>
      </c>
      <c r="I265" s="55">
        <f t="shared" si="56"/>
        <v>0</v>
      </c>
    </row>
    <row r="266" spans="2:9" ht="19.5" customHeight="1">
      <c r="B266" s="55">
        <f>IF((B265-C265)&gt;0,B265-C265,"")</f>
        <v>1777500</v>
      </c>
      <c r="C266" s="55" t="str">
        <f>IF((C265-B265)&gt;0,C265-B265,"")</f>
        <v/>
      </c>
      <c r="D266" s="54"/>
      <c r="E266" s="55">
        <f>IF((E265-F265)&gt;0,E265-F265,"")</f>
        <v>292659.11623492744</v>
      </c>
      <c r="F266" s="55" t="str">
        <f>IF((F265-E265)&gt;0,F265-E265,"")</f>
        <v/>
      </c>
      <c r="G266" s="54"/>
      <c r="H266" s="55">
        <f>IF((H265-I265)&gt;0,H265-I265,"")</f>
        <v>804424.38762316154</v>
      </c>
      <c r="I266" s="55" t="str">
        <f>IF((I265-H265)&gt;0,I265-H265,"")</f>
        <v/>
      </c>
    </row>
    <row r="267" spans="2:9" ht="19.5" customHeight="1">
      <c r="B267" s="131" t="s">
        <v>73</v>
      </c>
      <c r="C267" s="132"/>
      <c r="D267" s="54"/>
      <c r="E267" s="54"/>
      <c r="F267" s="54"/>
      <c r="G267" s="54"/>
      <c r="H267" s="54"/>
      <c r="I267" s="54"/>
    </row>
    <row r="268" spans="2:9" ht="19.5" customHeight="1">
      <c r="B268" s="130" t="s">
        <v>157</v>
      </c>
      <c r="C268" s="124"/>
      <c r="D268" s="54"/>
      <c r="E268" s="54"/>
      <c r="F268" s="54"/>
      <c r="G268" s="54"/>
      <c r="H268" s="54"/>
      <c r="I268" s="54"/>
    </row>
    <row r="269" spans="2:9" ht="19.5" customHeight="1">
      <c r="B269" s="55" t="s">
        <v>130</v>
      </c>
      <c r="C269" s="55" t="s">
        <v>131</v>
      </c>
      <c r="D269" s="54"/>
      <c r="E269" s="54"/>
      <c r="F269" s="54"/>
      <c r="G269" s="54"/>
      <c r="H269" s="54"/>
      <c r="I269" s="54"/>
    </row>
    <row r="270" spans="2:9" ht="19.5" customHeight="1">
      <c r="B270" s="55">
        <f>Proyecciones!$AH$20</f>
        <v>14255273.815225078</v>
      </c>
      <c r="C270" s="55"/>
      <c r="D270" s="54"/>
      <c r="E270" s="54"/>
      <c r="F270" s="54"/>
      <c r="G270" s="54"/>
      <c r="H270" s="54"/>
      <c r="I270" s="54"/>
    </row>
    <row r="271" spans="2:9" ht="19.5" customHeight="1">
      <c r="B271" s="55"/>
      <c r="C271" s="55"/>
      <c r="D271" s="54"/>
      <c r="E271" s="54"/>
      <c r="F271" s="54"/>
      <c r="G271" s="54"/>
      <c r="H271" s="54"/>
      <c r="I271" s="54"/>
    </row>
    <row r="272" spans="2:9" ht="19.5" customHeight="1">
      <c r="B272" s="55"/>
      <c r="C272" s="55"/>
      <c r="D272" s="54"/>
      <c r="E272" s="54"/>
      <c r="F272" s="54"/>
      <c r="G272" s="54"/>
      <c r="H272" s="54"/>
      <c r="I272" s="54"/>
    </row>
    <row r="273" spans="2:9" ht="19.5" customHeight="1">
      <c r="B273" s="55"/>
      <c r="C273" s="55"/>
      <c r="D273" s="54"/>
      <c r="E273" s="54"/>
      <c r="F273" s="54"/>
      <c r="G273" s="54"/>
      <c r="H273" s="54"/>
      <c r="I273" s="54"/>
    </row>
    <row r="274" spans="2:9" ht="19.5" customHeight="1">
      <c r="B274" s="55"/>
      <c r="C274" s="55"/>
      <c r="D274" s="54"/>
      <c r="E274" s="54"/>
      <c r="F274" s="54"/>
      <c r="G274" s="54"/>
      <c r="H274" s="54"/>
      <c r="I274" s="54"/>
    </row>
    <row r="275" spans="2:9" ht="19.5" customHeight="1">
      <c r="B275" s="55"/>
      <c r="C275" s="55"/>
      <c r="D275" s="54"/>
      <c r="E275" s="54"/>
      <c r="F275" s="54"/>
      <c r="G275" s="54"/>
      <c r="H275" s="54"/>
      <c r="I275" s="54"/>
    </row>
    <row r="276" spans="2:9" ht="19.5" customHeight="1">
      <c r="B276" s="55"/>
      <c r="C276" s="55"/>
      <c r="D276" s="54"/>
      <c r="E276" s="54"/>
      <c r="F276" s="54"/>
      <c r="G276" s="54"/>
      <c r="H276" s="54"/>
      <c r="I276" s="54"/>
    </row>
    <row r="277" spans="2:9" ht="19.5" customHeight="1">
      <c r="B277" s="55"/>
      <c r="C277" s="55"/>
      <c r="D277" s="54"/>
      <c r="E277" s="54"/>
      <c r="F277" s="54"/>
      <c r="G277" s="54"/>
      <c r="H277" s="54"/>
      <c r="I277" s="54"/>
    </row>
    <row r="278" spans="2:9" ht="19.5" customHeight="1">
      <c r="B278" s="55">
        <f t="shared" ref="B278:C278" si="57">SUM(B270:B277)</f>
        <v>14255273.815225078</v>
      </c>
      <c r="C278" s="55">
        <f t="shared" si="57"/>
        <v>0</v>
      </c>
      <c r="D278" s="54"/>
      <c r="E278" s="54"/>
      <c r="F278" s="54"/>
      <c r="G278" s="54"/>
      <c r="H278" s="54"/>
      <c r="I278" s="54"/>
    </row>
    <row r="279" spans="2:9" ht="19.5" customHeight="1">
      <c r="B279" s="55">
        <f>IF((B278-C278)&gt;0,B278-C278,"")</f>
        <v>14255273.815225078</v>
      </c>
      <c r="C279" s="55" t="str">
        <f>IF((C278-B278)&gt;0,C278-B278,"")</f>
        <v/>
      </c>
      <c r="D279" s="54"/>
      <c r="E279" s="54"/>
      <c r="F279" s="54"/>
      <c r="G279" s="54"/>
      <c r="H279" s="54"/>
      <c r="I279" s="54"/>
    </row>
    <row r="280" spans="2:9" ht="19.5" customHeight="1">
      <c r="B280" s="54"/>
      <c r="C280" s="54"/>
      <c r="D280" s="54"/>
      <c r="E280" s="54"/>
      <c r="F280" s="54"/>
      <c r="G280" s="54"/>
      <c r="H280" s="54"/>
      <c r="I280" s="54"/>
    </row>
    <row r="281" spans="2:9" ht="19.5" customHeight="1">
      <c r="B281" s="133" t="s">
        <v>158</v>
      </c>
      <c r="C281" s="134"/>
      <c r="D281" s="134"/>
      <c r="E281" s="134"/>
      <c r="F281" s="134"/>
      <c r="G281" s="134"/>
      <c r="H281" s="134"/>
      <c r="I281" s="132"/>
    </row>
    <row r="282" spans="2:9" ht="19.5" customHeight="1">
      <c r="B282" s="131" t="s">
        <v>124</v>
      </c>
      <c r="C282" s="132"/>
      <c r="D282" s="54"/>
      <c r="E282" s="131" t="s">
        <v>125</v>
      </c>
      <c r="F282" s="132"/>
      <c r="G282" s="54"/>
      <c r="H282" s="131" t="s">
        <v>126</v>
      </c>
      <c r="I282" s="132"/>
    </row>
    <row r="283" spans="2:9" ht="19.5" customHeight="1">
      <c r="B283" s="130" t="s">
        <v>127</v>
      </c>
      <c r="C283" s="124"/>
      <c r="D283" s="54"/>
      <c r="E283" s="130" t="s">
        <v>128</v>
      </c>
      <c r="F283" s="124"/>
      <c r="G283" s="54"/>
      <c r="H283" s="130" t="s">
        <v>129</v>
      </c>
      <c r="I283" s="124"/>
    </row>
    <row r="284" spans="2:9" ht="19.5" customHeight="1">
      <c r="B284" s="55" t="s">
        <v>130</v>
      </c>
      <c r="C284" s="55" t="s">
        <v>131</v>
      </c>
      <c r="D284" s="54"/>
      <c r="E284" s="55" t="s">
        <v>130</v>
      </c>
      <c r="F284" s="55" t="s">
        <v>131</v>
      </c>
      <c r="G284" s="54"/>
      <c r="H284" s="55" t="s">
        <v>130</v>
      </c>
      <c r="I284" s="55" t="s">
        <v>131</v>
      </c>
    </row>
    <row r="285" spans="2:9" ht="19.5" customHeight="1">
      <c r="B285" s="55">
        <f>Proyecciones!$F$2</f>
        <v>21735329</v>
      </c>
      <c r="C285" s="55">
        <f>Proyecciones!$C$3</f>
        <v>1890622.5000000005</v>
      </c>
      <c r="D285" s="54"/>
      <c r="E285" s="55">
        <f>Proyecciones!$C$3</f>
        <v>1890622.5000000005</v>
      </c>
      <c r="F285" s="55"/>
      <c r="G285" s="54"/>
      <c r="H285" s="55">
        <f>Proyecciones!$AA$4</f>
        <v>21881848.739495799</v>
      </c>
      <c r="I285" s="55"/>
    </row>
    <row r="286" spans="2:9" ht="19.5" customHeight="1">
      <c r="B286" s="55">
        <f>Proyecciones!$F$5</f>
        <v>32602993.5</v>
      </c>
      <c r="C286" s="55">
        <f>Proyecciones!$C$5</f>
        <v>26039400</v>
      </c>
      <c r="D286" s="54"/>
      <c r="E286" s="55"/>
      <c r="F286" s="55"/>
      <c r="G286" s="54"/>
      <c r="H286" s="55"/>
      <c r="I286" s="55"/>
    </row>
    <row r="287" spans="2:9" ht="19.5" customHeight="1">
      <c r="B287" s="55">
        <f>SUM(Proyecciones!$Z$13:$AH$13)</f>
        <v>284400000</v>
      </c>
      <c r="C287" s="55">
        <f>Proyecciones!$C$6</f>
        <v>150000</v>
      </c>
      <c r="D287" s="54"/>
      <c r="E287" s="55"/>
      <c r="F287" s="55"/>
      <c r="G287" s="54"/>
      <c r="H287" s="55"/>
      <c r="I287" s="55"/>
    </row>
    <row r="288" spans="2:9" ht="19.5" customHeight="1">
      <c r="B288" s="55"/>
      <c r="C288" s="55">
        <f>Proyecciones!$C$7</f>
        <v>1050000</v>
      </c>
      <c r="D288" s="54"/>
      <c r="E288" s="55"/>
      <c r="F288" s="55"/>
      <c r="G288" s="54"/>
      <c r="H288" s="55"/>
      <c r="I288" s="55"/>
    </row>
    <row r="289" spans="2:9" ht="19.5" customHeight="1">
      <c r="B289" s="55"/>
      <c r="C289" s="55">
        <f>SUM(Proyecciones!$Z$14:$AH$14)</f>
        <v>226874700.00000003</v>
      </c>
      <c r="D289" s="54"/>
      <c r="E289" s="55"/>
      <c r="F289" s="55"/>
      <c r="G289" s="54"/>
      <c r="H289" s="55"/>
      <c r="I289" s="55"/>
    </row>
    <row r="290" spans="2:9" ht="19.5" customHeight="1">
      <c r="B290" s="55"/>
      <c r="C290" s="55">
        <f>SUM(Proyecciones!$Z$15:$AH$15)</f>
        <v>14220000</v>
      </c>
      <c r="D290" s="54"/>
      <c r="E290" s="55"/>
      <c r="F290" s="55"/>
      <c r="G290" s="54"/>
      <c r="H290" s="55"/>
      <c r="I290" s="55"/>
    </row>
    <row r="291" spans="2:9" ht="19.5" customHeight="1">
      <c r="B291" s="55"/>
      <c r="C291" s="55">
        <f>SUM(Proyecciones!$Z$18:$AH$18)</f>
        <v>8776668.0308647137</v>
      </c>
      <c r="D291" s="54"/>
      <c r="E291" s="55"/>
      <c r="F291" s="55"/>
      <c r="G291" s="54"/>
      <c r="H291" s="55"/>
      <c r="I291" s="55"/>
    </row>
    <row r="292" spans="2:9" ht="19.5" customHeight="1">
      <c r="B292" s="55"/>
      <c r="C292" s="55">
        <f>SUM(Proyecciones!$Z$20:$AH$20)</f>
        <v>14255273.815225078</v>
      </c>
      <c r="D292" s="54"/>
      <c r="E292" s="55"/>
      <c r="F292" s="55"/>
      <c r="G292" s="54"/>
      <c r="H292" s="55"/>
      <c r="I292" s="55"/>
    </row>
    <row r="293" spans="2:9" ht="19.5" customHeight="1">
      <c r="B293" s="55">
        <f t="shared" ref="B293:C293" si="58">SUM(B285:B292)</f>
        <v>338738322.5</v>
      </c>
      <c r="C293" s="55">
        <f t="shared" si="58"/>
        <v>293256664.34608978</v>
      </c>
      <c r="D293" s="54"/>
      <c r="E293" s="55">
        <f t="shared" ref="E293:F293" si="59">SUM(E285:E292)</f>
        <v>1890622.5000000005</v>
      </c>
      <c r="F293" s="55">
        <f t="shared" si="59"/>
        <v>0</v>
      </c>
      <c r="G293" s="54"/>
      <c r="H293" s="55">
        <f t="shared" ref="H293:I293" si="60">SUM(H285:H292)</f>
        <v>21881848.739495799</v>
      </c>
      <c r="I293" s="55">
        <f t="shared" si="60"/>
        <v>0</v>
      </c>
    </row>
    <row r="294" spans="2:9" ht="19.5" customHeight="1">
      <c r="B294" s="55">
        <f>IF((B293-C293)&gt;0,B293-C293,"")</f>
        <v>45481658.15391022</v>
      </c>
      <c r="C294" s="55" t="str">
        <f>IF((C293-B293)&gt;0,C293-B293,"")</f>
        <v/>
      </c>
      <c r="D294" s="54"/>
      <c r="E294" s="55">
        <f>IF((E293-F293)&gt;0,E293-F293,"")</f>
        <v>1890622.5000000005</v>
      </c>
      <c r="F294" s="55" t="str">
        <f>IF((F293-E293)&gt;0,F293-E293,"")</f>
        <v/>
      </c>
      <c r="G294" s="54"/>
      <c r="H294" s="55">
        <f>IF((H293-I293)&gt;0,H293-I293,"")</f>
        <v>21881848.739495799</v>
      </c>
      <c r="I294" s="55" t="str">
        <f>IF((I293-H293)&gt;0,I293-H293,"")</f>
        <v/>
      </c>
    </row>
    <row r="295" spans="2:9" ht="19.5" customHeight="1">
      <c r="B295" s="131" t="s">
        <v>132</v>
      </c>
      <c r="C295" s="132"/>
      <c r="D295" s="54"/>
      <c r="E295" s="131" t="s">
        <v>133</v>
      </c>
      <c r="F295" s="132"/>
      <c r="G295" s="54"/>
      <c r="H295" s="131" t="s">
        <v>134</v>
      </c>
      <c r="I295" s="132"/>
    </row>
    <row r="296" spans="2:9" ht="19.5" customHeight="1">
      <c r="B296" s="130" t="s">
        <v>135</v>
      </c>
      <c r="C296" s="124"/>
      <c r="D296" s="54"/>
      <c r="E296" s="130" t="s">
        <v>136</v>
      </c>
      <c r="F296" s="124"/>
      <c r="G296" s="54"/>
      <c r="H296" s="130" t="s">
        <v>137</v>
      </c>
      <c r="I296" s="124"/>
    </row>
    <row r="297" spans="2:9" ht="19.5" customHeight="1">
      <c r="B297" s="55" t="s">
        <v>130</v>
      </c>
      <c r="C297" s="55" t="s">
        <v>131</v>
      </c>
      <c r="D297" s="54"/>
      <c r="E297" s="55" t="s">
        <v>130</v>
      </c>
      <c r="F297" s="55" t="s">
        <v>131</v>
      </c>
      <c r="G297" s="54"/>
      <c r="H297" s="55" t="s">
        <v>130</v>
      </c>
      <c r="I297" s="55" t="s">
        <v>131</v>
      </c>
    </row>
    <row r="298" spans="2:9" ht="19.5" customHeight="1">
      <c r="B298" s="55">
        <f>Proyecciones!$AB$7</f>
        <v>4349147.8991596634</v>
      </c>
      <c r="C298" s="55"/>
      <c r="D298" s="54"/>
      <c r="E298" s="55">
        <f>Proyecciones!$AA$5</f>
        <v>126050.42016806723</v>
      </c>
      <c r="F298" s="55"/>
      <c r="G298" s="54"/>
      <c r="H298" s="55">
        <f>Proyecciones!$AA$6</f>
        <v>882352.9411764706</v>
      </c>
      <c r="I298" s="55"/>
    </row>
    <row r="299" spans="2:9" ht="19.5" customHeight="1">
      <c r="B299" s="55"/>
      <c r="C299" s="55"/>
      <c r="D299" s="54"/>
      <c r="E299" s="55"/>
      <c r="F299" s="55"/>
      <c r="G299" s="54"/>
      <c r="H299" s="55"/>
      <c r="I299" s="55"/>
    </row>
    <row r="300" spans="2:9" ht="19.5" customHeight="1">
      <c r="B300" s="55"/>
      <c r="C300" s="55"/>
      <c r="D300" s="54"/>
      <c r="E300" s="55"/>
      <c r="F300" s="55"/>
      <c r="G300" s="54"/>
      <c r="H300" s="55"/>
      <c r="I300" s="55"/>
    </row>
    <row r="301" spans="2:9" ht="19.5" customHeight="1">
      <c r="B301" s="55"/>
      <c r="C301" s="55"/>
      <c r="D301" s="54"/>
      <c r="E301" s="55"/>
      <c r="F301" s="55"/>
      <c r="G301" s="54"/>
      <c r="H301" s="55"/>
      <c r="I301" s="55"/>
    </row>
    <row r="302" spans="2:9" ht="19.5" customHeight="1">
      <c r="B302" s="55"/>
      <c r="C302" s="55"/>
      <c r="D302" s="54"/>
      <c r="E302" s="55"/>
      <c r="F302" s="55"/>
      <c r="G302" s="54"/>
      <c r="H302" s="55"/>
      <c r="I302" s="55"/>
    </row>
    <row r="303" spans="2:9" ht="19.5" customHeight="1">
      <c r="B303" s="55"/>
      <c r="C303" s="55"/>
      <c r="D303" s="54"/>
      <c r="E303" s="55"/>
      <c r="F303" s="55"/>
      <c r="G303" s="54"/>
      <c r="H303" s="55"/>
      <c r="I303" s="55"/>
    </row>
    <row r="304" spans="2:9" ht="19.5" customHeight="1">
      <c r="B304" s="55"/>
      <c r="C304" s="55"/>
      <c r="D304" s="54"/>
      <c r="E304" s="55"/>
      <c r="F304" s="55"/>
      <c r="G304" s="54"/>
      <c r="H304" s="55"/>
      <c r="I304" s="55"/>
    </row>
    <row r="305" spans="2:9" ht="19.5" customHeight="1">
      <c r="B305" s="55"/>
      <c r="C305" s="55"/>
      <c r="D305" s="54"/>
      <c r="E305" s="55"/>
      <c r="F305" s="55"/>
      <c r="G305" s="54"/>
      <c r="H305" s="55"/>
      <c r="I305" s="55"/>
    </row>
    <row r="306" spans="2:9" ht="19.5" customHeight="1">
      <c r="B306" s="55">
        <f t="shared" ref="B306:C306" si="61">SUM(B298:B305)</f>
        <v>4349147.8991596634</v>
      </c>
      <c r="C306" s="55">
        <f t="shared" si="61"/>
        <v>0</v>
      </c>
      <c r="D306" s="54"/>
      <c r="E306" s="55">
        <f t="shared" ref="E306:F306" si="62">SUM(E298:E305)</f>
        <v>126050.42016806723</v>
      </c>
      <c r="F306" s="55">
        <f t="shared" si="62"/>
        <v>0</v>
      </c>
      <c r="G306" s="54"/>
      <c r="H306" s="55">
        <f t="shared" ref="H306:I306" si="63">SUM(H298:H305)</f>
        <v>882352.9411764706</v>
      </c>
      <c r="I306" s="55">
        <f t="shared" si="63"/>
        <v>0</v>
      </c>
    </row>
    <row r="307" spans="2:9" ht="19.5" customHeight="1">
      <c r="B307" s="55">
        <f>IF((B306-C306)&gt;0,B306-C306,"")</f>
        <v>4349147.8991596634</v>
      </c>
      <c r="C307" s="55" t="str">
        <f>IF((C306-B306)&gt;0,C306-B306,"")</f>
        <v/>
      </c>
      <c r="D307" s="54"/>
      <c r="E307" s="55">
        <f>IF((E306-F306)&gt;0,E306-F306,"")</f>
        <v>126050.42016806723</v>
      </c>
      <c r="F307" s="55" t="str">
        <f>IF((F306-E306)&gt;0,F306-E306,"")</f>
        <v/>
      </c>
      <c r="G307" s="54"/>
      <c r="H307" s="55">
        <f>IF((H306-I306)&gt;0,H306-I306,"")</f>
        <v>882352.9411764706</v>
      </c>
      <c r="I307" s="55" t="str">
        <f>IF((I306-H306)&gt;0,I306-H306,"")</f>
        <v/>
      </c>
    </row>
    <row r="308" spans="2:9" ht="19.5" customHeight="1">
      <c r="B308" s="131" t="s">
        <v>138</v>
      </c>
      <c r="C308" s="132"/>
      <c r="D308" s="54"/>
      <c r="E308" s="131" t="s">
        <v>139</v>
      </c>
      <c r="F308" s="132"/>
      <c r="G308" s="54"/>
      <c r="H308" s="131" t="s">
        <v>58</v>
      </c>
      <c r="I308" s="132"/>
    </row>
    <row r="309" spans="2:9" ht="19.5" customHeight="1">
      <c r="B309" s="130" t="s">
        <v>141</v>
      </c>
      <c r="C309" s="124"/>
      <c r="D309" s="54"/>
      <c r="E309" s="130" t="s">
        <v>142</v>
      </c>
      <c r="F309" s="124"/>
      <c r="G309" s="54"/>
      <c r="H309" s="130" t="s">
        <v>145</v>
      </c>
      <c r="I309" s="124"/>
    </row>
    <row r="310" spans="2:9" ht="19.5" customHeight="1">
      <c r="B310" s="55" t="s">
        <v>130</v>
      </c>
      <c r="C310" s="55" t="s">
        <v>131</v>
      </c>
      <c r="D310" s="54"/>
      <c r="E310" s="55" t="s">
        <v>130</v>
      </c>
      <c r="F310" s="55" t="s">
        <v>131</v>
      </c>
      <c r="G310" s="54"/>
      <c r="H310" s="55" t="s">
        <v>130</v>
      </c>
      <c r="I310" s="55" t="s">
        <v>131</v>
      </c>
    </row>
    <row r="311" spans="2:9" ht="19.5" customHeight="1">
      <c r="B311" s="55">
        <f>SUM(Proyecciones!$Z$17:$AH$17)</f>
        <v>6200721.788650712</v>
      </c>
      <c r="C311" s="55">
        <f>Proyecciones!$F$5</f>
        <v>32602993.5</v>
      </c>
      <c r="D311" s="54"/>
      <c r="E311" s="55"/>
      <c r="F311" s="55">
        <f>Proyecciones!$F$2</f>
        <v>21735329</v>
      </c>
      <c r="G311" s="54"/>
      <c r="H311" s="55"/>
      <c r="I311" s="55">
        <f>SUM(Proyecciones!$Z$13:$AH$13)</f>
        <v>284400000</v>
      </c>
    </row>
    <row r="312" spans="2:9" ht="19.5" customHeight="1">
      <c r="B312" s="55"/>
      <c r="C312" s="55"/>
      <c r="D312" s="54"/>
      <c r="E312" s="55"/>
      <c r="F312" s="55"/>
      <c r="G312" s="54"/>
      <c r="H312" s="55"/>
      <c r="I312" s="55"/>
    </row>
    <row r="313" spans="2:9" ht="19.5" customHeight="1">
      <c r="B313" s="55"/>
      <c r="C313" s="55"/>
      <c r="D313" s="54"/>
      <c r="E313" s="55"/>
      <c r="F313" s="55"/>
      <c r="G313" s="54"/>
      <c r="H313" s="55"/>
      <c r="I313" s="55"/>
    </row>
    <row r="314" spans="2:9" ht="19.5" customHeight="1">
      <c r="B314" s="55"/>
      <c r="C314" s="55"/>
      <c r="D314" s="54"/>
      <c r="E314" s="55"/>
      <c r="F314" s="55"/>
      <c r="G314" s="54"/>
      <c r="H314" s="55"/>
      <c r="I314" s="55"/>
    </row>
    <row r="315" spans="2:9" ht="19.5" customHeight="1">
      <c r="B315" s="55"/>
      <c r="C315" s="55"/>
      <c r="D315" s="54"/>
      <c r="E315" s="55"/>
      <c r="F315" s="55"/>
      <c r="G315" s="54"/>
      <c r="H315" s="55"/>
      <c r="I315" s="55"/>
    </row>
    <row r="316" spans="2:9" ht="19.5" customHeight="1">
      <c r="B316" s="55"/>
      <c r="C316" s="55"/>
      <c r="D316" s="54"/>
      <c r="E316" s="55"/>
      <c r="F316" s="55"/>
      <c r="G316" s="54"/>
      <c r="H316" s="55"/>
      <c r="I316" s="55"/>
    </row>
    <row r="317" spans="2:9" ht="19.5" customHeight="1">
      <c r="B317" s="55"/>
      <c r="C317" s="55"/>
      <c r="D317" s="54"/>
      <c r="E317" s="55"/>
      <c r="F317" s="55"/>
      <c r="G317" s="54"/>
      <c r="H317" s="55"/>
      <c r="I317" s="55"/>
    </row>
    <row r="318" spans="2:9" ht="19.5" customHeight="1">
      <c r="B318" s="55"/>
      <c r="C318" s="55"/>
      <c r="D318" s="54"/>
      <c r="E318" s="55"/>
      <c r="F318" s="55"/>
      <c r="G318" s="54"/>
      <c r="H318" s="55"/>
      <c r="I318" s="55"/>
    </row>
    <row r="319" spans="2:9" ht="19.5" customHeight="1">
      <c r="B319" s="55">
        <f t="shared" ref="B319:C319" si="64">SUM(B311:B318)</f>
        <v>6200721.788650712</v>
      </c>
      <c r="C319" s="55">
        <f t="shared" si="64"/>
        <v>32602993.5</v>
      </c>
      <c r="D319" s="54"/>
      <c r="E319" s="55">
        <f t="shared" ref="E319:F319" si="65">SUM(E311:E318)</f>
        <v>0</v>
      </c>
      <c r="F319" s="55">
        <f t="shared" si="65"/>
        <v>21735329</v>
      </c>
      <c r="G319" s="54"/>
      <c r="H319" s="55">
        <f t="shared" ref="H319:I319" si="66">SUM(H311:H318)</f>
        <v>0</v>
      </c>
      <c r="I319" s="55">
        <f t="shared" si="66"/>
        <v>284400000</v>
      </c>
    </row>
    <row r="320" spans="2:9" ht="19.5" customHeight="1">
      <c r="B320" s="55" t="str">
        <f>IF((B319-C319)&gt;0,B319-C319,"")</f>
        <v/>
      </c>
      <c r="C320" s="55">
        <f>IF((C319-B319)&gt;0,C319-B319,"")</f>
        <v>26402271.711349286</v>
      </c>
      <c r="D320" s="54"/>
      <c r="E320" s="55" t="str">
        <f>IF((E319-F319)&gt;0,E319-F319,"")</f>
        <v/>
      </c>
      <c r="F320" s="55">
        <f>IF((F319-E319)&gt;0,F319-E319,"")</f>
        <v>21735329</v>
      </c>
      <c r="G320" s="54"/>
      <c r="H320" s="55" t="str">
        <f>IF((H319-I319)&gt;0,H319-I319,"")</f>
        <v/>
      </c>
      <c r="I320" s="55">
        <f>IF((I319-H319)&gt;0,I319-H319,"")</f>
        <v>284400000</v>
      </c>
    </row>
    <row r="321" spans="2:9" ht="19.5" customHeight="1">
      <c r="B321" s="131" t="s">
        <v>140</v>
      </c>
      <c r="C321" s="132"/>
      <c r="D321" s="54"/>
      <c r="E321" s="131" t="s">
        <v>146</v>
      </c>
      <c r="F321" s="132"/>
      <c r="G321" s="54"/>
      <c r="H321" s="131" t="s">
        <v>147</v>
      </c>
      <c r="I321" s="132"/>
    </row>
    <row r="322" spans="2:9" ht="19.5" customHeight="1">
      <c r="B322" s="130" t="s">
        <v>143</v>
      </c>
      <c r="C322" s="124"/>
      <c r="D322" s="54"/>
      <c r="E322" s="130" t="s">
        <v>148</v>
      </c>
      <c r="F322" s="124"/>
      <c r="G322" s="54"/>
      <c r="H322" s="130" t="s">
        <v>149</v>
      </c>
      <c r="I322" s="124"/>
    </row>
    <row r="323" spans="2:9" ht="19.5" customHeight="1">
      <c r="B323" s="55" t="s">
        <v>130</v>
      </c>
      <c r="C323" s="55" t="s">
        <v>131</v>
      </c>
      <c r="D323" s="54"/>
      <c r="E323" s="55" t="s">
        <v>130</v>
      </c>
      <c r="F323" s="55" t="s">
        <v>131</v>
      </c>
      <c r="G323" s="54"/>
      <c r="H323" s="55" t="s">
        <v>130</v>
      </c>
      <c r="I323" s="55" t="s">
        <v>131</v>
      </c>
    </row>
    <row r="324" spans="2:9" ht="19.5" customHeight="1">
      <c r="B324" s="55">
        <f>SUM(Proyecciones!$Z$14:$AH$14)</f>
        <v>226874700.00000003</v>
      </c>
      <c r="C324" s="55"/>
      <c r="D324" s="54"/>
      <c r="E324" s="55">
        <f>SUM(Proyecciones!$Z$15:$AH$15)</f>
        <v>14220000</v>
      </c>
      <c r="F324" s="55"/>
      <c r="G324" s="54"/>
      <c r="H324" s="55">
        <f>SUM(Proyecciones!$Z$16:$AH$16)</f>
        <v>2575946.2422139985</v>
      </c>
      <c r="I324" s="55"/>
    </row>
    <row r="325" spans="2:9" ht="19.5" customHeight="1">
      <c r="B325" s="55"/>
      <c r="C325" s="55"/>
      <c r="D325" s="54"/>
      <c r="E325" s="55"/>
      <c r="F325" s="55"/>
      <c r="G325" s="54"/>
      <c r="H325" s="55"/>
      <c r="I325" s="55"/>
    </row>
    <row r="326" spans="2:9" ht="19.5" customHeight="1">
      <c r="B326" s="55"/>
      <c r="C326" s="55"/>
      <c r="D326" s="54"/>
      <c r="E326" s="55"/>
      <c r="F326" s="55"/>
      <c r="G326" s="54"/>
      <c r="H326" s="55"/>
      <c r="I326" s="55"/>
    </row>
    <row r="327" spans="2:9" ht="19.5" customHeight="1">
      <c r="B327" s="55"/>
      <c r="C327" s="55"/>
      <c r="D327" s="54"/>
      <c r="E327" s="55"/>
      <c r="F327" s="55"/>
      <c r="G327" s="54"/>
      <c r="H327" s="55"/>
      <c r="I327" s="55"/>
    </row>
    <row r="328" spans="2:9" ht="19.5" customHeight="1">
      <c r="B328" s="55"/>
      <c r="C328" s="55"/>
      <c r="D328" s="54"/>
      <c r="E328" s="55"/>
      <c r="F328" s="55"/>
      <c r="G328" s="54"/>
      <c r="H328" s="55"/>
      <c r="I328" s="55"/>
    </row>
    <row r="329" spans="2:9" ht="19.5" customHeight="1">
      <c r="B329" s="55"/>
      <c r="C329" s="55"/>
      <c r="D329" s="54"/>
      <c r="E329" s="55"/>
      <c r="F329" s="55"/>
      <c r="G329" s="54"/>
      <c r="H329" s="55"/>
      <c r="I329" s="55"/>
    </row>
    <row r="330" spans="2:9" ht="19.5" customHeight="1">
      <c r="B330" s="55"/>
      <c r="C330" s="55"/>
      <c r="D330" s="54"/>
      <c r="E330" s="55"/>
      <c r="F330" s="55"/>
      <c r="G330" s="54"/>
      <c r="H330" s="55"/>
      <c r="I330" s="55"/>
    </row>
    <row r="331" spans="2:9" ht="19.5" customHeight="1">
      <c r="B331" s="55"/>
      <c r="C331" s="55"/>
      <c r="D331" s="54"/>
      <c r="E331" s="55"/>
      <c r="F331" s="55"/>
      <c r="G331" s="54"/>
      <c r="H331" s="55"/>
      <c r="I331" s="55"/>
    </row>
    <row r="332" spans="2:9" ht="19.5" customHeight="1">
      <c r="B332" s="55">
        <f t="shared" ref="B332:C332" si="67">SUM(B324:B331)</f>
        <v>226874700.00000003</v>
      </c>
      <c r="C332" s="55">
        <f t="shared" si="67"/>
        <v>0</v>
      </c>
      <c r="D332" s="54"/>
      <c r="E332" s="55">
        <f t="shared" ref="E332:F332" si="68">SUM(E324:E331)</f>
        <v>14220000</v>
      </c>
      <c r="F332" s="55">
        <f t="shared" si="68"/>
        <v>0</v>
      </c>
      <c r="G332" s="54"/>
      <c r="H332" s="55">
        <f t="shared" ref="H332:I332" si="69">SUM(H324:H331)</f>
        <v>2575946.2422139985</v>
      </c>
      <c r="I332" s="55">
        <f t="shared" si="69"/>
        <v>0</v>
      </c>
    </row>
    <row r="333" spans="2:9" ht="19.5" customHeight="1">
      <c r="B333" s="55">
        <f>IF((B332-C332)&gt;0,B332-C332,"")</f>
        <v>226874700.00000003</v>
      </c>
      <c r="C333" s="55" t="str">
        <f>IF((C332-B332)&gt;0,C332-B332,"")</f>
        <v/>
      </c>
      <c r="D333" s="54"/>
      <c r="E333" s="55">
        <f>IF((E332-F332)&gt;0,E332-F332,"")</f>
        <v>14220000</v>
      </c>
      <c r="F333" s="55" t="str">
        <f>IF((F332-E332)&gt;0,F332-E332,"")</f>
        <v/>
      </c>
      <c r="G333" s="54"/>
      <c r="H333" s="55">
        <f>IF((H332-I332)&gt;0,H332-I332,"")</f>
        <v>2575946.2422139985</v>
      </c>
      <c r="I333" s="55" t="str">
        <f>IF((I332-H332)&gt;0,I332-H332,"")</f>
        <v/>
      </c>
    </row>
    <row r="334" spans="2:9" ht="19.5" customHeight="1">
      <c r="B334" s="131" t="s">
        <v>73</v>
      </c>
      <c r="C334" s="132"/>
      <c r="D334" s="54"/>
      <c r="E334" s="131" t="s">
        <v>159</v>
      </c>
      <c r="F334" s="132"/>
      <c r="G334" s="54"/>
      <c r="H334" s="54"/>
      <c r="I334" s="54"/>
    </row>
    <row r="335" spans="2:9" ht="19.5" customHeight="1">
      <c r="B335" s="130" t="s">
        <v>157</v>
      </c>
      <c r="C335" s="124"/>
      <c r="D335" s="54"/>
      <c r="E335" s="130" t="s">
        <v>160</v>
      </c>
      <c r="F335" s="124"/>
      <c r="G335" s="54"/>
      <c r="H335" s="54"/>
      <c r="I335" s="54"/>
    </row>
    <row r="336" spans="2:9" ht="19.5" customHeight="1">
      <c r="B336" s="55" t="s">
        <v>130</v>
      </c>
      <c r="C336" s="55" t="s">
        <v>131</v>
      </c>
      <c r="D336" s="54"/>
      <c r="E336" s="55" t="s">
        <v>130</v>
      </c>
      <c r="F336" s="55" t="s">
        <v>131</v>
      </c>
      <c r="G336" s="54"/>
      <c r="H336" s="54"/>
      <c r="I336" s="54"/>
    </row>
    <row r="337" spans="2:9" ht="19.5" customHeight="1">
      <c r="B337" s="55">
        <f>SUM(Proyecciones!$Z$20:$AH$20)</f>
        <v>14255273.815225078</v>
      </c>
      <c r="C337" s="55"/>
      <c r="D337" s="54"/>
      <c r="E337" s="55"/>
      <c r="F337" s="55">
        <f>'Resultados Integrales'!$C$10</f>
        <v>26474079.942560889</v>
      </c>
      <c r="G337" s="54"/>
      <c r="H337" s="54"/>
      <c r="I337" s="54"/>
    </row>
    <row r="338" spans="2:9" ht="19.5" customHeight="1">
      <c r="B338" s="55"/>
      <c r="C338" s="55"/>
      <c r="D338" s="54"/>
      <c r="E338" s="55"/>
      <c r="F338" s="55"/>
      <c r="G338" s="54"/>
      <c r="H338" s="54"/>
      <c r="I338" s="54"/>
    </row>
    <row r="339" spans="2:9" ht="19.5" customHeight="1">
      <c r="B339" s="55"/>
      <c r="C339" s="55"/>
      <c r="D339" s="54"/>
      <c r="E339" s="55"/>
      <c r="F339" s="55"/>
      <c r="G339" s="54"/>
      <c r="H339" s="54"/>
      <c r="I339" s="54"/>
    </row>
    <row r="340" spans="2:9" ht="19.5" customHeight="1">
      <c r="B340" s="55"/>
      <c r="C340" s="55"/>
      <c r="D340" s="54"/>
      <c r="E340" s="55"/>
      <c r="F340" s="55"/>
      <c r="G340" s="54"/>
      <c r="H340" s="54"/>
      <c r="I340" s="54"/>
    </row>
    <row r="341" spans="2:9" ht="19.5" customHeight="1">
      <c r="B341" s="55"/>
      <c r="C341" s="55"/>
      <c r="D341" s="54"/>
      <c r="E341" s="55"/>
      <c r="F341" s="55"/>
      <c r="G341" s="54"/>
      <c r="H341" s="54"/>
      <c r="I341" s="54"/>
    </row>
    <row r="342" spans="2:9" ht="19.5" customHeight="1">
      <c r="B342" s="55"/>
      <c r="C342" s="55"/>
      <c r="D342" s="54"/>
      <c r="E342" s="55"/>
      <c r="F342" s="55"/>
      <c r="G342" s="54"/>
      <c r="H342" s="54"/>
      <c r="I342" s="54"/>
    </row>
    <row r="343" spans="2:9" ht="19.5" customHeight="1">
      <c r="B343" s="55"/>
      <c r="C343" s="55"/>
      <c r="D343" s="54"/>
      <c r="E343" s="55"/>
      <c r="F343" s="55"/>
      <c r="G343" s="54"/>
      <c r="H343" s="54"/>
      <c r="I343" s="54"/>
    </row>
    <row r="344" spans="2:9" ht="19.5" customHeight="1">
      <c r="B344" s="55"/>
      <c r="C344" s="55"/>
      <c r="D344" s="54"/>
      <c r="E344" s="55"/>
      <c r="F344" s="55"/>
      <c r="G344" s="54"/>
      <c r="H344" s="54"/>
      <c r="I344" s="54"/>
    </row>
    <row r="345" spans="2:9" ht="19.5" customHeight="1">
      <c r="B345" s="55">
        <f t="shared" ref="B345:C345" si="70">SUM(B337:B344)</f>
        <v>14255273.815225078</v>
      </c>
      <c r="C345" s="55">
        <f t="shared" si="70"/>
        <v>0</v>
      </c>
      <c r="D345" s="54"/>
      <c r="E345" s="55">
        <f t="shared" ref="E345:F345" si="71">SUM(E337:E344)</f>
        <v>0</v>
      </c>
      <c r="F345" s="55">
        <f t="shared" si="71"/>
        <v>26474079.942560889</v>
      </c>
      <c r="G345" s="54"/>
      <c r="H345" s="54"/>
      <c r="I345" s="54"/>
    </row>
    <row r="346" spans="2:9" ht="19.5" customHeight="1">
      <c r="B346" s="55">
        <f>IF((B345-C345)&gt;0,B345-C345,"")</f>
        <v>14255273.815225078</v>
      </c>
      <c r="C346" s="55" t="str">
        <f>IF((C345-B345)&gt;0,C345-B345,"")</f>
        <v/>
      </c>
      <c r="D346" s="54"/>
      <c r="E346" s="55" t="str">
        <f>IF((E345-F345)&gt;0,E345-F345,"")</f>
        <v/>
      </c>
      <c r="F346" s="55">
        <f>IF((F345-E345)&gt;0,F345-E345,"")</f>
        <v>26474079.942560889</v>
      </c>
      <c r="G346" s="54"/>
      <c r="H346" s="54"/>
      <c r="I346" s="54"/>
    </row>
    <row r="347" spans="2:9" ht="19.5" customHeight="1">
      <c r="B347" s="54"/>
      <c r="C347" s="54"/>
      <c r="D347" s="54"/>
      <c r="E347" s="54"/>
      <c r="F347" s="54"/>
      <c r="G347" s="54"/>
      <c r="H347" s="54"/>
      <c r="I347" s="54"/>
    </row>
    <row r="348" spans="2:9" ht="19.5" customHeight="1">
      <c r="B348" s="136" t="s">
        <v>161</v>
      </c>
      <c r="C348" s="126"/>
      <c r="D348" s="126"/>
      <c r="E348" s="126"/>
      <c r="F348" s="126"/>
      <c r="G348" s="126"/>
      <c r="H348" s="126"/>
      <c r="I348" s="124"/>
    </row>
    <row r="349" spans="2:9" ht="14.25" customHeight="1"/>
    <row r="350" spans="2:9" ht="14.25" customHeight="1"/>
    <row r="351" spans="2:9" ht="14.25" customHeight="1"/>
    <row r="352" spans="2:9"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56">
    <mergeCell ref="B242:C242"/>
    <mergeCell ref="E242:F242"/>
    <mergeCell ref="H242:I242"/>
    <mergeCell ref="B198:C198"/>
    <mergeCell ref="E198:F198"/>
    <mergeCell ref="H198:I198"/>
    <mergeCell ref="B199:C199"/>
    <mergeCell ref="E199:F199"/>
    <mergeCell ref="B240:I240"/>
    <mergeCell ref="B241:C241"/>
    <mergeCell ref="E241:F241"/>
    <mergeCell ref="H241:I241"/>
    <mergeCell ref="E214:F214"/>
    <mergeCell ref="H214:I214"/>
    <mergeCell ref="B214:C214"/>
    <mergeCell ref="B226:C226"/>
    <mergeCell ref="E226:F226"/>
    <mergeCell ref="H226:I226"/>
    <mergeCell ref="B227:C227"/>
    <mergeCell ref="E227:F227"/>
    <mergeCell ref="H227:I227"/>
    <mergeCell ref="B171:C171"/>
    <mergeCell ref="E171:F171"/>
    <mergeCell ref="H171:I171"/>
    <mergeCell ref="B184:I184"/>
    <mergeCell ref="B185:C185"/>
    <mergeCell ref="H185:I185"/>
    <mergeCell ref="B186:C186"/>
    <mergeCell ref="H186:I186"/>
    <mergeCell ref="E185:F185"/>
    <mergeCell ref="E186:F186"/>
    <mergeCell ref="B156:I156"/>
    <mergeCell ref="E170:F170"/>
    <mergeCell ref="H170:I170"/>
    <mergeCell ref="B157:C157"/>
    <mergeCell ref="E157:F157"/>
    <mergeCell ref="H157:I157"/>
    <mergeCell ref="B158:C158"/>
    <mergeCell ref="E158:F158"/>
    <mergeCell ref="H158:I158"/>
    <mergeCell ref="B170:C170"/>
    <mergeCell ref="B335:C335"/>
    <mergeCell ref="E335:F335"/>
    <mergeCell ref="B348:I348"/>
    <mergeCell ref="B308:C308"/>
    <mergeCell ref="E308:F308"/>
    <mergeCell ref="H308:I308"/>
    <mergeCell ref="B309:C309"/>
    <mergeCell ref="E309:F309"/>
    <mergeCell ref="H309:I309"/>
    <mergeCell ref="B321:C321"/>
    <mergeCell ref="B296:C296"/>
    <mergeCell ref="E296:F296"/>
    <mergeCell ref="H296:I296"/>
    <mergeCell ref="E321:F321"/>
    <mergeCell ref="H321:I321"/>
    <mergeCell ref="B322:C322"/>
    <mergeCell ref="E322:F322"/>
    <mergeCell ref="H322:I322"/>
    <mergeCell ref="B334:C334"/>
    <mergeCell ref="E334:F334"/>
    <mergeCell ref="B282:C282"/>
    <mergeCell ref="E282:F282"/>
    <mergeCell ref="H282:I282"/>
    <mergeCell ref="E283:F283"/>
    <mergeCell ref="H283:I283"/>
    <mergeCell ref="B283:C283"/>
    <mergeCell ref="B295:C295"/>
    <mergeCell ref="E295:F295"/>
    <mergeCell ref="H295:I295"/>
    <mergeCell ref="B254:C254"/>
    <mergeCell ref="E254:F254"/>
    <mergeCell ref="H254:I254"/>
    <mergeCell ref="B255:C255"/>
    <mergeCell ref="E255:F255"/>
    <mergeCell ref="H255:I255"/>
    <mergeCell ref="B267:C267"/>
    <mergeCell ref="B268:C268"/>
    <mergeCell ref="B281:I281"/>
    <mergeCell ref="B114:C114"/>
    <mergeCell ref="E114:F114"/>
    <mergeCell ref="H114:I114"/>
    <mergeCell ref="B115:C115"/>
    <mergeCell ref="E115:F115"/>
    <mergeCell ref="H115:I115"/>
    <mergeCell ref="H199:I199"/>
    <mergeCell ref="B212:I212"/>
    <mergeCell ref="B213:C213"/>
    <mergeCell ref="E213:F213"/>
    <mergeCell ref="H213:I213"/>
    <mergeCell ref="B128:I128"/>
    <mergeCell ref="B129:C129"/>
    <mergeCell ref="E129:F129"/>
    <mergeCell ref="H129:I129"/>
    <mergeCell ref="B130:C130"/>
    <mergeCell ref="E130:F130"/>
    <mergeCell ref="H130:I130"/>
    <mergeCell ref="B142:C142"/>
    <mergeCell ref="E142:F142"/>
    <mergeCell ref="H142:I142"/>
    <mergeCell ref="B143:C143"/>
    <mergeCell ref="E143:F143"/>
    <mergeCell ref="H143:I143"/>
    <mergeCell ref="B73:C73"/>
    <mergeCell ref="H73:I73"/>
    <mergeCell ref="B74:C74"/>
    <mergeCell ref="H74:I74"/>
    <mergeCell ref="B102:C102"/>
    <mergeCell ref="B101:C101"/>
    <mergeCell ref="E101:F101"/>
    <mergeCell ref="H101:I101"/>
    <mergeCell ref="E102:F102"/>
    <mergeCell ref="H102:I102"/>
    <mergeCell ref="E74:F74"/>
    <mergeCell ref="B86:C86"/>
    <mergeCell ref="E86:F86"/>
    <mergeCell ref="H86:I86"/>
    <mergeCell ref="B87:C87"/>
    <mergeCell ref="E87:F87"/>
    <mergeCell ref="H87:I87"/>
    <mergeCell ref="B100:I100"/>
    <mergeCell ref="B1:I1"/>
    <mergeCell ref="B3:I3"/>
    <mergeCell ref="B4:C4"/>
    <mergeCell ref="E4:F4"/>
    <mergeCell ref="H4:I4"/>
    <mergeCell ref="E5:F5"/>
    <mergeCell ref="H5:I5"/>
    <mergeCell ref="B5:C5"/>
    <mergeCell ref="B17:C17"/>
    <mergeCell ref="E17:F17"/>
    <mergeCell ref="H17:I17"/>
    <mergeCell ref="B18:C18"/>
    <mergeCell ref="E18:F18"/>
    <mergeCell ref="H18:I18"/>
    <mergeCell ref="B30:C30"/>
    <mergeCell ref="E30:F30"/>
    <mergeCell ref="H30:I30"/>
    <mergeCell ref="B31:C31"/>
    <mergeCell ref="E31:F31"/>
    <mergeCell ref="E73:F73"/>
    <mergeCell ref="H31:I31"/>
    <mergeCell ref="B44:I44"/>
    <mergeCell ref="E58:F58"/>
    <mergeCell ref="H58:I58"/>
    <mergeCell ref="B45:C45"/>
    <mergeCell ref="E45:F45"/>
    <mergeCell ref="H45:I45"/>
    <mergeCell ref="B46:C46"/>
    <mergeCell ref="E46:F46"/>
    <mergeCell ref="H46:I46"/>
    <mergeCell ref="B58:C58"/>
    <mergeCell ref="B59:C59"/>
    <mergeCell ref="E59:F59"/>
    <mergeCell ref="H59:I59"/>
    <mergeCell ref="B72:I72"/>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A66C2-0456-41F0-9D3C-9BB971DACE35}">
  <sheetPr codeName="Hoja3"/>
  <dimension ref="A2:N41"/>
  <sheetViews>
    <sheetView zoomScale="115" zoomScaleNormal="115" workbookViewId="0">
      <selection activeCell="F5" sqref="F5"/>
    </sheetView>
  </sheetViews>
  <sheetFormatPr baseColWidth="10" defaultRowHeight="15"/>
  <cols>
    <col min="1" max="1" width="3.5703125" customWidth="1"/>
    <col min="2" max="2" width="19.140625" bestFit="1" customWidth="1"/>
    <col min="3" max="3" width="16.42578125" bestFit="1" customWidth="1"/>
    <col min="4" max="10" width="15.7109375" customWidth="1"/>
  </cols>
  <sheetData>
    <row r="2" spans="2:14">
      <c r="B2" s="87" t="s">
        <v>350</v>
      </c>
      <c r="C2" s="87" t="s">
        <v>351</v>
      </c>
      <c r="D2" s="87" t="s">
        <v>352</v>
      </c>
      <c r="E2" s="87" t="s">
        <v>353</v>
      </c>
      <c r="F2" s="87" t="s">
        <v>354</v>
      </c>
      <c r="G2" s="87" t="s">
        <v>356</v>
      </c>
      <c r="H2" s="74"/>
      <c r="I2" s="138" t="s">
        <v>357</v>
      </c>
      <c r="J2" s="139"/>
      <c r="K2" s="74"/>
      <c r="L2" s="74"/>
      <c r="M2" s="74"/>
      <c r="N2" s="74"/>
    </row>
    <row r="3" spans="2:14">
      <c r="B3" s="88" t="s">
        <v>355</v>
      </c>
      <c r="C3" s="84">
        <f>Proyecciones!F5</f>
        <v>32602993.5</v>
      </c>
      <c r="D3" s="85">
        <f>C3/(C3+C4)</f>
        <v>0.6</v>
      </c>
      <c r="E3" s="86">
        <f>0.137</f>
        <v>0.13700000000000001</v>
      </c>
      <c r="F3" s="145">
        <v>0.35</v>
      </c>
      <c r="G3" s="146">
        <f>D3*E3*(1-F3)+D4*E4</f>
        <v>0.11043</v>
      </c>
      <c r="H3" s="74" t="s">
        <v>359</v>
      </c>
      <c r="I3" s="140">
        <v>0.15060000000000001</v>
      </c>
      <c r="J3" s="141"/>
      <c r="K3" s="74"/>
      <c r="L3" s="74"/>
      <c r="M3" s="74"/>
      <c r="N3" s="74"/>
    </row>
    <row r="4" spans="2:14">
      <c r="B4" s="88" t="s">
        <v>195</v>
      </c>
      <c r="C4" s="84">
        <f>B13</f>
        <v>21735329</v>
      </c>
      <c r="D4" s="85">
        <f>C4/(C4+C3)</f>
        <v>0.4</v>
      </c>
      <c r="E4" s="86">
        <v>0.14249999999999999</v>
      </c>
      <c r="F4" s="145"/>
      <c r="G4" s="146"/>
      <c r="H4" s="74"/>
      <c r="I4" s="142"/>
      <c r="J4" s="143"/>
      <c r="K4" s="74"/>
      <c r="L4" s="74"/>
      <c r="M4" s="74"/>
      <c r="N4" s="74"/>
    </row>
    <row r="5" spans="2:14">
      <c r="B5" s="74"/>
      <c r="C5" s="74"/>
      <c r="D5" s="74"/>
      <c r="E5" s="74"/>
      <c r="F5" s="74"/>
      <c r="G5" s="74"/>
      <c r="H5" s="74"/>
      <c r="I5" s="74"/>
      <c r="J5" s="74"/>
      <c r="K5" s="74"/>
      <c r="L5" s="74"/>
      <c r="M5" s="74"/>
      <c r="N5" s="74"/>
    </row>
    <row r="6" spans="2:14" ht="15" customHeight="1">
      <c r="B6" s="144" t="s">
        <v>358</v>
      </c>
      <c r="C6" s="144"/>
      <c r="D6" s="144"/>
      <c r="E6" s="144"/>
      <c r="F6" s="144"/>
      <c r="G6" s="144"/>
      <c r="H6" s="144"/>
      <c r="I6" s="144"/>
      <c r="J6" s="144"/>
      <c r="K6" s="74"/>
      <c r="L6" s="74"/>
      <c r="M6" s="74"/>
      <c r="N6" s="74"/>
    </row>
    <row r="7" spans="2:14">
      <c r="B7" s="144"/>
      <c r="C7" s="144"/>
      <c r="D7" s="144"/>
      <c r="E7" s="144"/>
      <c r="F7" s="144"/>
      <c r="G7" s="144"/>
      <c r="H7" s="144"/>
      <c r="I7" s="144"/>
      <c r="J7" s="144"/>
      <c r="K7" s="74"/>
      <c r="L7" s="74"/>
      <c r="M7" s="74"/>
      <c r="N7" s="74"/>
    </row>
    <row r="8" spans="2:14">
      <c r="B8" s="144"/>
      <c r="C8" s="144"/>
      <c r="D8" s="144"/>
      <c r="E8" s="144"/>
      <c r="F8" s="144"/>
      <c r="G8" s="144"/>
      <c r="H8" s="144"/>
      <c r="I8" s="144"/>
      <c r="J8" s="144"/>
      <c r="K8" s="74"/>
      <c r="L8" s="74"/>
      <c r="M8" s="74"/>
      <c r="N8" s="74"/>
    </row>
    <row r="9" spans="2:14">
      <c r="B9" s="144"/>
      <c r="C9" s="144"/>
      <c r="D9" s="144"/>
      <c r="E9" s="144"/>
      <c r="F9" s="144"/>
      <c r="G9" s="144"/>
      <c r="H9" s="144"/>
      <c r="I9" s="144"/>
      <c r="J9" s="144"/>
      <c r="K9" s="74"/>
      <c r="L9" s="74"/>
      <c r="M9" s="74"/>
      <c r="N9" s="74"/>
    </row>
    <row r="10" spans="2:14">
      <c r="B10" s="144"/>
      <c r="C10" s="144"/>
      <c r="D10" s="144"/>
      <c r="E10" s="144"/>
      <c r="F10" s="144"/>
      <c r="G10" s="144"/>
      <c r="H10" s="144"/>
      <c r="I10" s="144"/>
      <c r="J10" s="144"/>
      <c r="K10" s="74"/>
      <c r="L10" s="74"/>
      <c r="M10" s="74"/>
      <c r="N10" s="74"/>
    </row>
    <row r="11" spans="2:14">
      <c r="K11" s="74"/>
      <c r="L11" s="74"/>
      <c r="M11" s="74"/>
      <c r="N11" s="74"/>
    </row>
    <row r="12" spans="2:14">
      <c r="B12" s="87" t="s">
        <v>340</v>
      </c>
      <c r="C12" s="87" t="s">
        <v>341</v>
      </c>
      <c r="D12" s="87" t="s">
        <v>342</v>
      </c>
      <c r="E12" s="87" t="s">
        <v>343</v>
      </c>
      <c r="F12" s="87" t="s">
        <v>344</v>
      </c>
      <c r="G12" s="87" t="s">
        <v>345</v>
      </c>
      <c r="H12" s="87" t="s">
        <v>346</v>
      </c>
      <c r="I12" s="87" t="s">
        <v>347</v>
      </c>
      <c r="J12" s="87" t="s">
        <v>348</v>
      </c>
      <c r="K12" s="74"/>
      <c r="L12" s="74"/>
      <c r="M12" s="74"/>
      <c r="N12" s="74"/>
    </row>
    <row r="13" spans="2:14">
      <c r="B13" s="90">
        <v>21735329</v>
      </c>
      <c r="C13" s="84">
        <f>Proyecciones!$Q$15</f>
        <v>4853625.7224922376</v>
      </c>
      <c r="D13" s="84">
        <f>Proyecciones!$Q$15</f>
        <v>4853625.7224922376</v>
      </c>
      <c r="E13" s="84">
        <f>Proyecciones!$Q$15</f>
        <v>4853625.7224922376</v>
      </c>
      <c r="F13" s="84">
        <f>Proyecciones!$Q$15</f>
        <v>4853625.7224922376</v>
      </c>
      <c r="G13" s="84">
        <f>Proyecciones!$Q$15</f>
        <v>4853625.7224922376</v>
      </c>
      <c r="H13" s="84">
        <f>Proyecciones!$Q$15</f>
        <v>4853625.7224922376</v>
      </c>
      <c r="I13" s="84">
        <f>Proyecciones!$Q$15</f>
        <v>4853625.7224922376</v>
      </c>
      <c r="J13" s="84">
        <f>Proyecciones!$Q$15</f>
        <v>4853625.7224922376</v>
      </c>
      <c r="K13" s="74"/>
      <c r="L13" s="74"/>
      <c r="M13" s="74"/>
      <c r="N13" s="74"/>
    </row>
    <row r="14" spans="2:14">
      <c r="B14" s="88" t="s">
        <v>30</v>
      </c>
      <c r="C14" s="89">
        <f>C13/((1+$G$3)^1)</f>
        <v>4370942.5380188189</v>
      </c>
      <c r="D14" s="89">
        <f>D13/((1+$G$3)^2)</f>
        <v>3936261.2123401021</v>
      </c>
      <c r="E14" s="89">
        <f>E13/((1+$G$3)^3)</f>
        <v>3544808.0584459188</v>
      </c>
      <c r="F14" s="89">
        <f>F13/((1+$G$3)^4)</f>
        <v>3192284.1227685846</v>
      </c>
      <c r="G14" s="89">
        <f>G13/((1+$G$3)^5)</f>
        <v>2874817.9739097329</v>
      </c>
      <c r="H14" s="89">
        <f>H13/((1+$G$3)^6)</f>
        <v>2588923.1864320426</v>
      </c>
      <c r="I14" s="89">
        <f>I13/((1+$G$3)^7)</f>
        <v>2331460.0528012048</v>
      </c>
      <c r="J14" s="89">
        <f>J13/((1+$G$3)^8)</f>
        <v>2099601.1029972224</v>
      </c>
      <c r="K14" s="74"/>
      <c r="L14" s="74"/>
      <c r="M14" s="74"/>
      <c r="N14" s="74"/>
    </row>
    <row r="15" spans="2:14">
      <c r="B15" s="150" t="s">
        <v>349</v>
      </c>
      <c r="C15" s="150"/>
      <c r="D15" s="150"/>
      <c r="E15" s="150"/>
      <c r="F15" s="147">
        <f>-B13+SUM(C14:J14)</f>
        <v>3203769.2477136254</v>
      </c>
      <c r="G15" s="148"/>
      <c r="H15" s="148"/>
      <c r="I15" s="148"/>
      <c r="J15" s="149"/>
      <c r="K15" s="74"/>
      <c r="L15" s="74"/>
      <c r="M15" s="74"/>
      <c r="N15" s="74"/>
    </row>
    <row r="16" spans="2:14">
      <c r="K16" s="74"/>
      <c r="L16" s="74"/>
      <c r="M16" s="74"/>
      <c r="N16" s="74"/>
    </row>
    <row r="17" spans="1:14">
      <c r="B17" s="150" t="s">
        <v>411</v>
      </c>
      <c r="C17" s="151"/>
      <c r="D17" s="151"/>
      <c r="E17" s="152"/>
      <c r="F17" s="147">
        <f>F21</f>
        <v>709859.42294226587</v>
      </c>
      <c r="G17" s="148"/>
      <c r="H17" s="148"/>
      <c r="I17" s="148"/>
      <c r="J17" s="149"/>
      <c r="K17" s="74"/>
      <c r="L17" s="74"/>
      <c r="M17" s="74"/>
      <c r="N17" s="74"/>
    </row>
    <row r="18" spans="1:14">
      <c r="B18" s="87" t="s">
        <v>340</v>
      </c>
      <c r="C18" s="87" t="s">
        <v>341</v>
      </c>
      <c r="D18" s="87" t="s">
        <v>342</v>
      </c>
      <c r="E18" s="87" t="s">
        <v>343</v>
      </c>
      <c r="F18" s="87" t="s">
        <v>344</v>
      </c>
      <c r="G18" s="87" t="s">
        <v>345</v>
      </c>
      <c r="H18" s="87" t="s">
        <v>346</v>
      </c>
      <c r="I18" s="87" t="s">
        <v>347</v>
      </c>
      <c r="J18" s="87" t="s">
        <v>348</v>
      </c>
      <c r="K18" s="74"/>
      <c r="L18" s="74"/>
      <c r="M18" s="74"/>
      <c r="N18" s="74"/>
    </row>
    <row r="19" spans="1:14">
      <c r="B19" s="90">
        <v>21735329</v>
      </c>
      <c r="C19" s="84">
        <f>C13*0.9</f>
        <v>4368263.1502430141</v>
      </c>
      <c r="D19" s="84">
        <f t="shared" ref="D19:J19" si="0">D13*0.9</f>
        <v>4368263.1502430141</v>
      </c>
      <c r="E19" s="84">
        <f t="shared" si="0"/>
        <v>4368263.1502430141</v>
      </c>
      <c r="F19" s="84">
        <f t="shared" si="0"/>
        <v>4368263.1502430141</v>
      </c>
      <c r="G19" s="84">
        <f t="shared" si="0"/>
        <v>4368263.1502430141</v>
      </c>
      <c r="H19" s="84">
        <f t="shared" si="0"/>
        <v>4368263.1502430141</v>
      </c>
      <c r="I19" s="84">
        <f t="shared" si="0"/>
        <v>4368263.1502430141</v>
      </c>
      <c r="J19" s="84">
        <f t="shared" si="0"/>
        <v>4368263.1502430141</v>
      </c>
      <c r="K19" s="74"/>
      <c r="L19" s="74"/>
      <c r="M19" s="74"/>
      <c r="N19" s="74"/>
    </row>
    <row r="20" spans="1:14">
      <c r="B20" s="88" t="s">
        <v>30</v>
      </c>
      <c r="C20" s="89">
        <f>C19/((1+$G$3)^1)</f>
        <v>3933848.2842169376</v>
      </c>
      <c r="D20" s="89">
        <f>D19/((1+$G$3)^2)</f>
        <v>3542635.0911060921</v>
      </c>
      <c r="E20" s="89">
        <f>E19/((1+$G$3)^3)</f>
        <v>3190327.2526013274</v>
      </c>
      <c r="F20" s="89">
        <f>F19/((1+$G$3)^4)</f>
        <v>2873055.7104917262</v>
      </c>
      <c r="G20" s="89">
        <f>G19/((1+$G$3)^5)</f>
        <v>2587336.1765187597</v>
      </c>
      <c r="H20" s="89">
        <f>H19/((1+$G$3)^6)</f>
        <v>2330030.8677888382</v>
      </c>
      <c r="I20" s="89">
        <f>I19/((1+$G$3)^7)</f>
        <v>2098314.0475210845</v>
      </c>
      <c r="J20" s="89">
        <f>J19/((1+$G$3)^8)</f>
        <v>1889640.9926975004</v>
      </c>
      <c r="K20" s="74"/>
      <c r="L20" s="74"/>
      <c r="M20" s="74"/>
      <c r="N20" s="74"/>
    </row>
    <row r="21" spans="1:14">
      <c r="B21" s="150" t="s">
        <v>349</v>
      </c>
      <c r="C21" s="150"/>
      <c r="D21" s="150"/>
      <c r="E21" s="150"/>
      <c r="F21" s="147">
        <f>-B19+SUM(C20:J20)</f>
        <v>709859.42294226587</v>
      </c>
      <c r="G21" s="148"/>
      <c r="H21" s="148"/>
      <c r="I21" s="148"/>
      <c r="J21" s="149"/>
      <c r="K21" s="74"/>
      <c r="L21" s="74"/>
      <c r="M21" s="74"/>
      <c r="N21" s="74"/>
    </row>
    <row r="22" spans="1:14">
      <c r="K22" s="74"/>
      <c r="L22" s="74"/>
      <c r="M22" s="74"/>
      <c r="N22" s="74"/>
    </row>
    <row r="23" spans="1:14">
      <c r="B23" s="150" t="s">
        <v>412</v>
      </c>
      <c r="C23" s="151"/>
      <c r="D23" s="151"/>
      <c r="E23" s="152"/>
      <c r="F23" s="147">
        <f>F27</f>
        <v>5697679.0724849924</v>
      </c>
      <c r="G23" s="148"/>
      <c r="H23" s="148"/>
      <c r="I23" s="148"/>
      <c r="J23" s="149"/>
      <c r="K23" s="74"/>
      <c r="L23" s="74"/>
      <c r="M23" s="74"/>
      <c r="N23" s="74"/>
    </row>
    <row r="24" spans="1:14">
      <c r="B24" s="87" t="s">
        <v>340</v>
      </c>
      <c r="C24" s="87" t="s">
        <v>341</v>
      </c>
      <c r="D24" s="87" t="s">
        <v>342</v>
      </c>
      <c r="E24" s="87" t="s">
        <v>343</v>
      </c>
      <c r="F24" s="87" t="s">
        <v>344</v>
      </c>
      <c r="G24" s="87" t="s">
        <v>345</v>
      </c>
      <c r="H24" s="87" t="s">
        <v>346</v>
      </c>
      <c r="I24" s="87" t="s">
        <v>347</v>
      </c>
      <c r="J24" s="87" t="s">
        <v>348</v>
      </c>
      <c r="K24" s="74"/>
      <c r="L24" s="74"/>
      <c r="M24" s="74"/>
      <c r="N24" s="74"/>
    </row>
    <row r="25" spans="1:14">
      <c r="B25" s="90">
        <v>21735329</v>
      </c>
      <c r="C25" s="84">
        <f>C13*1.1</f>
        <v>5338988.294741462</v>
      </c>
      <c r="D25" s="84">
        <f t="shared" ref="D25:J25" si="1">D13*1.1</f>
        <v>5338988.294741462</v>
      </c>
      <c r="E25" s="84">
        <f t="shared" si="1"/>
        <v>5338988.294741462</v>
      </c>
      <c r="F25" s="84">
        <f t="shared" si="1"/>
        <v>5338988.294741462</v>
      </c>
      <c r="G25" s="84">
        <f t="shared" si="1"/>
        <v>5338988.294741462</v>
      </c>
      <c r="H25" s="84">
        <f t="shared" si="1"/>
        <v>5338988.294741462</v>
      </c>
      <c r="I25" s="84">
        <f t="shared" si="1"/>
        <v>5338988.294741462</v>
      </c>
      <c r="J25" s="84">
        <f t="shared" si="1"/>
        <v>5338988.294741462</v>
      </c>
      <c r="K25" s="74"/>
      <c r="L25" s="74"/>
      <c r="M25" s="74"/>
      <c r="N25" s="74"/>
    </row>
    <row r="26" spans="1:14">
      <c r="B26" s="88" t="s">
        <v>30</v>
      </c>
      <c r="C26" s="89">
        <f>C25/((1+$G$3)^1)</f>
        <v>4808036.7918207021</v>
      </c>
      <c r="D26" s="89">
        <f>D25/((1+$G$3)^2)</f>
        <v>4329887.3335741125</v>
      </c>
      <c r="E26" s="89">
        <f>E25/((1+$G$3)^3)</f>
        <v>3899288.8642905112</v>
      </c>
      <c r="F26" s="89">
        <f>F25/((1+$G$3)^4)</f>
        <v>3511512.5350454436</v>
      </c>
      <c r="G26" s="89">
        <f>G25/((1+$G$3)^5)</f>
        <v>3162299.7713007065</v>
      </c>
      <c r="H26" s="89">
        <f>H25/((1+$G$3)^6)</f>
        <v>2847815.505075247</v>
      </c>
      <c r="I26" s="89">
        <f>I25/((1+$G$3)^7)</f>
        <v>2564606.0580813256</v>
      </c>
      <c r="J26" s="89">
        <f>J25/((1+$G$3)^8)</f>
        <v>2309561.2132969447</v>
      </c>
      <c r="K26" s="74"/>
      <c r="L26" s="74"/>
      <c r="M26" s="74"/>
      <c r="N26" s="74"/>
    </row>
    <row r="27" spans="1:14">
      <c r="B27" s="150" t="s">
        <v>349</v>
      </c>
      <c r="C27" s="150"/>
      <c r="D27" s="150"/>
      <c r="E27" s="150"/>
      <c r="F27" s="147">
        <f>-B25+SUM(C26:J26)</f>
        <v>5697679.0724849924</v>
      </c>
      <c r="G27" s="148"/>
      <c r="H27" s="148"/>
      <c r="I27" s="148"/>
      <c r="J27" s="149"/>
      <c r="K27" s="74"/>
      <c r="L27" s="74"/>
      <c r="M27" s="74"/>
      <c r="N27" s="74"/>
    </row>
    <row r="28" spans="1:14">
      <c r="K28" s="74"/>
      <c r="L28" s="74"/>
      <c r="M28" s="74"/>
      <c r="N28" s="74"/>
    </row>
    <row r="29" spans="1:14">
      <c r="B29" s="150" t="s">
        <v>408</v>
      </c>
      <c r="C29" s="151"/>
      <c r="D29" s="151"/>
      <c r="E29" s="152"/>
      <c r="F29" s="153">
        <f>'Situación Financiera'!C16/'Situación Financiera'!C17</f>
        <v>0.54914757353908727</v>
      </c>
      <c r="G29" s="154"/>
      <c r="H29" s="154"/>
      <c r="I29" s="154"/>
      <c r="J29" s="155"/>
      <c r="K29" s="74"/>
      <c r="L29" s="74"/>
      <c r="M29" s="74"/>
      <c r="N29" s="74"/>
    </row>
    <row r="30" spans="1:14">
      <c r="B30" s="150" t="s">
        <v>409</v>
      </c>
      <c r="C30" s="151"/>
      <c r="D30" s="151"/>
      <c r="E30" s="152"/>
      <c r="F30" s="156">
        <f>'Situación Financiera'!C16/'Situación Financiera'!C10</f>
        <v>0.3548248707244937</v>
      </c>
      <c r="G30" s="157"/>
      <c r="H30" s="157"/>
      <c r="I30" s="157"/>
      <c r="J30" s="158"/>
      <c r="K30" s="74"/>
      <c r="L30" s="74"/>
      <c r="M30" s="74"/>
      <c r="N30" s="74"/>
    </row>
    <row r="31" spans="1:14">
      <c r="K31" s="74"/>
      <c r="L31" s="74"/>
      <c r="M31" s="74"/>
      <c r="N31" s="74"/>
    </row>
    <row r="32" spans="1:14">
      <c r="A32" s="121"/>
      <c r="B32" s="137" t="s">
        <v>410</v>
      </c>
      <c r="C32" s="137"/>
      <c r="D32" s="137"/>
      <c r="E32" s="137"/>
      <c r="F32" s="137"/>
      <c r="G32" s="137"/>
      <c r="H32" s="137"/>
      <c r="I32" s="137"/>
      <c r="J32" s="137"/>
      <c r="K32" s="122"/>
      <c r="L32" s="122"/>
      <c r="M32" s="122"/>
      <c r="N32" s="122"/>
    </row>
    <row r="33" spans="1:14">
      <c r="A33" s="121"/>
      <c r="B33" s="137"/>
      <c r="C33" s="137"/>
      <c r="D33" s="137"/>
      <c r="E33" s="137"/>
      <c r="F33" s="137"/>
      <c r="G33" s="137"/>
      <c r="H33" s="137"/>
      <c r="I33" s="137"/>
      <c r="J33" s="137"/>
      <c r="K33" s="122"/>
      <c r="L33" s="122"/>
      <c r="M33" s="122"/>
      <c r="N33" s="122"/>
    </row>
    <row r="34" spans="1:14">
      <c r="A34" s="121"/>
      <c r="B34" s="137"/>
      <c r="C34" s="137"/>
      <c r="D34" s="137"/>
      <c r="E34" s="137"/>
      <c r="F34" s="137"/>
      <c r="G34" s="137"/>
      <c r="H34" s="137"/>
      <c r="I34" s="137"/>
      <c r="J34" s="137"/>
      <c r="K34" s="122"/>
      <c r="L34" s="122"/>
      <c r="M34" s="122"/>
      <c r="N34" s="122"/>
    </row>
    <row r="35" spans="1:14">
      <c r="A35" s="121"/>
      <c r="B35" s="137"/>
      <c r="C35" s="137"/>
      <c r="D35" s="137"/>
      <c r="E35" s="137"/>
      <c r="F35" s="137"/>
      <c r="G35" s="137"/>
      <c r="H35" s="137"/>
      <c r="I35" s="137"/>
      <c r="J35" s="137"/>
      <c r="K35" s="122"/>
      <c r="L35" s="122"/>
      <c r="M35" s="122"/>
      <c r="N35" s="122"/>
    </row>
    <row r="36" spans="1:14">
      <c r="A36" s="121"/>
      <c r="B36" s="137"/>
      <c r="C36" s="137"/>
      <c r="D36" s="137"/>
      <c r="E36" s="137"/>
      <c r="F36" s="137"/>
      <c r="G36" s="137"/>
      <c r="H36" s="137"/>
      <c r="I36" s="137"/>
      <c r="J36" s="137"/>
      <c r="K36" s="122"/>
      <c r="L36" s="122"/>
      <c r="M36" s="122"/>
      <c r="N36" s="122"/>
    </row>
    <row r="37" spans="1:14">
      <c r="B37" s="74"/>
      <c r="C37" s="74"/>
      <c r="D37" s="74"/>
      <c r="E37" s="74"/>
      <c r="F37" s="74"/>
      <c r="G37" s="74"/>
      <c r="H37" s="74"/>
      <c r="I37" s="74"/>
      <c r="J37" s="74"/>
      <c r="K37" s="74"/>
      <c r="L37" s="74"/>
      <c r="M37" s="74"/>
      <c r="N37" s="74"/>
    </row>
    <row r="38" spans="1:14">
      <c r="B38" s="74"/>
      <c r="C38" s="74"/>
      <c r="D38" s="74"/>
      <c r="E38" s="74"/>
      <c r="F38" s="74"/>
      <c r="G38" s="74"/>
      <c r="H38" s="74"/>
      <c r="I38" s="74"/>
      <c r="J38" s="74"/>
      <c r="K38" s="74"/>
      <c r="L38" s="74"/>
      <c r="M38" s="74"/>
      <c r="N38" s="74"/>
    </row>
    <row r="39" spans="1:14">
      <c r="B39" s="74"/>
      <c r="C39" s="74"/>
      <c r="D39" s="74"/>
      <c r="E39" s="74"/>
      <c r="F39" s="74"/>
      <c r="G39" s="74"/>
      <c r="H39" s="74"/>
      <c r="I39" s="74"/>
      <c r="J39" s="74"/>
      <c r="K39" s="74"/>
      <c r="L39" s="74"/>
      <c r="M39" s="74"/>
      <c r="N39" s="74"/>
    </row>
    <row r="40" spans="1:14">
      <c r="B40" s="74"/>
      <c r="C40" s="74"/>
      <c r="D40" s="74"/>
      <c r="E40" s="74"/>
      <c r="F40" s="74"/>
      <c r="G40" s="74"/>
      <c r="H40" s="74"/>
      <c r="I40" s="74"/>
      <c r="J40" s="74"/>
      <c r="K40" s="74"/>
      <c r="L40" s="74"/>
      <c r="M40" s="74"/>
      <c r="N40" s="74"/>
    </row>
    <row r="41" spans="1:14">
      <c r="B41" s="74"/>
      <c r="C41" s="74"/>
      <c r="D41" s="74"/>
      <c r="E41" s="74"/>
      <c r="F41" s="74"/>
      <c r="G41" s="74"/>
      <c r="H41" s="74"/>
      <c r="I41" s="74"/>
      <c r="J41" s="74"/>
      <c r="K41" s="74"/>
      <c r="L41" s="74"/>
      <c r="M41" s="74"/>
      <c r="N41" s="74"/>
    </row>
  </sheetData>
  <mergeCells count="20">
    <mergeCell ref="B23:E23"/>
    <mergeCell ref="F23:J23"/>
    <mergeCell ref="B27:E27"/>
    <mergeCell ref="F27:J27"/>
    <mergeCell ref="B32:J36"/>
    <mergeCell ref="I2:J2"/>
    <mergeCell ref="I3:J4"/>
    <mergeCell ref="B6:J10"/>
    <mergeCell ref="F3:F4"/>
    <mergeCell ref="G3:G4"/>
    <mergeCell ref="F15:J15"/>
    <mergeCell ref="B15:E15"/>
    <mergeCell ref="B17:E17"/>
    <mergeCell ref="F17:J17"/>
    <mergeCell ref="B29:E29"/>
    <mergeCell ref="F29:J29"/>
    <mergeCell ref="B30:E30"/>
    <mergeCell ref="F30:J30"/>
    <mergeCell ref="B21:E21"/>
    <mergeCell ref="F21:J21"/>
  </mergeCells>
  <phoneticPr fontId="24"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B1:C1000"/>
  <sheetViews>
    <sheetView showGridLines="0" zoomScale="190" zoomScaleNormal="190" workbookViewId="0">
      <selection activeCell="F5" sqref="F5"/>
    </sheetView>
  </sheetViews>
  <sheetFormatPr baseColWidth="10" defaultColWidth="14.42578125" defaultRowHeight="15" customHeight="1"/>
  <cols>
    <col min="1" max="1" width="3.5703125" customWidth="1"/>
    <col min="2" max="2" width="29.85546875" customWidth="1"/>
    <col min="3" max="3" width="24.140625" customWidth="1"/>
    <col min="4" max="26" width="10.7109375" customWidth="1"/>
  </cols>
  <sheetData>
    <row r="1" spans="2:3" ht="14.25" customHeight="1"/>
    <row r="2" spans="2:3" ht="14.25" customHeight="1">
      <c r="B2" s="123" t="s">
        <v>162</v>
      </c>
      <c r="C2" s="124"/>
    </row>
    <row r="3" spans="2:3" ht="14.25" customHeight="1">
      <c r="B3" s="56" t="s">
        <v>163</v>
      </c>
      <c r="C3" s="57">
        <f>SUM(Proyecciones!Z13:AH13)</f>
        <v>284400000</v>
      </c>
    </row>
    <row r="4" spans="2:3" ht="14.25" customHeight="1">
      <c r="B4" s="56" t="s">
        <v>164</v>
      </c>
      <c r="C4" s="57">
        <f>-SUM(Proyecciones!Z14:AH14)</f>
        <v>-226874700.00000003</v>
      </c>
    </row>
    <row r="5" spans="2:3" ht="14.25" customHeight="1">
      <c r="B5" s="56" t="s">
        <v>165</v>
      </c>
      <c r="C5" s="57">
        <f>-SUM(Proyecciones!Z15:AH15)</f>
        <v>-14220000</v>
      </c>
    </row>
    <row r="6" spans="2:3" ht="14.25" customHeight="1">
      <c r="B6" s="56" t="s">
        <v>166</v>
      </c>
      <c r="C6" s="57">
        <f>-SUM(Proyecciones!Z16:AH16)</f>
        <v>-2575946.2422139985</v>
      </c>
    </row>
    <row r="7" spans="2:3" ht="14.25" customHeight="1">
      <c r="B7" s="56" t="s">
        <v>167</v>
      </c>
      <c r="C7" s="57">
        <f>-SUM(Proyecciones!Z20:AH20)</f>
        <v>-14255273.815225078</v>
      </c>
    </row>
    <row r="8" spans="2:3" ht="14.25" customHeight="1">
      <c r="B8" s="58" t="s">
        <v>168</v>
      </c>
      <c r="C8" s="59">
        <f>C3+C4+C5+C6+C7</f>
        <v>26474079.942560889</v>
      </c>
    </row>
    <row r="9" spans="2:3" ht="14.25" customHeight="1">
      <c r="B9" s="56" t="s">
        <v>169</v>
      </c>
      <c r="C9" s="57">
        <f>Proyecciones!C3+Proyecciones!C5+Proyecciones!C6+Proyecciones!C7</f>
        <v>29130022.5</v>
      </c>
    </row>
    <row r="10" spans="2:3" ht="14.25" customHeight="1">
      <c r="B10" s="58" t="s">
        <v>170</v>
      </c>
      <c r="C10" s="59">
        <f>-C9</f>
        <v>-29130022.5</v>
      </c>
    </row>
    <row r="11" spans="2:3" ht="14.25" customHeight="1">
      <c r="B11" s="56" t="s">
        <v>171</v>
      </c>
      <c r="C11" s="57">
        <f>Proyecciones!F2</f>
        <v>21735329</v>
      </c>
    </row>
    <row r="12" spans="2:3" ht="14.25" customHeight="1">
      <c r="B12" s="56" t="s">
        <v>172</v>
      </c>
      <c r="C12" s="57">
        <f>Proyecciones!F5</f>
        <v>32602993.5</v>
      </c>
    </row>
    <row r="13" spans="2:3" ht="14.25" customHeight="1">
      <c r="B13" s="56" t="s">
        <v>173</v>
      </c>
      <c r="C13" s="57">
        <f>-SUM(Proyecciones!Z17:AH17)</f>
        <v>-6200721.788650712</v>
      </c>
    </row>
    <row r="14" spans="2:3" ht="14.25" customHeight="1">
      <c r="B14" s="58" t="s">
        <v>174</v>
      </c>
      <c r="C14" s="59">
        <f>C11+C12+C13</f>
        <v>48137600.711349286</v>
      </c>
    </row>
    <row r="15" spans="2:3" ht="14.25" customHeight="1">
      <c r="B15" s="56" t="s">
        <v>175</v>
      </c>
      <c r="C15" s="57">
        <v>0</v>
      </c>
    </row>
    <row r="16" spans="2:3" ht="14.25" customHeight="1">
      <c r="B16" s="60" t="s">
        <v>176</v>
      </c>
      <c r="C16" s="59">
        <f>C8+C10+C14</f>
        <v>45481658.153910175</v>
      </c>
    </row>
    <row r="17" spans="2:3" ht="14.25" customHeight="1">
      <c r="B17" s="58" t="s">
        <v>177</v>
      </c>
      <c r="C17" s="59">
        <f>C16</f>
        <v>45481658.153910175</v>
      </c>
    </row>
    <row r="18" spans="2:3" ht="14.25" customHeight="1"/>
    <row r="19" spans="2:3" ht="14.25" customHeight="1">
      <c r="C19" s="82"/>
    </row>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C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B1:C1000"/>
  <sheetViews>
    <sheetView showGridLines="0" zoomScale="205" zoomScaleNormal="205" workbookViewId="0">
      <selection activeCell="C7" sqref="C7"/>
    </sheetView>
  </sheetViews>
  <sheetFormatPr baseColWidth="10" defaultColWidth="14.42578125" defaultRowHeight="15" customHeight="1"/>
  <cols>
    <col min="1" max="1" width="3.85546875" customWidth="1"/>
    <col min="2" max="2" width="30" customWidth="1"/>
    <col min="3" max="3" width="27.42578125" customWidth="1"/>
    <col min="4" max="26" width="10.7109375" customWidth="1"/>
  </cols>
  <sheetData>
    <row r="1" spans="2:3" ht="14.25" customHeight="1"/>
    <row r="2" spans="2:3" ht="14.25" customHeight="1">
      <c r="B2" s="123" t="s">
        <v>178</v>
      </c>
      <c r="C2" s="124"/>
    </row>
    <row r="3" spans="2:3" ht="14.25" customHeight="1">
      <c r="B3" s="56" t="s">
        <v>58</v>
      </c>
      <c r="C3" s="57">
        <f>SUM(Proyecciones!Z13:AH13)</f>
        <v>284400000</v>
      </c>
    </row>
    <row r="4" spans="2:3" ht="14.25" customHeight="1">
      <c r="B4" s="56" t="s">
        <v>179</v>
      </c>
      <c r="C4" s="57">
        <f>-SUM(Proyecciones!Z14:AH14)</f>
        <v>-226874700.00000003</v>
      </c>
    </row>
    <row r="5" spans="2:3" ht="14.25" customHeight="1">
      <c r="B5" s="56" t="s">
        <v>180</v>
      </c>
      <c r="C5" s="57">
        <f>-SUM(Proyecciones!Z15:AH15)</f>
        <v>-14220000</v>
      </c>
    </row>
    <row r="6" spans="2:3" ht="14.25" customHeight="1">
      <c r="B6" s="58" t="s">
        <v>181</v>
      </c>
      <c r="C6" s="59">
        <f>C3+C4+C5</f>
        <v>43305299.99999997</v>
      </c>
    </row>
    <row r="7" spans="2:3" ht="14.25" customHeight="1">
      <c r="B7" s="56" t="s">
        <v>182</v>
      </c>
      <c r="C7" s="57">
        <f>-SUM(Proyecciones!Z16:AH16)</f>
        <v>-2575946.2422139985</v>
      </c>
    </row>
    <row r="8" spans="2:3" ht="14.25" customHeight="1">
      <c r="B8" s="58" t="s">
        <v>183</v>
      </c>
      <c r="C8" s="59">
        <f>C6+C7</f>
        <v>40729353.757785968</v>
      </c>
    </row>
    <row r="9" spans="2:3" ht="14.25" customHeight="1">
      <c r="B9" s="56" t="s">
        <v>184</v>
      </c>
      <c r="C9" s="57">
        <f>-SUM(Proyecciones!Z20:AH20)</f>
        <v>-14255273.815225078</v>
      </c>
    </row>
    <row r="10" spans="2:3" ht="14.25" customHeight="1">
      <c r="B10" s="58" t="s">
        <v>185</v>
      </c>
      <c r="C10" s="59">
        <f>C8+C9</f>
        <v>26474079.942560889</v>
      </c>
    </row>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C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B1:C1000"/>
  <sheetViews>
    <sheetView showGridLines="0" zoomScale="175" zoomScaleNormal="175" workbookViewId="0">
      <selection activeCell="C13" sqref="C13"/>
    </sheetView>
  </sheetViews>
  <sheetFormatPr baseColWidth="10" defaultColWidth="14.42578125" defaultRowHeight="15" customHeight="1"/>
  <cols>
    <col min="1" max="1" width="3.7109375" customWidth="1"/>
    <col min="2" max="2" width="33.5703125" customWidth="1"/>
    <col min="3" max="3" width="23.7109375" customWidth="1"/>
    <col min="4" max="26" width="10.7109375" customWidth="1"/>
  </cols>
  <sheetData>
    <row r="1" spans="2:3" ht="14.25" customHeight="1"/>
    <row r="2" spans="2:3" ht="14.25" customHeight="1">
      <c r="B2" s="123" t="s">
        <v>186</v>
      </c>
      <c r="C2" s="124"/>
    </row>
    <row r="3" spans="2:3" ht="14.25" customHeight="1">
      <c r="B3" s="159" t="s">
        <v>187</v>
      </c>
      <c r="C3" s="124"/>
    </row>
    <row r="4" spans="2:3" ht="14.25" customHeight="1">
      <c r="B4" s="61" t="s">
        <v>188</v>
      </c>
      <c r="C4" s="62">
        <f>'Flujos De Efectivo'!C17</f>
        <v>45481658.153910175</v>
      </c>
    </row>
    <row r="5" spans="2:3" ht="14.25" customHeight="1">
      <c r="B5" s="61" t="s">
        <v>189</v>
      </c>
      <c r="C5" s="62">
        <f>Proyecciones!C3</f>
        <v>1890622.5000000005</v>
      </c>
    </row>
    <row r="6" spans="2:3" ht="14.25" customHeight="1">
      <c r="B6" s="61" t="s">
        <v>126</v>
      </c>
      <c r="C6" s="62">
        <f>Proyecciones!AA4</f>
        <v>21881848.739495799</v>
      </c>
    </row>
    <row r="7" spans="2:3" ht="14.25" customHeight="1">
      <c r="B7" s="61" t="s">
        <v>190</v>
      </c>
      <c r="C7" s="62">
        <f>Proyecciones!AA5</f>
        <v>126050.42016806723</v>
      </c>
    </row>
    <row r="8" spans="2:3" ht="14.25" customHeight="1">
      <c r="B8" s="61" t="s">
        <v>134</v>
      </c>
      <c r="C8" s="62">
        <f>Proyecciones!AA6</f>
        <v>882352.9411764706</v>
      </c>
    </row>
    <row r="9" spans="2:3" ht="14.25" customHeight="1">
      <c r="B9" s="61" t="s">
        <v>132</v>
      </c>
      <c r="C9" s="62">
        <f>Proyecciones!AB7</f>
        <v>4349147.8991596634</v>
      </c>
    </row>
    <row r="10" spans="2:3" ht="14.25" customHeight="1">
      <c r="B10" s="63" t="s">
        <v>191</v>
      </c>
      <c r="C10" s="64">
        <f>SUM(C4:C9)</f>
        <v>74611680.65391019</v>
      </c>
    </row>
    <row r="11" spans="2:3" ht="14.25" customHeight="1">
      <c r="B11" s="160" t="s">
        <v>192</v>
      </c>
      <c r="C11" s="124"/>
    </row>
    <row r="12" spans="2:3" ht="14.25" customHeight="1">
      <c r="B12" s="61" t="s">
        <v>193</v>
      </c>
      <c r="C12" s="62">
        <f>Proyecciones!N34</f>
        <v>26402271.711349286</v>
      </c>
    </row>
    <row r="13" spans="2:3" ht="14.25" customHeight="1">
      <c r="B13" s="63" t="s">
        <v>194</v>
      </c>
      <c r="C13" s="64">
        <f>C12</f>
        <v>26402271.711349286</v>
      </c>
    </row>
    <row r="14" spans="2:3" ht="14.25" customHeight="1">
      <c r="B14" s="159" t="s">
        <v>195</v>
      </c>
      <c r="C14" s="124"/>
    </row>
    <row r="15" spans="2:3" ht="14.25" customHeight="1">
      <c r="B15" s="61" t="s">
        <v>139</v>
      </c>
      <c r="C15" s="62">
        <f>'Flujos De Efectivo'!C11</f>
        <v>21735329</v>
      </c>
    </row>
    <row r="16" spans="2:3" ht="14.25" customHeight="1">
      <c r="B16" s="61" t="s">
        <v>159</v>
      </c>
      <c r="C16" s="62">
        <f>'Resultados Integrales'!C10</f>
        <v>26474079.942560889</v>
      </c>
    </row>
    <row r="17" spans="2:3" ht="14.25" customHeight="1">
      <c r="B17" s="63" t="s">
        <v>196</v>
      </c>
      <c r="C17" s="64">
        <f>C15+C16</f>
        <v>48209408.942560889</v>
      </c>
    </row>
    <row r="18" spans="2:3" ht="14.25" customHeight="1">
      <c r="C18" s="65"/>
    </row>
    <row r="19" spans="2:3" ht="14.25" customHeight="1">
      <c r="C19" s="65"/>
    </row>
    <row r="20" spans="2:3" ht="14.25" customHeight="1">
      <c r="C20" s="65"/>
    </row>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C2"/>
    <mergeCell ref="B3:C3"/>
    <mergeCell ref="B11:C11"/>
    <mergeCell ref="B14:C1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outlinePr summaryBelow="0" summaryRight="0"/>
  </sheetPr>
  <dimension ref="A1:Z997"/>
  <sheetViews>
    <sheetView showGridLines="0" topLeftCell="A61" zoomScaleNormal="100" workbookViewId="0">
      <selection activeCell="D18" sqref="D18:I22"/>
    </sheetView>
  </sheetViews>
  <sheetFormatPr baseColWidth="10" defaultColWidth="14.42578125" defaultRowHeight="15" customHeight="1"/>
  <cols>
    <col min="1" max="1" width="5" customWidth="1"/>
  </cols>
  <sheetData>
    <row r="1" spans="1:26">
      <c r="A1" s="66"/>
      <c r="B1" s="66"/>
      <c r="C1" s="66"/>
      <c r="D1" s="66"/>
      <c r="E1" s="66"/>
      <c r="F1" s="66"/>
      <c r="G1" s="66"/>
      <c r="H1" s="66"/>
      <c r="I1" s="66"/>
      <c r="J1" s="66"/>
      <c r="K1" s="66"/>
      <c r="L1" s="66"/>
      <c r="M1" s="66"/>
      <c r="N1" s="66"/>
      <c r="O1" s="66"/>
      <c r="P1" s="66"/>
      <c r="Q1" s="66"/>
      <c r="R1" s="66"/>
      <c r="S1" s="66"/>
      <c r="T1" s="66"/>
      <c r="U1" s="66"/>
      <c r="V1" s="66"/>
      <c r="W1" s="66"/>
      <c r="X1" s="66"/>
      <c r="Y1" s="66"/>
      <c r="Z1" s="66"/>
    </row>
    <row r="2" spans="1:26">
      <c r="A2" s="66"/>
      <c r="B2" s="164" t="s">
        <v>197</v>
      </c>
      <c r="C2" s="162"/>
      <c r="D2" s="163" t="s">
        <v>198</v>
      </c>
      <c r="E2" s="162"/>
      <c r="F2" s="162"/>
      <c r="G2" s="162"/>
      <c r="H2" s="162"/>
      <c r="I2" s="162"/>
      <c r="J2" s="66"/>
      <c r="K2" s="66"/>
      <c r="L2" s="66"/>
      <c r="M2" s="66"/>
      <c r="N2" s="66"/>
      <c r="O2" s="66"/>
      <c r="P2" s="66"/>
      <c r="Q2" s="66"/>
      <c r="R2" s="66"/>
      <c r="S2" s="66"/>
      <c r="T2" s="66"/>
      <c r="U2" s="66"/>
      <c r="V2" s="66"/>
      <c r="W2" s="66"/>
      <c r="X2" s="66"/>
      <c r="Y2" s="66"/>
      <c r="Z2" s="66"/>
    </row>
    <row r="3" spans="1:26">
      <c r="A3" s="66"/>
      <c r="B3" s="162"/>
      <c r="C3" s="162"/>
      <c r="D3" s="162"/>
      <c r="E3" s="162"/>
      <c r="F3" s="162"/>
      <c r="G3" s="162"/>
      <c r="H3" s="162"/>
      <c r="I3" s="162"/>
      <c r="J3" s="66"/>
      <c r="K3" s="66"/>
      <c r="L3" s="66"/>
      <c r="M3" s="66"/>
      <c r="N3" s="66"/>
      <c r="O3" s="66"/>
      <c r="P3" s="66"/>
      <c r="Q3" s="66"/>
      <c r="R3" s="66"/>
      <c r="S3" s="66"/>
      <c r="T3" s="66"/>
      <c r="U3" s="66"/>
      <c r="V3" s="66"/>
      <c r="W3" s="66"/>
      <c r="X3" s="66"/>
      <c r="Y3" s="66"/>
      <c r="Z3" s="66"/>
    </row>
    <row r="4" spans="1:26">
      <c r="A4" s="66"/>
      <c r="B4" s="162"/>
      <c r="C4" s="162"/>
      <c r="D4" s="162"/>
      <c r="E4" s="162"/>
      <c r="F4" s="162"/>
      <c r="G4" s="162"/>
      <c r="H4" s="162"/>
      <c r="I4" s="162"/>
      <c r="J4" s="66"/>
      <c r="K4" s="66"/>
      <c r="L4" s="66"/>
      <c r="M4" s="66"/>
      <c r="N4" s="66"/>
      <c r="O4" s="66"/>
      <c r="P4" s="66"/>
      <c r="Q4" s="66"/>
      <c r="R4" s="66"/>
      <c r="S4" s="66"/>
      <c r="T4" s="66"/>
      <c r="U4" s="66"/>
      <c r="V4" s="66"/>
      <c r="W4" s="66"/>
      <c r="X4" s="66"/>
      <c r="Y4" s="66"/>
      <c r="Z4" s="66"/>
    </row>
    <row r="5" spans="1:26">
      <c r="A5" s="66"/>
      <c r="B5" s="162"/>
      <c r="C5" s="162"/>
      <c r="D5" s="162"/>
      <c r="E5" s="162"/>
      <c r="F5" s="162"/>
      <c r="G5" s="162"/>
      <c r="H5" s="162"/>
      <c r="I5" s="162"/>
      <c r="J5" s="66"/>
      <c r="K5" s="66"/>
      <c r="L5" s="66"/>
      <c r="M5" s="66"/>
      <c r="N5" s="66"/>
      <c r="O5" s="66"/>
      <c r="P5" s="66"/>
      <c r="Q5" s="66"/>
      <c r="R5" s="66"/>
      <c r="S5" s="66"/>
      <c r="T5" s="66"/>
      <c r="U5" s="66"/>
      <c r="V5" s="66"/>
      <c r="W5" s="66"/>
      <c r="X5" s="66"/>
      <c r="Y5" s="66"/>
      <c r="Z5" s="66"/>
    </row>
    <row r="6" spans="1:26">
      <c r="A6" s="66"/>
      <c r="B6" s="162"/>
      <c r="C6" s="162"/>
      <c r="D6" s="162"/>
      <c r="E6" s="162"/>
      <c r="F6" s="162"/>
      <c r="G6" s="162"/>
      <c r="H6" s="162"/>
      <c r="I6" s="162"/>
      <c r="J6" s="66"/>
      <c r="K6" s="66"/>
      <c r="L6" s="66"/>
      <c r="M6" s="66"/>
      <c r="N6" s="66"/>
      <c r="O6" s="66"/>
      <c r="P6" s="66"/>
      <c r="Q6" s="66"/>
      <c r="R6" s="66"/>
      <c r="S6" s="66"/>
      <c r="T6" s="66"/>
      <c r="U6" s="66"/>
      <c r="V6" s="66"/>
      <c r="W6" s="66"/>
      <c r="X6" s="66"/>
      <c r="Y6" s="66"/>
      <c r="Z6" s="66"/>
    </row>
    <row r="7" spans="1:26">
      <c r="A7" s="66"/>
      <c r="B7" s="162"/>
      <c r="C7" s="162"/>
      <c r="D7" s="162"/>
      <c r="E7" s="162"/>
      <c r="F7" s="162"/>
      <c r="G7" s="162"/>
      <c r="H7" s="162"/>
      <c r="I7" s="162"/>
      <c r="J7" s="66"/>
      <c r="K7" s="66"/>
      <c r="L7" s="66"/>
      <c r="M7" s="66"/>
      <c r="N7" s="66"/>
      <c r="O7" s="66"/>
      <c r="P7" s="66"/>
      <c r="Q7" s="66"/>
      <c r="R7" s="66"/>
      <c r="S7" s="66"/>
      <c r="T7" s="66"/>
      <c r="U7" s="66"/>
      <c r="V7" s="66"/>
      <c r="W7" s="66"/>
      <c r="X7" s="66"/>
      <c r="Y7" s="66"/>
      <c r="Z7" s="66"/>
    </row>
    <row r="8" spans="1:26">
      <c r="A8" s="66"/>
      <c r="B8" s="162"/>
      <c r="C8" s="162"/>
      <c r="D8" s="162"/>
      <c r="E8" s="162"/>
      <c r="F8" s="162"/>
      <c r="G8" s="162"/>
      <c r="H8" s="162"/>
      <c r="I8" s="162"/>
      <c r="J8" s="66"/>
      <c r="K8" s="66"/>
      <c r="L8" s="66"/>
      <c r="M8" s="66"/>
      <c r="N8" s="66"/>
      <c r="O8" s="66"/>
      <c r="P8" s="66"/>
      <c r="Q8" s="66"/>
      <c r="R8" s="66"/>
      <c r="S8" s="66"/>
      <c r="T8" s="66"/>
      <c r="U8" s="66"/>
      <c r="V8" s="66"/>
      <c r="W8" s="66"/>
      <c r="X8" s="66"/>
      <c r="Y8" s="66"/>
      <c r="Z8" s="66"/>
    </row>
    <row r="9" spans="1:26">
      <c r="A9" s="66"/>
      <c r="B9" s="162"/>
      <c r="C9" s="162"/>
      <c r="D9" s="162"/>
      <c r="E9" s="162"/>
      <c r="F9" s="162"/>
      <c r="G9" s="162"/>
      <c r="H9" s="162"/>
      <c r="I9" s="162"/>
      <c r="J9" s="66"/>
      <c r="K9" s="66"/>
      <c r="L9" s="66"/>
      <c r="M9" s="66"/>
      <c r="N9" s="66"/>
      <c r="O9" s="66"/>
      <c r="P9" s="66"/>
      <c r="Q9" s="66"/>
      <c r="R9" s="66"/>
      <c r="S9" s="66"/>
      <c r="T9" s="66"/>
      <c r="U9" s="66"/>
      <c r="V9" s="66"/>
      <c r="W9" s="66"/>
      <c r="X9" s="66"/>
      <c r="Y9" s="66"/>
      <c r="Z9" s="66"/>
    </row>
    <row r="10" spans="1:26">
      <c r="A10" s="66"/>
      <c r="B10" s="164" t="s">
        <v>199</v>
      </c>
      <c r="C10" s="162"/>
      <c r="D10" s="163" t="s">
        <v>200</v>
      </c>
      <c r="E10" s="162"/>
      <c r="F10" s="162"/>
      <c r="G10" s="162"/>
      <c r="H10" s="162"/>
      <c r="I10" s="162"/>
      <c r="J10" s="66"/>
      <c r="K10" s="66"/>
      <c r="L10" s="66"/>
      <c r="M10" s="66"/>
      <c r="N10" s="66"/>
      <c r="O10" s="66"/>
      <c r="P10" s="66"/>
      <c r="Q10" s="66"/>
      <c r="R10" s="66"/>
      <c r="S10" s="66"/>
      <c r="T10" s="66"/>
      <c r="U10" s="66"/>
      <c r="V10" s="66"/>
      <c r="W10" s="66"/>
      <c r="X10" s="66"/>
      <c r="Y10" s="66"/>
      <c r="Z10" s="66"/>
    </row>
    <row r="11" spans="1:26">
      <c r="A11" s="66"/>
      <c r="B11" s="162"/>
      <c r="C11" s="162"/>
      <c r="D11" s="162"/>
      <c r="E11" s="162"/>
      <c r="F11" s="162"/>
      <c r="G11" s="162"/>
      <c r="H11" s="162"/>
      <c r="I11" s="162"/>
      <c r="J11" s="66"/>
      <c r="K11" s="66"/>
      <c r="L11" s="66"/>
      <c r="M11" s="66"/>
      <c r="N11" s="66"/>
      <c r="O11" s="66"/>
      <c r="P11" s="66"/>
      <c r="Q11" s="66"/>
      <c r="R11" s="66"/>
      <c r="S11" s="66"/>
      <c r="T11" s="66"/>
      <c r="U11" s="66"/>
      <c r="V11" s="66"/>
      <c r="W11" s="66"/>
      <c r="X11" s="66"/>
      <c r="Y11" s="66"/>
      <c r="Z11" s="66"/>
    </row>
    <row r="12" spans="1:26">
      <c r="A12" s="66"/>
      <c r="B12" s="162"/>
      <c r="C12" s="162"/>
      <c r="D12" s="162"/>
      <c r="E12" s="162"/>
      <c r="F12" s="162"/>
      <c r="G12" s="162"/>
      <c r="H12" s="162"/>
      <c r="I12" s="162"/>
      <c r="J12" s="66"/>
      <c r="K12" s="66"/>
      <c r="L12" s="66"/>
      <c r="M12" s="66"/>
      <c r="N12" s="66"/>
      <c r="O12" s="66"/>
      <c r="P12" s="66"/>
      <c r="Q12" s="66"/>
      <c r="R12" s="66"/>
      <c r="S12" s="66"/>
      <c r="T12" s="66"/>
      <c r="U12" s="66"/>
      <c r="V12" s="66"/>
      <c r="W12" s="66"/>
      <c r="X12" s="66"/>
      <c r="Y12" s="66"/>
      <c r="Z12" s="66"/>
    </row>
    <row r="13" spans="1:26">
      <c r="A13" s="66"/>
      <c r="B13" s="162"/>
      <c r="C13" s="162"/>
      <c r="D13" s="162"/>
      <c r="E13" s="162"/>
      <c r="F13" s="162"/>
      <c r="G13" s="162"/>
      <c r="H13" s="162"/>
      <c r="I13" s="162"/>
      <c r="J13" s="66"/>
      <c r="K13" s="66"/>
      <c r="L13" s="66"/>
      <c r="M13" s="66"/>
      <c r="N13" s="66"/>
      <c r="O13" s="66"/>
      <c r="P13" s="66"/>
      <c r="Q13" s="66"/>
      <c r="R13" s="66"/>
      <c r="S13" s="66"/>
      <c r="T13" s="66"/>
      <c r="U13" s="66"/>
      <c r="V13" s="66"/>
      <c r="W13" s="66"/>
      <c r="X13" s="66"/>
      <c r="Y13" s="66"/>
      <c r="Z13" s="66"/>
    </row>
    <row r="14" spans="1:26">
      <c r="A14" s="66"/>
      <c r="B14" s="162"/>
      <c r="C14" s="162"/>
      <c r="D14" s="162"/>
      <c r="E14" s="162"/>
      <c r="F14" s="162"/>
      <c r="G14" s="162"/>
      <c r="H14" s="162"/>
      <c r="I14" s="162"/>
      <c r="J14" s="66"/>
      <c r="K14" s="66"/>
      <c r="L14" s="66"/>
      <c r="M14" s="66"/>
      <c r="N14" s="66"/>
      <c r="O14" s="66"/>
      <c r="P14" s="66"/>
      <c r="Q14" s="66"/>
      <c r="R14" s="66"/>
      <c r="S14" s="66"/>
      <c r="T14" s="66"/>
      <c r="U14" s="66"/>
      <c r="V14" s="66"/>
      <c r="W14" s="66"/>
      <c r="X14" s="66"/>
      <c r="Y14" s="66"/>
      <c r="Z14" s="66"/>
    </row>
    <row r="15" spans="1:26">
      <c r="A15" s="66"/>
      <c r="B15" s="162"/>
      <c r="C15" s="162"/>
      <c r="D15" s="162"/>
      <c r="E15" s="162"/>
      <c r="F15" s="162"/>
      <c r="G15" s="162"/>
      <c r="H15" s="162"/>
      <c r="I15" s="162"/>
      <c r="J15" s="66"/>
      <c r="K15" s="66"/>
      <c r="L15" s="66"/>
      <c r="M15" s="66"/>
      <c r="N15" s="66"/>
      <c r="O15" s="66"/>
      <c r="P15" s="66"/>
      <c r="Q15" s="66"/>
      <c r="R15" s="66"/>
      <c r="S15" s="66"/>
      <c r="T15" s="66"/>
      <c r="U15" s="66"/>
      <c r="V15" s="66"/>
      <c r="W15" s="66"/>
      <c r="X15" s="66"/>
      <c r="Y15" s="66"/>
      <c r="Z15" s="66"/>
    </row>
    <row r="16" spans="1:26">
      <c r="A16" s="66"/>
      <c r="B16" s="162"/>
      <c r="C16" s="162"/>
      <c r="D16" s="162"/>
      <c r="E16" s="162"/>
      <c r="F16" s="162"/>
      <c r="G16" s="162"/>
      <c r="H16" s="162"/>
      <c r="I16" s="162"/>
      <c r="J16" s="66"/>
      <c r="K16" s="66"/>
      <c r="L16" s="66"/>
      <c r="M16" s="66"/>
      <c r="N16" s="66"/>
      <c r="O16" s="66"/>
      <c r="P16" s="66"/>
      <c r="Q16" s="66"/>
      <c r="R16" s="66"/>
      <c r="S16" s="66"/>
      <c r="T16" s="66"/>
      <c r="U16" s="66"/>
      <c r="V16" s="66"/>
      <c r="W16" s="66"/>
      <c r="X16" s="66"/>
      <c r="Y16" s="66"/>
      <c r="Z16" s="66"/>
    </row>
    <row r="17" spans="1:26">
      <c r="A17" s="66"/>
      <c r="B17" s="162"/>
      <c r="C17" s="162"/>
      <c r="D17" s="162"/>
      <c r="E17" s="162"/>
      <c r="F17" s="162"/>
      <c r="G17" s="162"/>
      <c r="H17" s="162"/>
      <c r="I17" s="162"/>
      <c r="J17" s="66"/>
      <c r="K17" s="66"/>
      <c r="L17" s="66"/>
      <c r="M17" s="66"/>
      <c r="N17" s="66"/>
      <c r="O17" s="66"/>
      <c r="P17" s="66"/>
      <c r="Q17" s="66"/>
      <c r="R17" s="66"/>
      <c r="S17" s="66"/>
      <c r="T17" s="66"/>
      <c r="U17" s="66"/>
      <c r="V17" s="66"/>
      <c r="W17" s="66"/>
      <c r="X17" s="66"/>
      <c r="Y17" s="66"/>
      <c r="Z17" s="66"/>
    </row>
    <row r="18" spans="1:26">
      <c r="A18" s="66"/>
      <c r="B18" s="164" t="s">
        <v>201</v>
      </c>
      <c r="C18" s="162"/>
      <c r="D18" s="163" t="s">
        <v>202</v>
      </c>
      <c r="E18" s="162"/>
      <c r="F18" s="162"/>
      <c r="G18" s="162"/>
      <c r="H18" s="162"/>
      <c r="I18" s="162"/>
      <c r="J18" s="66"/>
      <c r="K18" s="67" t="s">
        <v>203</v>
      </c>
      <c r="L18" s="67" t="s">
        <v>204</v>
      </c>
      <c r="M18" s="67" t="s">
        <v>205</v>
      </c>
      <c r="N18" s="67" t="s">
        <v>206</v>
      </c>
      <c r="O18" s="67" t="s">
        <v>207</v>
      </c>
      <c r="P18" s="67" t="s">
        <v>208</v>
      </c>
      <c r="Q18" s="67" t="s">
        <v>209</v>
      </c>
      <c r="R18" s="67" t="s">
        <v>210</v>
      </c>
      <c r="S18" s="67" t="s">
        <v>211</v>
      </c>
      <c r="T18" s="67" t="s">
        <v>212</v>
      </c>
      <c r="U18" s="67" t="s">
        <v>213</v>
      </c>
      <c r="V18" s="67" t="s">
        <v>214</v>
      </c>
      <c r="W18" s="66"/>
      <c r="X18" s="66"/>
      <c r="Y18" s="66"/>
      <c r="Z18" s="66"/>
    </row>
    <row r="19" spans="1:26">
      <c r="A19" s="66"/>
      <c r="B19" s="162"/>
      <c r="C19" s="162"/>
      <c r="D19" s="162"/>
      <c r="E19" s="162"/>
      <c r="F19" s="162"/>
      <c r="G19" s="162"/>
      <c r="H19" s="162"/>
      <c r="I19" s="162"/>
      <c r="J19" s="66"/>
      <c r="K19" s="67" t="s">
        <v>215</v>
      </c>
      <c r="L19" s="68">
        <v>901913314</v>
      </c>
      <c r="M19" s="69" t="s">
        <v>216</v>
      </c>
      <c r="N19" s="69" t="s">
        <v>217</v>
      </c>
      <c r="O19" s="69" t="s">
        <v>217</v>
      </c>
      <c r="P19" s="70" t="s">
        <v>218</v>
      </c>
      <c r="Q19" s="70" t="s">
        <v>218</v>
      </c>
      <c r="R19" s="70" t="s">
        <v>218</v>
      </c>
      <c r="S19" s="70" t="s">
        <v>218</v>
      </c>
      <c r="T19" s="70" t="s">
        <v>218</v>
      </c>
      <c r="U19" s="70" t="s">
        <v>218</v>
      </c>
      <c r="V19" s="70" t="s">
        <v>218</v>
      </c>
      <c r="W19" s="66"/>
      <c r="X19" s="66"/>
      <c r="Y19" s="66"/>
      <c r="Z19" s="66"/>
    </row>
    <row r="20" spans="1:26">
      <c r="A20" s="66"/>
      <c r="B20" s="162"/>
      <c r="C20" s="162"/>
      <c r="D20" s="162"/>
      <c r="E20" s="162"/>
      <c r="F20" s="162"/>
      <c r="G20" s="162"/>
      <c r="H20" s="162"/>
      <c r="I20" s="162"/>
      <c r="J20" s="66"/>
      <c r="K20" s="67" t="s">
        <v>219</v>
      </c>
      <c r="L20" s="68">
        <v>901252874</v>
      </c>
      <c r="M20" s="69" t="s">
        <v>220</v>
      </c>
      <c r="N20" s="69" t="s">
        <v>221</v>
      </c>
      <c r="O20" s="69" t="s">
        <v>222</v>
      </c>
      <c r="P20" s="70" t="s">
        <v>223</v>
      </c>
      <c r="Q20" s="70" t="s">
        <v>224</v>
      </c>
      <c r="R20" s="71" t="s">
        <v>225</v>
      </c>
      <c r="S20" s="70" t="s">
        <v>226</v>
      </c>
      <c r="T20" s="69" t="s">
        <v>227</v>
      </c>
      <c r="U20" s="70" t="s">
        <v>228</v>
      </c>
      <c r="V20" s="70" t="s">
        <v>229</v>
      </c>
      <c r="W20" s="66"/>
      <c r="X20" s="66"/>
      <c r="Y20" s="66"/>
      <c r="Z20" s="66"/>
    </row>
    <row r="21" spans="1:26">
      <c r="A21" s="66"/>
      <c r="B21" s="162"/>
      <c r="C21" s="162"/>
      <c r="D21" s="162"/>
      <c r="E21" s="162"/>
      <c r="F21" s="162"/>
      <c r="G21" s="162"/>
      <c r="H21" s="162"/>
      <c r="I21" s="162"/>
      <c r="J21" s="66"/>
      <c r="K21" s="67" t="s">
        <v>230</v>
      </c>
      <c r="L21" s="68">
        <v>900156896</v>
      </c>
      <c r="M21" s="69" t="s">
        <v>231</v>
      </c>
      <c r="N21" s="69" t="s">
        <v>217</v>
      </c>
      <c r="O21" s="69" t="s">
        <v>217</v>
      </c>
      <c r="P21" s="70" t="s">
        <v>232</v>
      </c>
      <c r="Q21" s="70" t="s">
        <v>233</v>
      </c>
      <c r="R21" s="71" t="s">
        <v>234</v>
      </c>
      <c r="S21" s="70" t="s">
        <v>235</v>
      </c>
      <c r="T21" s="69" t="s">
        <v>227</v>
      </c>
      <c r="U21" s="70" t="s">
        <v>236</v>
      </c>
      <c r="V21" s="70" t="s">
        <v>237</v>
      </c>
      <c r="W21" s="66"/>
      <c r="X21" s="66"/>
      <c r="Y21" s="66"/>
      <c r="Z21" s="66"/>
    </row>
    <row r="22" spans="1:26">
      <c r="A22" s="66"/>
      <c r="B22" s="162"/>
      <c r="C22" s="162"/>
      <c r="D22" s="162"/>
      <c r="E22" s="162"/>
      <c r="F22" s="162"/>
      <c r="G22" s="162"/>
      <c r="H22" s="162"/>
      <c r="I22" s="162"/>
      <c r="J22" s="66"/>
      <c r="K22" s="67" t="s">
        <v>238</v>
      </c>
      <c r="L22" s="68">
        <v>901451271</v>
      </c>
      <c r="M22" s="69" t="s">
        <v>239</v>
      </c>
      <c r="N22" s="69" t="s">
        <v>240</v>
      </c>
      <c r="O22" s="69" t="s">
        <v>241</v>
      </c>
      <c r="P22" s="72" t="s">
        <v>242</v>
      </c>
      <c r="Q22" s="70" t="s">
        <v>243</v>
      </c>
      <c r="R22" s="73">
        <v>2024</v>
      </c>
      <c r="S22" s="70" t="s">
        <v>244</v>
      </c>
      <c r="T22" s="70" t="s">
        <v>245</v>
      </c>
      <c r="U22" s="70" t="s">
        <v>246</v>
      </c>
      <c r="V22" s="70" t="s">
        <v>247</v>
      </c>
      <c r="W22" s="66"/>
      <c r="X22" s="66"/>
      <c r="Y22" s="66"/>
      <c r="Z22" s="66"/>
    </row>
    <row r="23" spans="1:26">
      <c r="A23" s="66"/>
      <c r="B23" s="164" t="s">
        <v>248</v>
      </c>
      <c r="C23" s="162"/>
      <c r="D23" s="163" t="s">
        <v>249</v>
      </c>
      <c r="E23" s="162"/>
      <c r="F23" s="162"/>
      <c r="G23" s="162"/>
      <c r="H23" s="162"/>
      <c r="I23" s="162"/>
      <c r="J23" s="66"/>
      <c r="K23" s="66"/>
      <c r="L23" s="66"/>
      <c r="M23" s="66"/>
      <c r="N23" s="66"/>
      <c r="O23" s="66"/>
      <c r="P23" s="66"/>
      <c r="Q23" s="66"/>
      <c r="R23" s="66"/>
      <c r="S23" s="66"/>
      <c r="T23" s="66"/>
      <c r="U23" s="66"/>
      <c r="V23" s="66"/>
      <c r="W23" s="66"/>
      <c r="X23" s="66"/>
      <c r="Y23" s="66"/>
      <c r="Z23" s="66"/>
    </row>
    <row r="24" spans="1:26">
      <c r="A24" s="66"/>
      <c r="B24" s="162"/>
      <c r="C24" s="162"/>
      <c r="D24" s="162"/>
      <c r="E24" s="162"/>
      <c r="F24" s="162"/>
      <c r="G24" s="162"/>
      <c r="H24" s="162"/>
      <c r="I24" s="162"/>
      <c r="J24" s="66"/>
      <c r="K24" s="66"/>
      <c r="L24" s="66"/>
      <c r="M24" s="66"/>
      <c r="N24" s="66"/>
      <c r="O24" s="66"/>
      <c r="P24" s="66"/>
      <c r="Q24" s="66"/>
      <c r="R24" s="66"/>
      <c r="S24" s="66"/>
      <c r="T24" s="66"/>
      <c r="U24" s="66"/>
      <c r="V24" s="66"/>
      <c r="W24" s="66"/>
      <c r="X24" s="66"/>
      <c r="Y24" s="66"/>
      <c r="Z24" s="66"/>
    </row>
    <row r="25" spans="1:26">
      <c r="A25" s="66"/>
      <c r="B25" s="162"/>
      <c r="C25" s="162"/>
      <c r="D25" s="162"/>
      <c r="E25" s="162"/>
      <c r="F25" s="162"/>
      <c r="G25" s="162"/>
      <c r="H25" s="162"/>
      <c r="I25" s="162"/>
      <c r="J25" s="66"/>
      <c r="K25" s="66"/>
      <c r="L25" s="66"/>
      <c r="M25" s="66"/>
      <c r="N25" s="66"/>
      <c r="O25" s="66"/>
      <c r="P25" s="66"/>
      <c r="Q25" s="66"/>
      <c r="R25" s="66"/>
      <c r="S25" s="66"/>
      <c r="T25" s="66"/>
      <c r="U25" s="66"/>
      <c r="V25" s="66"/>
      <c r="W25" s="66"/>
      <c r="X25" s="66"/>
      <c r="Y25" s="66"/>
      <c r="Z25" s="66"/>
    </row>
    <row r="26" spans="1:26">
      <c r="A26" s="66"/>
      <c r="B26" s="162"/>
      <c r="C26" s="162"/>
      <c r="D26" s="162"/>
      <c r="E26" s="162"/>
      <c r="F26" s="162"/>
      <c r="G26" s="162"/>
      <c r="H26" s="162"/>
      <c r="I26" s="162"/>
      <c r="J26" s="66"/>
      <c r="K26" s="66"/>
      <c r="L26" s="66"/>
      <c r="M26" s="66"/>
      <c r="N26" s="66"/>
      <c r="O26" s="66"/>
      <c r="P26" s="66"/>
      <c r="Q26" s="66"/>
      <c r="R26" s="66"/>
      <c r="S26" s="66"/>
      <c r="T26" s="66"/>
      <c r="U26" s="66"/>
      <c r="V26" s="66"/>
      <c r="W26" s="66"/>
      <c r="X26" s="66"/>
      <c r="Y26" s="66"/>
      <c r="Z26" s="66"/>
    </row>
    <row r="27" spans="1:26">
      <c r="A27" s="66"/>
      <c r="B27" s="162"/>
      <c r="C27" s="162"/>
      <c r="D27" s="162"/>
      <c r="E27" s="162"/>
      <c r="F27" s="162"/>
      <c r="G27" s="162"/>
      <c r="H27" s="162"/>
      <c r="I27" s="162"/>
      <c r="J27" s="66"/>
      <c r="K27" s="66"/>
      <c r="L27" s="66"/>
      <c r="M27" s="66"/>
      <c r="N27" s="66"/>
      <c r="O27" s="66"/>
      <c r="P27" s="66"/>
      <c r="Q27" s="66"/>
      <c r="R27" s="66"/>
      <c r="S27" s="66"/>
      <c r="T27" s="66"/>
      <c r="U27" s="66"/>
      <c r="V27" s="66"/>
      <c r="W27" s="66"/>
      <c r="X27" s="66"/>
      <c r="Y27" s="66"/>
      <c r="Z27" s="66"/>
    </row>
    <row r="28" spans="1:26">
      <c r="A28" s="66"/>
      <c r="B28" s="162"/>
      <c r="C28" s="162"/>
      <c r="D28" s="162"/>
      <c r="E28" s="162"/>
      <c r="F28" s="162"/>
      <c r="G28" s="162"/>
      <c r="H28" s="162"/>
      <c r="I28" s="162"/>
      <c r="J28" s="66"/>
      <c r="K28" s="66"/>
      <c r="L28" s="66"/>
      <c r="M28" s="66"/>
      <c r="N28" s="66"/>
      <c r="O28" s="66"/>
      <c r="P28" s="66"/>
      <c r="Q28" s="66"/>
      <c r="R28" s="66"/>
      <c r="S28" s="66"/>
      <c r="T28" s="66"/>
      <c r="U28" s="66"/>
      <c r="V28" s="66"/>
      <c r="W28" s="66"/>
      <c r="X28" s="66"/>
      <c r="Y28" s="66"/>
      <c r="Z28" s="66"/>
    </row>
    <row r="29" spans="1:26">
      <c r="A29" s="66"/>
      <c r="B29" s="162"/>
      <c r="C29" s="162"/>
      <c r="D29" s="162"/>
      <c r="E29" s="162"/>
      <c r="F29" s="162"/>
      <c r="G29" s="162"/>
      <c r="H29" s="162"/>
      <c r="I29" s="162"/>
      <c r="J29" s="66"/>
      <c r="K29" s="66"/>
      <c r="L29" s="66"/>
      <c r="M29" s="66"/>
      <c r="N29" s="66"/>
      <c r="O29" s="66"/>
      <c r="P29" s="66"/>
      <c r="Q29" s="66"/>
      <c r="R29" s="66"/>
      <c r="S29" s="66"/>
      <c r="T29" s="66"/>
      <c r="U29" s="66"/>
      <c r="V29" s="66"/>
      <c r="W29" s="66"/>
      <c r="X29" s="66"/>
      <c r="Y29" s="66"/>
      <c r="Z29" s="66"/>
    </row>
    <row r="30" spans="1:26">
      <c r="A30" s="66"/>
      <c r="B30" s="162"/>
      <c r="C30" s="162"/>
      <c r="D30" s="162"/>
      <c r="E30" s="162"/>
      <c r="F30" s="162"/>
      <c r="G30" s="162"/>
      <c r="H30" s="162"/>
      <c r="I30" s="162"/>
      <c r="J30" s="66"/>
      <c r="K30" s="66"/>
      <c r="L30" s="66"/>
      <c r="M30" s="66"/>
      <c r="N30" s="66"/>
      <c r="O30" s="66"/>
      <c r="P30" s="66"/>
      <c r="Q30" s="66"/>
      <c r="R30" s="66"/>
      <c r="S30" s="66"/>
      <c r="T30" s="66"/>
      <c r="U30" s="66"/>
      <c r="V30" s="66"/>
      <c r="W30" s="66"/>
      <c r="X30" s="66"/>
      <c r="Y30" s="66"/>
      <c r="Z30" s="66"/>
    </row>
    <row r="31" spans="1:26">
      <c r="A31" s="66"/>
      <c r="B31" s="161" t="s">
        <v>250</v>
      </c>
      <c r="C31" s="162"/>
      <c r="D31" s="163" t="s">
        <v>251</v>
      </c>
      <c r="E31" s="162"/>
      <c r="F31" s="162"/>
      <c r="G31" s="162"/>
      <c r="H31" s="162"/>
      <c r="I31" s="162"/>
      <c r="J31" s="66"/>
      <c r="K31" s="66"/>
      <c r="L31" s="66"/>
      <c r="M31" s="66"/>
      <c r="N31" s="66"/>
      <c r="O31" s="66"/>
      <c r="P31" s="66"/>
      <c r="Q31" s="66"/>
      <c r="R31" s="66"/>
      <c r="S31" s="66"/>
      <c r="T31" s="66"/>
      <c r="U31" s="66"/>
      <c r="V31" s="66"/>
      <c r="W31" s="66"/>
      <c r="X31" s="66"/>
      <c r="Y31" s="66"/>
      <c r="Z31" s="66"/>
    </row>
    <row r="32" spans="1:26">
      <c r="A32" s="66"/>
      <c r="B32" s="162"/>
      <c r="C32" s="162"/>
      <c r="D32" s="162"/>
      <c r="E32" s="162"/>
      <c r="F32" s="162"/>
      <c r="G32" s="162"/>
      <c r="H32" s="162"/>
      <c r="I32" s="162"/>
      <c r="J32" s="66"/>
      <c r="K32" s="66"/>
      <c r="L32" s="66"/>
      <c r="M32" s="66"/>
      <c r="N32" s="66"/>
      <c r="O32" s="66"/>
      <c r="P32" s="66"/>
      <c r="Q32" s="66"/>
      <c r="R32" s="66"/>
      <c r="S32" s="66"/>
      <c r="T32" s="66"/>
      <c r="U32" s="66"/>
      <c r="V32" s="66"/>
      <c r="W32" s="66"/>
      <c r="X32" s="66"/>
      <c r="Y32" s="66"/>
      <c r="Z32" s="66"/>
    </row>
    <row r="33" spans="1:26">
      <c r="A33" s="66"/>
      <c r="B33" s="162"/>
      <c r="C33" s="162"/>
      <c r="D33" s="162"/>
      <c r="E33" s="162"/>
      <c r="F33" s="162"/>
      <c r="G33" s="162"/>
      <c r="H33" s="162"/>
      <c r="I33" s="162"/>
      <c r="J33" s="66"/>
      <c r="K33" s="66"/>
      <c r="L33" s="66"/>
      <c r="M33" s="66"/>
      <c r="N33" s="66"/>
      <c r="O33" s="66"/>
      <c r="P33" s="66"/>
      <c r="Q33" s="66"/>
      <c r="R33" s="66"/>
      <c r="S33" s="66"/>
      <c r="T33" s="66"/>
      <c r="U33" s="66"/>
      <c r="V33" s="66"/>
      <c r="W33" s="66"/>
      <c r="X33" s="66"/>
      <c r="Y33" s="66"/>
      <c r="Z33" s="66"/>
    </row>
    <row r="34" spans="1:26">
      <c r="A34" s="66"/>
      <c r="B34" s="162"/>
      <c r="C34" s="162"/>
      <c r="D34" s="162"/>
      <c r="E34" s="162"/>
      <c r="F34" s="162"/>
      <c r="G34" s="162"/>
      <c r="H34" s="162"/>
      <c r="I34" s="162"/>
      <c r="J34" s="66"/>
      <c r="K34" s="66"/>
      <c r="L34" s="66"/>
      <c r="M34" s="66"/>
      <c r="N34" s="66"/>
      <c r="O34" s="66"/>
      <c r="P34" s="66"/>
      <c r="Q34" s="66"/>
      <c r="R34" s="66"/>
      <c r="S34" s="66"/>
      <c r="T34" s="66"/>
      <c r="U34" s="66"/>
      <c r="V34" s="66"/>
      <c r="W34" s="66"/>
      <c r="X34" s="66"/>
      <c r="Y34" s="66"/>
      <c r="Z34" s="66"/>
    </row>
    <row r="35" spans="1:26">
      <c r="A35" s="66"/>
      <c r="B35" s="162"/>
      <c r="C35" s="162"/>
      <c r="D35" s="162"/>
      <c r="E35" s="162"/>
      <c r="F35" s="162"/>
      <c r="G35" s="162"/>
      <c r="H35" s="162"/>
      <c r="I35" s="162"/>
      <c r="J35" s="66"/>
      <c r="K35" s="66"/>
      <c r="L35" s="66"/>
      <c r="M35" s="66"/>
      <c r="N35" s="66"/>
      <c r="O35" s="66"/>
      <c r="P35" s="66"/>
      <c r="Q35" s="66"/>
      <c r="R35" s="66"/>
      <c r="S35" s="66"/>
      <c r="T35" s="66"/>
      <c r="U35" s="66"/>
      <c r="V35" s="66"/>
      <c r="W35" s="66"/>
      <c r="X35" s="66"/>
      <c r="Y35" s="66"/>
      <c r="Z35" s="66"/>
    </row>
    <row r="36" spans="1:26">
      <c r="A36" s="66"/>
      <c r="B36" s="162"/>
      <c r="C36" s="162"/>
      <c r="D36" s="162"/>
      <c r="E36" s="162"/>
      <c r="F36" s="162"/>
      <c r="G36" s="162"/>
      <c r="H36" s="162"/>
      <c r="I36" s="162"/>
      <c r="J36" s="66"/>
      <c r="K36" s="66"/>
      <c r="L36" s="66"/>
      <c r="M36" s="66"/>
      <c r="N36" s="66"/>
      <c r="O36" s="66"/>
      <c r="P36" s="66"/>
      <c r="Q36" s="66"/>
      <c r="R36" s="66"/>
      <c r="S36" s="66"/>
      <c r="T36" s="66"/>
      <c r="U36" s="66"/>
      <c r="V36" s="66"/>
      <c r="W36" s="66"/>
      <c r="X36" s="66"/>
      <c r="Y36" s="66"/>
      <c r="Z36" s="66"/>
    </row>
    <row r="37" spans="1:26">
      <c r="A37" s="66"/>
      <c r="B37" s="162"/>
      <c r="C37" s="162"/>
      <c r="D37" s="162"/>
      <c r="E37" s="162"/>
      <c r="F37" s="162"/>
      <c r="G37" s="162"/>
      <c r="H37" s="162"/>
      <c r="I37" s="162"/>
      <c r="J37" s="66"/>
      <c r="K37" s="66"/>
      <c r="L37" s="66"/>
      <c r="M37" s="66"/>
      <c r="N37" s="66"/>
      <c r="O37" s="66"/>
      <c r="P37" s="66"/>
      <c r="Q37" s="66"/>
      <c r="R37" s="66"/>
      <c r="S37" s="66"/>
      <c r="T37" s="66"/>
      <c r="U37" s="66"/>
      <c r="V37" s="66"/>
      <c r="W37" s="66"/>
      <c r="X37" s="66"/>
      <c r="Y37" s="66"/>
      <c r="Z37" s="66"/>
    </row>
    <row r="38" spans="1:26">
      <c r="A38" s="66"/>
      <c r="B38" s="162"/>
      <c r="C38" s="162"/>
      <c r="D38" s="162"/>
      <c r="E38" s="162"/>
      <c r="F38" s="162"/>
      <c r="G38" s="162"/>
      <c r="H38" s="162"/>
      <c r="I38" s="162"/>
      <c r="J38" s="66"/>
      <c r="K38" s="66"/>
      <c r="L38" s="66"/>
      <c r="M38" s="66"/>
      <c r="N38" s="66"/>
      <c r="O38" s="66"/>
      <c r="P38" s="66"/>
      <c r="Q38" s="66"/>
      <c r="R38" s="66"/>
      <c r="S38" s="66"/>
      <c r="T38" s="66"/>
      <c r="U38" s="66"/>
      <c r="V38" s="66"/>
      <c r="W38" s="66"/>
      <c r="X38" s="66"/>
      <c r="Y38" s="66"/>
      <c r="Z38" s="66"/>
    </row>
    <row r="39" spans="1:26">
      <c r="A39" s="66"/>
      <c r="B39" s="161" t="s">
        <v>252</v>
      </c>
      <c r="C39" s="162"/>
      <c r="D39" s="163" t="s">
        <v>253</v>
      </c>
      <c r="E39" s="162"/>
      <c r="F39" s="162"/>
      <c r="G39" s="162"/>
      <c r="H39" s="162"/>
      <c r="I39" s="162"/>
      <c r="J39" s="66"/>
      <c r="K39" s="66"/>
      <c r="L39" s="66"/>
      <c r="M39" s="66"/>
      <c r="N39" s="66"/>
      <c r="O39" s="66"/>
      <c r="P39" s="66"/>
      <c r="Q39" s="66"/>
      <c r="R39" s="66"/>
      <c r="S39" s="66"/>
      <c r="T39" s="66"/>
      <c r="U39" s="66"/>
      <c r="V39" s="66"/>
      <c r="W39" s="66"/>
      <c r="X39" s="66"/>
      <c r="Y39" s="66"/>
      <c r="Z39" s="66"/>
    </row>
    <row r="40" spans="1:26">
      <c r="A40" s="66"/>
      <c r="B40" s="162"/>
      <c r="C40" s="162"/>
      <c r="D40" s="162"/>
      <c r="E40" s="162"/>
      <c r="F40" s="162"/>
      <c r="G40" s="162"/>
      <c r="H40" s="162"/>
      <c r="I40" s="162"/>
      <c r="J40" s="66"/>
      <c r="K40" s="66"/>
      <c r="L40" s="66"/>
      <c r="M40" s="66"/>
      <c r="N40" s="66"/>
      <c r="O40" s="66"/>
      <c r="P40" s="66"/>
      <c r="Q40" s="66"/>
      <c r="R40" s="66"/>
      <c r="S40" s="66"/>
      <c r="T40" s="66"/>
      <c r="U40" s="66"/>
      <c r="V40" s="66"/>
      <c r="W40" s="66"/>
      <c r="X40" s="66"/>
      <c r="Y40" s="66"/>
      <c r="Z40" s="66"/>
    </row>
    <row r="41" spans="1:26">
      <c r="A41" s="66"/>
      <c r="B41" s="162"/>
      <c r="C41" s="162"/>
      <c r="D41" s="162"/>
      <c r="E41" s="162"/>
      <c r="F41" s="162"/>
      <c r="G41" s="162"/>
      <c r="H41" s="162"/>
      <c r="I41" s="162"/>
      <c r="J41" s="66"/>
      <c r="K41" s="66"/>
      <c r="L41" s="66"/>
      <c r="M41" s="66"/>
      <c r="N41" s="66"/>
      <c r="O41" s="66"/>
      <c r="P41" s="66"/>
      <c r="Q41" s="66"/>
      <c r="R41" s="66"/>
      <c r="S41" s="66"/>
      <c r="T41" s="66"/>
      <c r="U41" s="66"/>
      <c r="V41" s="66"/>
      <c r="W41" s="66"/>
      <c r="X41" s="66"/>
      <c r="Y41" s="66"/>
      <c r="Z41" s="66"/>
    </row>
    <row r="42" spans="1:26">
      <c r="A42" s="66"/>
      <c r="B42" s="162"/>
      <c r="C42" s="162"/>
      <c r="D42" s="162"/>
      <c r="E42" s="162"/>
      <c r="F42" s="162"/>
      <c r="G42" s="162"/>
      <c r="H42" s="162"/>
      <c r="I42" s="162"/>
      <c r="J42" s="66"/>
      <c r="K42" s="66"/>
      <c r="L42" s="66"/>
      <c r="M42" s="66"/>
      <c r="N42" s="66"/>
      <c r="O42" s="66"/>
      <c r="P42" s="66"/>
      <c r="Q42" s="66"/>
      <c r="R42" s="66"/>
      <c r="S42" s="66"/>
      <c r="T42" s="66"/>
      <c r="U42" s="66"/>
      <c r="V42" s="66"/>
      <c r="W42" s="66"/>
      <c r="X42" s="66"/>
      <c r="Y42" s="66"/>
      <c r="Z42" s="66"/>
    </row>
    <row r="43" spans="1:26">
      <c r="A43" s="66"/>
      <c r="B43" s="162"/>
      <c r="C43" s="162"/>
      <c r="D43" s="162"/>
      <c r="E43" s="162"/>
      <c r="F43" s="162"/>
      <c r="G43" s="162"/>
      <c r="H43" s="162"/>
      <c r="I43" s="162"/>
      <c r="J43" s="66"/>
      <c r="K43" s="66"/>
      <c r="L43" s="66"/>
      <c r="M43" s="66"/>
      <c r="N43" s="66"/>
      <c r="O43" s="66"/>
      <c r="P43" s="66"/>
      <c r="Q43" s="66"/>
      <c r="R43" s="66"/>
      <c r="S43" s="66"/>
      <c r="T43" s="66"/>
      <c r="U43" s="66"/>
      <c r="V43" s="66"/>
      <c r="W43" s="66"/>
      <c r="X43" s="66"/>
      <c r="Y43" s="66"/>
      <c r="Z43" s="66"/>
    </row>
    <row r="44" spans="1:26">
      <c r="A44" s="66"/>
      <c r="B44" s="162"/>
      <c r="C44" s="162"/>
      <c r="D44" s="162"/>
      <c r="E44" s="162"/>
      <c r="F44" s="162"/>
      <c r="G44" s="162"/>
      <c r="H44" s="162"/>
      <c r="I44" s="162"/>
      <c r="J44" s="66"/>
      <c r="K44" s="66"/>
      <c r="L44" s="66"/>
      <c r="M44" s="66"/>
      <c r="N44" s="66"/>
      <c r="O44" s="66"/>
      <c r="P44" s="66"/>
      <c r="Q44" s="66"/>
      <c r="R44" s="66"/>
      <c r="S44" s="66"/>
      <c r="T44" s="66"/>
      <c r="U44" s="66"/>
      <c r="V44" s="66"/>
      <c r="W44" s="66"/>
      <c r="X44" s="66"/>
      <c r="Y44" s="66"/>
      <c r="Z44" s="66"/>
    </row>
    <row r="45" spans="1:26">
      <c r="A45" s="66"/>
      <c r="B45" s="162"/>
      <c r="C45" s="162"/>
      <c r="D45" s="162"/>
      <c r="E45" s="162"/>
      <c r="F45" s="162"/>
      <c r="G45" s="162"/>
      <c r="H45" s="162"/>
      <c r="I45" s="162"/>
      <c r="J45" s="66"/>
      <c r="K45" s="66"/>
      <c r="L45" s="66"/>
      <c r="M45" s="66"/>
      <c r="N45" s="66"/>
      <c r="O45" s="66"/>
      <c r="P45" s="66"/>
      <c r="Q45" s="66"/>
      <c r="R45" s="66"/>
      <c r="S45" s="66"/>
      <c r="T45" s="66"/>
      <c r="U45" s="66"/>
      <c r="V45" s="66"/>
      <c r="W45" s="66"/>
      <c r="X45" s="66"/>
      <c r="Y45" s="66"/>
      <c r="Z45" s="66"/>
    </row>
    <row r="46" spans="1:26">
      <c r="A46" s="66"/>
      <c r="B46" s="162"/>
      <c r="C46" s="162"/>
      <c r="D46" s="162"/>
      <c r="E46" s="162"/>
      <c r="F46" s="162"/>
      <c r="G46" s="162"/>
      <c r="H46" s="162"/>
      <c r="I46" s="162"/>
      <c r="J46" s="66"/>
      <c r="K46" s="66"/>
      <c r="L46" s="66"/>
      <c r="M46" s="66"/>
      <c r="N46" s="66"/>
      <c r="O46" s="66"/>
      <c r="P46" s="66"/>
      <c r="Q46" s="66"/>
      <c r="R46" s="66"/>
      <c r="S46" s="66"/>
      <c r="T46" s="66"/>
      <c r="U46" s="66"/>
      <c r="V46" s="66"/>
      <c r="W46" s="66"/>
      <c r="X46" s="66"/>
      <c r="Y46" s="66"/>
      <c r="Z46" s="66"/>
    </row>
    <row r="47" spans="1:26">
      <c r="A47" s="66"/>
      <c r="B47" s="161" t="s">
        <v>254</v>
      </c>
      <c r="C47" s="162"/>
      <c r="D47" s="163" t="s">
        <v>255</v>
      </c>
      <c r="E47" s="162"/>
      <c r="F47" s="162"/>
      <c r="G47" s="162"/>
      <c r="H47" s="162"/>
      <c r="I47" s="162"/>
      <c r="J47" s="66"/>
      <c r="K47" s="66"/>
      <c r="L47" s="66"/>
      <c r="M47" s="66"/>
      <c r="N47" s="66"/>
      <c r="O47" s="66"/>
      <c r="P47" s="66"/>
      <c r="Q47" s="66"/>
      <c r="R47" s="66"/>
      <c r="S47" s="66"/>
      <c r="T47" s="66"/>
      <c r="U47" s="66"/>
      <c r="V47" s="66"/>
      <c r="W47" s="66"/>
      <c r="X47" s="66"/>
      <c r="Y47" s="66"/>
      <c r="Z47" s="66"/>
    </row>
    <row r="48" spans="1:26">
      <c r="A48" s="66"/>
      <c r="B48" s="162"/>
      <c r="C48" s="162"/>
      <c r="D48" s="162"/>
      <c r="E48" s="162"/>
      <c r="F48" s="162"/>
      <c r="G48" s="162"/>
      <c r="H48" s="162"/>
      <c r="I48" s="162"/>
      <c r="J48" s="66"/>
      <c r="K48" s="66"/>
      <c r="L48" s="66"/>
      <c r="M48" s="66"/>
      <c r="N48" s="66"/>
      <c r="O48" s="66"/>
      <c r="P48" s="66"/>
      <c r="Q48" s="66"/>
      <c r="R48" s="66"/>
      <c r="S48" s="66"/>
      <c r="T48" s="66"/>
      <c r="U48" s="66"/>
      <c r="V48" s="66"/>
      <c r="W48" s="66"/>
      <c r="X48" s="66"/>
      <c r="Y48" s="66"/>
      <c r="Z48" s="66"/>
    </row>
    <row r="49" spans="1:26">
      <c r="A49" s="66"/>
      <c r="B49" s="162"/>
      <c r="C49" s="162"/>
      <c r="D49" s="162"/>
      <c r="E49" s="162"/>
      <c r="F49" s="162"/>
      <c r="G49" s="162"/>
      <c r="H49" s="162"/>
      <c r="I49" s="162"/>
      <c r="J49" s="66"/>
      <c r="K49" s="66"/>
      <c r="L49" s="66"/>
      <c r="M49" s="66"/>
      <c r="N49" s="66"/>
      <c r="O49" s="66"/>
      <c r="P49" s="66"/>
      <c r="Q49" s="66"/>
      <c r="R49" s="66"/>
      <c r="S49" s="66"/>
      <c r="T49" s="66"/>
      <c r="U49" s="66"/>
      <c r="V49" s="66"/>
      <c r="W49" s="66"/>
      <c r="X49" s="66"/>
      <c r="Y49" s="66"/>
      <c r="Z49" s="66"/>
    </row>
    <row r="50" spans="1:26">
      <c r="A50" s="66"/>
      <c r="B50" s="162"/>
      <c r="C50" s="162"/>
      <c r="D50" s="162"/>
      <c r="E50" s="162"/>
      <c r="F50" s="162"/>
      <c r="G50" s="162"/>
      <c r="H50" s="162"/>
      <c r="I50" s="162"/>
      <c r="J50" s="66"/>
      <c r="K50" s="66"/>
      <c r="L50" s="66"/>
      <c r="M50" s="66"/>
      <c r="N50" s="66"/>
      <c r="O50" s="66"/>
      <c r="P50" s="66"/>
      <c r="Q50" s="66"/>
      <c r="R50" s="66"/>
      <c r="S50" s="66"/>
      <c r="T50" s="66"/>
      <c r="U50" s="66"/>
      <c r="V50" s="66"/>
      <c r="W50" s="66"/>
      <c r="X50" s="66"/>
      <c r="Y50" s="66"/>
      <c r="Z50" s="66"/>
    </row>
    <row r="51" spans="1:26">
      <c r="A51" s="66"/>
      <c r="B51" s="162"/>
      <c r="C51" s="162"/>
      <c r="D51" s="162"/>
      <c r="E51" s="162"/>
      <c r="F51" s="162"/>
      <c r="G51" s="162"/>
      <c r="H51" s="162"/>
      <c r="I51" s="162"/>
      <c r="J51" s="66"/>
      <c r="K51" s="66"/>
      <c r="L51" s="66"/>
      <c r="M51" s="66"/>
      <c r="N51" s="66"/>
      <c r="O51" s="66"/>
      <c r="P51" s="66"/>
      <c r="Q51" s="66"/>
      <c r="R51" s="66"/>
      <c r="S51" s="66"/>
      <c r="T51" s="66"/>
      <c r="U51" s="66"/>
      <c r="V51" s="66"/>
      <c r="W51" s="66"/>
      <c r="X51" s="66"/>
      <c r="Y51" s="66"/>
      <c r="Z51" s="66"/>
    </row>
    <row r="52" spans="1:26">
      <c r="A52" s="66"/>
      <c r="B52" s="162"/>
      <c r="C52" s="162"/>
      <c r="D52" s="162"/>
      <c r="E52" s="162"/>
      <c r="F52" s="162"/>
      <c r="G52" s="162"/>
      <c r="H52" s="162"/>
      <c r="I52" s="162"/>
      <c r="J52" s="66"/>
      <c r="K52" s="66"/>
      <c r="L52" s="66"/>
      <c r="M52" s="66"/>
      <c r="N52" s="66"/>
      <c r="O52" s="66"/>
      <c r="P52" s="66"/>
      <c r="Q52" s="66"/>
      <c r="R52" s="66"/>
      <c r="S52" s="66"/>
      <c r="T52" s="66"/>
      <c r="U52" s="66"/>
      <c r="V52" s="66"/>
      <c r="W52" s="66"/>
      <c r="X52" s="66"/>
      <c r="Y52" s="66"/>
      <c r="Z52" s="66"/>
    </row>
    <row r="53" spans="1:26">
      <c r="A53" s="66"/>
      <c r="B53" s="162"/>
      <c r="C53" s="162"/>
      <c r="D53" s="162"/>
      <c r="E53" s="162"/>
      <c r="F53" s="162"/>
      <c r="G53" s="162"/>
      <c r="H53" s="162"/>
      <c r="I53" s="162"/>
      <c r="J53" s="66"/>
      <c r="K53" s="66"/>
      <c r="L53" s="66"/>
      <c r="M53" s="66"/>
      <c r="N53" s="66"/>
      <c r="O53" s="66"/>
      <c r="P53" s="66"/>
      <c r="Q53" s="66"/>
      <c r="R53" s="66"/>
      <c r="S53" s="66"/>
      <c r="T53" s="66"/>
      <c r="U53" s="66"/>
      <c r="V53" s="66"/>
      <c r="W53" s="66"/>
      <c r="X53" s="66"/>
      <c r="Y53" s="66"/>
      <c r="Z53" s="66"/>
    </row>
    <row r="54" spans="1:26">
      <c r="A54" s="66"/>
      <c r="B54" s="162"/>
      <c r="C54" s="162"/>
      <c r="D54" s="162"/>
      <c r="E54" s="162"/>
      <c r="F54" s="162"/>
      <c r="G54" s="162"/>
      <c r="H54" s="162"/>
      <c r="I54" s="162"/>
      <c r="J54" s="66"/>
      <c r="K54" s="66"/>
      <c r="L54" s="66"/>
      <c r="M54" s="66"/>
      <c r="N54" s="66"/>
      <c r="O54" s="66"/>
      <c r="P54" s="66"/>
      <c r="Q54" s="66"/>
      <c r="R54" s="66"/>
      <c r="S54" s="66"/>
      <c r="T54" s="66"/>
      <c r="U54" s="66"/>
      <c r="V54" s="66"/>
      <c r="W54" s="66"/>
      <c r="X54" s="66"/>
      <c r="Y54" s="66"/>
      <c r="Z54" s="66"/>
    </row>
    <row r="55" spans="1:26">
      <c r="A55" s="66"/>
      <c r="B55" s="161" t="s">
        <v>256</v>
      </c>
      <c r="C55" s="162"/>
      <c r="D55" s="163" t="s">
        <v>257</v>
      </c>
      <c r="E55" s="162"/>
      <c r="F55" s="162"/>
      <c r="G55" s="162"/>
      <c r="H55" s="162"/>
      <c r="I55" s="162"/>
      <c r="J55" s="66"/>
      <c r="K55" s="66"/>
      <c r="L55" s="66"/>
      <c r="M55" s="66"/>
      <c r="N55" s="66"/>
      <c r="O55" s="66"/>
      <c r="P55" s="66"/>
      <c r="Q55" s="66"/>
      <c r="R55" s="66"/>
      <c r="S55" s="66"/>
      <c r="T55" s="66"/>
      <c r="U55" s="66"/>
      <c r="V55" s="66"/>
      <c r="W55" s="66"/>
      <c r="X55" s="66"/>
      <c r="Y55" s="66"/>
      <c r="Z55" s="66"/>
    </row>
    <row r="56" spans="1:26">
      <c r="A56" s="66"/>
      <c r="B56" s="162"/>
      <c r="C56" s="162"/>
      <c r="D56" s="162"/>
      <c r="E56" s="162"/>
      <c r="F56" s="162"/>
      <c r="G56" s="162"/>
      <c r="H56" s="162"/>
      <c r="I56" s="162"/>
      <c r="J56" s="66"/>
      <c r="K56" s="66"/>
      <c r="L56" s="66"/>
      <c r="M56" s="66"/>
      <c r="N56" s="66"/>
      <c r="O56" s="66"/>
      <c r="P56" s="66"/>
      <c r="Q56" s="66"/>
      <c r="R56" s="66"/>
      <c r="S56" s="66"/>
      <c r="T56" s="66"/>
      <c r="U56" s="66"/>
      <c r="V56" s="66"/>
      <c r="W56" s="66"/>
      <c r="X56" s="66"/>
      <c r="Y56" s="66"/>
      <c r="Z56" s="66"/>
    </row>
    <row r="57" spans="1:26">
      <c r="A57" s="66"/>
      <c r="B57" s="162"/>
      <c r="C57" s="162"/>
      <c r="D57" s="162"/>
      <c r="E57" s="162"/>
      <c r="F57" s="162"/>
      <c r="G57" s="162"/>
      <c r="H57" s="162"/>
      <c r="I57" s="162"/>
      <c r="J57" s="66"/>
      <c r="K57" s="66"/>
      <c r="L57" s="66"/>
      <c r="M57" s="66"/>
      <c r="N57" s="66"/>
      <c r="O57" s="66"/>
      <c r="P57" s="66"/>
      <c r="Q57" s="66"/>
      <c r="R57" s="66"/>
      <c r="S57" s="66"/>
      <c r="T57" s="66"/>
      <c r="U57" s="66"/>
      <c r="V57" s="66"/>
      <c r="W57" s="66"/>
      <c r="X57" s="66"/>
      <c r="Y57" s="66"/>
      <c r="Z57" s="66"/>
    </row>
    <row r="58" spans="1:26">
      <c r="A58" s="66"/>
      <c r="B58" s="162"/>
      <c r="C58" s="162"/>
      <c r="D58" s="162"/>
      <c r="E58" s="162"/>
      <c r="F58" s="162"/>
      <c r="G58" s="162"/>
      <c r="H58" s="162"/>
      <c r="I58" s="162"/>
      <c r="J58" s="66"/>
      <c r="K58" s="66"/>
      <c r="L58" s="66"/>
      <c r="M58" s="66"/>
      <c r="N58" s="66"/>
      <c r="O58" s="66"/>
      <c r="P58" s="66"/>
      <c r="Q58" s="66"/>
      <c r="R58" s="66"/>
      <c r="S58" s="66"/>
      <c r="T58" s="66"/>
      <c r="U58" s="66"/>
      <c r="V58" s="66"/>
      <c r="W58" s="66"/>
      <c r="X58" s="66"/>
      <c r="Y58" s="66"/>
      <c r="Z58" s="66"/>
    </row>
    <row r="59" spans="1:26">
      <c r="A59" s="66"/>
      <c r="B59" s="162"/>
      <c r="C59" s="162"/>
      <c r="D59" s="162"/>
      <c r="E59" s="162"/>
      <c r="F59" s="162"/>
      <c r="G59" s="162"/>
      <c r="H59" s="162"/>
      <c r="I59" s="162"/>
      <c r="J59" s="66"/>
      <c r="K59" s="66"/>
      <c r="L59" s="66"/>
      <c r="M59" s="66"/>
      <c r="N59" s="66"/>
      <c r="O59" s="66"/>
      <c r="P59" s="66"/>
      <c r="Q59" s="66"/>
      <c r="R59" s="66"/>
      <c r="S59" s="66"/>
      <c r="T59" s="66"/>
      <c r="U59" s="66"/>
      <c r="V59" s="66"/>
      <c r="W59" s="66"/>
      <c r="X59" s="66"/>
      <c r="Y59" s="66"/>
      <c r="Z59" s="66"/>
    </row>
    <row r="60" spans="1:26">
      <c r="A60" s="66"/>
      <c r="B60" s="162"/>
      <c r="C60" s="162"/>
      <c r="D60" s="162"/>
      <c r="E60" s="162"/>
      <c r="F60" s="162"/>
      <c r="G60" s="162"/>
      <c r="H60" s="162"/>
      <c r="I60" s="162"/>
      <c r="J60" s="66"/>
      <c r="K60" s="66"/>
      <c r="L60" s="66"/>
      <c r="M60" s="66"/>
      <c r="N60" s="66"/>
      <c r="O60" s="66"/>
      <c r="P60" s="66"/>
      <c r="Q60" s="66"/>
      <c r="R60" s="66"/>
      <c r="S60" s="66"/>
      <c r="T60" s="66"/>
      <c r="U60" s="66"/>
      <c r="V60" s="66"/>
      <c r="W60" s="66"/>
      <c r="X60" s="66"/>
      <c r="Y60" s="66"/>
      <c r="Z60" s="66"/>
    </row>
    <row r="61" spans="1:26">
      <c r="A61" s="66"/>
      <c r="B61" s="162"/>
      <c r="C61" s="162"/>
      <c r="D61" s="162"/>
      <c r="E61" s="162"/>
      <c r="F61" s="162"/>
      <c r="G61" s="162"/>
      <c r="H61" s="162"/>
      <c r="I61" s="162"/>
      <c r="J61" s="66"/>
      <c r="K61" s="66"/>
      <c r="L61" s="66"/>
      <c r="M61" s="66"/>
      <c r="N61" s="66"/>
      <c r="O61" s="66"/>
      <c r="P61" s="66"/>
      <c r="Q61" s="66"/>
      <c r="R61" s="66"/>
      <c r="S61" s="66"/>
      <c r="T61" s="66"/>
      <c r="U61" s="66"/>
      <c r="V61" s="66"/>
      <c r="W61" s="66"/>
      <c r="X61" s="66"/>
      <c r="Y61" s="66"/>
      <c r="Z61" s="66"/>
    </row>
    <row r="62" spans="1:26">
      <c r="A62" s="66"/>
      <c r="B62" s="162"/>
      <c r="C62" s="162"/>
      <c r="D62" s="162"/>
      <c r="E62" s="162"/>
      <c r="F62" s="162"/>
      <c r="G62" s="162"/>
      <c r="H62" s="162"/>
      <c r="I62" s="162"/>
      <c r="J62" s="66"/>
      <c r="K62" s="66"/>
      <c r="L62" s="66"/>
      <c r="M62" s="66"/>
      <c r="N62" s="66"/>
      <c r="O62" s="66"/>
      <c r="P62" s="66"/>
      <c r="Q62" s="66"/>
      <c r="R62" s="66"/>
      <c r="S62" s="66"/>
      <c r="T62" s="66"/>
      <c r="U62" s="66"/>
      <c r="V62" s="66"/>
      <c r="W62" s="66"/>
      <c r="X62" s="66"/>
      <c r="Y62" s="66"/>
      <c r="Z62" s="66"/>
    </row>
    <row r="63" spans="1:26">
      <c r="A63" s="66"/>
      <c r="B63" s="161" t="s">
        <v>258</v>
      </c>
      <c r="C63" s="162"/>
      <c r="D63" s="163" t="s">
        <v>259</v>
      </c>
      <c r="E63" s="162"/>
      <c r="F63" s="162"/>
      <c r="G63" s="162"/>
      <c r="H63" s="162"/>
      <c r="I63" s="162"/>
      <c r="J63" s="66"/>
      <c r="K63" s="66"/>
      <c r="L63" s="66"/>
      <c r="M63" s="66"/>
      <c r="N63" s="66"/>
      <c r="O63" s="66"/>
      <c r="P63" s="66"/>
      <c r="Q63" s="66"/>
      <c r="R63" s="66"/>
      <c r="S63" s="66"/>
      <c r="T63" s="66"/>
      <c r="U63" s="66"/>
      <c r="V63" s="66"/>
      <c r="W63" s="66"/>
      <c r="X63" s="66"/>
      <c r="Y63" s="66"/>
      <c r="Z63" s="66"/>
    </row>
    <row r="64" spans="1:26">
      <c r="A64" s="66"/>
      <c r="B64" s="162"/>
      <c r="C64" s="162"/>
      <c r="D64" s="162"/>
      <c r="E64" s="162"/>
      <c r="F64" s="162"/>
      <c r="G64" s="162"/>
      <c r="H64" s="162"/>
      <c r="I64" s="162"/>
      <c r="J64" s="66"/>
      <c r="K64" s="66"/>
      <c r="L64" s="66"/>
      <c r="M64" s="66"/>
      <c r="N64" s="66"/>
      <c r="O64" s="66"/>
      <c r="P64" s="66"/>
      <c r="Q64" s="66"/>
      <c r="R64" s="66"/>
      <c r="S64" s="66"/>
      <c r="T64" s="66"/>
      <c r="U64" s="66"/>
      <c r="V64" s="66"/>
      <c r="W64" s="66"/>
      <c r="X64" s="66"/>
      <c r="Y64" s="66"/>
      <c r="Z64" s="66"/>
    </row>
    <row r="65" spans="1:26">
      <c r="A65" s="66"/>
      <c r="B65" s="162"/>
      <c r="C65" s="162"/>
      <c r="D65" s="162"/>
      <c r="E65" s="162"/>
      <c r="F65" s="162"/>
      <c r="G65" s="162"/>
      <c r="H65" s="162"/>
      <c r="I65" s="162"/>
      <c r="J65" s="66"/>
      <c r="K65" s="66"/>
      <c r="L65" s="66"/>
      <c r="M65" s="66"/>
      <c r="N65" s="66"/>
      <c r="O65" s="66"/>
      <c r="P65" s="66"/>
      <c r="Q65" s="66"/>
      <c r="R65" s="66"/>
      <c r="S65" s="66"/>
      <c r="T65" s="66"/>
      <c r="U65" s="66"/>
      <c r="V65" s="66"/>
      <c r="W65" s="66"/>
      <c r="X65" s="66"/>
      <c r="Y65" s="66"/>
      <c r="Z65" s="66"/>
    </row>
    <row r="66" spans="1:26">
      <c r="A66" s="66"/>
      <c r="B66" s="162"/>
      <c r="C66" s="162"/>
      <c r="D66" s="162"/>
      <c r="E66" s="162"/>
      <c r="F66" s="162"/>
      <c r="G66" s="162"/>
      <c r="H66" s="162"/>
      <c r="I66" s="162"/>
      <c r="J66" s="66"/>
      <c r="K66" s="66"/>
      <c r="L66" s="66"/>
      <c r="M66" s="66"/>
      <c r="N66" s="66"/>
      <c r="O66" s="66"/>
      <c r="P66" s="66"/>
      <c r="Q66" s="66"/>
      <c r="R66" s="66"/>
      <c r="S66" s="66"/>
      <c r="T66" s="66"/>
      <c r="U66" s="66"/>
      <c r="V66" s="66"/>
      <c r="W66" s="66"/>
      <c r="X66" s="66"/>
      <c r="Y66" s="66"/>
      <c r="Z66" s="66"/>
    </row>
    <row r="67" spans="1:26">
      <c r="A67" s="66"/>
      <c r="B67" s="162"/>
      <c r="C67" s="162"/>
      <c r="D67" s="162"/>
      <c r="E67" s="162"/>
      <c r="F67" s="162"/>
      <c r="G67" s="162"/>
      <c r="H67" s="162"/>
      <c r="I67" s="162"/>
      <c r="J67" s="66"/>
      <c r="K67" s="66"/>
      <c r="L67" s="66"/>
      <c r="M67" s="66"/>
      <c r="N67" s="66"/>
      <c r="O67" s="66"/>
      <c r="P67" s="66"/>
      <c r="Q67" s="66"/>
      <c r="R67" s="66"/>
      <c r="S67" s="66"/>
      <c r="T67" s="66"/>
      <c r="U67" s="66"/>
      <c r="V67" s="66"/>
      <c r="W67" s="66"/>
      <c r="X67" s="66"/>
      <c r="Y67" s="66"/>
      <c r="Z67" s="66"/>
    </row>
    <row r="68" spans="1:26">
      <c r="A68" s="66"/>
      <c r="B68" s="162"/>
      <c r="C68" s="162"/>
      <c r="D68" s="162"/>
      <c r="E68" s="162"/>
      <c r="F68" s="162"/>
      <c r="G68" s="162"/>
      <c r="H68" s="162"/>
      <c r="I68" s="162"/>
      <c r="J68" s="66"/>
      <c r="K68" s="66"/>
      <c r="L68" s="66"/>
      <c r="M68" s="66"/>
      <c r="N68" s="66"/>
      <c r="O68" s="66"/>
      <c r="P68" s="66"/>
      <c r="Q68" s="66"/>
      <c r="R68" s="66"/>
      <c r="S68" s="66"/>
      <c r="T68" s="66"/>
      <c r="U68" s="66"/>
      <c r="V68" s="66"/>
      <c r="W68" s="66"/>
      <c r="X68" s="66"/>
      <c r="Y68" s="66"/>
      <c r="Z68" s="66"/>
    </row>
    <row r="69" spans="1:26">
      <c r="A69" s="66"/>
      <c r="B69" s="162"/>
      <c r="C69" s="162"/>
      <c r="D69" s="162"/>
      <c r="E69" s="162"/>
      <c r="F69" s="162"/>
      <c r="G69" s="162"/>
      <c r="H69" s="162"/>
      <c r="I69" s="162"/>
      <c r="J69" s="66"/>
      <c r="K69" s="66"/>
      <c r="L69" s="66"/>
      <c r="M69" s="66"/>
      <c r="N69" s="66"/>
      <c r="O69" s="66"/>
      <c r="P69" s="66"/>
      <c r="Q69" s="66"/>
      <c r="R69" s="66"/>
      <c r="S69" s="66"/>
      <c r="T69" s="66"/>
      <c r="U69" s="66"/>
      <c r="V69" s="66"/>
      <c r="W69" s="66"/>
      <c r="X69" s="66"/>
      <c r="Y69" s="66"/>
      <c r="Z69" s="66"/>
    </row>
    <row r="70" spans="1:26">
      <c r="A70" s="66"/>
      <c r="B70" s="162"/>
      <c r="C70" s="162"/>
      <c r="D70" s="162"/>
      <c r="E70" s="162"/>
      <c r="F70" s="162"/>
      <c r="G70" s="162"/>
      <c r="H70" s="162"/>
      <c r="I70" s="162"/>
      <c r="J70" s="66"/>
      <c r="K70" s="66"/>
      <c r="L70" s="66"/>
      <c r="M70" s="66"/>
      <c r="N70" s="66"/>
      <c r="O70" s="66"/>
      <c r="P70" s="66"/>
      <c r="Q70" s="66"/>
      <c r="R70" s="66"/>
      <c r="S70" s="66"/>
      <c r="T70" s="66"/>
      <c r="U70" s="66"/>
      <c r="V70" s="66"/>
      <c r="W70" s="66"/>
      <c r="X70" s="66"/>
      <c r="Y70" s="66"/>
      <c r="Z70" s="66"/>
    </row>
    <row r="71" spans="1:26">
      <c r="A71" s="66"/>
      <c r="B71" s="66"/>
      <c r="C71" s="66"/>
      <c r="D71" s="74"/>
      <c r="E71" s="74"/>
      <c r="F71" s="74"/>
      <c r="G71" s="74"/>
      <c r="H71" s="74"/>
      <c r="I71" s="74"/>
      <c r="J71" s="66"/>
      <c r="K71" s="66"/>
      <c r="L71" s="66"/>
      <c r="M71" s="66"/>
      <c r="N71" s="66"/>
      <c r="O71" s="66"/>
      <c r="P71" s="66"/>
      <c r="Q71" s="66"/>
      <c r="R71" s="66"/>
      <c r="S71" s="66"/>
      <c r="T71" s="66"/>
      <c r="U71" s="66"/>
      <c r="V71" s="66"/>
      <c r="W71" s="66"/>
      <c r="X71" s="66"/>
      <c r="Y71" s="66"/>
      <c r="Z71" s="66"/>
    </row>
    <row r="72" spans="1:26">
      <c r="A72" s="66"/>
      <c r="B72" s="66"/>
      <c r="C72" s="66"/>
      <c r="D72" s="74"/>
      <c r="E72" s="74"/>
      <c r="F72" s="74"/>
      <c r="G72" s="74"/>
      <c r="H72" s="74"/>
      <c r="I72" s="74"/>
      <c r="J72" s="66"/>
      <c r="K72" s="66"/>
      <c r="L72" s="66"/>
      <c r="M72" s="66"/>
      <c r="N72" s="66"/>
      <c r="O72" s="66"/>
      <c r="P72" s="66"/>
      <c r="Q72" s="66"/>
      <c r="R72" s="66"/>
      <c r="S72" s="66"/>
      <c r="T72" s="66"/>
      <c r="U72" s="66"/>
      <c r="V72" s="66"/>
      <c r="W72" s="66"/>
      <c r="X72" s="66"/>
      <c r="Y72" s="66"/>
      <c r="Z72" s="66"/>
    </row>
    <row r="73" spans="1:26">
      <c r="A73" s="66"/>
      <c r="B73" s="66"/>
      <c r="C73" s="66"/>
      <c r="D73" s="74"/>
      <c r="E73" s="74"/>
      <c r="F73" s="74"/>
      <c r="G73" s="74"/>
      <c r="H73" s="74"/>
      <c r="I73" s="74"/>
      <c r="J73" s="66"/>
      <c r="K73" s="66"/>
      <c r="L73" s="66"/>
      <c r="M73" s="66"/>
      <c r="N73" s="66"/>
      <c r="O73" s="66"/>
      <c r="P73" s="66"/>
      <c r="Q73" s="66"/>
      <c r="R73" s="66"/>
      <c r="S73" s="66"/>
      <c r="T73" s="66"/>
      <c r="U73" s="66"/>
      <c r="V73" s="66"/>
      <c r="W73" s="66"/>
      <c r="X73" s="66"/>
      <c r="Y73" s="66"/>
      <c r="Z73" s="66"/>
    </row>
    <row r="74" spans="1:26">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spans="1:26">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spans="1:2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spans="1:26">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spans="1:26">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spans="1:26">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spans="1:26">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spans="1:26">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spans="1:26">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spans="1:26">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spans="1:26">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spans="1:26">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spans="1:26">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spans="1:26">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spans="1:26">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spans="1:26">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spans="1:26">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spans="1:26">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spans="1:26">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spans="1:26">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spans="1:26">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spans="1:26">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spans="1:26">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spans="1:26">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spans="1:26">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spans="1:26">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spans="1:26">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spans="1:26">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spans="1:26">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spans="1:26">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spans="1:26">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spans="1:26">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spans="1:26">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spans="1:26">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spans="1:26">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spans="1:26">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spans="1:2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spans="1:26">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spans="1:26">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spans="1:26">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spans="1:26">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spans="1:26">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spans="1:26">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spans="1:26">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spans="1:26">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spans="1:26">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spans="1:2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spans="1:26">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spans="1:26">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spans="1:26">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spans="1:26">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spans="1:26">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spans="1:26">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spans="1:26">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spans="1:26">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spans="1:26">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spans="1:2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spans="1:26">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spans="1:26">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spans="1:26">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spans="1:26">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spans="1:26">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spans="1:26">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spans="1:26">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spans="1:26">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spans="1:26">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spans="1:2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spans="1:26">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sheetData>
  <mergeCells count="18">
    <mergeCell ref="B2:C9"/>
    <mergeCell ref="D2:I9"/>
    <mergeCell ref="B10:C17"/>
    <mergeCell ref="D10:I17"/>
    <mergeCell ref="D23:I30"/>
    <mergeCell ref="B18:C22"/>
    <mergeCell ref="D18:I22"/>
    <mergeCell ref="B23:C30"/>
    <mergeCell ref="B63:C70"/>
    <mergeCell ref="D31:I38"/>
    <mergeCell ref="D39:I46"/>
    <mergeCell ref="D47:I54"/>
    <mergeCell ref="D55:I62"/>
    <mergeCell ref="D63:I70"/>
    <mergeCell ref="B31:C38"/>
    <mergeCell ref="B39:C46"/>
    <mergeCell ref="B47:C54"/>
    <mergeCell ref="B55:C62"/>
  </mergeCells>
  <hyperlinks>
    <hyperlink ref="P19" r:id="rId1" xr:uid="{00000000-0004-0000-0500-000000000000}"/>
    <hyperlink ref="Q19" r:id="rId2" xr:uid="{00000000-0004-0000-0500-000001000000}"/>
    <hyperlink ref="R19" r:id="rId3" xr:uid="{00000000-0004-0000-0500-000002000000}"/>
    <hyperlink ref="S19" r:id="rId4" xr:uid="{00000000-0004-0000-0500-000003000000}"/>
    <hyperlink ref="T19" r:id="rId5" xr:uid="{00000000-0004-0000-0500-000004000000}"/>
    <hyperlink ref="U19" r:id="rId6" xr:uid="{00000000-0004-0000-0500-000005000000}"/>
    <hyperlink ref="V19" r:id="rId7" xr:uid="{00000000-0004-0000-0500-000006000000}"/>
    <hyperlink ref="P20" r:id="rId8" xr:uid="{00000000-0004-0000-0500-000007000000}"/>
    <hyperlink ref="Q20" r:id="rId9" xr:uid="{00000000-0004-0000-0500-000008000000}"/>
    <hyperlink ref="R20" r:id="rId10" xr:uid="{00000000-0004-0000-0500-000009000000}"/>
    <hyperlink ref="S20" r:id="rId11" xr:uid="{00000000-0004-0000-0500-00000A000000}"/>
    <hyperlink ref="U20" r:id="rId12" xr:uid="{00000000-0004-0000-0500-00000B000000}"/>
    <hyperlink ref="V20" r:id="rId13" xr:uid="{00000000-0004-0000-0500-00000C000000}"/>
    <hyperlink ref="P21" r:id="rId14" xr:uid="{00000000-0004-0000-0500-00000D000000}"/>
    <hyperlink ref="Q21" r:id="rId15" xr:uid="{00000000-0004-0000-0500-00000E000000}"/>
    <hyperlink ref="R21" r:id="rId16" xr:uid="{00000000-0004-0000-0500-00000F000000}"/>
    <hyperlink ref="S21" r:id="rId17" xr:uid="{00000000-0004-0000-0500-000010000000}"/>
    <hyperlink ref="U21" r:id="rId18" xr:uid="{00000000-0004-0000-0500-000011000000}"/>
    <hyperlink ref="V21" r:id="rId19" xr:uid="{00000000-0004-0000-0500-000012000000}"/>
    <hyperlink ref="Q22" r:id="rId20" xr:uid="{00000000-0004-0000-0500-000013000000}"/>
    <hyperlink ref="S22" r:id="rId21" xr:uid="{00000000-0004-0000-0500-000014000000}"/>
    <hyperlink ref="T22" r:id="rId22" xr:uid="{00000000-0004-0000-0500-000015000000}"/>
    <hyperlink ref="U22" r:id="rId23" xr:uid="{00000000-0004-0000-0500-000016000000}"/>
    <hyperlink ref="V22" r:id="rId24" xr:uid="{00000000-0004-0000-0500-000017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outlinePr summaryBelow="0" summaryRight="0"/>
  </sheetPr>
  <dimension ref="A1:Z958"/>
  <sheetViews>
    <sheetView showGridLines="0" topLeftCell="A4" workbookViewId="0"/>
  </sheetViews>
  <sheetFormatPr baseColWidth="10" defaultColWidth="14.42578125" defaultRowHeight="15" customHeight="1"/>
  <cols>
    <col min="1" max="1" width="5" customWidth="1"/>
  </cols>
  <sheetData>
    <row r="1" spans="1:26">
      <c r="A1" s="66"/>
      <c r="B1" s="66"/>
      <c r="C1" s="66"/>
      <c r="D1" s="66"/>
      <c r="E1" s="66"/>
      <c r="F1" s="66"/>
      <c r="G1" s="66"/>
      <c r="H1" s="66"/>
      <c r="I1" s="66"/>
      <c r="J1" s="66"/>
      <c r="K1" s="66"/>
      <c r="L1" s="66"/>
      <c r="M1" s="66"/>
      <c r="N1" s="66"/>
      <c r="O1" s="66"/>
      <c r="P1" s="66"/>
      <c r="Q1" s="66"/>
      <c r="R1" s="66"/>
      <c r="S1" s="66"/>
      <c r="T1" s="66"/>
      <c r="U1" s="66"/>
      <c r="V1" s="66"/>
      <c r="W1" s="66"/>
      <c r="X1" s="66"/>
      <c r="Y1" s="66"/>
      <c r="Z1" s="66"/>
    </row>
    <row r="2" spans="1:26">
      <c r="A2" s="66"/>
      <c r="B2" s="164" t="s">
        <v>260</v>
      </c>
      <c r="C2" s="162"/>
      <c r="D2" s="163" t="s">
        <v>261</v>
      </c>
      <c r="E2" s="162"/>
      <c r="F2" s="162"/>
      <c r="G2" s="162"/>
      <c r="H2" s="162"/>
      <c r="I2" s="162"/>
      <c r="J2" s="66"/>
      <c r="K2" s="66"/>
      <c r="L2" s="66"/>
      <c r="M2" s="66"/>
      <c r="N2" s="66"/>
      <c r="O2" s="66"/>
      <c r="P2" s="66"/>
      <c r="Q2" s="66"/>
      <c r="R2" s="66"/>
      <c r="S2" s="66"/>
      <c r="T2" s="66"/>
      <c r="U2" s="66"/>
      <c r="V2" s="66"/>
      <c r="W2" s="66"/>
      <c r="X2" s="66"/>
      <c r="Y2" s="66"/>
      <c r="Z2" s="66"/>
    </row>
    <row r="3" spans="1:26">
      <c r="A3" s="66"/>
      <c r="B3" s="162"/>
      <c r="C3" s="162"/>
      <c r="D3" s="162"/>
      <c r="E3" s="162"/>
      <c r="F3" s="162"/>
      <c r="G3" s="162"/>
      <c r="H3" s="162"/>
      <c r="I3" s="162"/>
      <c r="J3" s="66"/>
      <c r="K3" s="66"/>
      <c r="L3" s="66"/>
      <c r="M3" s="66"/>
      <c r="N3" s="66"/>
      <c r="O3" s="66"/>
      <c r="P3" s="66"/>
      <c r="Q3" s="66"/>
      <c r="R3" s="66"/>
      <c r="S3" s="66"/>
      <c r="T3" s="66"/>
      <c r="U3" s="66"/>
      <c r="V3" s="66"/>
      <c r="W3" s="66"/>
      <c r="X3" s="66"/>
      <c r="Y3" s="66"/>
      <c r="Z3" s="66"/>
    </row>
    <row r="4" spans="1:26">
      <c r="A4" s="66"/>
      <c r="B4" s="162"/>
      <c r="C4" s="162"/>
      <c r="D4" s="162"/>
      <c r="E4" s="162"/>
      <c r="F4" s="162"/>
      <c r="G4" s="162"/>
      <c r="H4" s="162"/>
      <c r="I4" s="162"/>
      <c r="J4" s="66"/>
      <c r="K4" s="66"/>
      <c r="L4" s="66"/>
      <c r="M4" s="66"/>
      <c r="N4" s="66"/>
      <c r="O4" s="66"/>
      <c r="P4" s="66"/>
      <c r="Q4" s="66"/>
      <c r="R4" s="66"/>
      <c r="S4" s="66"/>
      <c r="T4" s="66"/>
      <c r="U4" s="66"/>
      <c r="V4" s="66"/>
      <c r="W4" s="66"/>
      <c r="X4" s="66"/>
      <c r="Y4" s="66"/>
      <c r="Z4" s="66"/>
    </row>
    <row r="5" spans="1:26">
      <c r="A5" s="66"/>
      <c r="B5" s="162"/>
      <c r="C5" s="162"/>
      <c r="D5" s="162"/>
      <c r="E5" s="162"/>
      <c r="F5" s="162"/>
      <c r="G5" s="162"/>
      <c r="H5" s="162"/>
      <c r="I5" s="162"/>
      <c r="J5" s="66"/>
      <c r="K5" s="66"/>
      <c r="L5" s="66"/>
      <c r="M5" s="66"/>
      <c r="N5" s="66"/>
      <c r="O5" s="66"/>
      <c r="P5" s="66"/>
      <c r="Q5" s="66"/>
      <c r="R5" s="66"/>
      <c r="S5" s="66"/>
      <c r="T5" s="66"/>
      <c r="U5" s="66"/>
      <c r="V5" s="66"/>
      <c r="W5" s="66"/>
      <c r="X5" s="66"/>
      <c r="Y5" s="66"/>
      <c r="Z5" s="66"/>
    </row>
    <row r="6" spans="1:26">
      <c r="A6" s="66"/>
      <c r="B6" s="162"/>
      <c r="C6" s="162"/>
      <c r="D6" s="162"/>
      <c r="E6" s="162"/>
      <c r="F6" s="162"/>
      <c r="G6" s="162"/>
      <c r="H6" s="162"/>
      <c r="I6" s="162"/>
      <c r="J6" s="66"/>
      <c r="K6" s="76"/>
      <c r="L6" s="66"/>
      <c r="M6" s="66"/>
      <c r="N6" s="66"/>
      <c r="O6" s="66"/>
      <c r="P6" s="66"/>
      <c r="Q6" s="66"/>
      <c r="R6" s="66"/>
      <c r="S6" s="66"/>
      <c r="T6" s="66"/>
      <c r="U6" s="66"/>
      <c r="V6" s="66"/>
      <c r="W6" s="66"/>
      <c r="X6" s="66"/>
      <c r="Y6" s="66"/>
      <c r="Z6" s="66"/>
    </row>
    <row r="7" spans="1:26">
      <c r="A7" s="66"/>
      <c r="B7" s="162"/>
      <c r="C7" s="162"/>
      <c r="D7" s="162"/>
      <c r="E7" s="162"/>
      <c r="F7" s="162"/>
      <c r="G7" s="162"/>
      <c r="H7" s="162"/>
      <c r="I7" s="162"/>
      <c r="J7" s="66"/>
      <c r="K7" s="66"/>
      <c r="L7" s="66"/>
      <c r="M7" s="66"/>
      <c r="N7" s="66"/>
      <c r="O7" s="66"/>
      <c r="P7" s="66"/>
      <c r="Q7" s="66"/>
      <c r="R7" s="66"/>
      <c r="S7" s="66"/>
      <c r="T7" s="66"/>
      <c r="U7" s="66"/>
      <c r="V7" s="66"/>
      <c r="W7" s="66"/>
      <c r="X7" s="66"/>
      <c r="Y7" s="66"/>
      <c r="Z7" s="66"/>
    </row>
    <row r="8" spans="1:26">
      <c r="A8" s="66"/>
      <c r="B8" s="162"/>
      <c r="C8" s="162"/>
      <c r="D8" s="162"/>
      <c r="E8" s="162"/>
      <c r="F8" s="162"/>
      <c r="G8" s="162"/>
      <c r="H8" s="162"/>
      <c r="I8" s="162"/>
      <c r="J8" s="66"/>
      <c r="K8" s="66"/>
      <c r="L8" s="66"/>
      <c r="M8" s="66"/>
      <c r="N8" s="66"/>
      <c r="O8" s="66"/>
      <c r="P8" s="66"/>
      <c r="Q8" s="66"/>
      <c r="R8" s="66"/>
      <c r="S8" s="66"/>
      <c r="T8" s="66"/>
      <c r="U8" s="66"/>
      <c r="V8" s="66"/>
      <c r="W8" s="66"/>
      <c r="X8" s="66"/>
      <c r="Y8" s="66"/>
      <c r="Z8" s="66"/>
    </row>
    <row r="9" spans="1:26">
      <c r="A9" s="66"/>
      <c r="B9" s="162"/>
      <c r="C9" s="162"/>
      <c r="D9" s="162"/>
      <c r="E9" s="162"/>
      <c r="F9" s="162"/>
      <c r="G9" s="162"/>
      <c r="H9" s="162"/>
      <c r="I9" s="162"/>
      <c r="J9" s="66"/>
      <c r="K9" s="66"/>
      <c r="L9" s="76"/>
      <c r="M9" s="66"/>
      <c r="N9" s="66"/>
      <c r="O9" s="66"/>
      <c r="P9" s="66"/>
      <c r="Q9" s="66"/>
      <c r="R9" s="66"/>
      <c r="S9" s="66"/>
      <c r="T9" s="66"/>
      <c r="U9" s="66"/>
      <c r="V9" s="66"/>
      <c r="W9" s="66"/>
      <c r="X9" s="66"/>
      <c r="Y9" s="66"/>
      <c r="Z9" s="66"/>
    </row>
    <row r="10" spans="1:26">
      <c r="A10" s="66"/>
      <c r="B10" s="164" t="s">
        <v>262</v>
      </c>
      <c r="C10" s="162"/>
      <c r="D10" s="163" t="s">
        <v>263</v>
      </c>
      <c r="E10" s="162"/>
      <c r="F10" s="162"/>
      <c r="G10" s="162"/>
      <c r="H10" s="162"/>
      <c r="I10" s="162"/>
      <c r="J10" s="66"/>
      <c r="K10" s="66"/>
      <c r="L10" s="66"/>
      <c r="M10" s="66"/>
      <c r="N10" s="66"/>
      <c r="O10" s="66"/>
      <c r="P10" s="66"/>
      <c r="Q10" s="66"/>
      <c r="R10" s="66"/>
      <c r="S10" s="66"/>
      <c r="T10" s="66"/>
      <c r="U10" s="66"/>
      <c r="V10" s="66"/>
      <c r="W10" s="66"/>
      <c r="X10" s="66"/>
      <c r="Y10" s="66"/>
      <c r="Z10" s="66"/>
    </row>
    <row r="11" spans="1:26">
      <c r="A11" s="66"/>
      <c r="B11" s="162"/>
      <c r="C11" s="162"/>
      <c r="D11" s="162"/>
      <c r="E11" s="162"/>
      <c r="F11" s="162"/>
      <c r="G11" s="162"/>
      <c r="H11" s="162"/>
      <c r="I11" s="162"/>
      <c r="J11" s="66"/>
      <c r="K11" s="66"/>
      <c r="L11" s="66"/>
      <c r="M11" s="66"/>
      <c r="N11" s="66"/>
      <c r="O11" s="66"/>
      <c r="P11" s="66"/>
      <c r="Q11" s="66"/>
      <c r="R11" s="66"/>
      <c r="S11" s="66"/>
      <c r="T11" s="66"/>
      <c r="U11" s="66"/>
      <c r="V11" s="66"/>
      <c r="W11" s="66"/>
      <c r="X11" s="66"/>
      <c r="Y11" s="66"/>
      <c r="Z11" s="66"/>
    </row>
    <row r="12" spans="1:26">
      <c r="A12" s="66"/>
      <c r="B12" s="162"/>
      <c r="C12" s="162"/>
      <c r="D12" s="162"/>
      <c r="E12" s="162"/>
      <c r="F12" s="162"/>
      <c r="G12" s="162"/>
      <c r="H12" s="162"/>
      <c r="I12" s="162"/>
      <c r="J12" s="66"/>
      <c r="K12" s="66"/>
      <c r="L12" s="66"/>
      <c r="M12" s="66"/>
      <c r="N12" s="66"/>
      <c r="O12" s="66"/>
      <c r="P12" s="66"/>
      <c r="Q12" s="66"/>
      <c r="R12" s="66"/>
      <c r="S12" s="66"/>
      <c r="T12" s="66"/>
      <c r="U12" s="66"/>
      <c r="V12" s="66"/>
      <c r="W12" s="66"/>
      <c r="X12" s="66"/>
      <c r="Y12" s="66"/>
      <c r="Z12" s="66"/>
    </row>
    <row r="13" spans="1:26">
      <c r="A13" s="66"/>
      <c r="B13" s="162"/>
      <c r="C13" s="162"/>
      <c r="D13" s="162"/>
      <c r="E13" s="162"/>
      <c r="F13" s="162"/>
      <c r="G13" s="162"/>
      <c r="H13" s="162"/>
      <c r="I13" s="162"/>
      <c r="J13" s="66"/>
      <c r="K13" s="66"/>
      <c r="L13" s="66"/>
      <c r="M13" s="66"/>
      <c r="N13" s="66"/>
      <c r="O13" s="66"/>
      <c r="P13" s="66"/>
      <c r="Q13" s="66"/>
      <c r="R13" s="66"/>
      <c r="S13" s="66"/>
      <c r="T13" s="66"/>
      <c r="U13" s="66"/>
      <c r="V13" s="66"/>
      <c r="W13" s="66"/>
      <c r="X13" s="66"/>
      <c r="Y13" s="66"/>
      <c r="Z13" s="66"/>
    </row>
    <row r="14" spans="1:26">
      <c r="A14" s="66"/>
      <c r="B14" s="162"/>
      <c r="C14" s="162"/>
      <c r="D14" s="162"/>
      <c r="E14" s="162"/>
      <c r="F14" s="162"/>
      <c r="G14" s="162"/>
      <c r="H14" s="162"/>
      <c r="I14" s="162"/>
      <c r="J14" s="66"/>
      <c r="K14" s="66"/>
      <c r="L14" s="66"/>
      <c r="M14" s="66"/>
      <c r="N14" s="66"/>
      <c r="O14" s="66"/>
      <c r="P14" s="66"/>
      <c r="Q14" s="66"/>
      <c r="R14" s="66"/>
      <c r="S14" s="66"/>
      <c r="T14" s="66"/>
      <c r="U14" s="66"/>
      <c r="V14" s="66"/>
      <c r="W14" s="66"/>
      <c r="X14" s="66"/>
      <c r="Y14" s="66"/>
      <c r="Z14" s="66"/>
    </row>
    <row r="15" spans="1:26">
      <c r="A15" s="66"/>
      <c r="B15" s="162"/>
      <c r="C15" s="162"/>
      <c r="D15" s="162"/>
      <c r="E15" s="162"/>
      <c r="F15" s="162"/>
      <c r="G15" s="162"/>
      <c r="H15" s="162"/>
      <c r="I15" s="162"/>
      <c r="J15" s="66"/>
      <c r="K15" s="66"/>
      <c r="L15" s="66"/>
      <c r="M15" s="66"/>
      <c r="N15" s="66"/>
      <c r="O15" s="66"/>
      <c r="P15" s="66"/>
      <c r="Q15" s="66"/>
      <c r="R15" s="66"/>
      <c r="S15" s="66"/>
      <c r="T15" s="66"/>
      <c r="U15" s="66"/>
      <c r="V15" s="66"/>
      <c r="W15" s="66"/>
      <c r="X15" s="66"/>
      <c r="Y15" s="66"/>
      <c r="Z15" s="66"/>
    </row>
    <row r="16" spans="1:26">
      <c r="A16" s="66"/>
      <c r="B16" s="162"/>
      <c r="C16" s="162"/>
      <c r="D16" s="162"/>
      <c r="E16" s="162"/>
      <c r="F16" s="162"/>
      <c r="G16" s="162"/>
      <c r="H16" s="162"/>
      <c r="I16" s="162"/>
      <c r="J16" s="66"/>
      <c r="K16" s="66"/>
      <c r="L16" s="66"/>
      <c r="M16" s="66"/>
      <c r="N16" s="66"/>
      <c r="O16" s="66"/>
      <c r="P16" s="66"/>
      <c r="Q16" s="66"/>
      <c r="R16" s="66"/>
      <c r="S16" s="66"/>
      <c r="T16" s="66"/>
      <c r="U16" s="66"/>
      <c r="V16" s="66"/>
      <c r="W16" s="66"/>
      <c r="X16" s="66"/>
      <c r="Y16" s="66"/>
      <c r="Z16" s="66"/>
    </row>
    <row r="17" spans="1:26">
      <c r="A17" s="66"/>
      <c r="B17" s="162"/>
      <c r="C17" s="162"/>
      <c r="D17" s="162"/>
      <c r="E17" s="162"/>
      <c r="F17" s="162"/>
      <c r="G17" s="162"/>
      <c r="H17" s="162"/>
      <c r="I17" s="162"/>
      <c r="J17" s="66"/>
      <c r="K17" s="66"/>
      <c r="L17" s="66"/>
      <c r="M17" s="66"/>
      <c r="N17" s="66"/>
      <c r="O17" s="66"/>
      <c r="P17" s="66"/>
      <c r="Q17" s="66"/>
      <c r="R17" s="66"/>
      <c r="S17" s="66"/>
      <c r="T17" s="66"/>
      <c r="U17" s="66"/>
      <c r="V17" s="66"/>
      <c r="W17" s="66"/>
      <c r="X17" s="66"/>
      <c r="Y17" s="66"/>
      <c r="Z17" s="66"/>
    </row>
    <row r="18" spans="1:26">
      <c r="A18" s="66"/>
      <c r="B18" s="164" t="s">
        <v>264</v>
      </c>
      <c r="C18" s="162"/>
      <c r="D18" s="163" t="s">
        <v>265</v>
      </c>
      <c r="E18" s="162"/>
      <c r="F18" s="162"/>
      <c r="G18" s="162"/>
      <c r="H18" s="162"/>
      <c r="I18" s="162"/>
      <c r="J18" s="66"/>
      <c r="K18" s="66"/>
      <c r="L18" s="66"/>
      <c r="M18" s="66"/>
      <c r="N18" s="66"/>
      <c r="O18" s="66"/>
      <c r="P18" s="66"/>
      <c r="Q18" s="66"/>
      <c r="R18" s="66"/>
      <c r="S18" s="66"/>
      <c r="T18" s="66"/>
      <c r="U18" s="66"/>
      <c r="V18" s="66"/>
      <c r="W18" s="66"/>
      <c r="X18" s="66"/>
      <c r="Y18" s="66"/>
      <c r="Z18" s="66"/>
    </row>
    <row r="19" spans="1:26">
      <c r="A19" s="66"/>
      <c r="B19" s="162"/>
      <c r="C19" s="162"/>
      <c r="D19" s="162"/>
      <c r="E19" s="162"/>
      <c r="F19" s="162"/>
      <c r="G19" s="162"/>
      <c r="H19" s="162"/>
      <c r="I19" s="162"/>
      <c r="J19" s="66"/>
      <c r="K19" s="66"/>
      <c r="L19" s="66"/>
      <c r="M19" s="66"/>
      <c r="N19" s="66"/>
      <c r="O19" s="66"/>
      <c r="P19" s="66"/>
      <c r="Q19" s="66"/>
      <c r="R19" s="66"/>
      <c r="S19" s="66"/>
      <c r="T19" s="66"/>
      <c r="U19" s="66"/>
      <c r="V19" s="66"/>
      <c r="W19" s="66"/>
      <c r="X19" s="66"/>
      <c r="Y19" s="66"/>
      <c r="Z19" s="66"/>
    </row>
    <row r="20" spans="1:26">
      <c r="A20" s="66"/>
      <c r="B20" s="162"/>
      <c r="C20" s="162"/>
      <c r="D20" s="162"/>
      <c r="E20" s="162"/>
      <c r="F20" s="162"/>
      <c r="G20" s="162"/>
      <c r="H20" s="162"/>
      <c r="I20" s="162"/>
      <c r="J20" s="66"/>
      <c r="K20" s="66"/>
      <c r="L20" s="66"/>
      <c r="M20" s="66"/>
      <c r="N20" s="66"/>
      <c r="O20" s="66"/>
      <c r="P20" s="66"/>
      <c r="Q20" s="66"/>
      <c r="R20" s="66"/>
      <c r="S20" s="66"/>
      <c r="T20" s="66"/>
      <c r="U20" s="66"/>
      <c r="V20" s="66"/>
      <c r="W20" s="66"/>
      <c r="X20" s="66"/>
      <c r="Y20" s="66"/>
      <c r="Z20" s="66"/>
    </row>
    <row r="21" spans="1:26">
      <c r="A21" s="66"/>
      <c r="B21" s="162"/>
      <c r="C21" s="162"/>
      <c r="D21" s="162"/>
      <c r="E21" s="162"/>
      <c r="F21" s="162"/>
      <c r="G21" s="162"/>
      <c r="H21" s="162"/>
      <c r="I21" s="162"/>
      <c r="J21" s="66"/>
      <c r="K21" s="66"/>
      <c r="L21" s="66"/>
      <c r="M21" s="66"/>
      <c r="N21" s="66"/>
      <c r="O21" s="66"/>
      <c r="P21" s="66"/>
      <c r="Q21" s="66"/>
      <c r="R21" s="66"/>
      <c r="S21" s="66"/>
      <c r="T21" s="66"/>
      <c r="U21" s="66"/>
      <c r="V21" s="66"/>
      <c r="W21" s="66"/>
      <c r="X21" s="66"/>
      <c r="Y21" s="66"/>
      <c r="Z21" s="66"/>
    </row>
    <row r="22" spans="1:26">
      <c r="A22" s="66"/>
      <c r="B22" s="162"/>
      <c r="C22" s="162"/>
      <c r="D22" s="162"/>
      <c r="E22" s="162"/>
      <c r="F22" s="162"/>
      <c r="G22" s="162"/>
      <c r="H22" s="162"/>
      <c r="I22" s="162"/>
      <c r="J22" s="66"/>
      <c r="K22" s="66"/>
      <c r="L22" s="66"/>
      <c r="M22" s="66"/>
      <c r="N22" s="66"/>
      <c r="O22" s="66"/>
      <c r="P22" s="66"/>
      <c r="Q22" s="66"/>
      <c r="R22" s="66"/>
      <c r="S22" s="66"/>
      <c r="T22" s="66"/>
      <c r="U22" s="66"/>
      <c r="V22" s="66"/>
      <c r="W22" s="66"/>
      <c r="X22" s="66"/>
      <c r="Y22" s="66"/>
      <c r="Z22" s="66"/>
    </row>
    <row r="23" spans="1:26">
      <c r="A23" s="66"/>
      <c r="B23" s="162"/>
      <c r="C23" s="162"/>
      <c r="D23" s="162"/>
      <c r="E23" s="162"/>
      <c r="F23" s="162"/>
      <c r="G23" s="162"/>
      <c r="H23" s="162"/>
      <c r="I23" s="162"/>
      <c r="J23" s="66"/>
      <c r="K23" s="66"/>
      <c r="L23" s="66"/>
      <c r="M23" s="66"/>
      <c r="N23" s="66"/>
      <c r="O23" s="66"/>
      <c r="P23" s="66"/>
      <c r="Q23" s="66"/>
      <c r="R23" s="66"/>
      <c r="S23" s="66"/>
      <c r="T23" s="66"/>
      <c r="U23" s="66"/>
      <c r="V23" s="66"/>
      <c r="W23" s="66"/>
      <c r="X23" s="66"/>
      <c r="Y23" s="66"/>
      <c r="Z23" s="66"/>
    </row>
    <row r="24" spans="1:26">
      <c r="A24" s="66"/>
      <c r="B24" s="162"/>
      <c r="C24" s="162"/>
      <c r="D24" s="162"/>
      <c r="E24" s="162"/>
      <c r="F24" s="162"/>
      <c r="G24" s="162"/>
      <c r="H24" s="162"/>
      <c r="I24" s="162"/>
      <c r="J24" s="66"/>
      <c r="K24" s="66"/>
      <c r="L24" s="66"/>
      <c r="M24" s="66"/>
      <c r="N24" s="66"/>
      <c r="O24" s="66"/>
      <c r="P24" s="66"/>
      <c r="Q24" s="66"/>
      <c r="R24" s="66"/>
      <c r="S24" s="66"/>
      <c r="T24" s="66"/>
      <c r="U24" s="66"/>
      <c r="V24" s="66"/>
      <c r="W24" s="66"/>
      <c r="X24" s="66"/>
      <c r="Y24" s="66"/>
      <c r="Z24" s="66"/>
    </row>
    <row r="25" spans="1:26">
      <c r="A25" s="66"/>
      <c r="B25" s="162"/>
      <c r="C25" s="162"/>
      <c r="D25" s="162"/>
      <c r="E25" s="162"/>
      <c r="F25" s="162"/>
      <c r="G25" s="162"/>
      <c r="H25" s="162"/>
      <c r="I25" s="162"/>
      <c r="J25" s="66"/>
      <c r="K25" s="66"/>
      <c r="L25" s="66"/>
      <c r="M25" s="66"/>
      <c r="N25" s="66"/>
      <c r="O25" s="66"/>
      <c r="P25" s="66"/>
      <c r="Q25" s="66"/>
      <c r="R25" s="66"/>
      <c r="S25" s="66"/>
      <c r="T25" s="66"/>
      <c r="U25" s="66"/>
      <c r="V25" s="66"/>
      <c r="W25" s="66"/>
      <c r="X25" s="66"/>
      <c r="Y25" s="66"/>
      <c r="Z25" s="66"/>
    </row>
    <row r="26" spans="1:26">
      <c r="A26" s="66"/>
      <c r="B26" s="164" t="s">
        <v>266</v>
      </c>
      <c r="C26" s="162"/>
      <c r="D26" s="163" t="s">
        <v>267</v>
      </c>
      <c r="E26" s="162"/>
      <c r="F26" s="162"/>
      <c r="G26" s="162"/>
      <c r="H26" s="162"/>
      <c r="I26" s="162"/>
      <c r="J26" s="66"/>
      <c r="K26" s="66"/>
      <c r="L26" s="66"/>
      <c r="M26" s="66"/>
      <c r="N26" s="66"/>
      <c r="O26" s="66"/>
      <c r="P26" s="66"/>
      <c r="Q26" s="66"/>
      <c r="R26" s="66"/>
      <c r="S26" s="66"/>
      <c r="T26" s="66"/>
      <c r="U26" s="66"/>
      <c r="V26" s="66"/>
      <c r="W26" s="66"/>
      <c r="X26" s="66"/>
      <c r="Y26" s="66"/>
      <c r="Z26" s="66"/>
    </row>
    <row r="27" spans="1:26">
      <c r="A27" s="66"/>
      <c r="B27" s="162"/>
      <c r="C27" s="162"/>
      <c r="D27" s="162"/>
      <c r="E27" s="162"/>
      <c r="F27" s="162"/>
      <c r="G27" s="162"/>
      <c r="H27" s="162"/>
      <c r="I27" s="162"/>
      <c r="J27" s="66"/>
      <c r="K27" s="66"/>
      <c r="L27" s="66"/>
      <c r="M27" s="66"/>
      <c r="N27" s="66"/>
      <c r="O27" s="66"/>
      <c r="P27" s="66"/>
      <c r="Q27" s="66"/>
      <c r="R27" s="66"/>
      <c r="S27" s="66"/>
      <c r="T27" s="66"/>
      <c r="U27" s="66"/>
      <c r="V27" s="66"/>
      <c r="W27" s="66"/>
      <c r="X27" s="66"/>
      <c r="Y27" s="66"/>
      <c r="Z27" s="66"/>
    </row>
    <row r="28" spans="1:26">
      <c r="A28" s="66"/>
      <c r="B28" s="162"/>
      <c r="C28" s="162"/>
      <c r="D28" s="162"/>
      <c r="E28" s="162"/>
      <c r="F28" s="162"/>
      <c r="G28" s="162"/>
      <c r="H28" s="162"/>
      <c r="I28" s="162"/>
      <c r="J28" s="66"/>
      <c r="K28" s="66"/>
      <c r="L28" s="66"/>
      <c r="M28" s="66"/>
      <c r="N28" s="66"/>
      <c r="O28" s="66"/>
      <c r="P28" s="66"/>
      <c r="Q28" s="66"/>
      <c r="R28" s="66"/>
      <c r="S28" s="66"/>
      <c r="T28" s="66"/>
      <c r="U28" s="66"/>
      <c r="V28" s="66"/>
      <c r="W28" s="66"/>
      <c r="X28" s="66"/>
      <c r="Y28" s="66"/>
      <c r="Z28" s="66"/>
    </row>
    <row r="29" spans="1:26">
      <c r="A29" s="66"/>
      <c r="B29" s="162"/>
      <c r="C29" s="162"/>
      <c r="D29" s="162"/>
      <c r="E29" s="162"/>
      <c r="F29" s="162"/>
      <c r="G29" s="162"/>
      <c r="H29" s="162"/>
      <c r="I29" s="162"/>
      <c r="J29" s="66"/>
      <c r="K29" s="66"/>
      <c r="L29" s="66"/>
      <c r="M29" s="66"/>
      <c r="N29" s="66"/>
      <c r="O29" s="66"/>
      <c r="P29" s="66"/>
      <c r="Q29" s="66"/>
      <c r="R29" s="66"/>
      <c r="S29" s="66"/>
      <c r="T29" s="66"/>
      <c r="U29" s="66"/>
      <c r="V29" s="66"/>
      <c r="W29" s="66"/>
      <c r="X29" s="66"/>
      <c r="Y29" s="66"/>
      <c r="Z29" s="66"/>
    </row>
    <row r="30" spans="1:26">
      <c r="A30" s="66"/>
      <c r="B30" s="162"/>
      <c r="C30" s="162"/>
      <c r="D30" s="162"/>
      <c r="E30" s="162"/>
      <c r="F30" s="162"/>
      <c r="G30" s="162"/>
      <c r="H30" s="162"/>
      <c r="I30" s="162"/>
      <c r="J30" s="66"/>
      <c r="K30" s="66"/>
      <c r="L30" s="66"/>
      <c r="M30" s="66"/>
      <c r="N30" s="66"/>
      <c r="O30" s="66"/>
      <c r="P30" s="66"/>
      <c r="Q30" s="66"/>
      <c r="R30" s="66"/>
      <c r="S30" s="66"/>
      <c r="T30" s="66"/>
      <c r="U30" s="66"/>
      <c r="V30" s="66"/>
      <c r="W30" s="66"/>
      <c r="X30" s="66"/>
      <c r="Y30" s="66"/>
      <c r="Z30" s="66"/>
    </row>
    <row r="31" spans="1:26">
      <c r="A31" s="66"/>
      <c r="B31" s="162"/>
      <c r="C31" s="162"/>
      <c r="D31" s="162"/>
      <c r="E31" s="162"/>
      <c r="F31" s="162"/>
      <c r="G31" s="162"/>
      <c r="H31" s="162"/>
      <c r="I31" s="162"/>
      <c r="J31" s="66"/>
      <c r="K31" s="66"/>
      <c r="L31" s="66"/>
      <c r="M31" s="66"/>
      <c r="N31" s="66"/>
      <c r="O31" s="66"/>
      <c r="P31" s="66"/>
      <c r="Q31" s="66"/>
      <c r="R31" s="66"/>
      <c r="S31" s="66"/>
      <c r="T31" s="66"/>
      <c r="U31" s="66"/>
      <c r="V31" s="66"/>
      <c r="W31" s="66"/>
      <c r="X31" s="66"/>
      <c r="Y31" s="66"/>
      <c r="Z31" s="66"/>
    </row>
    <row r="32" spans="1:26">
      <c r="A32" s="66"/>
      <c r="B32" s="162"/>
      <c r="C32" s="162"/>
      <c r="D32" s="162"/>
      <c r="E32" s="162"/>
      <c r="F32" s="162"/>
      <c r="G32" s="162"/>
      <c r="H32" s="162"/>
      <c r="I32" s="162"/>
      <c r="J32" s="66"/>
      <c r="K32" s="66"/>
      <c r="L32" s="66"/>
      <c r="M32" s="66"/>
      <c r="N32" s="66"/>
      <c r="O32" s="66"/>
      <c r="P32" s="66"/>
      <c r="Q32" s="66"/>
      <c r="R32" s="66"/>
      <c r="S32" s="66"/>
      <c r="T32" s="66"/>
      <c r="U32" s="66"/>
      <c r="V32" s="66"/>
      <c r="W32" s="66"/>
      <c r="X32" s="66"/>
      <c r="Y32" s="66"/>
      <c r="Z32" s="66"/>
    </row>
    <row r="33" spans="1:26">
      <c r="A33" s="66"/>
      <c r="B33" s="162"/>
      <c r="C33" s="162"/>
      <c r="D33" s="162"/>
      <c r="E33" s="162"/>
      <c r="F33" s="162"/>
      <c r="G33" s="162"/>
      <c r="H33" s="162"/>
      <c r="I33" s="162"/>
      <c r="J33" s="66"/>
      <c r="K33" s="66"/>
      <c r="L33" s="66"/>
      <c r="M33" s="66"/>
      <c r="N33" s="66"/>
      <c r="O33" s="66"/>
      <c r="P33" s="66"/>
      <c r="Q33" s="66"/>
      <c r="R33" s="66"/>
      <c r="S33" s="66"/>
      <c r="T33" s="66"/>
      <c r="U33" s="66"/>
      <c r="V33" s="66"/>
      <c r="W33" s="66"/>
      <c r="X33" s="66"/>
      <c r="Y33" s="66"/>
      <c r="Z33" s="66"/>
    </row>
    <row r="34" spans="1:26">
      <c r="A34" s="66"/>
      <c r="B34" s="66"/>
      <c r="C34" s="66"/>
      <c r="D34" s="74"/>
      <c r="E34" s="74"/>
      <c r="F34" s="74"/>
      <c r="G34" s="74"/>
      <c r="H34" s="74"/>
      <c r="I34" s="74"/>
      <c r="J34" s="66"/>
      <c r="K34" s="66"/>
      <c r="L34" s="66"/>
      <c r="M34" s="66"/>
      <c r="N34" s="66"/>
      <c r="O34" s="66"/>
      <c r="P34" s="66"/>
      <c r="Q34" s="66"/>
      <c r="R34" s="66"/>
      <c r="S34" s="66"/>
      <c r="T34" s="66"/>
      <c r="U34" s="66"/>
      <c r="V34" s="66"/>
      <c r="W34" s="66"/>
      <c r="X34" s="66"/>
      <c r="Y34" s="66"/>
      <c r="Z34" s="66"/>
    </row>
    <row r="35" spans="1:26">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spans="1:2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spans="1:26">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spans="1:26">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spans="1:26">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spans="1:26">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spans="1:26">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spans="1:26">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spans="1:26">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spans="1:26">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spans="1:26">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spans="1:26">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spans="1:26">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spans="1:26">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spans="1:26">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spans="1:26">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spans="1:26">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spans="1:26">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spans="1:26">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spans="1:26">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row>
    <row r="55" spans="1:26">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spans="1:26">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spans="1:26">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spans="1:26">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spans="1:26">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spans="1:26">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spans="1:26">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spans="1:26">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spans="1:26">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spans="1:26">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spans="1:26">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spans="1:2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spans="1:26">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spans="1:26">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spans="1:26">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spans="1:26">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spans="1:26">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spans="1:26">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spans="1:26">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spans="1:26">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spans="1:26">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spans="1:2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spans="1:26">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spans="1:26">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spans="1:26">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spans="1:26">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spans="1:26">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spans="1:26">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spans="1:26">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spans="1:26">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spans="1:26">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spans="1:2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spans="1:26">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spans="1:26">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spans="1:26">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spans="1:26">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spans="1:26">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spans="1:26">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spans="1:26">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spans="1:26">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spans="1:26">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spans="1:2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spans="1:26">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spans="1:26">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sheetData>
  <mergeCells count="8">
    <mergeCell ref="B10:C17"/>
    <mergeCell ref="B18:C25"/>
    <mergeCell ref="B2:C9"/>
    <mergeCell ref="B26:C33"/>
    <mergeCell ref="D2:I9"/>
    <mergeCell ref="D10:I17"/>
    <mergeCell ref="D18:I25"/>
    <mergeCell ref="D26:I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outlinePr summaryBelow="0" summaryRight="0"/>
  </sheetPr>
  <dimension ref="A1:Z926"/>
  <sheetViews>
    <sheetView showGridLines="0" topLeftCell="A61" workbookViewId="0"/>
  </sheetViews>
  <sheetFormatPr baseColWidth="10" defaultColWidth="14.42578125" defaultRowHeight="15" customHeight="1"/>
  <cols>
    <col min="1" max="1" width="5" customWidth="1"/>
  </cols>
  <sheetData>
    <row r="1" spans="1:26">
      <c r="A1" s="66"/>
      <c r="B1" s="66"/>
      <c r="C1" s="66"/>
      <c r="D1" s="66"/>
      <c r="E1" s="66"/>
      <c r="F1" s="66"/>
      <c r="G1" s="66"/>
      <c r="H1" s="66"/>
      <c r="I1" s="66"/>
      <c r="J1" s="66"/>
      <c r="K1" s="66"/>
      <c r="L1" s="66"/>
      <c r="M1" s="66"/>
      <c r="N1" s="66"/>
      <c r="O1" s="66"/>
      <c r="P1" s="66"/>
      <c r="Q1" s="66"/>
      <c r="R1" s="66"/>
      <c r="S1" s="66"/>
      <c r="T1" s="66"/>
      <c r="U1" s="66"/>
      <c r="V1" s="66"/>
      <c r="W1" s="66"/>
      <c r="X1" s="66"/>
      <c r="Y1" s="66"/>
      <c r="Z1" s="66"/>
    </row>
    <row r="2" spans="1:26">
      <c r="A2" s="66"/>
      <c r="B2" s="164" t="s">
        <v>268</v>
      </c>
      <c r="C2" s="162"/>
      <c r="D2" s="163" t="s">
        <v>269</v>
      </c>
      <c r="E2" s="162"/>
      <c r="F2" s="162"/>
      <c r="G2" s="162"/>
      <c r="H2" s="162"/>
      <c r="I2" s="162"/>
      <c r="J2" s="66"/>
      <c r="K2" s="66"/>
      <c r="L2" s="66"/>
      <c r="M2" s="66"/>
      <c r="N2" s="66"/>
      <c r="O2" s="66"/>
      <c r="P2" s="66"/>
      <c r="Q2" s="66"/>
      <c r="R2" s="66"/>
      <c r="S2" s="66"/>
      <c r="T2" s="66"/>
      <c r="U2" s="66"/>
      <c r="V2" s="66"/>
      <c r="W2" s="66"/>
      <c r="X2" s="66"/>
      <c r="Y2" s="66"/>
      <c r="Z2" s="66"/>
    </row>
    <row r="3" spans="1:26">
      <c r="A3" s="66"/>
      <c r="B3" s="162"/>
      <c r="C3" s="162"/>
      <c r="D3" s="162"/>
      <c r="E3" s="162"/>
      <c r="F3" s="162"/>
      <c r="G3" s="162"/>
      <c r="H3" s="162"/>
      <c r="I3" s="162"/>
      <c r="J3" s="66"/>
      <c r="K3" s="66"/>
      <c r="L3" s="66"/>
      <c r="M3" s="66"/>
      <c r="N3" s="66"/>
      <c r="O3" s="66"/>
      <c r="P3" s="66"/>
      <c r="Q3" s="66"/>
      <c r="R3" s="66"/>
      <c r="S3" s="66"/>
      <c r="T3" s="66"/>
      <c r="U3" s="66"/>
      <c r="V3" s="66"/>
      <c r="W3" s="66"/>
      <c r="X3" s="66"/>
      <c r="Y3" s="66"/>
      <c r="Z3" s="66"/>
    </row>
    <row r="4" spans="1:26">
      <c r="A4" s="66"/>
      <c r="B4" s="162"/>
      <c r="C4" s="162"/>
      <c r="D4" s="162"/>
      <c r="E4" s="162"/>
      <c r="F4" s="162"/>
      <c r="G4" s="162"/>
      <c r="H4" s="162"/>
      <c r="I4" s="162"/>
      <c r="J4" s="66"/>
      <c r="K4" s="66"/>
      <c r="L4" s="66"/>
      <c r="M4" s="66"/>
      <c r="N4" s="66"/>
      <c r="O4" s="66"/>
      <c r="P4" s="66"/>
      <c r="Q4" s="66"/>
      <c r="R4" s="66"/>
      <c r="S4" s="66"/>
      <c r="T4" s="66"/>
      <c r="U4" s="66"/>
      <c r="V4" s="66"/>
      <c r="W4" s="66"/>
      <c r="X4" s="66"/>
      <c r="Y4" s="66"/>
      <c r="Z4" s="66"/>
    </row>
    <row r="5" spans="1:26">
      <c r="A5" s="66"/>
      <c r="B5" s="162"/>
      <c r="C5" s="162"/>
      <c r="D5" s="162"/>
      <c r="E5" s="162"/>
      <c r="F5" s="162"/>
      <c r="G5" s="162"/>
      <c r="H5" s="162"/>
      <c r="I5" s="162"/>
      <c r="J5" s="66"/>
      <c r="K5" s="66"/>
      <c r="L5" s="66"/>
      <c r="M5" s="66"/>
      <c r="N5" s="66"/>
      <c r="O5" s="66"/>
      <c r="P5" s="66"/>
      <c r="Q5" s="66"/>
      <c r="R5" s="66"/>
      <c r="S5" s="66"/>
      <c r="T5" s="66"/>
      <c r="U5" s="66"/>
      <c r="V5" s="66"/>
      <c r="W5" s="66"/>
      <c r="X5" s="66"/>
      <c r="Y5" s="66"/>
      <c r="Z5" s="66"/>
    </row>
    <row r="6" spans="1:26">
      <c r="A6" s="66"/>
      <c r="B6" s="162"/>
      <c r="C6" s="162"/>
      <c r="D6" s="162"/>
      <c r="E6" s="162"/>
      <c r="F6" s="162"/>
      <c r="G6" s="162"/>
      <c r="H6" s="162"/>
      <c r="I6" s="162"/>
      <c r="J6" s="66"/>
      <c r="K6" s="76"/>
      <c r="L6" s="66"/>
      <c r="M6" s="66"/>
      <c r="N6" s="66"/>
      <c r="O6" s="66"/>
      <c r="P6" s="66"/>
      <c r="Q6" s="66"/>
      <c r="R6" s="66"/>
      <c r="S6" s="66"/>
      <c r="T6" s="66"/>
      <c r="U6" s="66"/>
      <c r="V6" s="66"/>
      <c r="W6" s="66"/>
      <c r="X6" s="66"/>
      <c r="Y6" s="66"/>
      <c r="Z6" s="66"/>
    </row>
    <row r="7" spans="1:26">
      <c r="A7" s="66"/>
      <c r="B7" s="164" t="s">
        <v>270</v>
      </c>
      <c r="C7" s="162"/>
      <c r="D7" s="163" t="s">
        <v>271</v>
      </c>
      <c r="E7" s="162"/>
      <c r="F7" s="162"/>
      <c r="G7" s="162"/>
      <c r="H7" s="162"/>
      <c r="I7" s="162"/>
      <c r="J7" s="66"/>
      <c r="K7" s="66"/>
      <c r="L7" s="66"/>
      <c r="M7" s="66"/>
      <c r="N7" s="66"/>
      <c r="O7" s="66"/>
      <c r="P7" s="66"/>
      <c r="Q7" s="66"/>
      <c r="R7" s="66"/>
      <c r="S7" s="66"/>
      <c r="T7" s="66"/>
      <c r="U7" s="66"/>
      <c r="V7" s="66"/>
      <c r="W7" s="66"/>
      <c r="X7" s="66"/>
      <c r="Y7" s="66"/>
      <c r="Z7" s="66"/>
    </row>
    <row r="8" spans="1:26">
      <c r="A8" s="66"/>
      <c r="B8" s="162"/>
      <c r="C8" s="162"/>
      <c r="D8" s="162"/>
      <c r="E8" s="162"/>
      <c r="F8" s="162"/>
      <c r="G8" s="162"/>
      <c r="H8" s="162"/>
      <c r="I8" s="162"/>
      <c r="J8" s="66"/>
      <c r="K8" s="66"/>
      <c r="L8" s="66"/>
      <c r="M8" s="66"/>
      <c r="N8" s="66"/>
      <c r="O8" s="66"/>
      <c r="P8" s="66"/>
      <c r="Q8" s="66"/>
      <c r="R8" s="66"/>
      <c r="S8" s="66"/>
      <c r="T8" s="66"/>
      <c r="U8" s="66"/>
      <c r="V8" s="66"/>
      <c r="W8" s="66"/>
      <c r="X8" s="66"/>
      <c r="Y8" s="66"/>
      <c r="Z8" s="66"/>
    </row>
    <row r="9" spans="1:26">
      <c r="A9" s="66"/>
      <c r="B9" s="162"/>
      <c r="C9" s="162"/>
      <c r="D9" s="162"/>
      <c r="E9" s="162"/>
      <c r="F9" s="162"/>
      <c r="G9" s="162"/>
      <c r="H9" s="162"/>
      <c r="I9" s="162"/>
      <c r="J9" s="66"/>
      <c r="K9" s="66"/>
      <c r="L9" s="66"/>
      <c r="M9" s="66"/>
      <c r="N9" s="66"/>
      <c r="O9" s="66"/>
      <c r="P9" s="66"/>
      <c r="Q9" s="66"/>
      <c r="R9" s="66"/>
      <c r="S9" s="66"/>
      <c r="T9" s="66"/>
      <c r="U9" s="66"/>
      <c r="V9" s="66"/>
      <c r="W9" s="66"/>
      <c r="X9" s="66"/>
      <c r="Y9" s="66"/>
      <c r="Z9" s="66"/>
    </row>
    <row r="10" spans="1:26">
      <c r="A10" s="66"/>
      <c r="B10" s="162"/>
      <c r="C10" s="162"/>
      <c r="D10" s="162"/>
      <c r="E10" s="162"/>
      <c r="F10" s="162"/>
      <c r="G10" s="162"/>
      <c r="H10" s="162"/>
      <c r="I10" s="162"/>
      <c r="J10" s="66"/>
      <c r="K10" s="66"/>
      <c r="L10" s="66"/>
      <c r="M10" s="66"/>
      <c r="N10" s="66"/>
      <c r="O10" s="66"/>
      <c r="P10" s="66"/>
      <c r="Q10" s="66"/>
      <c r="R10" s="66"/>
      <c r="S10" s="66"/>
      <c r="T10" s="66"/>
      <c r="U10" s="66"/>
      <c r="V10" s="66"/>
      <c r="W10" s="66"/>
      <c r="X10" s="66"/>
      <c r="Y10" s="66"/>
      <c r="Z10" s="66"/>
    </row>
    <row r="11" spans="1:26">
      <c r="A11" s="66"/>
      <c r="B11" s="162"/>
      <c r="C11" s="162"/>
      <c r="D11" s="162"/>
      <c r="E11" s="162"/>
      <c r="F11" s="162"/>
      <c r="G11" s="162"/>
      <c r="H11" s="162"/>
      <c r="I11" s="162"/>
      <c r="J11" s="66"/>
      <c r="K11" s="66"/>
      <c r="L11" s="66"/>
      <c r="M11" s="66"/>
      <c r="N11" s="66"/>
      <c r="O11" s="66"/>
      <c r="P11" s="66"/>
      <c r="Q11" s="66"/>
      <c r="R11" s="66"/>
      <c r="S11" s="66"/>
      <c r="T11" s="66"/>
      <c r="U11" s="66"/>
      <c r="V11" s="66"/>
      <c r="W11" s="66"/>
      <c r="X11" s="66"/>
      <c r="Y11" s="66"/>
      <c r="Z11" s="66"/>
    </row>
    <row r="12" spans="1:26">
      <c r="A12" s="66"/>
      <c r="B12" s="164" t="s">
        <v>272</v>
      </c>
      <c r="C12" s="162"/>
      <c r="D12" s="163" t="s">
        <v>273</v>
      </c>
      <c r="E12" s="162"/>
      <c r="F12" s="162"/>
      <c r="G12" s="162"/>
      <c r="H12" s="162"/>
      <c r="I12" s="162"/>
      <c r="J12" s="66"/>
      <c r="K12" s="66"/>
      <c r="L12" s="66"/>
      <c r="M12" s="66"/>
      <c r="N12" s="66"/>
      <c r="O12" s="66"/>
      <c r="P12" s="66"/>
      <c r="Q12" s="66"/>
      <c r="R12" s="66"/>
      <c r="S12" s="66"/>
      <c r="T12" s="66"/>
      <c r="U12" s="66"/>
      <c r="V12" s="66"/>
      <c r="W12" s="66"/>
      <c r="X12" s="66"/>
      <c r="Y12" s="66"/>
      <c r="Z12" s="66"/>
    </row>
    <row r="13" spans="1:26">
      <c r="A13" s="66"/>
      <c r="B13" s="162"/>
      <c r="C13" s="162"/>
      <c r="D13" s="162"/>
      <c r="E13" s="162"/>
      <c r="F13" s="162"/>
      <c r="G13" s="162"/>
      <c r="H13" s="162"/>
      <c r="I13" s="162"/>
      <c r="J13" s="66"/>
      <c r="K13" s="66"/>
      <c r="L13" s="66"/>
      <c r="M13" s="66"/>
      <c r="N13" s="66"/>
      <c r="O13" s="66"/>
      <c r="P13" s="66"/>
      <c r="Q13" s="66"/>
      <c r="R13" s="66"/>
      <c r="S13" s="66"/>
      <c r="T13" s="66"/>
      <c r="U13" s="66"/>
      <c r="V13" s="66"/>
      <c r="W13" s="66"/>
      <c r="X13" s="66"/>
      <c r="Y13" s="66"/>
      <c r="Z13" s="66"/>
    </row>
    <row r="14" spans="1:26">
      <c r="A14" s="66"/>
      <c r="B14" s="162"/>
      <c r="C14" s="162"/>
      <c r="D14" s="162"/>
      <c r="E14" s="162"/>
      <c r="F14" s="162"/>
      <c r="G14" s="162"/>
      <c r="H14" s="162"/>
      <c r="I14" s="162"/>
      <c r="J14" s="66"/>
      <c r="K14" s="66"/>
      <c r="L14" s="66"/>
      <c r="M14" s="66"/>
      <c r="N14" s="66"/>
      <c r="O14" s="66"/>
      <c r="P14" s="66"/>
      <c r="Q14" s="66"/>
      <c r="R14" s="66"/>
      <c r="S14" s="66"/>
      <c r="T14" s="66"/>
      <c r="U14" s="66"/>
      <c r="V14" s="66"/>
      <c r="W14" s="66"/>
      <c r="X14" s="66"/>
      <c r="Y14" s="66"/>
      <c r="Z14" s="66"/>
    </row>
    <row r="15" spans="1:26">
      <c r="A15" s="66"/>
      <c r="B15" s="162"/>
      <c r="C15" s="162"/>
      <c r="D15" s="162"/>
      <c r="E15" s="162"/>
      <c r="F15" s="162"/>
      <c r="G15" s="162"/>
      <c r="H15" s="162"/>
      <c r="I15" s="162"/>
      <c r="J15" s="66"/>
      <c r="K15" s="66"/>
      <c r="L15" s="66"/>
      <c r="M15" s="66"/>
      <c r="N15" s="66"/>
      <c r="O15" s="66"/>
      <c r="P15" s="66"/>
      <c r="Q15" s="66"/>
      <c r="R15" s="66"/>
      <c r="S15" s="66"/>
      <c r="T15" s="66"/>
      <c r="U15" s="66"/>
      <c r="V15" s="66"/>
      <c r="W15" s="66"/>
      <c r="X15" s="66"/>
      <c r="Y15" s="66"/>
      <c r="Z15" s="66"/>
    </row>
    <row r="16" spans="1:26">
      <c r="A16" s="66"/>
      <c r="B16" s="162"/>
      <c r="C16" s="162"/>
      <c r="D16" s="162"/>
      <c r="E16" s="162"/>
      <c r="F16" s="162"/>
      <c r="G16" s="162"/>
      <c r="H16" s="162"/>
      <c r="I16" s="162"/>
      <c r="J16" s="66"/>
      <c r="K16" s="66"/>
      <c r="L16" s="66"/>
      <c r="M16" s="66"/>
      <c r="N16" s="66"/>
      <c r="O16" s="66"/>
      <c r="P16" s="66"/>
      <c r="Q16" s="66"/>
      <c r="R16" s="66"/>
      <c r="S16" s="66"/>
      <c r="T16" s="66"/>
      <c r="U16" s="66"/>
      <c r="V16" s="66"/>
      <c r="W16" s="66"/>
      <c r="X16" s="66"/>
      <c r="Y16" s="66"/>
      <c r="Z16" s="66"/>
    </row>
    <row r="17" spans="1:26">
      <c r="A17" s="66"/>
      <c r="B17" s="164" t="s">
        <v>274</v>
      </c>
      <c r="C17" s="162"/>
      <c r="D17" s="163" t="s">
        <v>275</v>
      </c>
      <c r="E17" s="162"/>
      <c r="F17" s="162"/>
      <c r="G17" s="162"/>
      <c r="H17" s="162"/>
      <c r="I17" s="162"/>
      <c r="J17" s="66"/>
      <c r="K17" s="66"/>
      <c r="L17" s="66"/>
      <c r="M17" s="66"/>
      <c r="N17" s="66"/>
      <c r="O17" s="66"/>
      <c r="P17" s="66"/>
      <c r="Q17" s="66"/>
      <c r="R17" s="66"/>
      <c r="S17" s="66"/>
      <c r="T17" s="66"/>
      <c r="U17" s="66"/>
      <c r="V17" s="66"/>
      <c r="W17" s="66"/>
      <c r="X17" s="66"/>
      <c r="Y17" s="66"/>
      <c r="Z17" s="66"/>
    </row>
    <row r="18" spans="1:26">
      <c r="A18" s="66"/>
      <c r="B18" s="162"/>
      <c r="C18" s="162"/>
      <c r="D18" s="162"/>
      <c r="E18" s="162"/>
      <c r="F18" s="162"/>
      <c r="G18" s="162"/>
      <c r="H18" s="162"/>
      <c r="I18" s="162"/>
      <c r="J18" s="66"/>
      <c r="K18" s="66"/>
      <c r="L18" s="66"/>
      <c r="M18" s="66"/>
      <c r="N18" s="66"/>
      <c r="O18" s="66"/>
      <c r="P18" s="66"/>
      <c r="Q18" s="66"/>
      <c r="R18" s="66"/>
      <c r="S18" s="66"/>
      <c r="T18" s="66"/>
      <c r="U18" s="66"/>
      <c r="V18" s="66"/>
      <c r="W18" s="66"/>
      <c r="X18" s="66"/>
      <c r="Y18" s="66"/>
      <c r="Z18" s="66"/>
    </row>
    <row r="19" spans="1:26">
      <c r="A19" s="66"/>
      <c r="B19" s="162"/>
      <c r="C19" s="162"/>
      <c r="D19" s="162"/>
      <c r="E19" s="162"/>
      <c r="F19" s="162"/>
      <c r="G19" s="162"/>
      <c r="H19" s="162"/>
      <c r="I19" s="162"/>
      <c r="J19" s="66"/>
      <c r="K19" s="66"/>
      <c r="L19" s="66"/>
      <c r="M19" s="66"/>
      <c r="N19" s="66"/>
      <c r="O19" s="66"/>
      <c r="P19" s="66"/>
      <c r="Q19" s="66"/>
      <c r="R19" s="66"/>
      <c r="S19" s="66"/>
      <c r="T19" s="66"/>
      <c r="U19" s="66"/>
      <c r="V19" s="66"/>
      <c r="W19" s="66"/>
      <c r="X19" s="66"/>
      <c r="Y19" s="66"/>
      <c r="Z19" s="66"/>
    </row>
    <row r="20" spans="1:26">
      <c r="A20" s="66"/>
      <c r="B20" s="162"/>
      <c r="C20" s="162"/>
      <c r="D20" s="162"/>
      <c r="E20" s="162"/>
      <c r="F20" s="162"/>
      <c r="G20" s="162"/>
      <c r="H20" s="162"/>
      <c r="I20" s="162"/>
      <c r="J20" s="66"/>
      <c r="K20" s="66"/>
      <c r="L20" s="66"/>
      <c r="M20" s="66"/>
      <c r="N20" s="66"/>
      <c r="O20" s="66"/>
      <c r="P20" s="66"/>
      <c r="Q20" s="66"/>
      <c r="R20" s="66"/>
      <c r="S20" s="66"/>
      <c r="T20" s="66"/>
      <c r="U20" s="66"/>
      <c r="V20" s="66"/>
      <c r="W20" s="66"/>
      <c r="X20" s="66"/>
      <c r="Y20" s="66"/>
      <c r="Z20" s="66"/>
    </row>
    <row r="21" spans="1:26">
      <c r="A21" s="66"/>
      <c r="B21" s="162"/>
      <c r="C21" s="162"/>
      <c r="D21" s="162"/>
      <c r="E21" s="162"/>
      <c r="F21" s="162"/>
      <c r="G21" s="162"/>
      <c r="H21" s="162"/>
      <c r="I21" s="162"/>
      <c r="J21" s="66"/>
      <c r="K21" s="66"/>
      <c r="L21" s="66"/>
      <c r="M21" s="66"/>
      <c r="N21" s="66"/>
      <c r="O21" s="66"/>
      <c r="P21" s="66"/>
      <c r="Q21" s="66"/>
      <c r="R21" s="66"/>
      <c r="S21" s="66"/>
      <c r="T21" s="66"/>
      <c r="U21" s="66"/>
      <c r="V21" s="66"/>
      <c r="W21" s="66"/>
      <c r="X21" s="66"/>
      <c r="Y21" s="66"/>
      <c r="Z21" s="66"/>
    </row>
    <row r="22" spans="1:26">
      <c r="A22" s="66"/>
      <c r="B22" s="164" t="s">
        <v>276</v>
      </c>
      <c r="C22" s="162"/>
      <c r="D22" s="163" t="s">
        <v>277</v>
      </c>
      <c r="E22" s="162"/>
      <c r="F22" s="162"/>
      <c r="G22" s="162"/>
      <c r="H22" s="162"/>
      <c r="I22" s="162"/>
      <c r="J22" s="66"/>
      <c r="K22" s="66"/>
      <c r="L22" s="66"/>
      <c r="M22" s="66"/>
      <c r="N22" s="66"/>
      <c r="O22" s="66"/>
      <c r="P22" s="66"/>
      <c r="Q22" s="66"/>
      <c r="R22" s="66"/>
      <c r="S22" s="66"/>
      <c r="T22" s="66"/>
      <c r="U22" s="66"/>
      <c r="V22" s="66"/>
      <c r="W22" s="66"/>
      <c r="X22" s="66"/>
      <c r="Y22" s="66"/>
      <c r="Z22" s="66"/>
    </row>
    <row r="23" spans="1:26">
      <c r="A23" s="66"/>
      <c r="B23" s="162"/>
      <c r="C23" s="162"/>
      <c r="D23" s="162"/>
      <c r="E23" s="162"/>
      <c r="F23" s="162"/>
      <c r="G23" s="162"/>
      <c r="H23" s="162"/>
      <c r="I23" s="162"/>
      <c r="J23" s="66"/>
      <c r="K23" s="66"/>
      <c r="L23" s="66"/>
      <c r="M23" s="66"/>
      <c r="N23" s="66"/>
      <c r="O23" s="66"/>
      <c r="P23" s="66"/>
      <c r="Q23" s="66"/>
      <c r="R23" s="66"/>
      <c r="S23" s="66"/>
      <c r="T23" s="66"/>
      <c r="U23" s="66"/>
      <c r="V23" s="66"/>
      <c r="W23" s="66"/>
      <c r="X23" s="66"/>
      <c r="Y23" s="66"/>
      <c r="Z23" s="66"/>
    </row>
    <row r="24" spans="1:26">
      <c r="A24" s="66"/>
      <c r="B24" s="162"/>
      <c r="C24" s="162"/>
      <c r="D24" s="162"/>
      <c r="E24" s="162"/>
      <c r="F24" s="162"/>
      <c r="G24" s="162"/>
      <c r="H24" s="162"/>
      <c r="I24" s="162"/>
      <c r="J24" s="66"/>
      <c r="K24" s="66"/>
      <c r="L24" s="66"/>
      <c r="M24" s="66"/>
      <c r="N24" s="66"/>
      <c r="O24" s="66"/>
      <c r="P24" s="66"/>
      <c r="Q24" s="66"/>
      <c r="R24" s="66"/>
      <c r="S24" s="66"/>
      <c r="T24" s="66"/>
      <c r="U24" s="66"/>
      <c r="V24" s="66"/>
      <c r="W24" s="66"/>
      <c r="X24" s="66"/>
      <c r="Y24" s="66"/>
      <c r="Z24" s="66"/>
    </row>
    <row r="25" spans="1:26">
      <c r="A25" s="66"/>
      <c r="B25" s="162"/>
      <c r="C25" s="162"/>
      <c r="D25" s="162"/>
      <c r="E25" s="162"/>
      <c r="F25" s="162"/>
      <c r="G25" s="162"/>
      <c r="H25" s="162"/>
      <c r="I25" s="162"/>
      <c r="J25" s="66"/>
      <c r="K25" s="66"/>
      <c r="L25" s="66"/>
      <c r="M25" s="66"/>
      <c r="N25" s="66"/>
      <c r="O25" s="66"/>
      <c r="P25" s="66"/>
      <c r="Q25" s="66"/>
      <c r="R25" s="66"/>
      <c r="S25" s="66"/>
      <c r="T25" s="66"/>
      <c r="U25" s="66"/>
      <c r="V25" s="66"/>
      <c r="W25" s="66"/>
      <c r="X25" s="66"/>
      <c r="Y25" s="66"/>
      <c r="Z25" s="66"/>
    </row>
    <row r="26" spans="1:26">
      <c r="A26" s="66"/>
      <c r="B26" s="162"/>
      <c r="C26" s="162"/>
      <c r="D26" s="162"/>
      <c r="E26" s="162"/>
      <c r="F26" s="162"/>
      <c r="G26" s="162"/>
      <c r="H26" s="162"/>
      <c r="I26" s="162"/>
      <c r="J26" s="66"/>
      <c r="K26" s="66"/>
      <c r="L26" s="66"/>
      <c r="M26" s="66"/>
      <c r="N26" s="66"/>
      <c r="O26" s="66"/>
      <c r="P26" s="66"/>
      <c r="Q26" s="66"/>
      <c r="R26" s="66"/>
      <c r="S26" s="66"/>
      <c r="T26" s="66"/>
      <c r="U26" s="66"/>
      <c r="V26" s="66"/>
      <c r="W26" s="66"/>
      <c r="X26" s="66"/>
      <c r="Y26" s="66"/>
      <c r="Z26" s="66"/>
    </row>
    <row r="27" spans="1:26">
      <c r="A27" s="66"/>
      <c r="B27" s="164" t="s">
        <v>278</v>
      </c>
      <c r="C27" s="162"/>
      <c r="D27" s="163" t="s">
        <v>279</v>
      </c>
      <c r="E27" s="162"/>
      <c r="F27" s="162"/>
      <c r="G27" s="162"/>
      <c r="H27" s="162"/>
      <c r="I27" s="162"/>
      <c r="J27" s="66"/>
      <c r="K27" s="66"/>
      <c r="L27" s="66"/>
      <c r="M27" s="66"/>
      <c r="N27" s="66"/>
      <c r="O27" s="66"/>
      <c r="P27" s="66"/>
      <c r="Q27" s="66"/>
      <c r="R27" s="66"/>
      <c r="S27" s="66"/>
      <c r="T27" s="66"/>
      <c r="U27" s="66"/>
      <c r="V27" s="66"/>
      <c r="W27" s="66"/>
      <c r="X27" s="66"/>
      <c r="Y27" s="66"/>
      <c r="Z27" s="66"/>
    </row>
    <row r="28" spans="1:26">
      <c r="A28" s="66"/>
      <c r="B28" s="162"/>
      <c r="C28" s="162"/>
      <c r="D28" s="162"/>
      <c r="E28" s="162"/>
      <c r="F28" s="162"/>
      <c r="G28" s="162"/>
      <c r="H28" s="162"/>
      <c r="I28" s="162"/>
      <c r="J28" s="66"/>
      <c r="K28" s="66"/>
      <c r="L28" s="66"/>
      <c r="M28" s="66"/>
      <c r="N28" s="66"/>
      <c r="O28" s="66"/>
      <c r="P28" s="66"/>
      <c r="Q28" s="66"/>
      <c r="R28" s="66"/>
      <c r="S28" s="66"/>
      <c r="T28" s="66"/>
      <c r="U28" s="66"/>
      <c r="V28" s="66"/>
      <c r="W28" s="66"/>
      <c r="X28" s="66"/>
      <c r="Y28" s="66"/>
      <c r="Z28" s="66"/>
    </row>
    <row r="29" spans="1:26">
      <c r="A29" s="66"/>
      <c r="B29" s="162"/>
      <c r="C29" s="162"/>
      <c r="D29" s="162"/>
      <c r="E29" s="162"/>
      <c r="F29" s="162"/>
      <c r="G29" s="162"/>
      <c r="H29" s="162"/>
      <c r="I29" s="162"/>
      <c r="J29" s="66"/>
      <c r="K29" s="66"/>
      <c r="L29" s="66"/>
      <c r="M29" s="66"/>
      <c r="N29" s="66"/>
      <c r="O29" s="66"/>
      <c r="P29" s="66"/>
      <c r="Q29" s="66"/>
      <c r="R29" s="66"/>
      <c r="S29" s="66"/>
      <c r="T29" s="66"/>
      <c r="U29" s="66"/>
      <c r="V29" s="66"/>
      <c r="W29" s="66"/>
      <c r="X29" s="66"/>
      <c r="Y29" s="66"/>
      <c r="Z29" s="66"/>
    </row>
    <row r="30" spans="1:26">
      <c r="A30" s="66"/>
      <c r="B30" s="162"/>
      <c r="C30" s="162"/>
      <c r="D30" s="162"/>
      <c r="E30" s="162"/>
      <c r="F30" s="162"/>
      <c r="G30" s="162"/>
      <c r="H30" s="162"/>
      <c r="I30" s="162"/>
      <c r="J30" s="66"/>
      <c r="K30" s="66"/>
      <c r="L30" s="66"/>
      <c r="M30" s="66"/>
      <c r="N30" s="66"/>
      <c r="O30" s="66"/>
      <c r="P30" s="66"/>
      <c r="Q30" s="66"/>
      <c r="R30" s="66"/>
      <c r="S30" s="66"/>
      <c r="T30" s="66"/>
      <c r="U30" s="66"/>
      <c r="V30" s="66"/>
      <c r="W30" s="66"/>
      <c r="X30" s="66"/>
      <c r="Y30" s="66"/>
      <c r="Z30" s="66"/>
    </row>
    <row r="31" spans="1:26">
      <c r="A31" s="66"/>
      <c r="B31" s="162"/>
      <c r="C31" s="162"/>
      <c r="D31" s="162"/>
      <c r="E31" s="162"/>
      <c r="F31" s="162"/>
      <c r="G31" s="162"/>
      <c r="H31" s="162"/>
      <c r="I31" s="162"/>
      <c r="J31" s="66"/>
      <c r="K31" s="66"/>
      <c r="L31" s="66"/>
      <c r="M31" s="66"/>
      <c r="N31" s="66"/>
      <c r="O31" s="66"/>
      <c r="P31" s="66"/>
      <c r="Q31" s="66"/>
      <c r="R31" s="66"/>
      <c r="S31" s="66"/>
      <c r="T31" s="66"/>
      <c r="U31" s="66"/>
      <c r="V31" s="66"/>
      <c r="W31" s="66"/>
      <c r="X31" s="66"/>
      <c r="Y31" s="66"/>
      <c r="Z31" s="66"/>
    </row>
    <row r="32" spans="1:26">
      <c r="A32" s="66"/>
      <c r="B32" s="164" t="s">
        <v>280</v>
      </c>
      <c r="C32" s="162"/>
      <c r="D32" s="163" t="s">
        <v>281</v>
      </c>
      <c r="E32" s="162"/>
      <c r="F32" s="162"/>
      <c r="G32" s="162"/>
      <c r="H32" s="162"/>
      <c r="I32" s="162"/>
      <c r="J32" s="66"/>
      <c r="K32" s="66"/>
      <c r="L32" s="66"/>
      <c r="M32" s="66"/>
      <c r="N32" s="66"/>
      <c r="O32" s="66"/>
      <c r="P32" s="66"/>
      <c r="Q32" s="66"/>
      <c r="R32" s="66"/>
      <c r="S32" s="66"/>
      <c r="T32" s="66"/>
      <c r="U32" s="66"/>
      <c r="V32" s="66"/>
      <c r="W32" s="66"/>
      <c r="X32" s="66"/>
      <c r="Y32" s="66"/>
      <c r="Z32" s="66"/>
    </row>
    <row r="33" spans="1:26">
      <c r="A33" s="66"/>
      <c r="B33" s="162"/>
      <c r="C33" s="162"/>
      <c r="D33" s="162"/>
      <c r="E33" s="162"/>
      <c r="F33" s="162"/>
      <c r="G33" s="162"/>
      <c r="H33" s="162"/>
      <c r="I33" s="162"/>
      <c r="J33" s="66"/>
      <c r="K33" s="66"/>
      <c r="L33" s="66"/>
      <c r="M33" s="66"/>
      <c r="N33" s="66"/>
      <c r="O33" s="66"/>
      <c r="P33" s="66"/>
      <c r="Q33" s="66"/>
      <c r="R33" s="66"/>
      <c r="S33" s="66"/>
      <c r="T33" s="66"/>
      <c r="U33" s="66"/>
      <c r="V33" s="66"/>
      <c r="W33" s="66"/>
      <c r="X33" s="66"/>
      <c r="Y33" s="66"/>
      <c r="Z33" s="66"/>
    </row>
    <row r="34" spans="1:26">
      <c r="A34" s="66"/>
      <c r="B34" s="162"/>
      <c r="C34" s="162"/>
      <c r="D34" s="162"/>
      <c r="E34" s="162"/>
      <c r="F34" s="162"/>
      <c r="G34" s="162"/>
      <c r="H34" s="162"/>
      <c r="I34" s="162"/>
      <c r="J34" s="66"/>
      <c r="K34" s="66"/>
      <c r="L34" s="66"/>
      <c r="M34" s="66"/>
      <c r="N34" s="66"/>
      <c r="O34" s="66"/>
      <c r="P34" s="66"/>
      <c r="Q34" s="66"/>
      <c r="R34" s="66"/>
      <c r="S34" s="66"/>
      <c r="T34" s="66"/>
      <c r="U34" s="66"/>
      <c r="V34" s="66"/>
      <c r="W34" s="66"/>
      <c r="X34" s="66"/>
      <c r="Y34" s="66"/>
      <c r="Z34" s="66"/>
    </row>
    <row r="35" spans="1:26">
      <c r="A35" s="66"/>
      <c r="B35" s="162"/>
      <c r="C35" s="162"/>
      <c r="D35" s="162"/>
      <c r="E35" s="162"/>
      <c r="F35" s="162"/>
      <c r="G35" s="162"/>
      <c r="H35" s="162"/>
      <c r="I35" s="162"/>
      <c r="J35" s="66"/>
      <c r="K35" s="66"/>
      <c r="L35" s="66"/>
      <c r="M35" s="66"/>
      <c r="N35" s="66"/>
      <c r="O35" s="66"/>
      <c r="P35" s="66"/>
      <c r="Q35" s="66"/>
      <c r="R35" s="66"/>
      <c r="S35" s="66"/>
      <c r="T35" s="66"/>
      <c r="U35" s="66"/>
      <c r="V35" s="66"/>
      <c r="W35" s="66"/>
      <c r="X35" s="66"/>
      <c r="Y35" s="66"/>
      <c r="Z35" s="66"/>
    </row>
    <row r="36" spans="1:26">
      <c r="A36" s="75"/>
      <c r="B36" s="162"/>
      <c r="C36" s="162"/>
      <c r="D36" s="162"/>
      <c r="E36" s="162"/>
      <c r="F36" s="162"/>
      <c r="G36" s="162"/>
      <c r="H36" s="162"/>
      <c r="I36" s="162"/>
      <c r="J36" s="75"/>
      <c r="K36" s="75"/>
      <c r="L36" s="75"/>
      <c r="M36" s="75"/>
      <c r="N36" s="75"/>
      <c r="O36" s="75"/>
      <c r="P36" s="75"/>
      <c r="Q36" s="75"/>
      <c r="R36" s="75"/>
      <c r="S36" s="75"/>
      <c r="T36" s="75"/>
      <c r="U36" s="75"/>
      <c r="V36" s="75"/>
      <c r="W36" s="75"/>
      <c r="X36" s="75"/>
      <c r="Y36" s="75"/>
      <c r="Z36" s="75"/>
    </row>
    <row r="37" spans="1:26">
      <c r="A37" s="75"/>
      <c r="B37" s="161" t="s">
        <v>282</v>
      </c>
      <c r="C37" s="162"/>
      <c r="D37" s="163" t="s">
        <v>283</v>
      </c>
      <c r="E37" s="162"/>
      <c r="F37" s="162"/>
      <c r="G37" s="162"/>
      <c r="H37" s="162"/>
      <c r="I37" s="162"/>
      <c r="J37" s="75"/>
      <c r="K37" s="75"/>
      <c r="L37" s="75"/>
      <c r="M37" s="75"/>
      <c r="N37" s="75"/>
      <c r="O37" s="75"/>
      <c r="P37" s="75"/>
      <c r="Q37" s="75"/>
      <c r="R37" s="75"/>
      <c r="S37" s="75"/>
      <c r="T37" s="75"/>
      <c r="U37" s="75"/>
      <c r="V37" s="75"/>
      <c r="W37" s="75"/>
      <c r="X37" s="75"/>
      <c r="Y37" s="75"/>
      <c r="Z37" s="75"/>
    </row>
    <row r="38" spans="1:26">
      <c r="A38" s="75"/>
      <c r="B38" s="162"/>
      <c r="C38" s="162"/>
      <c r="D38" s="162"/>
      <c r="E38" s="162"/>
      <c r="F38" s="162"/>
      <c r="G38" s="162"/>
      <c r="H38" s="162"/>
      <c r="I38" s="162"/>
      <c r="J38" s="75"/>
      <c r="K38" s="75"/>
      <c r="L38" s="75"/>
      <c r="M38" s="75"/>
      <c r="N38" s="75"/>
      <c r="O38" s="75"/>
      <c r="P38" s="75"/>
      <c r="Q38" s="75"/>
      <c r="R38" s="75"/>
      <c r="S38" s="75"/>
      <c r="T38" s="75"/>
      <c r="U38" s="75"/>
      <c r="V38" s="75"/>
      <c r="W38" s="75"/>
      <c r="X38" s="75"/>
      <c r="Y38" s="75"/>
      <c r="Z38" s="75"/>
    </row>
    <row r="39" spans="1:26">
      <c r="A39" s="75"/>
      <c r="B39" s="162"/>
      <c r="C39" s="162"/>
      <c r="D39" s="162"/>
      <c r="E39" s="162"/>
      <c r="F39" s="162"/>
      <c r="G39" s="162"/>
      <c r="H39" s="162"/>
      <c r="I39" s="162"/>
      <c r="J39" s="75"/>
      <c r="K39" s="75"/>
      <c r="L39" s="75"/>
      <c r="M39" s="75"/>
      <c r="N39" s="75"/>
      <c r="O39" s="75"/>
      <c r="P39" s="75"/>
      <c r="Q39" s="75"/>
      <c r="R39" s="75"/>
      <c r="S39" s="75"/>
      <c r="T39" s="75"/>
      <c r="U39" s="75"/>
      <c r="V39" s="75"/>
      <c r="W39" s="75"/>
      <c r="X39" s="75"/>
      <c r="Y39" s="75"/>
      <c r="Z39" s="75"/>
    </row>
    <row r="40" spans="1:26">
      <c r="A40" s="75"/>
      <c r="B40" s="162"/>
      <c r="C40" s="162"/>
      <c r="D40" s="162"/>
      <c r="E40" s="162"/>
      <c r="F40" s="162"/>
      <c r="G40" s="162"/>
      <c r="H40" s="162"/>
      <c r="I40" s="162"/>
      <c r="J40" s="75"/>
      <c r="K40" s="75"/>
      <c r="L40" s="75"/>
      <c r="M40" s="75"/>
      <c r="N40" s="75"/>
      <c r="O40" s="75"/>
      <c r="P40" s="75"/>
      <c r="Q40" s="75"/>
      <c r="R40" s="75"/>
      <c r="S40" s="75"/>
      <c r="T40" s="75"/>
      <c r="U40" s="75"/>
      <c r="V40" s="75"/>
      <c r="W40" s="75"/>
      <c r="X40" s="75"/>
      <c r="Y40" s="75"/>
      <c r="Z40" s="75"/>
    </row>
    <row r="41" spans="1:26">
      <c r="A41" s="75"/>
      <c r="B41" s="162"/>
      <c r="C41" s="162"/>
      <c r="D41" s="162"/>
      <c r="E41" s="162"/>
      <c r="F41" s="162"/>
      <c r="G41" s="162"/>
      <c r="H41" s="162"/>
      <c r="I41" s="162"/>
      <c r="J41" s="75"/>
      <c r="K41" s="75"/>
      <c r="L41" s="75"/>
      <c r="M41" s="75"/>
      <c r="N41" s="75"/>
      <c r="O41" s="75"/>
      <c r="P41" s="75"/>
      <c r="Q41" s="75"/>
      <c r="R41" s="75"/>
      <c r="S41" s="75"/>
      <c r="T41" s="75"/>
      <c r="U41" s="75"/>
      <c r="V41" s="75"/>
      <c r="W41" s="75"/>
      <c r="X41" s="75"/>
      <c r="Y41" s="75"/>
      <c r="Z41" s="75"/>
    </row>
    <row r="42" spans="1:26">
      <c r="A42" s="75"/>
      <c r="B42" s="161" t="s">
        <v>284</v>
      </c>
      <c r="C42" s="162"/>
      <c r="D42" s="163" t="s">
        <v>285</v>
      </c>
      <c r="E42" s="162"/>
      <c r="F42" s="162"/>
      <c r="G42" s="162"/>
      <c r="H42" s="162"/>
      <c r="I42" s="162"/>
      <c r="J42" s="75"/>
      <c r="K42" s="75"/>
      <c r="L42" s="75"/>
      <c r="M42" s="75"/>
      <c r="N42" s="75"/>
      <c r="O42" s="75"/>
      <c r="P42" s="75"/>
      <c r="Q42" s="75"/>
      <c r="R42" s="75"/>
      <c r="S42" s="75"/>
      <c r="T42" s="75"/>
      <c r="U42" s="75"/>
      <c r="V42" s="75"/>
      <c r="W42" s="75"/>
      <c r="X42" s="75"/>
      <c r="Y42" s="75"/>
      <c r="Z42" s="75"/>
    </row>
    <row r="43" spans="1:26">
      <c r="A43" s="75"/>
      <c r="B43" s="162"/>
      <c r="C43" s="162"/>
      <c r="D43" s="162"/>
      <c r="E43" s="162"/>
      <c r="F43" s="162"/>
      <c r="G43" s="162"/>
      <c r="H43" s="162"/>
      <c r="I43" s="162"/>
      <c r="J43" s="75"/>
      <c r="K43" s="75"/>
      <c r="L43" s="75"/>
      <c r="M43" s="75"/>
      <c r="N43" s="75"/>
      <c r="O43" s="75"/>
      <c r="P43" s="75"/>
      <c r="Q43" s="75"/>
      <c r="R43" s="75"/>
      <c r="S43" s="75"/>
      <c r="T43" s="75"/>
      <c r="U43" s="75"/>
      <c r="V43" s="75"/>
      <c r="W43" s="75"/>
      <c r="X43" s="75"/>
      <c r="Y43" s="75"/>
      <c r="Z43" s="75"/>
    </row>
    <row r="44" spans="1:26">
      <c r="A44" s="75"/>
      <c r="B44" s="162"/>
      <c r="C44" s="162"/>
      <c r="D44" s="162"/>
      <c r="E44" s="162"/>
      <c r="F44" s="162"/>
      <c r="G44" s="162"/>
      <c r="H44" s="162"/>
      <c r="I44" s="162"/>
      <c r="J44" s="75"/>
      <c r="K44" s="75"/>
      <c r="L44" s="75"/>
      <c r="M44" s="75"/>
      <c r="N44" s="75"/>
      <c r="O44" s="75"/>
      <c r="P44" s="75"/>
      <c r="Q44" s="75"/>
      <c r="R44" s="75"/>
      <c r="S44" s="75"/>
      <c r="T44" s="75"/>
      <c r="U44" s="75"/>
      <c r="V44" s="75"/>
      <c r="W44" s="75"/>
      <c r="X44" s="75"/>
      <c r="Y44" s="75"/>
      <c r="Z44" s="75"/>
    </row>
    <row r="45" spans="1:26">
      <c r="A45" s="75"/>
      <c r="B45" s="162"/>
      <c r="C45" s="162"/>
      <c r="D45" s="162"/>
      <c r="E45" s="162"/>
      <c r="F45" s="162"/>
      <c r="G45" s="162"/>
      <c r="H45" s="162"/>
      <c r="I45" s="162"/>
      <c r="J45" s="75"/>
      <c r="K45" s="75"/>
      <c r="L45" s="75"/>
      <c r="M45" s="75"/>
      <c r="N45" s="75"/>
      <c r="O45" s="75"/>
      <c r="P45" s="75"/>
      <c r="Q45" s="75"/>
      <c r="R45" s="75"/>
      <c r="S45" s="75"/>
      <c r="T45" s="75"/>
      <c r="U45" s="75"/>
      <c r="V45" s="75"/>
      <c r="W45" s="75"/>
      <c r="X45" s="75"/>
      <c r="Y45" s="75"/>
      <c r="Z45" s="75"/>
    </row>
    <row r="46" spans="1:26">
      <c r="A46" s="75"/>
      <c r="B46" s="162"/>
      <c r="C46" s="162"/>
      <c r="D46" s="162"/>
      <c r="E46" s="162"/>
      <c r="F46" s="162"/>
      <c r="G46" s="162"/>
      <c r="H46" s="162"/>
      <c r="I46" s="162"/>
      <c r="J46" s="75"/>
      <c r="K46" s="75"/>
      <c r="L46" s="75"/>
      <c r="M46" s="75"/>
      <c r="N46" s="75"/>
      <c r="O46" s="75"/>
      <c r="P46" s="75"/>
      <c r="Q46" s="75"/>
      <c r="R46" s="75"/>
      <c r="S46" s="75"/>
      <c r="T46" s="75"/>
      <c r="U46" s="75"/>
      <c r="V46" s="75"/>
      <c r="W46" s="75"/>
      <c r="X46" s="75"/>
      <c r="Y46" s="75"/>
      <c r="Z46" s="75"/>
    </row>
    <row r="47" spans="1:26">
      <c r="A47" s="75"/>
      <c r="B47" s="161" t="s">
        <v>286</v>
      </c>
      <c r="C47" s="162"/>
      <c r="D47" s="163" t="s">
        <v>287</v>
      </c>
      <c r="E47" s="162"/>
      <c r="F47" s="162"/>
      <c r="G47" s="162"/>
      <c r="H47" s="162"/>
      <c r="I47" s="162"/>
      <c r="J47" s="75"/>
      <c r="K47" s="75"/>
      <c r="L47" s="75"/>
      <c r="M47" s="75"/>
      <c r="N47" s="75"/>
      <c r="O47" s="75"/>
      <c r="P47" s="75"/>
      <c r="Q47" s="75"/>
      <c r="R47" s="75"/>
      <c r="S47" s="75"/>
      <c r="T47" s="75"/>
      <c r="U47" s="75"/>
      <c r="V47" s="75"/>
      <c r="W47" s="75"/>
      <c r="X47" s="75"/>
      <c r="Y47" s="75"/>
      <c r="Z47" s="75"/>
    </row>
    <row r="48" spans="1:26">
      <c r="A48" s="75"/>
      <c r="B48" s="162"/>
      <c r="C48" s="162"/>
      <c r="D48" s="162"/>
      <c r="E48" s="162"/>
      <c r="F48" s="162"/>
      <c r="G48" s="162"/>
      <c r="H48" s="162"/>
      <c r="I48" s="162"/>
      <c r="J48" s="75"/>
      <c r="K48" s="75"/>
      <c r="L48" s="75"/>
      <c r="M48" s="75"/>
      <c r="N48" s="75"/>
      <c r="O48" s="75"/>
      <c r="P48" s="75"/>
      <c r="Q48" s="75"/>
      <c r="R48" s="75"/>
      <c r="S48" s="75"/>
      <c r="T48" s="75"/>
      <c r="U48" s="75"/>
      <c r="V48" s="75"/>
      <c r="W48" s="75"/>
      <c r="X48" s="75"/>
      <c r="Y48" s="75"/>
      <c r="Z48" s="75"/>
    </row>
    <row r="49" spans="1:26">
      <c r="A49" s="75"/>
      <c r="B49" s="162"/>
      <c r="C49" s="162"/>
      <c r="D49" s="162"/>
      <c r="E49" s="162"/>
      <c r="F49" s="162"/>
      <c r="G49" s="162"/>
      <c r="H49" s="162"/>
      <c r="I49" s="162"/>
      <c r="J49" s="75"/>
      <c r="K49" s="75"/>
      <c r="L49" s="75"/>
      <c r="M49" s="75"/>
      <c r="N49" s="75"/>
      <c r="O49" s="75"/>
      <c r="P49" s="75"/>
      <c r="Q49" s="75"/>
      <c r="R49" s="75"/>
      <c r="S49" s="75"/>
      <c r="T49" s="75"/>
      <c r="U49" s="75"/>
      <c r="V49" s="75"/>
      <c r="W49" s="75"/>
      <c r="X49" s="75"/>
      <c r="Y49" s="75"/>
      <c r="Z49" s="75"/>
    </row>
    <row r="50" spans="1:26">
      <c r="A50" s="75"/>
      <c r="B50" s="162"/>
      <c r="C50" s="162"/>
      <c r="D50" s="162"/>
      <c r="E50" s="162"/>
      <c r="F50" s="162"/>
      <c r="G50" s="162"/>
      <c r="H50" s="162"/>
      <c r="I50" s="162"/>
      <c r="J50" s="75"/>
      <c r="K50" s="75"/>
      <c r="L50" s="75"/>
      <c r="M50" s="75"/>
      <c r="N50" s="75"/>
      <c r="O50" s="75"/>
      <c r="P50" s="75"/>
      <c r="Q50" s="75"/>
      <c r="R50" s="75"/>
      <c r="S50" s="75"/>
      <c r="T50" s="75"/>
      <c r="U50" s="75"/>
      <c r="V50" s="75"/>
      <c r="W50" s="75"/>
      <c r="X50" s="75"/>
      <c r="Y50" s="75"/>
      <c r="Z50" s="75"/>
    </row>
    <row r="51" spans="1:26">
      <c r="A51" s="75"/>
      <c r="B51" s="162"/>
      <c r="C51" s="162"/>
      <c r="D51" s="162"/>
      <c r="E51" s="162"/>
      <c r="F51" s="162"/>
      <c r="G51" s="162"/>
      <c r="H51" s="162"/>
      <c r="I51" s="162"/>
      <c r="J51" s="75"/>
      <c r="K51" s="75"/>
      <c r="L51" s="75"/>
      <c r="M51" s="75"/>
      <c r="N51" s="75"/>
      <c r="O51" s="75"/>
      <c r="P51" s="75"/>
      <c r="Q51" s="75"/>
      <c r="R51" s="75"/>
      <c r="S51" s="75"/>
      <c r="T51" s="75"/>
      <c r="U51" s="75"/>
      <c r="V51" s="75"/>
      <c r="W51" s="75"/>
      <c r="X51" s="75"/>
      <c r="Y51" s="75"/>
      <c r="Z51" s="75"/>
    </row>
    <row r="52" spans="1:26">
      <c r="A52" s="75"/>
      <c r="B52" s="161" t="s">
        <v>288</v>
      </c>
      <c r="C52" s="162"/>
      <c r="D52" s="163" t="s">
        <v>289</v>
      </c>
      <c r="E52" s="162"/>
      <c r="F52" s="162"/>
      <c r="G52" s="162"/>
      <c r="H52" s="162"/>
      <c r="I52" s="162"/>
      <c r="J52" s="75"/>
      <c r="K52" s="75"/>
      <c r="L52" s="75"/>
      <c r="M52" s="75"/>
      <c r="N52" s="75"/>
      <c r="O52" s="75"/>
      <c r="P52" s="75"/>
      <c r="Q52" s="75"/>
      <c r="R52" s="75"/>
      <c r="S52" s="75"/>
      <c r="T52" s="75"/>
      <c r="U52" s="75"/>
      <c r="V52" s="75"/>
      <c r="W52" s="75"/>
      <c r="X52" s="75"/>
      <c r="Y52" s="75"/>
      <c r="Z52" s="75"/>
    </row>
    <row r="53" spans="1:26">
      <c r="A53" s="75"/>
      <c r="B53" s="162"/>
      <c r="C53" s="162"/>
      <c r="D53" s="162"/>
      <c r="E53" s="162"/>
      <c r="F53" s="162"/>
      <c r="G53" s="162"/>
      <c r="H53" s="162"/>
      <c r="I53" s="162"/>
      <c r="J53" s="75"/>
      <c r="K53" s="75"/>
      <c r="L53" s="75"/>
      <c r="M53" s="75"/>
      <c r="N53" s="75"/>
      <c r="O53" s="75"/>
      <c r="P53" s="75"/>
      <c r="Q53" s="75"/>
      <c r="R53" s="75"/>
      <c r="S53" s="75"/>
      <c r="T53" s="75"/>
      <c r="U53" s="75"/>
      <c r="V53" s="75"/>
      <c r="W53" s="75"/>
      <c r="X53" s="75"/>
      <c r="Y53" s="75"/>
      <c r="Z53" s="75"/>
    </row>
    <row r="54" spans="1:26">
      <c r="A54" s="75"/>
      <c r="B54" s="162"/>
      <c r="C54" s="162"/>
      <c r="D54" s="162"/>
      <c r="E54" s="162"/>
      <c r="F54" s="162"/>
      <c r="G54" s="162"/>
      <c r="H54" s="162"/>
      <c r="I54" s="162"/>
      <c r="J54" s="75"/>
      <c r="K54" s="75"/>
      <c r="L54" s="75"/>
      <c r="M54" s="75"/>
      <c r="N54" s="75"/>
      <c r="O54" s="75"/>
      <c r="P54" s="75"/>
      <c r="Q54" s="75"/>
      <c r="R54" s="75"/>
      <c r="S54" s="75"/>
      <c r="T54" s="75"/>
      <c r="U54" s="75"/>
      <c r="V54" s="75"/>
      <c r="W54" s="75"/>
      <c r="X54" s="75"/>
      <c r="Y54" s="75"/>
      <c r="Z54" s="75"/>
    </row>
    <row r="55" spans="1:26">
      <c r="A55" s="75"/>
      <c r="B55" s="162"/>
      <c r="C55" s="162"/>
      <c r="D55" s="162"/>
      <c r="E55" s="162"/>
      <c r="F55" s="162"/>
      <c r="G55" s="162"/>
      <c r="H55" s="162"/>
      <c r="I55" s="162"/>
      <c r="J55" s="75"/>
      <c r="K55" s="75"/>
      <c r="L55" s="75"/>
      <c r="M55" s="75"/>
      <c r="N55" s="75"/>
      <c r="O55" s="75"/>
      <c r="P55" s="75"/>
      <c r="Q55" s="75"/>
      <c r="R55" s="75"/>
      <c r="S55" s="75"/>
      <c r="T55" s="75"/>
      <c r="U55" s="75"/>
      <c r="V55" s="75"/>
      <c r="W55" s="75"/>
      <c r="X55" s="75"/>
      <c r="Y55" s="75"/>
      <c r="Z55" s="75"/>
    </row>
    <row r="56" spans="1:26">
      <c r="A56" s="75"/>
      <c r="B56" s="162"/>
      <c r="C56" s="162"/>
      <c r="D56" s="162"/>
      <c r="E56" s="162"/>
      <c r="F56" s="162"/>
      <c r="G56" s="162"/>
      <c r="H56" s="162"/>
      <c r="I56" s="162"/>
      <c r="J56" s="75"/>
      <c r="K56" s="75"/>
      <c r="L56" s="75"/>
      <c r="M56" s="75"/>
      <c r="N56" s="75"/>
      <c r="O56" s="75"/>
      <c r="P56" s="75"/>
      <c r="Q56" s="75"/>
      <c r="R56" s="75"/>
      <c r="S56" s="75"/>
      <c r="T56" s="75"/>
      <c r="U56" s="75"/>
      <c r="V56" s="75"/>
      <c r="W56" s="75"/>
      <c r="X56" s="75"/>
      <c r="Y56" s="75"/>
      <c r="Z56" s="75"/>
    </row>
    <row r="57" spans="1:26">
      <c r="A57" s="75"/>
      <c r="B57" s="161" t="s">
        <v>290</v>
      </c>
      <c r="C57" s="162"/>
      <c r="D57" s="163" t="s">
        <v>291</v>
      </c>
      <c r="E57" s="162"/>
      <c r="F57" s="162"/>
      <c r="G57" s="162"/>
      <c r="H57" s="162"/>
      <c r="I57" s="162"/>
      <c r="J57" s="75"/>
      <c r="K57" s="75"/>
      <c r="L57" s="75"/>
      <c r="M57" s="75"/>
      <c r="N57" s="75"/>
      <c r="O57" s="75"/>
      <c r="P57" s="75"/>
      <c r="Q57" s="75"/>
      <c r="R57" s="75"/>
      <c r="S57" s="75"/>
      <c r="T57" s="75"/>
      <c r="U57" s="75"/>
      <c r="V57" s="75"/>
      <c r="W57" s="75"/>
      <c r="X57" s="75"/>
      <c r="Y57" s="75"/>
      <c r="Z57" s="75"/>
    </row>
    <row r="58" spans="1:26">
      <c r="A58" s="75"/>
      <c r="B58" s="162"/>
      <c r="C58" s="162"/>
      <c r="D58" s="162"/>
      <c r="E58" s="162"/>
      <c r="F58" s="162"/>
      <c r="G58" s="162"/>
      <c r="H58" s="162"/>
      <c r="I58" s="162"/>
      <c r="J58" s="75"/>
      <c r="K58" s="75"/>
      <c r="L58" s="75"/>
      <c r="M58" s="75"/>
      <c r="N58" s="75"/>
      <c r="O58" s="75"/>
      <c r="P58" s="75"/>
      <c r="Q58" s="75"/>
      <c r="R58" s="75"/>
      <c r="S58" s="75"/>
      <c r="T58" s="75"/>
      <c r="U58" s="75"/>
      <c r="V58" s="75"/>
      <c r="W58" s="75"/>
      <c r="X58" s="75"/>
      <c r="Y58" s="75"/>
      <c r="Z58" s="75"/>
    </row>
    <row r="59" spans="1:26">
      <c r="A59" s="75"/>
      <c r="B59" s="162"/>
      <c r="C59" s="162"/>
      <c r="D59" s="162"/>
      <c r="E59" s="162"/>
      <c r="F59" s="162"/>
      <c r="G59" s="162"/>
      <c r="H59" s="162"/>
      <c r="I59" s="162"/>
      <c r="J59" s="75"/>
      <c r="K59" s="75"/>
      <c r="L59" s="75"/>
      <c r="M59" s="75"/>
      <c r="N59" s="75"/>
      <c r="O59" s="75"/>
      <c r="P59" s="75"/>
      <c r="Q59" s="75"/>
      <c r="R59" s="75"/>
      <c r="S59" s="75"/>
      <c r="T59" s="75"/>
      <c r="U59" s="75"/>
      <c r="V59" s="75"/>
      <c r="W59" s="75"/>
      <c r="X59" s="75"/>
      <c r="Y59" s="75"/>
      <c r="Z59" s="75"/>
    </row>
    <row r="60" spans="1:26">
      <c r="A60" s="75"/>
      <c r="B60" s="162"/>
      <c r="C60" s="162"/>
      <c r="D60" s="162"/>
      <c r="E60" s="162"/>
      <c r="F60" s="162"/>
      <c r="G60" s="162"/>
      <c r="H60" s="162"/>
      <c r="I60" s="162"/>
      <c r="J60" s="75"/>
      <c r="K60" s="75"/>
      <c r="L60" s="75"/>
      <c r="M60" s="75"/>
      <c r="N60" s="75"/>
      <c r="O60" s="75"/>
      <c r="P60" s="75"/>
      <c r="Q60" s="75"/>
      <c r="R60" s="75"/>
      <c r="S60" s="75"/>
      <c r="T60" s="75"/>
      <c r="U60" s="75"/>
      <c r="V60" s="75"/>
      <c r="W60" s="75"/>
      <c r="X60" s="75"/>
      <c r="Y60" s="75"/>
      <c r="Z60" s="75"/>
    </row>
    <row r="61" spans="1:26">
      <c r="A61" s="75"/>
      <c r="B61" s="162"/>
      <c r="C61" s="162"/>
      <c r="D61" s="162"/>
      <c r="E61" s="162"/>
      <c r="F61" s="162"/>
      <c r="G61" s="162"/>
      <c r="H61" s="162"/>
      <c r="I61" s="162"/>
      <c r="J61" s="75"/>
      <c r="K61" s="75"/>
      <c r="L61" s="75"/>
      <c r="M61" s="75"/>
      <c r="N61" s="75"/>
      <c r="O61" s="75"/>
      <c r="P61" s="75"/>
      <c r="Q61" s="75"/>
      <c r="R61" s="75"/>
      <c r="S61" s="75"/>
      <c r="T61" s="75"/>
      <c r="U61" s="75"/>
      <c r="V61" s="75"/>
      <c r="W61" s="75"/>
      <c r="X61" s="75"/>
      <c r="Y61" s="75"/>
      <c r="Z61" s="75"/>
    </row>
    <row r="62" spans="1:26">
      <c r="A62" s="75"/>
      <c r="B62" s="161" t="s">
        <v>292</v>
      </c>
      <c r="C62" s="162"/>
      <c r="D62" s="163" t="s">
        <v>293</v>
      </c>
      <c r="E62" s="162"/>
      <c r="F62" s="162"/>
      <c r="G62" s="162"/>
      <c r="H62" s="162"/>
      <c r="I62" s="162"/>
      <c r="J62" s="75"/>
      <c r="K62" s="75"/>
      <c r="L62" s="75"/>
      <c r="M62" s="75"/>
      <c r="N62" s="75"/>
      <c r="O62" s="75"/>
      <c r="P62" s="75"/>
      <c r="Q62" s="75"/>
      <c r="R62" s="75"/>
      <c r="S62" s="75"/>
      <c r="T62" s="75"/>
      <c r="U62" s="75"/>
      <c r="V62" s="75"/>
      <c r="W62" s="75"/>
      <c r="X62" s="75"/>
      <c r="Y62" s="75"/>
      <c r="Z62" s="75"/>
    </row>
    <row r="63" spans="1:26">
      <c r="A63" s="75"/>
      <c r="B63" s="162"/>
      <c r="C63" s="162"/>
      <c r="D63" s="162"/>
      <c r="E63" s="162"/>
      <c r="F63" s="162"/>
      <c r="G63" s="162"/>
      <c r="H63" s="162"/>
      <c r="I63" s="162"/>
      <c r="J63" s="75"/>
      <c r="K63" s="75"/>
      <c r="L63" s="75"/>
      <c r="M63" s="75"/>
      <c r="N63" s="75"/>
      <c r="O63" s="75"/>
      <c r="P63" s="75"/>
      <c r="Q63" s="75"/>
      <c r="R63" s="75"/>
      <c r="S63" s="75"/>
      <c r="T63" s="75"/>
      <c r="U63" s="75"/>
      <c r="V63" s="75"/>
      <c r="W63" s="75"/>
      <c r="X63" s="75"/>
      <c r="Y63" s="75"/>
      <c r="Z63" s="75"/>
    </row>
    <row r="64" spans="1:26">
      <c r="A64" s="75"/>
      <c r="B64" s="162"/>
      <c r="C64" s="162"/>
      <c r="D64" s="162"/>
      <c r="E64" s="162"/>
      <c r="F64" s="162"/>
      <c r="G64" s="162"/>
      <c r="H64" s="162"/>
      <c r="I64" s="162"/>
      <c r="J64" s="75"/>
      <c r="K64" s="75"/>
      <c r="L64" s="75"/>
      <c r="M64" s="75"/>
      <c r="N64" s="75"/>
      <c r="O64" s="75"/>
      <c r="P64" s="75"/>
      <c r="Q64" s="75"/>
      <c r="R64" s="75"/>
      <c r="S64" s="75"/>
      <c r="T64" s="75"/>
      <c r="U64" s="75"/>
      <c r="V64" s="75"/>
      <c r="W64" s="75"/>
      <c r="X64" s="75"/>
      <c r="Y64" s="75"/>
      <c r="Z64" s="75"/>
    </row>
    <row r="65" spans="1:26">
      <c r="A65" s="75"/>
      <c r="B65" s="162"/>
      <c r="C65" s="162"/>
      <c r="D65" s="162"/>
      <c r="E65" s="162"/>
      <c r="F65" s="162"/>
      <c r="G65" s="162"/>
      <c r="H65" s="162"/>
      <c r="I65" s="162"/>
      <c r="J65" s="75"/>
      <c r="K65" s="75"/>
      <c r="L65" s="75"/>
      <c r="M65" s="75"/>
      <c r="N65" s="75"/>
      <c r="O65" s="75"/>
      <c r="P65" s="75"/>
      <c r="Q65" s="75"/>
      <c r="R65" s="75"/>
      <c r="S65" s="75"/>
      <c r="T65" s="75"/>
      <c r="U65" s="75"/>
      <c r="V65" s="75"/>
      <c r="W65" s="75"/>
      <c r="X65" s="75"/>
      <c r="Y65" s="75"/>
      <c r="Z65" s="75"/>
    </row>
    <row r="66" spans="1:26">
      <c r="A66" s="75"/>
      <c r="B66" s="162"/>
      <c r="C66" s="162"/>
      <c r="D66" s="162"/>
      <c r="E66" s="162"/>
      <c r="F66" s="162"/>
      <c r="G66" s="162"/>
      <c r="H66" s="162"/>
      <c r="I66" s="162"/>
      <c r="J66" s="75"/>
      <c r="K66" s="75"/>
      <c r="L66" s="75"/>
      <c r="M66" s="75"/>
      <c r="N66" s="75"/>
      <c r="O66" s="75"/>
      <c r="P66" s="75"/>
      <c r="Q66" s="75"/>
      <c r="R66" s="75"/>
      <c r="S66" s="75"/>
      <c r="T66" s="75"/>
      <c r="U66" s="75"/>
      <c r="V66" s="75"/>
      <c r="W66" s="75"/>
      <c r="X66" s="75"/>
      <c r="Y66" s="75"/>
      <c r="Z66" s="75"/>
    </row>
    <row r="67" spans="1:26">
      <c r="A67" s="75"/>
      <c r="B67" s="161" t="s">
        <v>294</v>
      </c>
      <c r="C67" s="162"/>
      <c r="D67" s="163" t="s">
        <v>295</v>
      </c>
      <c r="E67" s="162"/>
      <c r="F67" s="162"/>
      <c r="G67" s="162"/>
      <c r="H67" s="162"/>
      <c r="I67" s="162"/>
      <c r="J67" s="75"/>
      <c r="K67" s="75"/>
      <c r="L67" s="75"/>
      <c r="M67" s="75"/>
      <c r="N67" s="75"/>
      <c r="O67" s="75"/>
      <c r="P67" s="75"/>
      <c r="Q67" s="75"/>
      <c r="R67" s="75"/>
      <c r="S67" s="75"/>
      <c r="T67" s="75"/>
      <c r="U67" s="75"/>
      <c r="V67" s="75"/>
      <c r="W67" s="75"/>
      <c r="X67" s="75"/>
      <c r="Y67" s="75"/>
      <c r="Z67" s="75"/>
    </row>
    <row r="68" spans="1:26">
      <c r="A68" s="75"/>
      <c r="B68" s="162"/>
      <c r="C68" s="162"/>
      <c r="D68" s="162"/>
      <c r="E68" s="162"/>
      <c r="F68" s="162"/>
      <c r="G68" s="162"/>
      <c r="H68" s="162"/>
      <c r="I68" s="162"/>
      <c r="J68" s="75"/>
      <c r="K68" s="75"/>
      <c r="L68" s="75"/>
      <c r="M68" s="75"/>
      <c r="N68" s="75"/>
      <c r="O68" s="75"/>
      <c r="P68" s="75"/>
      <c r="Q68" s="75"/>
      <c r="R68" s="75"/>
      <c r="S68" s="75"/>
      <c r="T68" s="75"/>
      <c r="U68" s="75"/>
      <c r="V68" s="75"/>
      <c r="W68" s="75"/>
      <c r="X68" s="75"/>
      <c r="Y68" s="75"/>
      <c r="Z68" s="75"/>
    </row>
    <row r="69" spans="1:26">
      <c r="A69" s="75"/>
      <c r="B69" s="162"/>
      <c r="C69" s="162"/>
      <c r="D69" s="162"/>
      <c r="E69" s="162"/>
      <c r="F69" s="162"/>
      <c r="G69" s="162"/>
      <c r="H69" s="162"/>
      <c r="I69" s="162"/>
      <c r="J69" s="75"/>
      <c r="K69" s="75"/>
      <c r="L69" s="75"/>
      <c r="M69" s="75"/>
      <c r="N69" s="75"/>
      <c r="O69" s="75"/>
      <c r="P69" s="75"/>
      <c r="Q69" s="75"/>
      <c r="R69" s="75"/>
      <c r="S69" s="75"/>
      <c r="T69" s="75"/>
      <c r="U69" s="75"/>
      <c r="V69" s="75"/>
      <c r="W69" s="75"/>
      <c r="X69" s="75"/>
      <c r="Y69" s="75"/>
      <c r="Z69" s="75"/>
    </row>
    <row r="70" spans="1:26">
      <c r="A70" s="75"/>
      <c r="B70" s="162"/>
      <c r="C70" s="162"/>
      <c r="D70" s="162"/>
      <c r="E70" s="162"/>
      <c r="F70" s="162"/>
      <c r="G70" s="162"/>
      <c r="H70" s="162"/>
      <c r="I70" s="162"/>
      <c r="J70" s="75"/>
      <c r="K70" s="75"/>
      <c r="L70" s="75"/>
      <c r="M70" s="75"/>
      <c r="N70" s="75"/>
      <c r="O70" s="75"/>
      <c r="P70" s="75"/>
      <c r="Q70" s="75"/>
      <c r="R70" s="75"/>
      <c r="S70" s="75"/>
      <c r="T70" s="75"/>
      <c r="U70" s="75"/>
      <c r="V70" s="75"/>
      <c r="W70" s="75"/>
      <c r="X70" s="75"/>
      <c r="Y70" s="75"/>
      <c r="Z70" s="75"/>
    </row>
    <row r="71" spans="1:26">
      <c r="A71" s="75"/>
      <c r="B71" s="162"/>
      <c r="C71" s="162"/>
      <c r="D71" s="162"/>
      <c r="E71" s="162"/>
      <c r="F71" s="162"/>
      <c r="G71" s="162"/>
      <c r="H71" s="162"/>
      <c r="I71" s="162"/>
      <c r="J71" s="75"/>
      <c r="K71" s="75"/>
      <c r="L71" s="75"/>
      <c r="M71" s="75"/>
      <c r="N71" s="75"/>
      <c r="O71" s="75"/>
      <c r="P71" s="75"/>
      <c r="Q71" s="75"/>
      <c r="R71" s="75"/>
      <c r="S71" s="75"/>
      <c r="T71" s="75"/>
      <c r="U71" s="75"/>
      <c r="V71" s="75"/>
      <c r="W71" s="75"/>
      <c r="X71" s="75"/>
      <c r="Y71" s="75"/>
      <c r="Z71" s="75"/>
    </row>
    <row r="72" spans="1:26">
      <c r="A72" s="75"/>
      <c r="B72" s="77"/>
      <c r="C72" s="77"/>
      <c r="D72" s="75"/>
      <c r="E72" s="75"/>
      <c r="F72" s="75"/>
      <c r="G72" s="75"/>
      <c r="H72" s="75"/>
      <c r="I72" s="75"/>
      <c r="J72" s="75"/>
      <c r="K72" s="75"/>
      <c r="L72" s="75"/>
      <c r="M72" s="75"/>
      <c r="N72" s="75"/>
      <c r="O72" s="75"/>
      <c r="P72" s="75"/>
      <c r="Q72" s="75"/>
      <c r="R72" s="75"/>
      <c r="S72" s="75"/>
      <c r="T72" s="75"/>
      <c r="U72" s="75"/>
      <c r="V72" s="75"/>
      <c r="W72" s="75"/>
      <c r="X72" s="75"/>
      <c r="Y72" s="75"/>
      <c r="Z72" s="75"/>
    </row>
    <row r="73" spans="1:26">
      <c r="A73" s="75"/>
      <c r="B73" s="77"/>
      <c r="C73" s="77"/>
      <c r="D73" s="75"/>
      <c r="E73" s="75"/>
      <c r="F73" s="75"/>
      <c r="G73" s="75"/>
      <c r="H73" s="75"/>
      <c r="I73" s="75"/>
      <c r="J73" s="75"/>
      <c r="K73" s="75"/>
      <c r="L73" s="75"/>
      <c r="M73" s="75"/>
      <c r="N73" s="75"/>
      <c r="O73" s="75"/>
      <c r="P73" s="75"/>
      <c r="Q73" s="75"/>
      <c r="R73" s="75"/>
      <c r="S73" s="75"/>
      <c r="T73" s="75"/>
      <c r="U73" s="75"/>
      <c r="V73" s="75"/>
      <c r="W73" s="75"/>
      <c r="X73" s="75"/>
      <c r="Y73" s="75"/>
      <c r="Z73" s="75"/>
    </row>
    <row r="74" spans="1:26">
      <c r="A74" s="75"/>
      <c r="B74" s="77"/>
      <c r="C74" s="77"/>
      <c r="D74" s="75"/>
      <c r="E74" s="75"/>
      <c r="F74" s="75"/>
      <c r="G74" s="75"/>
      <c r="H74" s="75"/>
      <c r="I74" s="75"/>
      <c r="J74" s="75"/>
      <c r="K74" s="75"/>
      <c r="L74" s="75"/>
      <c r="M74" s="75"/>
      <c r="N74" s="75"/>
      <c r="O74" s="75"/>
      <c r="P74" s="75"/>
      <c r="Q74" s="75"/>
      <c r="R74" s="75"/>
      <c r="S74" s="75"/>
      <c r="T74" s="75"/>
      <c r="U74" s="75"/>
      <c r="V74" s="75"/>
      <c r="W74" s="75"/>
      <c r="X74" s="75"/>
      <c r="Y74" s="75"/>
      <c r="Z74" s="75"/>
    </row>
    <row r="75" spans="1:26">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spans="1:2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spans="1:26">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spans="1:26">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spans="1:26">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spans="1:26">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spans="1:26">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spans="1:26">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spans="1:26">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spans="1:26">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spans="1:26">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spans="1:2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spans="1:26">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spans="1:26">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spans="1:26">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spans="1:26">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spans="1:26">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spans="1:26">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spans="1:26">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spans="1:26">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spans="1:26">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spans="1: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sheetData>
  <mergeCells count="28">
    <mergeCell ref="D57:I61"/>
    <mergeCell ref="D32:I36"/>
    <mergeCell ref="D42:I46"/>
    <mergeCell ref="D47:I51"/>
    <mergeCell ref="D37:I41"/>
    <mergeCell ref="D52:I56"/>
    <mergeCell ref="D17:I21"/>
    <mergeCell ref="B52:C56"/>
    <mergeCell ref="B57:C61"/>
    <mergeCell ref="B62:C66"/>
    <mergeCell ref="B67:C71"/>
    <mergeCell ref="B17:C21"/>
    <mergeCell ref="B22:C26"/>
    <mergeCell ref="B27:C31"/>
    <mergeCell ref="B32:C36"/>
    <mergeCell ref="B37:C41"/>
    <mergeCell ref="B42:C46"/>
    <mergeCell ref="B47:C51"/>
    <mergeCell ref="D62:I66"/>
    <mergeCell ref="D67:I71"/>
    <mergeCell ref="D22:I26"/>
    <mergeCell ref="D27:I31"/>
    <mergeCell ref="B2:C6"/>
    <mergeCell ref="D2:I6"/>
    <mergeCell ref="B7:C11"/>
    <mergeCell ref="D7:I11"/>
    <mergeCell ref="B12:C16"/>
    <mergeCell ref="D12:I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outlinePr summaryBelow="0" summaryRight="0"/>
  </sheetPr>
  <dimension ref="A1:Z905"/>
  <sheetViews>
    <sheetView topLeftCell="A102" zoomScale="70" zoomScaleNormal="70" workbookViewId="0">
      <selection activeCell="N23" sqref="N23"/>
    </sheetView>
  </sheetViews>
  <sheetFormatPr baseColWidth="10" defaultColWidth="14.42578125" defaultRowHeight="15" customHeight="1"/>
  <cols>
    <col min="1" max="1" width="5" customWidth="1"/>
  </cols>
  <sheetData>
    <row r="1" spans="1:18">
      <c r="A1" s="66"/>
      <c r="B1" s="66"/>
      <c r="C1" s="66"/>
      <c r="D1" s="66"/>
      <c r="E1" s="66"/>
      <c r="F1" s="66"/>
      <c r="G1" s="66"/>
      <c r="H1" s="66"/>
      <c r="I1" s="66"/>
      <c r="J1" s="66"/>
      <c r="K1" s="66"/>
      <c r="L1" s="66"/>
      <c r="M1" s="66"/>
      <c r="N1" s="66"/>
      <c r="O1" s="66"/>
      <c r="P1" s="66"/>
      <c r="Q1" s="66"/>
      <c r="R1" s="66"/>
    </row>
    <row r="2" spans="1:18">
      <c r="A2" s="66"/>
      <c r="B2" s="165"/>
      <c r="C2" s="162"/>
      <c r="D2" s="162"/>
      <c r="E2" s="162"/>
      <c r="F2" s="162"/>
      <c r="G2" s="162"/>
      <c r="H2" s="162"/>
      <c r="I2" s="162"/>
      <c r="J2" s="162"/>
      <c r="K2" s="66"/>
      <c r="L2" s="66"/>
      <c r="M2" s="66"/>
      <c r="N2" s="66"/>
      <c r="O2" s="66"/>
      <c r="P2" s="66"/>
      <c r="Q2" s="66"/>
      <c r="R2" s="66"/>
    </row>
    <row r="3" spans="1:18">
      <c r="A3" s="66"/>
      <c r="B3" s="162"/>
      <c r="C3" s="162"/>
      <c r="D3" s="162"/>
      <c r="E3" s="162"/>
      <c r="F3" s="162"/>
      <c r="G3" s="162"/>
      <c r="H3" s="162"/>
      <c r="I3" s="162"/>
      <c r="J3" s="162"/>
      <c r="K3" s="66"/>
      <c r="L3" s="66"/>
      <c r="M3" s="66"/>
      <c r="N3" s="66"/>
      <c r="O3" s="66"/>
      <c r="P3" s="66"/>
      <c r="Q3" s="66"/>
      <c r="R3" s="66"/>
    </row>
    <row r="4" spans="1:18">
      <c r="A4" s="66"/>
      <c r="B4" s="162"/>
      <c r="C4" s="162"/>
      <c r="D4" s="162"/>
      <c r="E4" s="162"/>
      <c r="F4" s="162"/>
      <c r="G4" s="162"/>
      <c r="H4" s="162"/>
      <c r="I4" s="162"/>
      <c r="J4" s="162"/>
      <c r="K4" s="66"/>
      <c r="L4" s="66"/>
      <c r="M4" s="66"/>
      <c r="N4" s="66"/>
      <c r="O4" s="66"/>
      <c r="P4" s="66"/>
      <c r="Q4" s="66"/>
      <c r="R4" s="66"/>
    </row>
    <row r="5" spans="1:18">
      <c r="A5" s="66"/>
      <c r="B5" s="162"/>
      <c r="C5" s="162"/>
      <c r="D5" s="162"/>
      <c r="E5" s="162"/>
      <c r="F5" s="162"/>
      <c r="G5" s="162"/>
      <c r="H5" s="162"/>
      <c r="I5" s="162"/>
      <c r="J5" s="162"/>
      <c r="K5" s="66"/>
      <c r="L5" s="66"/>
      <c r="M5" s="66"/>
      <c r="N5" s="66"/>
      <c r="O5" s="66"/>
      <c r="P5" s="66"/>
      <c r="Q5" s="66"/>
      <c r="R5" s="66"/>
    </row>
    <row r="6" spans="1:18">
      <c r="A6" s="66"/>
      <c r="B6" s="162"/>
      <c r="C6" s="162"/>
      <c r="D6" s="162"/>
      <c r="E6" s="162"/>
      <c r="F6" s="162"/>
      <c r="G6" s="162"/>
      <c r="H6" s="162"/>
      <c r="I6" s="162"/>
      <c r="J6" s="162"/>
      <c r="K6" s="66"/>
      <c r="L6" s="66"/>
      <c r="M6" s="66"/>
      <c r="N6" s="66"/>
      <c r="O6" s="66"/>
      <c r="P6" s="66"/>
      <c r="Q6" s="66"/>
      <c r="R6" s="66"/>
    </row>
    <row r="7" spans="1:18">
      <c r="A7" s="66"/>
      <c r="B7" s="162"/>
      <c r="C7" s="162"/>
      <c r="D7" s="162"/>
      <c r="E7" s="162"/>
      <c r="F7" s="162"/>
      <c r="G7" s="162"/>
      <c r="H7" s="162"/>
      <c r="I7" s="162"/>
      <c r="J7" s="162"/>
      <c r="K7" s="66"/>
      <c r="L7" s="66"/>
      <c r="M7" s="66"/>
      <c r="N7" s="66"/>
      <c r="O7" s="66"/>
      <c r="P7" s="66"/>
      <c r="Q7" s="66"/>
      <c r="R7" s="66"/>
    </row>
    <row r="8" spans="1:18">
      <c r="A8" s="66"/>
      <c r="B8" s="162"/>
      <c r="C8" s="162"/>
      <c r="D8" s="162"/>
      <c r="E8" s="162"/>
      <c r="F8" s="162"/>
      <c r="G8" s="162"/>
      <c r="H8" s="162"/>
      <c r="I8" s="162"/>
      <c r="J8" s="162"/>
      <c r="K8" s="66"/>
      <c r="L8" s="66"/>
      <c r="M8" s="66"/>
      <c r="N8" s="66"/>
      <c r="O8" s="66"/>
      <c r="P8" s="66"/>
      <c r="Q8" s="66"/>
      <c r="R8" s="66"/>
    </row>
    <row r="9" spans="1:18">
      <c r="A9" s="66"/>
      <c r="B9" s="162"/>
      <c r="C9" s="162"/>
      <c r="D9" s="162"/>
      <c r="E9" s="162"/>
      <c r="F9" s="162"/>
      <c r="G9" s="162"/>
      <c r="H9" s="162"/>
      <c r="I9" s="162"/>
      <c r="J9" s="162"/>
      <c r="K9" s="66"/>
      <c r="L9" s="66"/>
      <c r="M9" s="66"/>
      <c r="N9" s="66"/>
      <c r="O9" s="66"/>
      <c r="P9" s="66"/>
      <c r="Q9" s="66"/>
      <c r="R9" s="66"/>
    </row>
    <row r="10" spans="1:18">
      <c r="A10" s="66"/>
      <c r="B10" s="162"/>
      <c r="C10" s="162"/>
      <c r="D10" s="162"/>
      <c r="E10" s="162"/>
      <c r="F10" s="162"/>
      <c r="G10" s="162"/>
      <c r="H10" s="162"/>
      <c r="I10" s="162"/>
      <c r="J10" s="162"/>
      <c r="K10" s="66"/>
      <c r="L10" s="66"/>
      <c r="M10" s="66"/>
      <c r="N10" s="66"/>
      <c r="O10" s="66"/>
      <c r="P10" s="66"/>
      <c r="Q10" s="66"/>
      <c r="R10" s="66"/>
    </row>
    <row r="11" spans="1:18">
      <c r="A11" s="66"/>
      <c r="B11" s="162"/>
      <c r="C11" s="162"/>
      <c r="D11" s="162"/>
      <c r="E11" s="162"/>
      <c r="F11" s="162"/>
      <c r="G11" s="162"/>
      <c r="H11" s="162"/>
      <c r="I11" s="162"/>
      <c r="J11" s="162"/>
      <c r="K11" s="66"/>
      <c r="L11" s="66"/>
      <c r="M11" s="66"/>
      <c r="N11" s="66"/>
      <c r="O11" s="66"/>
      <c r="P11" s="66"/>
      <c r="Q11" s="66"/>
      <c r="R11" s="66"/>
    </row>
    <row r="12" spans="1:18">
      <c r="A12" s="66"/>
      <c r="B12" s="162"/>
      <c r="C12" s="162"/>
      <c r="D12" s="162"/>
      <c r="E12" s="162"/>
      <c r="F12" s="162"/>
      <c r="G12" s="162"/>
      <c r="H12" s="162"/>
      <c r="I12" s="162"/>
      <c r="J12" s="162"/>
      <c r="K12" s="66"/>
      <c r="L12" s="66"/>
      <c r="M12" s="66"/>
      <c r="N12" s="66"/>
      <c r="O12" s="66"/>
      <c r="P12" s="66"/>
      <c r="Q12" s="66"/>
      <c r="R12" s="66"/>
    </row>
    <row r="13" spans="1:18">
      <c r="A13" s="66"/>
      <c r="B13" s="162"/>
      <c r="C13" s="162"/>
      <c r="D13" s="162"/>
      <c r="E13" s="162"/>
      <c r="F13" s="162"/>
      <c r="G13" s="162"/>
      <c r="H13" s="162"/>
      <c r="I13" s="162"/>
      <c r="J13" s="162"/>
      <c r="K13" s="66"/>
      <c r="L13" s="66"/>
      <c r="M13" s="66"/>
      <c r="N13" s="66"/>
      <c r="O13" s="66"/>
      <c r="P13" s="66"/>
      <c r="Q13" s="66"/>
      <c r="R13" s="66"/>
    </row>
    <row r="14" spans="1:18">
      <c r="A14" s="66"/>
      <c r="B14" s="162"/>
      <c r="C14" s="162"/>
      <c r="D14" s="162"/>
      <c r="E14" s="162"/>
      <c r="F14" s="162"/>
      <c r="G14" s="162"/>
      <c r="H14" s="162"/>
      <c r="I14" s="162"/>
      <c r="J14" s="162"/>
      <c r="K14" s="66"/>
      <c r="L14" s="66"/>
      <c r="M14" s="66"/>
      <c r="N14" s="66"/>
      <c r="O14" s="66"/>
      <c r="P14" s="66"/>
      <c r="Q14" s="66"/>
      <c r="R14" s="66"/>
    </row>
    <row r="15" spans="1:18">
      <c r="A15" s="66"/>
      <c r="B15" s="162"/>
      <c r="C15" s="162"/>
      <c r="D15" s="162"/>
      <c r="E15" s="162"/>
      <c r="F15" s="162"/>
      <c r="G15" s="162"/>
      <c r="H15" s="162"/>
      <c r="I15" s="162"/>
      <c r="J15" s="162"/>
      <c r="K15" s="66"/>
      <c r="L15" s="66"/>
      <c r="M15" s="66"/>
      <c r="N15" s="66"/>
      <c r="O15" s="66"/>
      <c r="P15" s="66"/>
      <c r="Q15" s="66"/>
      <c r="R15" s="66"/>
    </row>
    <row r="16" spans="1:18">
      <c r="A16" s="66"/>
      <c r="B16" s="162"/>
      <c r="C16" s="162"/>
      <c r="D16" s="162"/>
      <c r="E16" s="162"/>
      <c r="F16" s="162"/>
      <c r="G16" s="162"/>
      <c r="H16" s="162"/>
      <c r="I16" s="162"/>
      <c r="J16" s="162"/>
      <c r="K16" s="66"/>
      <c r="L16" s="66"/>
      <c r="M16" s="66"/>
      <c r="N16" s="66"/>
      <c r="O16" s="66"/>
      <c r="P16" s="66"/>
      <c r="Q16" s="66"/>
      <c r="R16" s="66"/>
    </row>
    <row r="17" spans="1:18">
      <c r="A17" s="66"/>
      <c r="B17" s="162"/>
      <c r="C17" s="162"/>
      <c r="D17" s="162"/>
      <c r="E17" s="162"/>
      <c r="F17" s="162"/>
      <c r="G17" s="162"/>
      <c r="H17" s="162"/>
      <c r="I17" s="162"/>
      <c r="J17" s="162"/>
      <c r="K17" s="66"/>
      <c r="L17" s="66"/>
      <c r="M17" s="66"/>
      <c r="N17" s="66"/>
      <c r="O17" s="66"/>
      <c r="P17" s="66"/>
      <c r="Q17" s="66"/>
      <c r="R17" s="66"/>
    </row>
    <row r="18" spans="1:18">
      <c r="A18" s="66"/>
      <c r="B18" s="162"/>
      <c r="C18" s="162"/>
      <c r="D18" s="162"/>
      <c r="E18" s="162"/>
      <c r="F18" s="162"/>
      <c r="G18" s="162"/>
      <c r="H18" s="162"/>
      <c r="I18" s="162"/>
      <c r="J18" s="162"/>
      <c r="K18" s="66"/>
      <c r="L18" s="66"/>
      <c r="M18" s="66"/>
      <c r="N18" s="66"/>
      <c r="O18" s="66"/>
      <c r="P18" s="66"/>
      <c r="Q18" s="66"/>
      <c r="R18" s="66"/>
    </row>
    <row r="19" spans="1:18">
      <c r="A19" s="66"/>
      <c r="B19" s="162"/>
      <c r="C19" s="162"/>
      <c r="D19" s="162"/>
      <c r="E19" s="162"/>
      <c r="F19" s="162"/>
      <c r="G19" s="162"/>
      <c r="H19" s="162"/>
      <c r="I19" s="162"/>
      <c r="J19" s="162"/>
      <c r="K19" s="66"/>
      <c r="L19" s="66"/>
      <c r="M19" s="66"/>
      <c r="N19" s="66"/>
      <c r="O19" s="66"/>
      <c r="P19" s="66"/>
      <c r="Q19" s="66"/>
      <c r="R19" s="66"/>
    </row>
    <row r="20" spans="1:18">
      <c r="A20" s="66"/>
      <c r="B20" s="162"/>
      <c r="C20" s="162"/>
      <c r="D20" s="162"/>
      <c r="E20" s="162"/>
      <c r="F20" s="162"/>
      <c r="G20" s="162"/>
      <c r="H20" s="162"/>
      <c r="I20" s="162"/>
      <c r="J20" s="162"/>
      <c r="K20" s="66"/>
      <c r="L20" s="66"/>
      <c r="M20" s="66"/>
      <c r="N20" s="66"/>
      <c r="O20" s="66"/>
      <c r="P20" s="66"/>
      <c r="Q20" s="66"/>
      <c r="R20" s="66"/>
    </row>
    <row r="21" spans="1:18">
      <c r="A21" s="66"/>
      <c r="B21" s="162"/>
      <c r="C21" s="162"/>
      <c r="D21" s="162"/>
      <c r="E21" s="162"/>
      <c r="F21" s="162"/>
      <c r="G21" s="162"/>
      <c r="H21" s="162"/>
      <c r="I21" s="162"/>
      <c r="J21" s="162"/>
      <c r="K21" s="66"/>
      <c r="L21" s="66"/>
      <c r="M21" s="66"/>
      <c r="N21" s="66"/>
      <c r="O21" s="66"/>
      <c r="P21" s="66"/>
      <c r="Q21" s="66"/>
      <c r="R21" s="66"/>
    </row>
    <row r="22" spans="1:18">
      <c r="A22" s="66"/>
      <c r="B22" s="162"/>
      <c r="C22" s="162"/>
      <c r="D22" s="162"/>
      <c r="E22" s="162"/>
      <c r="F22" s="162"/>
      <c r="G22" s="162"/>
      <c r="H22" s="162"/>
      <c r="I22" s="162"/>
      <c r="J22" s="162"/>
      <c r="K22" s="66"/>
      <c r="L22" s="66"/>
      <c r="M22" s="66"/>
      <c r="N22" s="66"/>
      <c r="O22" s="66"/>
      <c r="P22" s="66"/>
      <c r="Q22" s="66"/>
      <c r="R22" s="66"/>
    </row>
    <row r="23" spans="1:18">
      <c r="A23" s="66"/>
      <c r="B23" s="162"/>
      <c r="C23" s="162"/>
      <c r="D23" s="162"/>
      <c r="E23" s="162"/>
      <c r="F23" s="162"/>
      <c r="G23" s="162"/>
      <c r="H23" s="162"/>
      <c r="I23" s="162"/>
      <c r="J23" s="162"/>
      <c r="K23" s="66"/>
      <c r="L23" s="66"/>
      <c r="M23" s="66"/>
      <c r="N23" s="66"/>
      <c r="O23" s="66"/>
      <c r="P23" s="66"/>
      <c r="Q23" s="66"/>
      <c r="R23" s="66"/>
    </row>
    <row r="24" spans="1:18">
      <c r="A24" s="66"/>
      <c r="B24" s="162"/>
      <c r="C24" s="162"/>
      <c r="D24" s="162"/>
      <c r="E24" s="162"/>
      <c r="F24" s="162"/>
      <c r="G24" s="162"/>
      <c r="H24" s="162"/>
      <c r="I24" s="162"/>
      <c r="J24" s="162"/>
      <c r="K24" s="66"/>
      <c r="L24" s="66"/>
      <c r="M24" s="66"/>
      <c r="N24" s="66"/>
      <c r="O24" s="66"/>
      <c r="P24" s="66"/>
      <c r="Q24" s="66"/>
      <c r="R24" s="66"/>
    </row>
    <row r="25" spans="1:18">
      <c r="A25" s="66"/>
      <c r="B25" s="162"/>
      <c r="C25" s="162"/>
      <c r="D25" s="162"/>
      <c r="E25" s="162"/>
      <c r="F25" s="162"/>
      <c r="G25" s="162"/>
      <c r="H25" s="162"/>
      <c r="I25" s="162"/>
      <c r="J25" s="162"/>
      <c r="K25" s="66"/>
      <c r="L25" s="66"/>
      <c r="M25" s="66"/>
      <c r="N25" s="66"/>
      <c r="O25" s="66"/>
      <c r="P25" s="66"/>
      <c r="Q25" s="66"/>
      <c r="R25" s="66"/>
    </row>
    <row r="26" spans="1:18">
      <c r="A26" s="66"/>
      <c r="B26" s="162"/>
      <c r="C26" s="162"/>
      <c r="D26" s="162"/>
      <c r="E26" s="162"/>
      <c r="F26" s="162"/>
      <c r="G26" s="162"/>
      <c r="H26" s="162"/>
      <c r="I26" s="162"/>
      <c r="J26" s="162"/>
      <c r="K26" s="66"/>
      <c r="L26" s="66"/>
      <c r="M26" s="66"/>
      <c r="N26" s="66"/>
      <c r="O26" s="66"/>
      <c r="P26" s="66"/>
      <c r="Q26" s="66"/>
      <c r="R26" s="66"/>
    </row>
    <row r="27" spans="1:18">
      <c r="A27" s="66"/>
      <c r="B27" s="165"/>
      <c r="C27" s="162"/>
      <c r="D27" s="162"/>
      <c r="E27" s="162"/>
      <c r="F27" s="162"/>
      <c r="G27" s="162"/>
      <c r="H27" s="162"/>
      <c r="I27" s="162"/>
      <c r="J27" s="162"/>
      <c r="K27" s="66"/>
      <c r="L27" s="66"/>
      <c r="M27" s="66"/>
      <c r="N27" s="66"/>
      <c r="O27" s="66"/>
      <c r="P27" s="66"/>
      <c r="Q27" s="66"/>
      <c r="R27" s="66"/>
    </row>
    <row r="28" spans="1:18">
      <c r="A28" s="66"/>
      <c r="B28" s="162"/>
      <c r="C28" s="162"/>
      <c r="D28" s="162"/>
      <c r="E28" s="162"/>
      <c r="F28" s="162"/>
      <c r="G28" s="162"/>
      <c r="H28" s="162"/>
      <c r="I28" s="162"/>
      <c r="J28" s="162"/>
      <c r="K28" s="66"/>
      <c r="L28" s="66"/>
      <c r="M28" s="66"/>
      <c r="N28" s="66"/>
      <c r="O28" s="66"/>
      <c r="P28" s="66"/>
      <c r="Q28" s="66"/>
      <c r="R28" s="66"/>
    </row>
    <row r="29" spans="1:18">
      <c r="A29" s="66"/>
      <c r="B29" s="162"/>
      <c r="C29" s="162"/>
      <c r="D29" s="162"/>
      <c r="E29" s="162"/>
      <c r="F29" s="162"/>
      <c r="G29" s="162"/>
      <c r="H29" s="162"/>
      <c r="I29" s="162"/>
      <c r="J29" s="162"/>
      <c r="K29" s="66"/>
      <c r="L29" s="66"/>
      <c r="M29" s="66"/>
      <c r="N29" s="66"/>
      <c r="O29" s="66"/>
      <c r="P29" s="66"/>
      <c r="Q29" s="66"/>
      <c r="R29" s="66"/>
    </row>
    <row r="30" spans="1:18">
      <c r="A30" s="66"/>
      <c r="B30" s="162"/>
      <c r="C30" s="162"/>
      <c r="D30" s="162"/>
      <c r="E30" s="162"/>
      <c r="F30" s="162"/>
      <c r="G30" s="162"/>
      <c r="H30" s="162"/>
      <c r="I30" s="162"/>
      <c r="J30" s="162"/>
      <c r="K30" s="66"/>
      <c r="L30" s="66"/>
      <c r="M30" s="66"/>
      <c r="N30" s="66"/>
      <c r="O30" s="66"/>
      <c r="P30" s="66"/>
      <c r="Q30" s="66"/>
      <c r="R30" s="66"/>
    </row>
    <row r="31" spans="1:18">
      <c r="A31" s="66"/>
      <c r="B31" s="162"/>
      <c r="C31" s="162"/>
      <c r="D31" s="162"/>
      <c r="E31" s="162"/>
      <c r="F31" s="162"/>
      <c r="G31" s="162"/>
      <c r="H31" s="162"/>
      <c r="I31" s="162"/>
      <c r="J31" s="162"/>
      <c r="K31" s="66"/>
      <c r="L31" s="66"/>
      <c r="M31" s="66"/>
      <c r="N31" s="66"/>
      <c r="O31" s="66"/>
      <c r="P31" s="66"/>
      <c r="Q31" s="66"/>
      <c r="R31" s="66"/>
    </row>
    <row r="32" spans="1:18">
      <c r="A32" s="66"/>
      <c r="B32" s="162"/>
      <c r="C32" s="162"/>
      <c r="D32" s="162"/>
      <c r="E32" s="162"/>
      <c r="F32" s="162"/>
      <c r="G32" s="162"/>
      <c r="H32" s="162"/>
      <c r="I32" s="162"/>
      <c r="J32" s="162"/>
      <c r="K32" s="66"/>
      <c r="L32" s="66"/>
      <c r="M32" s="66"/>
      <c r="N32" s="66"/>
      <c r="O32" s="66"/>
      <c r="P32" s="66"/>
      <c r="Q32" s="66"/>
      <c r="R32" s="66"/>
    </row>
    <row r="33" spans="1:18">
      <c r="A33" s="66"/>
      <c r="B33" s="162"/>
      <c r="C33" s="162"/>
      <c r="D33" s="162"/>
      <c r="E33" s="162"/>
      <c r="F33" s="162"/>
      <c r="G33" s="162"/>
      <c r="H33" s="162"/>
      <c r="I33" s="162"/>
      <c r="J33" s="162"/>
      <c r="K33" s="66"/>
      <c r="L33" s="66"/>
      <c r="M33" s="66"/>
      <c r="N33" s="66"/>
      <c r="O33" s="66"/>
      <c r="P33" s="66"/>
      <c r="Q33" s="66"/>
      <c r="R33" s="66"/>
    </row>
    <row r="34" spans="1:18">
      <c r="A34" s="66"/>
      <c r="B34" s="162"/>
      <c r="C34" s="162"/>
      <c r="D34" s="162"/>
      <c r="E34" s="162"/>
      <c r="F34" s="162"/>
      <c r="G34" s="162"/>
      <c r="H34" s="162"/>
      <c r="I34" s="162"/>
      <c r="J34" s="162"/>
      <c r="K34" s="66"/>
      <c r="L34" s="66"/>
      <c r="M34" s="66"/>
      <c r="N34" s="66"/>
      <c r="O34" s="66"/>
      <c r="P34" s="66"/>
      <c r="Q34" s="66"/>
      <c r="R34" s="66"/>
    </row>
    <row r="35" spans="1:18">
      <c r="A35" s="66"/>
      <c r="B35" s="162"/>
      <c r="C35" s="162"/>
      <c r="D35" s="162"/>
      <c r="E35" s="162"/>
      <c r="F35" s="162"/>
      <c r="G35" s="162"/>
      <c r="H35" s="162"/>
      <c r="I35" s="162"/>
      <c r="J35" s="162"/>
      <c r="K35" s="66"/>
      <c r="L35" s="66"/>
      <c r="M35" s="66"/>
      <c r="N35" s="66"/>
      <c r="O35" s="66"/>
      <c r="P35" s="66"/>
      <c r="Q35" s="66"/>
      <c r="R35" s="66"/>
    </row>
    <row r="36" spans="1:18">
      <c r="A36" s="75"/>
      <c r="B36" s="162"/>
      <c r="C36" s="162"/>
      <c r="D36" s="162"/>
      <c r="E36" s="162"/>
      <c r="F36" s="162"/>
      <c r="G36" s="162"/>
      <c r="H36" s="162"/>
      <c r="I36" s="162"/>
      <c r="J36" s="162"/>
      <c r="K36" s="75"/>
      <c r="L36" s="75"/>
      <c r="M36" s="75"/>
      <c r="N36" s="75"/>
      <c r="O36" s="75"/>
      <c r="P36" s="75"/>
      <c r="Q36" s="75"/>
      <c r="R36" s="75"/>
    </row>
    <row r="37" spans="1:18">
      <c r="A37" s="75"/>
      <c r="B37" s="162"/>
      <c r="C37" s="162"/>
      <c r="D37" s="162"/>
      <c r="E37" s="162"/>
      <c r="F37" s="162"/>
      <c r="G37" s="162"/>
      <c r="H37" s="162"/>
      <c r="I37" s="162"/>
      <c r="J37" s="162"/>
      <c r="K37" s="75"/>
      <c r="L37" s="75"/>
      <c r="M37" s="75"/>
      <c r="N37" s="75"/>
      <c r="O37" s="75"/>
      <c r="P37" s="75"/>
      <c r="Q37" s="75"/>
      <c r="R37" s="75"/>
    </row>
    <row r="38" spans="1:18">
      <c r="A38" s="75"/>
      <c r="B38" s="162"/>
      <c r="C38" s="162"/>
      <c r="D38" s="162"/>
      <c r="E38" s="162"/>
      <c r="F38" s="162"/>
      <c r="G38" s="162"/>
      <c r="H38" s="162"/>
      <c r="I38" s="162"/>
      <c r="J38" s="162"/>
      <c r="K38" s="75"/>
      <c r="L38" s="75"/>
      <c r="M38" s="75"/>
      <c r="N38" s="75"/>
      <c r="O38" s="75"/>
      <c r="P38" s="75"/>
      <c r="Q38" s="75"/>
      <c r="R38" s="75"/>
    </row>
    <row r="39" spans="1:18">
      <c r="A39" s="75"/>
      <c r="B39" s="162"/>
      <c r="C39" s="162"/>
      <c r="D39" s="162"/>
      <c r="E39" s="162"/>
      <c r="F39" s="162"/>
      <c r="G39" s="162"/>
      <c r="H39" s="162"/>
      <c r="I39" s="162"/>
      <c r="J39" s="162"/>
      <c r="K39" s="75"/>
      <c r="L39" s="75"/>
      <c r="M39" s="75"/>
      <c r="N39" s="75"/>
      <c r="O39" s="75"/>
      <c r="P39" s="75"/>
      <c r="Q39" s="75"/>
      <c r="R39" s="75"/>
    </row>
    <row r="40" spans="1:18">
      <c r="A40" s="75"/>
      <c r="B40" s="162"/>
      <c r="C40" s="162"/>
      <c r="D40" s="162"/>
      <c r="E40" s="162"/>
      <c r="F40" s="162"/>
      <c r="G40" s="162"/>
      <c r="H40" s="162"/>
      <c r="I40" s="162"/>
      <c r="J40" s="162"/>
      <c r="K40" s="75"/>
      <c r="L40" s="75"/>
      <c r="M40" s="75"/>
      <c r="N40" s="75"/>
      <c r="O40" s="75"/>
      <c r="P40" s="75"/>
      <c r="Q40" s="75"/>
      <c r="R40" s="75"/>
    </row>
    <row r="41" spans="1:18">
      <c r="A41" s="75"/>
      <c r="B41" s="162"/>
      <c r="C41" s="162"/>
      <c r="D41" s="162"/>
      <c r="E41" s="162"/>
      <c r="F41" s="162"/>
      <c r="G41" s="162"/>
      <c r="H41" s="162"/>
      <c r="I41" s="162"/>
      <c r="J41" s="162"/>
      <c r="K41" s="75"/>
      <c r="L41" s="75"/>
      <c r="M41" s="75"/>
      <c r="N41" s="75"/>
      <c r="O41" s="75"/>
      <c r="P41" s="75"/>
      <c r="Q41" s="75"/>
      <c r="R41" s="75"/>
    </row>
    <row r="42" spans="1:18">
      <c r="A42" s="75"/>
      <c r="B42" s="162"/>
      <c r="C42" s="162"/>
      <c r="D42" s="162"/>
      <c r="E42" s="162"/>
      <c r="F42" s="162"/>
      <c r="G42" s="162"/>
      <c r="H42" s="162"/>
      <c r="I42" s="162"/>
      <c r="J42" s="162"/>
      <c r="K42" s="75"/>
      <c r="L42" s="75"/>
      <c r="M42" s="75"/>
      <c r="N42" s="75"/>
      <c r="O42" s="75"/>
      <c r="P42" s="75"/>
      <c r="Q42" s="75"/>
      <c r="R42" s="75"/>
    </row>
    <row r="43" spans="1:18">
      <c r="A43" s="75"/>
      <c r="B43" s="162"/>
      <c r="C43" s="162"/>
      <c r="D43" s="162"/>
      <c r="E43" s="162"/>
      <c r="F43" s="162"/>
      <c r="G43" s="162"/>
      <c r="H43" s="162"/>
      <c r="I43" s="162"/>
      <c r="J43" s="162"/>
      <c r="K43" s="75"/>
      <c r="L43" s="75"/>
      <c r="M43" s="75"/>
      <c r="N43" s="75"/>
      <c r="O43" s="75"/>
      <c r="P43" s="75"/>
      <c r="Q43" s="75"/>
      <c r="R43" s="75"/>
    </row>
    <row r="44" spans="1:18">
      <c r="A44" s="75"/>
      <c r="B44" s="162"/>
      <c r="C44" s="162"/>
      <c r="D44" s="162"/>
      <c r="E44" s="162"/>
      <c r="F44" s="162"/>
      <c r="G44" s="162"/>
      <c r="H44" s="162"/>
      <c r="I44" s="162"/>
      <c r="J44" s="162"/>
      <c r="K44" s="75"/>
      <c r="L44" s="75"/>
      <c r="M44" s="75"/>
      <c r="N44" s="75"/>
      <c r="O44" s="75"/>
      <c r="P44" s="75"/>
      <c r="Q44" s="75"/>
      <c r="R44" s="75"/>
    </row>
    <row r="45" spans="1:18">
      <c r="A45" s="75"/>
      <c r="B45" s="166"/>
      <c r="C45" s="162"/>
      <c r="D45" s="162"/>
      <c r="E45" s="162"/>
      <c r="F45" s="162"/>
      <c r="G45" s="162"/>
      <c r="H45" s="162"/>
      <c r="I45" s="162"/>
      <c r="J45" s="162"/>
      <c r="K45" s="75"/>
      <c r="L45" s="75"/>
      <c r="M45" s="75"/>
      <c r="N45" s="75"/>
      <c r="O45" s="75"/>
      <c r="P45" s="75"/>
      <c r="Q45" s="75"/>
      <c r="R45" s="75"/>
    </row>
    <row r="46" spans="1:18">
      <c r="A46" s="75"/>
      <c r="B46" s="162"/>
      <c r="C46" s="162"/>
      <c r="D46" s="162"/>
      <c r="E46" s="162"/>
      <c r="F46" s="162"/>
      <c r="G46" s="162"/>
      <c r="H46" s="162"/>
      <c r="I46" s="162"/>
      <c r="J46" s="162"/>
      <c r="K46" s="75"/>
      <c r="L46" s="75"/>
      <c r="M46" s="75"/>
      <c r="N46" s="75"/>
      <c r="O46" s="75"/>
      <c r="P46" s="75"/>
      <c r="Q46" s="75"/>
      <c r="R46" s="75"/>
    </row>
    <row r="47" spans="1:18">
      <c r="A47" s="75"/>
      <c r="B47" s="162"/>
      <c r="C47" s="162"/>
      <c r="D47" s="162"/>
      <c r="E47" s="162"/>
      <c r="F47" s="162"/>
      <c r="G47" s="162"/>
      <c r="H47" s="162"/>
      <c r="I47" s="162"/>
      <c r="J47" s="162"/>
      <c r="K47" s="75"/>
      <c r="L47" s="75"/>
      <c r="M47" s="75"/>
      <c r="N47" s="75"/>
      <c r="O47" s="75"/>
      <c r="P47" s="75"/>
      <c r="Q47" s="75"/>
      <c r="R47" s="75"/>
    </row>
    <row r="48" spans="1:18">
      <c r="A48" s="75"/>
      <c r="B48" s="162"/>
      <c r="C48" s="162"/>
      <c r="D48" s="162"/>
      <c r="E48" s="162"/>
      <c r="F48" s="162"/>
      <c r="G48" s="162"/>
      <c r="H48" s="162"/>
      <c r="I48" s="162"/>
      <c r="J48" s="162"/>
      <c r="K48" s="75"/>
      <c r="L48" s="75"/>
      <c r="M48" s="75"/>
      <c r="N48" s="75"/>
      <c r="O48" s="75"/>
      <c r="P48" s="75"/>
      <c r="Q48" s="75"/>
      <c r="R48" s="75"/>
    </row>
    <row r="49" spans="1:26">
      <c r="A49" s="75"/>
      <c r="B49" s="162"/>
      <c r="C49" s="162"/>
      <c r="D49" s="162"/>
      <c r="E49" s="162"/>
      <c r="F49" s="162"/>
      <c r="G49" s="162"/>
      <c r="H49" s="162"/>
      <c r="I49" s="162"/>
      <c r="J49" s="162"/>
      <c r="K49" s="75"/>
      <c r="L49" s="75"/>
      <c r="M49" s="75"/>
      <c r="N49" s="75"/>
      <c r="O49" s="75"/>
      <c r="P49" s="75"/>
      <c r="Q49" s="75"/>
      <c r="R49" s="75"/>
    </row>
    <row r="50" spans="1:26">
      <c r="A50" s="75"/>
      <c r="B50" s="162"/>
      <c r="C50" s="162"/>
      <c r="D50" s="162"/>
      <c r="E50" s="162"/>
      <c r="F50" s="162"/>
      <c r="G50" s="162"/>
      <c r="H50" s="162"/>
      <c r="I50" s="162"/>
      <c r="J50" s="162"/>
      <c r="K50" s="75"/>
      <c r="L50" s="75"/>
      <c r="M50" s="75"/>
      <c r="N50" s="75"/>
      <c r="O50" s="75"/>
      <c r="P50" s="75"/>
      <c r="Q50" s="75"/>
      <c r="R50" s="75"/>
    </row>
    <row r="51" spans="1:26">
      <c r="A51" s="75"/>
      <c r="B51" s="162"/>
      <c r="C51" s="162"/>
      <c r="D51" s="162"/>
      <c r="E51" s="162"/>
      <c r="F51" s="162"/>
      <c r="G51" s="162"/>
      <c r="H51" s="162"/>
      <c r="I51" s="162"/>
      <c r="J51" s="162"/>
      <c r="K51" s="75"/>
      <c r="L51" s="75"/>
      <c r="M51" s="75"/>
      <c r="N51" s="75"/>
      <c r="O51" s="75"/>
      <c r="P51" s="75"/>
      <c r="Q51" s="75"/>
      <c r="R51" s="75"/>
    </row>
    <row r="52" spans="1:26">
      <c r="A52" s="75"/>
      <c r="B52" s="162"/>
      <c r="C52" s="162"/>
      <c r="D52" s="162"/>
      <c r="E52" s="162"/>
      <c r="F52" s="162"/>
      <c r="G52" s="162"/>
      <c r="H52" s="162"/>
      <c r="I52" s="162"/>
      <c r="J52" s="162"/>
      <c r="K52" s="75"/>
      <c r="L52" s="75"/>
      <c r="M52" s="75"/>
      <c r="N52" s="75"/>
      <c r="O52" s="75"/>
      <c r="P52" s="75"/>
      <c r="Q52" s="75"/>
      <c r="R52" s="75"/>
    </row>
    <row r="53" spans="1:26">
      <c r="A53" s="75"/>
      <c r="B53" s="162"/>
      <c r="C53" s="162"/>
      <c r="D53" s="162"/>
      <c r="E53" s="162"/>
      <c r="F53" s="162"/>
      <c r="G53" s="162"/>
      <c r="H53" s="162"/>
      <c r="I53" s="162"/>
      <c r="J53" s="162"/>
      <c r="K53" s="75"/>
      <c r="L53" s="75"/>
      <c r="M53" s="75"/>
      <c r="N53" s="75"/>
      <c r="O53" s="75"/>
      <c r="P53" s="75"/>
      <c r="Q53" s="75"/>
      <c r="R53" s="75"/>
    </row>
    <row r="54" spans="1:26">
      <c r="A54" s="75"/>
      <c r="B54" s="162"/>
      <c r="C54" s="162"/>
      <c r="D54" s="162"/>
      <c r="E54" s="162"/>
      <c r="F54" s="162"/>
      <c r="G54" s="162"/>
      <c r="H54" s="162"/>
      <c r="I54" s="162"/>
      <c r="J54" s="162"/>
      <c r="K54" s="75"/>
      <c r="L54" s="75"/>
      <c r="M54" s="75"/>
      <c r="N54" s="75"/>
      <c r="O54" s="75"/>
      <c r="P54" s="75"/>
      <c r="Q54" s="75"/>
      <c r="R54" s="75"/>
    </row>
    <row r="55" spans="1:26">
      <c r="A55" s="75"/>
      <c r="B55" s="162"/>
      <c r="C55" s="162"/>
      <c r="D55" s="162"/>
      <c r="E55" s="162"/>
      <c r="F55" s="162"/>
      <c r="G55" s="162"/>
      <c r="H55" s="162"/>
      <c r="I55" s="162"/>
      <c r="J55" s="162"/>
      <c r="K55" s="75"/>
      <c r="L55" s="75"/>
      <c r="M55" s="75"/>
      <c r="N55" s="75"/>
      <c r="O55" s="75"/>
      <c r="P55" s="75"/>
      <c r="Q55" s="75"/>
      <c r="R55" s="75"/>
    </row>
    <row r="56" spans="1:26">
      <c r="A56" s="75"/>
      <c r="B56" s="162"/>
      <c r="C56" s="162"/>
      <c r="D56" s="162"/>
      <c r="E56" s="162"/>
      <c r="F56" s="162"/>
      <c r="G56" s="162"/>
      <c r="H56" s="162"/>
      <c r="I56" s="162"/>
      <c r="J56" s="162"/>
      <c r="K56" s="75"/>
      <c r="L56" s="75"/>
      <c r="M56" s="75"/>
      <c r="N56" s="75"/>
      <c r="O56" s="75"/>
      <c r="P56" s="75"/>
      <c r="Q56" s="75"/>
      <c r="R56" s="75"/>
    </row>
    <row r="57" spans="1:26">
      <c r="A57" s="75"/>
      <c r="B57" s="162"/>
      <c r="C57" s="162"/>
      <c r="D57" s="162"/>
      <c r="E57" s="162"/>
      <c r="F57" s="162"/>
      <c r="G57" s="162"/>
      <c r="H57" s="162"/>
      <c r="I57" s="162"/>
      <c r="J57" s="162"/>
      <c r="K57" s="75"/>
      <c r="L57" s="75"/>
      <c r="M57" s="75"/>
      <c r="N57" s="75"/>
      <c r="O57" s="75"/>
      <c r="P57" s="75"/>
      <c r="Q57" s="75"/>
      <c r="R57" s="75"/>
    </row>
    <row r="58" spans="1:26">
      <c r="A58" s="75"/>
      <c r="B58" s="162"/>
      <c r="C58" s="162"/>
      <c r="D58" s="162"/>
      <c r="E58" s="162"/>
      <c r="F58" s="162"/>
      <c r="G58" s="162"/>
      <c r="H58" s="162"/>
      <c r="I58" s="162"/>
      <c r="J58" s="162"/>
      <c r="K58" s="75"/>
      <c r="L58" s="75"/>
      <c r="M58" s="75"/>
      <c r="N58" s="75"/>
      <c r="O58" s="75"/>
      <c r="P58" s="75"/>
      <c r="Q58" s="75"/>
      <c r="R58" s="75"/>
    </row>
    <row r="59" spans="1:26">
      <c r="A59" s="75"/>
      <c r="B59" s="162"/>
      <c r="C59" s="162"/>
      <c r="D59" s="162"/>
      <c r="E59" s="162"/>
      <c r="F59" s="162"/>
      <c r="G59" s="162"/>
      <c r="H59" s="162"/>
      <c r="I59" s="162"/>
      <c r="J59" s="162"/>
      <c r="K59" s="75"/>
      <c r="L59" s="75"/>
      <c r="M59" s="75"/>
      <c r="N59" s="75"/>
      <c r="O59" s="75"/>
      <c r="P59" s="75"/>
      <c r="Q59" s="75"/>
      <c r="R59" s="75"/>
    </row>
    <row r="60" spans="1:26">
      <c r="A60" s="75"/>
      <c r="B60" s="162"/>
      <c r="C60" s="162"/>
      <c r="D60" s="162"/>
      <c r="E60" s="162"/>
      <c r="F60" s="162"/>
      <c r="G60" s="162"/>
      <c r="H60" s="162"/>
      <c r="I60" s="162"/>
      <c r="J60" s="162"/>
      <c r="K60" s="75"/>
      <c r="L60" s="75"/>
      <c r="M60" s="75"/>
      <c r="N60" s="75"/>
      <c r="O60" s="75"/>
      <c r="P60" s="75"/>
      <c r="Q60" s="75"/>
      <c r="R60" s="75"/>
    </row>
    <row r="61" spans="1:26">
      <c r="A61" s="75"/>
      <c r="B61" s="162"/>
      <c r="C61" s="162"/>
      <c r="D61" s="162"/>
      <c r="E61" s="162"/>
      <c r="F61" s="162"/>
      <c r="G61" s="162"/>
      <c r="H61" s="162"/>
      <c r="I61" s="162"/>
      <c r="J61" s="162"/>
      <c r="K61" s="75"/>
      <c r="L61" s="75"/>
      <c r="M61" s="75"/>
      <c r="N61" s="75"/>
      <c r="O61" s="75"/>
      <c r="P61" s="75"/>
      <c r="Q61" s="75"/>
      <c r="R61" s="75"/>
    </row>
    <row r="62" spans="1:26">
      <c r="A62" s="75"/>
      <c r="B62" s="162"/>
      <c r="C62" s="162"/>
      <c r="D62" s="162"/>
      <c r="E62" s="162"/>
      <c r="F62" s="162"/>
      <c r="G62" s="162"/>
      <c r="H62" s="162"/>
      <c r="I62" s="162"/>
      <c r="J62" s="162"/>
      <c r="K62" s="75"/>
      <c r="L62" s="75"/>
      <c r="M62" s="75"/>
      <c r="N62" s="75"/>
      <c r="O62" s="75"/>
      <c r="P62" s="75"/>
      <c r="Q62" s="75"/>
      <c r="R62" s="75"/>
    </row>
    <row r="63" spans="1:26">
      <c r="A63" s="75"/>
      <c r="B63" s="162"/>
      <c r="C63" s="162"/>
      <c r="D63" s="162"/>
      <c r="E63" s="162"/>
      <c r="F63" s="162"/>
      <c r="G63" s="162"/>
      <c r="H63" s="162"/>
      <c r="I63" s="162"/>
      <c r="J63" s="162"/>
      <c r="K63" s="75"/>
      <c r="L63" s="75"/>
      <c r="M63" s="75"/>
      <c r="N63" s="75"/>
      <c r="O63" s="75"/>
      <c r="P63" s="75"/>
      <c r="Q63" s="75"/>
      <c r="R63" s="75"/>
    </row>
    <row r="64" spans="1:26">
      <c r="A64" s="75"/>
      <c r="B64" s="162"/>
      <c r="C64" s="162"/>
      <c r="D64" s="162"/>
      <c r="E64" s="162"/>
      <c r="F64" s="162"/>
      <c r="G64" s="162"/>
      <c r="H64" s="162"/>
      <c r="I64" s="162"/>
      <c r="J64" s="162"/>
      <c r="K64" s="75"/>
      <c r="L64" s="75"/>
      <c r="M64" s="75"/>
      <c r="N64" s="75"/>
      <c r="O64" s="75"/>
      <c r="P64" s="75"/>
      <c r="Q64" s="75"/>
      <c r="R64" s="75"/>
      <c r="S64" s="75"/>
      <c r="T64" s="75"/>
      <c r="U64" s="75"/>
      <c r="V64" s="75"/>
      <c r="W64" s="75"/>
      <c r="X64" s="75"/>
      <c r="Y64" s="75"/>
      <c r="Z64" s="75"/>
    </row>
    <row r="65" spans="1:26">
      <c r="A65" s="75"/>
      <c r="B65" s="162"/>
      <c r="C65" s="162"/>
      <c r="D65" s="162"/>
      <c r="E65" s="162"/>
      <c r="F65" s="162"/>
      <c r="G65" s="162"/>
      <c r="H65" s="162"/>
      <c r="I65" s="162"/>
      <c r="J65" s="162"/>
      <c r="K65" s="75"/>
      <c r="L65" s="75"/>
      <c r="M65" s="75"/>
      <c r="N65" s="75"/>
      <c r="O65" s="75"/>
      <c r="P65" s="75"/>
      <c r="Q65" s="75"/>
      <c r="R65" s="75"/>
      <c r="S65" s="75"/>
      <c r="T65" s="75"/>
      <c r="U65" s="75"/>
      <c r="V65" s="75"/>
      <c r="W65" s="75"/>
      <c r="X65" s="75"/>
      <c r="Y65" s="75"/>
      <c r="Z65" s="75"/>
    </row>
    <row r="66" spans="1:2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spans="1:26">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spans="1:26">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spans="1:26">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spans="1:26">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spans="1:26">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spans="1:26">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spans="1:26">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spans="1:26">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spans="1:26">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sheetData>
  <mergeCells count="3">
    <mergeCell ref="B2:J26"/>
    <mergeCell ref="B27:J44"/>
    <mergeCell ref="B45:J6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outlinePr summaryBelow="0" summaryRight="0"/>
  </sheetPr>
  <dimension ref="A1:Z905"/>
  <sheetViews>
    <sheetView showGridLines="0" zoomScale="70" zoomScaleNormal="70" workbookViewId="0">
      <selection activeCell="K34" sqref="K34"/>
    </sheetView>
  </sheetViews>
  <sheetFormatPr baseColWidth="10" defaultColWidth="14.42578125" defaultRowHeight="15" customHeight="1"/>
  <cols>
    <col min="1" max="1" width="5" customWidth="1"/>
  </cols>
  <sheetData>
    <row r="1" spans="1:26" ht="15.75">
      <c r="A1" s="66"/>
      <c r="B1" s="66"/>
      <c r="C1" s="66"/>
      <c r="D1" s="66"/>
      <c r="E1" s="66"/>
      <c r="F1" s="66"/>
      <c r="G1" s="66"/>
      <c r="H1" s="66"/>
      <c r="I1" s="66"/>
      <c r="J1" s="66"/>
      <c r="K1" s="66"/>
      <c r="L1" s="66"/>
      <c r="M1" s="66"/>
      <c r="N1" s="66"/>
      <c r="O1" s="66"/>
      <c r="P1" s="66"/>
      <c r="Q1" s="66"/>
      <c r="R1" s="66"/>
      <c r="S1" s="66"/>
      <c r="T1" s="66"/>
      <c r="U1" s="66"/>
      <c r="V1" s="66"/>
      <c r="W1" s="66"/>
      <c r="X1" s="66"/>
      <c r="Y1" s="66"/>
      <c r="Z1" s="66"/>
    </row>
    <row r="2" spans="1:26" ht="15.75">
      <c r="A2" s="66"/>
      <c r="B2" s="164" t="s">
        <v>296</v>
      </c>
      <c r="C2" s="162"/>
      <c r="D2" s="163" t="s">
        <v>297</v>
      </c>
      <c r="E2" s="162"/>
      <c r="F2" s="162"/>
      <c r="G2" s="162"/>
      <c r="H2" s="162"/>
      <c r="I2" s="162"/>
      <c r="J2" s="66"/>
      <c r="K2" s="66"/>
      <c r="L2" s="66"/>
      <c r="M2" s="66"/>
      <c r="N2" s="66"/>
      <c r="O2" s="66"/>
      <c r="P2" s="66"/>
      <c r="Q2" s="66"/>
      <c r="R2" s="66"/>
      <c r="S2" s="66"/>
      <c r="T2" s="66"/>
      <c r="U2" s="66"/>
      <c r="V2" s="66"/>
      <c r="W2" s="66"/>
      <c r="X2" s="66"/>
      <c r="Y2" s="66"/>
      <c r="Z2" s="66"/>
    </row>
    <row r="3" spans="1:26" ht="15.75">
      <c r="A3" s="66"/>
      <c r="B3" s="162"/>
      <c r="C3" s="162"/>
      <c r="D3" s="162"/>
      <c r="E3" s="162"/>
      <c r="F3" s="162"/>
      <c r="G3" s="162"/>
      <c r="H3" s="162"/>
      <c r="I3" s="162"/>
      <c r="J3" s="66"/>
      <c r="K3" s="66"/>
      <c r="L3" s="66"/>
      <c r="M3" s="66"/>
      <c r="N3" s="66"/>
      <c r="O3" s="66"/>
      <c r="P3" s="66"/>
      <c r="Q3" s="66"/>
      <c r="R3" s="66"/>
      <c r="S3" s="66"/>
      <c r="T3" s="66"/>
      <c r="U3" s="66"/>
      <c r="V3" s="66"/>
      <c r="W3" s="66"/>
      <c r="X3" s="66"/>
      <c r="Y3" s="66"/>
      <c r="Z3" s="66"/>
    </row>
    <row r="4" spans="1:26" ht="15.75">
      <c r="A4" s="66"/>
      <c r="B4" s="162"/>
      <c r="C4" s="162"/>
      <c r="D4" s="162"/>
      <c r="E4" s="162"/>
      <c r="F4" s="162"/>
      <c r="G4" s="162"/>
      <c r="H4" s="162"/>
      <c r="I4" s="162"/>
      <c r="J4" s="66"/>
      <c r="K4" s="66"/>
      <c r="L4" s="66"/>
      <c r="M4" s="66"/>
      <c r="N4" s="66"/>
      <c r="O4" s="66"/>
      <c r="P4" s="66"/>
      <c r="Q4" s="66"/>
      <c r="R4" s="66"/>
      <c r="S4" s="66"/>
      <c r="T4" s="66"/>
      <c r="U4" s="66"/>
      <c r="V4" s="66"/>
      <c r="W4" s="66"/>
      <c r="X4" s="66"/>
      <c r="Y4" s="66"/>
      <c r="Z4" s="66"/>
    </row>
    <row r="5" spans="1:26" ht="15.75">
      <c r="A5" s="66"/>
      <c r="B5" s="162"/>
      <c r="C5" s="162"/>
      <c r="D5" s="162"/>
      <c r="E5" s="162"/>
      <c r="F5" s="162"/>
      <c r="G5" s="162"/>
      <c r="H5" s="162"/>
      <c r="I5" s="162"/>
      <c r="J5" s="66"/>
      <c r="K5" s="66"/>
      <c r="L5" s="66"/>
      <c r="M5" s="66"/>
      <c r="N5" s="66"/>
      <c r="O5" s="66"/>
      <c r="P5" s="66"/>
      <c r="Q5" s="66"/>
      <c r="R5" s="66"/>
      <c r="S5" s="66"/>
      <c r="T5" s="66"/>
      <c r="U5" s="66"/>
      <c r="V5" s="66"/>
      <c r="W5" s="66"/>
      <c r="X5" s="66"/>
      <c r="Y5" s="66"/>
      <c r="Z5" s="66"/>
    </row>
    <row r="6" spans="1:26" ht="15.75">
      <c r="A6" s="66"/>
      <c r="B6" s="162"/>
      <c r="C6" s="162"/>
      <c r="D6" s="162"/>
      <c r="E6" s="162"/>
      <c r="F6" s="162"/>
      <c r="G6" s="162"/>
      <c r="H6" s="162"/>
      <c r="I6" s="162"/>
      <c r="J6" s="66"/>
      <c r="K6" s="76"/>
      <c r="L6" s="66"/>
      <c r="M6" s="66"/>
      <c r="N6" s="66"/>
      <c r="O6" s="66"/>
      <c r="P6" s="66"/>
      <c r="Q6" s="66"/>
      <c r="R6" s="66"/>
      <c r="S6" s="66"/>
      <c r="T6" s="66"/>
      <c r="U6" s="66"/>
      <c r="V6" s="66"/>
      <c r="W6" s="66"/>
      <c r="X6" s="66"/>
      <c r="Y6" s="66"/>
      <c r="Z6" s="66"/>
    </row>
    <row r="7" spans="1:26" ht="15.75">
      <c r="A7" s="66"/>
      <c r="B7" s="164" t="s">
        <v>298</v>
      </c>
      <c r="C7" s="162"/>
      <c r="D7" s="163" t="s">
        <v>299</v>
      </c>
      <c r="E7" s="162"/>
      <c r="F7" s="162"/>
      <c r="G7" s="162"/>
      <c r="H7" s="162"/>
      <c r="I7" s="162"/>
      <c r="J7" s="66"/>
      <c r="K7" s="66"/>
      <c r="L7" s="66"/>
      <c r="M7" s="66"/>
      <c r="N7" s="66"/>
      <c r="O7" s="66"/>
      <c r="P7" s="66"/>
      <c r="Q7" s="66"/>
      <c r="R7" s="66"/>
      <c r="S7" s="66"/>
      <c r="T7" s="66"/>
      <c r="U7" s="66"/>
      <c r="V7" s="66"/>
      <c r="W7" s="66"/>
      <c r="X7" s="66"/>
      <c r="Y7" s="66"/>
      <c r="Z7" s="66"/>
    </row>
    <row r="8" spans="1:26" ht="15.75">
      <c r="A8" s="66"/>
      <c r="B8" s="162"/>
      <c r="C8" s="162"/>
      <c r="D8" s="162"/>
      <c r="E8" s="162"/>
      <c r="F8" s="162"/>
      <c r="G8" s="162"/>
      <c r="H8" s="162"/>
      <c r="I8" s="162"/>
      <c r="J8" s="66"/>
      <c r="K8" s="66"/>
      <c r="L8" s="66"/>
      <c r="M8" s="66"/>
      <c r="N8" s="66"/>
      <c r="O8" s="66"/>
      <c r="P8" s="66"/>
      <c r="Q8" s="66"/>
      <c r="R8" s="66"/>
      <c r="S8" s="66"/>
      <c r="T8" s="66"/>
      <c r="U8" s="66"/>
      <c r="V8" s="66"/>
      <c r="W8" s="66"/>
      <c r="X8" s="66"/>
      <c r="Y8" s="66"/>
      <c r="Z8" s="66"/>
    </row>
    <row r="9" spans="1:26" ht="15.75">
      <c r="A9" s="66"/>
      <c r="B9" s="162"/>
      <c r="C9" s="162"/>
      <c r="D9" s="162"/>
      <c r="E9" s="162"/>
      <c r="F9" s="162"/>
      <c r="G9" s="162"/>
      <c r="H9" s="162"/>
      <c r="I9" s="162"/>
      <c r="J9" s="66"/>
      <c r="K9" s="66"/>
      <c r="L9" s="66"/>
      <c r="M9" s="66"/>
      <c r="N9" s="66"/>
      <c r="O9" s="66"/>
      <c r="P9" s="66"/>
      <c r="Q9" s="66"/>
      <c r="R9" s="66"/>
      <c r="S9" s="66"/>
      <c r="T9" s="66"/>
      <c r="U9" s="66"/>
      <c r="V9" s="66"/>
      <c r="W9" s="66"/>
      <c r="X9" s="66"/>
      <c r="Y9" s="66"/>
      <c r="Z9" s="66"/>
    </row>
    <row r="10" spans="1:26" ht="15.75">
      <c r="A10" s="66"/>
      <c r="B10" s="162"/>
      <c r="C10" s="162"/>
      <c r="D10" s="162"/>
      <c r="E10" s="162"/>
      <c r="F10" s="162"/>
      <c r="G10" s="162"/>
      <c r="H10" s="162"/>
      <c r="I10" s="162"/>
      <c r="J10" s="66"/>
      <c r="K10" s="66"/>
      <c r="L10" s="66"/>
      <c r="M10" s="66"/>
      <c r="N10" s="66"/>
      <c r="O10" s="66"/>
      <c r="P10" s="66"/>
      <c r="Q10" s="66"/>
      <c r="R10" s="66"/>
      <c r="S10" s="66"/>
      <c r="T10" s="66"/>
      <c r="U10" s="66"/>
      <c r="V10" s="66"/>
      <c r="W10" s="66"/>
      <c r="X10" s="66"/>
      <c r="Y10" s="66"/>
      <c r="Z10" s="66"/>
    </row>
    <row r="11" spans="1:26" ht="24" customHeight="1">
      <c r="A11" s="66"/>
      <c r="B11" s="162"/>
      <c r="C11" s="162"/>
      <c r="D11" s="162"/>
      <c r="E11" s="162"/>
      <c r="F11" s="162"/>
      <c r="G11" s="162"/>
      <c r="H11" s="162"/>
      <c r="I11" s="162"/>
      <c r="J11" s="66"/>
      <c r="K11" s="66"/>
      <c r="L11" s="66"/>
      <c r="M11" s="66"/>
      <c r="N11" s="66"/>
      <c r="O11" s="66"/>
      <c r="P11" s="66"/>
      <c r="Q11" s="66"/>
      <c r="R11" s="66"/>
      <c r="S11" s="66"/>
      <c r="T11" s="66"/>
      <c r="U11" s="66"/>
      <c r="V11" s="66"/>
      <c r="W11" s="66"/>
      <c r="X11" s="66"/>
      <c r="Y11" s="66"/>
      <c r="Z11" s="66"/>
    </row>
    <row r="12" spans="1:26" ht="15.75">
      <c r="A12" s="66"/>
      <c r="B12" s="161" t="s">
        <v>300</v>
      </c>
      <c r="C12" s="162"/>
      <c r="D12" s="163" t="s">
        <v>301</v>
      </c>
      <c r="E12" s="162"/>
      <c r="F12" s="162"/>
      <c r="G12" s="162"/>
      <c r="H12" s="162"/>
      <c r="I12" s="162"/>
      <c r="J12" s="66"/>
      <c r="K12" s="66"/>
      <c r="L12" s="66"/>
      <c r="M12" s="66"/>
      <c r="N12" s="66"/>
      <c r="O12" s="66"/>
      <c r="P12" s="66"/>
      <c r="Q12" s="66"/>
      <c r="R12" s="66"/>
      <c r="S12" s="66"/>
      <c r="T12" s="66"/>
      <c r="U12" s="66"/>
      <c r="V12" s="66"/>
      <c r="W12" s="66"/>
      <c r="X12" s="66"/>
      <c r="Y12" s="66"/>
      <c r="Z12" s="66"/>
    </row>
    <row r="13" spans="1:26" ht="15.75">
      <c r="A13" s="66"/>
      <c r="B13" s="162"/>
      <c r="C13" s="162"/>
      <c r="D13" s="162"/>
      <c r="E13" s="162"/>
      <c r="F13" s="162"/>
      <c r="G13" s="162"/>
      <c r="H13" s="162"/>
      <c r="I13" s="162"/>
      <c r="J13" s="66"/>
      <c r="K13" s="66"/>
      <c r="L13" s="66"/>
      <c r="M13" s="66"/>
      <c r="N13" s="66"/>
      <c r="O13" s="66"/>
      <c r="P13" s="66"/>
      <c r="Q13" s="66"/>
      <c r="R13" s="66"/>
      <c r="S13" s="66"/>
      <c r="T13" s="66"/>
      <c r="U13" s="66"/>
      <c r="V13" s="66"/>
      <c r="W13" s="66"/>
      <c r="X13" s="66"/>
      <c r="Y13" s="66"/>
      <c r="Z13" s="66"/>
    </row>
    <row r="14" spans="1:26" ht="15.75">
      <c r="A14" s="66"/>
      <c r="B14" s="162"/>
      <c r="C14" s="162"/>
      <c r="D14" s="162"/>
      <c r="E14" s="162"/>
      <c r="F14" s="162"/>
      <c r="G14" s="162"/>
      <c r="H14" s="162"/>
      <c r="I14" s="162"/>
      <c r="J14" s="66"/>
      <c r="K14" s="66"/>
      <c r="L14" s="66"/>
      <c r="M14" s="66"/>
      <c r="N14" s="66"/>
      <c r="O14" s="66"/>
      <c r="P14" s="66"/>
      <c r="Q14" s="66"/>
      <c r="R14" s="66"/>
      <c r="S14" s="66"/>
      <c r="T14" s="66"/>
      <c r="U14" s="66"/>
      <c r="V14" s="66"/>
      <c r="W14" s="66"/>
      <c r="X14" s="66"/>
      <c r="Y14" s="66"/>
      <c r="Z14" s="66"/>
    </row>
    <row r="15" spans="1:26" ht="15.75">
      <c r="A15" s="66"/>
      <c r="B15" s="162"/>
      <c r="C15" s="162"/>
      <c r="D15" s="162"/>
      <c r="E15" s="162"/>
      <c r="F15" s="162"/>
      <c r="G15" s="162"/>
      <c r="H15" s="162"/>
      <c r="I15" s="162"/>
      <c r="J15" s="66"/>
      <c r="K15" s="66"/>
      <c r="L15" s="66"/>
      <c r="M15" s="66"/>
      <c r="N15" s="66"/>
      <c r="O15" s="66"/>
      <c r="P15" s="66"/>
      <c r="Q15" s="66"/>
      <c r="R15" s="66"/>
      <c r="S15" s="66"/>
      <c r="T15" s="66"/>
      <c r="U15" s="66"/>
      <c r="V15" s="66"/>
      <c r="W15" s="66"/>
      <c r="X15" s="66"/>
      <c r="Y15" s="66"/>
      <c r="Z15" s="66"/>
    </row>
    <row r="16" spans="1:26" ht="15.75">
      <c r="A16" s="66"/>
      <c r="B16" s="162"/>
      <c r="C16" s="162"/>
      <c r="D16" s="162"/>
      <c r="E16" s="162"/>
      <c r="F16" s="162"/>
      <c r="G16" s="162"/>
      <c r="H16" s="162"/>
      <c r="I16" s="162"/>
      <c r="J16" s="66"/>
      <c r="K16" s="66"/>
      <c r="L16" s="66"/>
      <c r="M16" s="66"/>
      <c r="N16" s="66"/>
      <c r="O16" s="66"/>
      <c r="P16" s="66"/>
      <c r="Q16" s="66"/>
      <c r="R16" s="66"/>
      <c r="S16" s="66"/>
      <c r="T16" s="66"/>
      <c r="U16" s="66"/>
      <c r="V16" s="66"/>
      <c r="W16" s="66"/>
      <c r="X16" s="66"/>
      <c r="Y16" s="66"/>
      <c r="Z16" s="66"/>
    </row>
    <row r="17" spans="1:26" ht="15.75">
      <c r="A17" s="66"/>
      <c r="B17" s="161" t="s">
        <v>302</v>
      </c>
      <c r="C17" s="162"/>
      <c r="D17" s="163" t="s">
        <v>303</v>
      </c>
      <c r="E17" s="162"/>
      <c r="F17" s="162"/>
      <c r="G17" s="162"/>
      <c r="H17" s="162"/>
      <c r="I17" s="162"/>
      <c r="J17" s="66"/>
      <c r="K17" s="66"/>
      <c r="L17" s="66"/>
      <c r="M17" s="66"/>
      <c r="N17" s="66"/>
      <c r="O17" s="66"/>
      <c r="P17" s="66"/>
      <c r="Q17" s="66"/>
      <c r="R17" s="66"/>
      <c r="S17" s="66"/>
      <c r="T17" s="66"/>
      <c r="U17" s="66"/>
      <c r="V17" s="66"/>
      <c r="W17" s="66"/>
      <c r="X17" s="66"/>
      <c r="Y17" s="66"/>
      <c r="Z17" s="66"/>
    </row>
    <row r="18" spans="1:26" ht="15.75">
      <c r="A18" s="66"/>
      <c r="B18" s="162"/>
      <c r="C18" s="162"/>
      <c r="D18" s="162"/>
      <c r="E18" s="162"/>
      <c r="F18" s="162"/>
      <c r="G18" s="162"/>
      <c r="H18" s="162"/>
      <c r="I18" s="162"/>
      <c r="J18" s="66"/>
      <c r="K18" s="66"/>
      <c r="L18" s="66"/>
      <c r="M18" s="66"/>
      <c r="N18" s="66"/>
      <c r="O18" s="66"/>
      <c r="P18" s="66"/>
      <c r="Q18" s="66"/>
      <c r="R18" s="66"/>
      <c r="S18" s="66"/>
      <c r="T18" s="66"/>
      <c r="U18" s="66"/>
      <c r="V18" s="66"/>
      <c r="W18" s="66"/>
      <c r="X18" s="66"/>
      <c r="Y18" s="66"/>
      <c r="Z18" s="66"/>
    </row>
    <row r="19" spans="1:26" ht="15.75">
      <c r="A19" s="66"/>
      <c r="B19" s="162"/>
      <c r="C19" s="162"/>
      <c r="D19" s="162"/>
      <c r="E19" s="162"/>
      <c r="F19" s="162"/>
      <c r="G19" s="162"/>
      <c r="H19" s="162"/>
      <c r="I19" s="162"/>
      <c r="J19" s="66"/>
      <c r="K19" s="66"/>
      <c r="L19" s="66"/>
      <c r="M19" s="66"/>
      <c r="N19" s="66"/>
      <c r="O19" s="66"/>
      <c r="P19" s="66"/>
      <c r="Q19" s="66"/>
      <c r="R19" s="66"/>
      <c r="S19" s="66"/>
      <c r="T19" s="66"/>
      <c r="U19" s="66"/>
      <c r="V19" s="66"/>
      <c r="W19" s="66"/>
      <c r="X19" s="66"/>
      <c r="Y19" s="66"/>
      <c r="Z19" s="66"/>
    </row>
    <row r="20" spans="1:26" ht="15.75">
      <c r="A20" s="66"/>
      <c r="B20" s="162"/>
      <c r="C20" s="162"/>
      <c r="D20" s="162"/>
      <c r="E20" s="162"/>
      <c r="F20" s="162"/>
      <c r="G20" s="162"/>
      <c r="H20" s="162"/>
      <c r="I20" s="162"/>
      <c r="J20" s="66"/>
      <c r="K20" s="66"/>
      <c r="L20" s="66"/>
      <c r="M20" s="66"/>
      <c r="N20" s="66"/>
      <c r="O20" s="66"/>
      <c r="P20" s="66"/>
      <c r="Q20" s="66"/>
      <c r="R20" s="66"/>
      <c r="S20" s="66"/>
      <c r="T20" s="66"/>
      <c r="U20" s="66"/>
      <c r="V20" s="66"/>
      <c r="W20" s="66"/>
      <c r="X20" s="66"/>
      <c r="Y20" s="66"/>
      <c r="Z20" s="66"/>
    </row>
    <row r="21" spans="1:26" ht="15.75">
      <c r="A21" s="66"/>
      <c r="B21" s="162"/>
      <c r="C21" s="162"/>
      <c r="D21" s="162"/>
      <c r="E21" s="162"/>
      <c r="F21" s="162"/>
      <c r="G21" s="162"/>
      <c r="H21" s="162"/>
      <c r="I21" s="162"/>
      <c r="J21" s="66"/>
      <c r="K21" s="66"/>
      <c r="L21" s="66"/>
      <c r="M21" s="66"/>
      <c r="N21" s="66"/>
      <c r="O21" s="66"/>
      <c r="P21" s="66"/>
      <c r="Q21" s="66"/>
      <c r="R21" s="66"/>
      <c r="S21" s="66"/>
      <c r="T21" s="66"/>
      <c r="U21" s="66"/>
      <c r="V21" s="66"/>
      <c r="W21" s="66"/>
      <c r="X21" s="66"/>
      <c r="Y21" s="66"/>
      <c r="Z21" s="66"/>
    </row>
    <row r="22" spans="1:26" ht="15.75">
      <c r="A22" s="66"/>
      <c r="B22" s="161" t="s">
        <v>304</v>
      </c>
      <c r="C22" s="162"/>
      <c r="D22" s="163"/>
      <c r="E22" s="162"/>
      <c r="F22" s="162"/>
      <c r="G22" s="162"/>
      <c r="H22" s="162"/>
      <c r="I22" s="162"/>
      <c r="J22" s="66"/>
      <c r="K22" s="66"/>
      <c r="L22" s="66"/>
      <c r="M22" s="66"/>
      <c r="N22" s="66"/>
      <c r="O22" s="66"/>
      <c r="P22" s="66"/>
      <c r="Q22" s="66"/>
      <c r="R22" s="66"/>
      <c r="S22" s="66"/>
      <c r="T22" s="66"/>
      <c r="U22" s="66"/>
      <c r="V22" s="66"/>
      <c r="W22" s="66"/>
      <c r="X22" s="66"/>
      <c r="Y22" s="66"/>
      <c r="Z22" s="66"/>
    </row>
    <row r="23" spans="1:26" ht="15.75">
      <c r="A23" s="66"/>
      <c r="B23" s="162"/>
      <c r="C23" s="162"/>
      <c r="D23" s="162"/>
      <c r="E23" s="162"/>
      <c r="F23" s="162"/>
      <c r="G23" s="162"/>
      <c r="H23" s="162"/>
      <c r="I23" s="162"/>
      <c r="J23" s="66"/>
      <c r="K23" s="66"/>
      <c r="L23" s="66"/>
      <c r="M23" s="66"/>
      <c r="N23" s="66"/>
      <c r="O23" s="66"/>
      <c r="P23" s="66"/>
      <c r="Q23" s="66"/>
      <c r="R23" s="66"/>
      <c r="S23" s="66"/>
      <c r="T23" s="66"/>
      <c r="U23" s="66"/>
      <c r="V23" s="66"/>
      <c r="W23" s="66"/>
      <c r="X23" s="66"/>
      <c r="Y23" s="66"/>
      <c r="Z23" s="66"/>
    </row>
    <row r="24" spans="1:26" ht="15.75">
      <c r="A24" s="66"/>
      <c r="B24" s="162"/>
      <c r="C24" s="162"/>
      <c r="D24" s="162"/>
      <c r="E24" s="162"/>
      <c r="F24" s="162"/>
      <c r="G24" s="162"/>
      <c r="H24" s="162"/>
      <c r="I24" s="162"/>
      <c r="J24" s="66"/>
      <c r="K24" s="66"/>
      <c r="L24" s="66"/>
      <c r="M24" s="66"/>
      <c r="N24" s="66"/>
      <c r="O24" s="66"/>
      <c r="P24" s="66"/>
      <c r="Q24" s="66"/>
      <c r="R24" s="66"/>
      <c r="S24" s="66"/>
      <c r="T24" s="66"/>
      <c r="U24" s="66"/>
      <c r="V24" s="66"/>
      <c r="W24" s="66"/>
      <c r="X24" s="66"/>
      <c r="Y24" s="66"/>
      <c r="Z24" s="66"/>
    </row>
    <row r="25" spans="1:26" ht="15.75">
      <c r="A25" s="66"/>
      <c r="B25" s="162"/>
      <c r="C25" s="162"/>
      <c r="D25" s="162"/>
      <c r="E25" s="162"/>
      <c r="F25" s="162"/>
      <c r="G25" s="162"/>
      <c r="H25" s="162"/>
      <c r="I25" s="162"/>
      <c r="J25" s="66"/>
      <c r="K25" s="66"/>
      <c r="L25" s="66"/>
      <c r="M25" s="66"/>
      <c r="N25" s="66"/>
      <c r="O25" s="66"/>
      <c r="P25" s="66"/>
      <c r="Q25" s="66"/>
      <c r="R25" s="66"/>
      <c r="S25" s="66"/>
      <c r="T25" s="66"/>
      <c r="U25" s="66"/>
      <c r="V25" s="66"/>
      <c r="W25" s="66"/>
      <c r="X25" s="66"/>
      <c r="Y25" s="66"/>
      <c r="Z25" s="66"/>
    </row>
    <row r="26" spans="1:26" ht="15.75">
      <c r="A26" s="66"/>
      <c r="B26" s="162"/>
      <c r="C26" s="162"/>
      <c r="D26" s="162"/>
      <c r="E26" s="162"/>
      <c r="F26" s="162"/>
      <c r="G26" s="162"/>
      <c r="H26" s="162"/>
      <c r="I26" s="162"/>
      <c r="J26" s="66"/>
      <c r="K26" s="66"/>
      <c r="L26" s="66"/>
      <c r="M26" s="66"/>
      <c r="N26" s="66"/>
      <c r="O26" s="66"/>
      <c r="P26" s="66"/>
      <c r="Q26" s="66"/>
      <c r="R26" s="66"/>
      <c r="S26" s="66"/>
      <c r="T26" s="66"/>
      <c r="U26" s="66"/>
      <c r="V26" s="66"/>
      <c r="W26" s="66"/>
      <c r="X26" s="66"/>
      <c r="Y26" s="66"/>
      <c r="Z26" s="66"/>
    </row>
    <row r="27" spans="1:26" ht="15.75">
      <c r="A27" s="66"/>
      <c r="B27" s="162"/>
      <c r="C27" s="162"/>
      <c r="D27" s="162"/>
      <c r="E27" s="162"/>
      <c r="F27" s="162"/>
      <c r="G27" s="162"/>
      <c r="H27" s="162"/>
      <c r="I27" s="162"/>
      <c r="J27" s="66"/>
      <c r="K27" s="66"/>
      <c r="L27" s="66"/>
      <c r="M27" s="66"/>
      <c r="N27" s="66"/>
      <c r="O27" s="66"/>
      <c r="P27" s="66"/>
      <c r="Q27" s="66"/>
      <c r="R27" s="66"/>
      <c r="S27" s="66"/>
      <c r="T27" s="66"/>
      <c r="U27" s="66"/>
      <c r="V27" s="66"/>
      <c r="W27" s="66"/>
      <c r="X27" s="66"/>
      <c r="Y27" s="66"/>
      <c r="Z27" s="66"/>
    </row>
    <row r="28" spans="1:26" ht="15.75">
      <c r="A28" s="66"/>
      <c r="B28" s="162"/>
      <c r="C28" s="162"/>
      <c r="D28" s="162"/>
      <c r="E28" s="162"/>
      <c r="F28" s="162"/>
      <c r="G28" s="162"/>
      <c r="H28" s="162"/>
      <c r="I28" s="162"/>
      <c r="J28" s="66"/>
      <c r="K28" s="66"/>
      <c r="L28" s="66"/>
      <c r="M28" s="66"/>
      <c r="N28" s="66"/>
      <c r="O28" s="66"/>
      <c r="P28" s="66"/>
      <c r="Q28" s="66"/>
      <c r="R28" s="66"/>
      <c r="S28" s="66"/>
      <c r="T28" s="66"/>
      <c r="U28" s="66"/>
      <c r="V28" s="66"/>
      <c r="W28" s="66"/>
      <c r="X28" s="66"/>
      <c r="Y28" s="66"/>
      <c r="Z28" s="66"/>
    </row>
    <row r="29" spans="1:26" ht="15.75">
      <c r="A29" s="66"/>
      <c r="B29" s="162"/>
      <c r="C29" s="162"/>
      <c r="D29" s="162"/>
      <c r="E29" s="162"/>
      <c r="F29" s="162"/>
      <c r="G29" s="162"/>
      <c r="H29" s="162"/>
      <c r="I29" s="162"/>
      <c r="J29" s="66"/>
      <c r="K29" s="66"/>
      <c r="L29" s="66"/>
      <c r="M29" s="66"/>
      <c r="N29" s="66"/>
      <c r="O29" s="66"/>
      <c r="P29" s="66"/>
      <c r="Q29" s="66"/>
      <c r="R29" s="66"/>
      <c r="S29" s="66"/>
      <c r="T29" s="66"/>
      <c r="U29" s="66"/>
      <c r="V29" s="66"/>
      <c r="W29" s="66"/>
      <c r="X29" s="66"/>
      <c r="Y29" s="66"/>
      <c r="Z29" s="66"/>
    </row>
    <row r="30" spans="1:26" ht="15.75">
      <c r="A30" s="66"/>
      <c r="B30" s="162"/>
      <c r="C30" s="162"/>
      <c r="D30" s="162"/>
      <c r="E30" s="162"/>
      <c r="F30" s="162"/>
      <c r="G30" s="162"/>
      <c r="H30" s="162"/>
      <c r="I30" s="162"/>
      <c r="J30" s="66"/>
      <c r="K30" s="66"/>
      <c r="L30" s="66"/>
      <c r="M30" s="66"/>
      <c r="N30" s="66"/>
      <c r="O30" s="66"/>
      <c r="P30" s="66"/>
      <c r="Q30" s="66"/>
      <c r="R30" s="66"/>
      <c r="S30" s="66"/>
      <c r="T30" s="66"/>
      <c r="U30" s="66"/>
      <c r="V30" s="66"/>
      <c r="W30" s="66"/>
      <c r="X30" s="66"/>
      <c r="Y30" s="66"/>
      <c r="Z30" s="66"/>
    </row>
    <row r="31" spans="1:26" ht="15.75">
      <c r="A31" s="66"/>
      <c r="B31" s="162"/>
      <c r="C31" s="162"/>
      <c r="D31" s="162"/>
      <c r="E31" s="162"/>
      <c r="F31" s="162"/>
      <c r="G31" s="162"/>
      <c r="H31" s="162"/>
      <c r="I31" s="162"/>
      <c r="J31" s="66"/>
      <c r="K31" s="66"/>
      <c r="L31" s="66"/>
      <c r="M31" s="66"/>
      <c r="N31" s="66"/>
      <c r="O31" s="66"/>
      <c r="P31" s="66"/>
      <c r="Q31" s="66"/>
      <c r="R31" s="66"/>
      <c r="S31" s="66"/>
      <c r="T31" s="66"/>
      <c r="U31" s="66"/>
      <c r="V31" s="66"/>
      <c r="W31" s="66"/>
      <c r="X31" s="66"/>
      <c r="Y31" s="66"/>
      <c r="Z31" s="66"/>
    </row>
    <row r="32" spans="1:26" ht="15.75">
      <c r="A32" s="66"/>
      <c r="B32" s="162"/>
      <c r="C32" s="162"/>
      <c r="D32" s="162"/>
      <c r="E32" s="162"/>
      <c r="F32" s="162"/>
      <c r="G32" s="162"/>
      <c r="H32" s="162"/>
      <c r="I32" s="162"/>
      <c r="J32" s="66"/>
      <c r="K32" s="66"/>
      <c r="L32" s="66"/>
      <c r="M32" s="66"/>
      <c r="N32" s="66"/>
      <c r="O32" s="66"/>
      <c r="P32" s="66"/>
      <c r="Q32" s="66"/>
      <c r="R32" s="66"/>
      <c r="S32" s="66"/>
      <c r="T32" s="66"/>
      <c r="U32" s="66"/>
      <c r="V32" s="66"/>
      <c r="W32" s="66"/>
      <c r="X32" s="66"/>
      <c r="Y32" s="66"/>
      <c r="Z32" s="66"/>
    </row>
    <row r="33" spans="1:26" ht="15.75">
      <c r="A33" s="66"/>
      <c r="B33" s="162"/>
      <c r="C33" s="162"/>
      <c r="D33" s="162"/>
      <c r="E33" s="162"/>
      <c r="F33" s="162"/>
      <c r="G33" s="162"/>
      <c r="H33" s="162"/>
      <c r="I33" s="162"/>
      <c r="J33" s="66"/>
      <c r="K33" s="66"/>
      <c r="L33" s="66"/>
      <c r="M33" s="66"/>
      <c r="N33" s="66"/>
      <c r="O33" s="66"/>
      <c r="P33" s="66"/>
      <c r="Q33" s="66"/>
      <c r="R33" s="66"/>
      <c r="S33" s="66"/>
      <c r="T33" s="66"/>
      <c r="U33" s="66"/>
      <c r="V33" s="66"/>
      <c r="W33" s="66"/>
      <c r="X33" s="66"/>
      <c r="Y33" s="66"/>
      <c r="Z33" s="66"/>
    </row>
    <row r="34" spans="1:26" ht="15.75">
      <c r="A34" s="66"/>
      <c r="B34" s="162"/>
      <c r="C34" s="162"/>
      <c r="D34" s="162"/>
      <c r="E34" s="162"/>
      <c r="F34" s="162"/>
      <c r="G34" s="162"/>
      <c r="H34" s="162"/>
      <c r="I34" s="162"/>
      <c r="J34" s="66"/>
      <c r="K34" s="66"/>
      <c r="L34" s="66"/>
      <c r="M34" s="66"/>
      <c r="N34" s="66"/>
      <c r="O34" s="66"/>
      <c r="P34" s="66"/>
      <c r="Q34" s="66"/>
      <c r="R34" s="66"/>
      <c r="S34" s="66"/>
      <c r="T34" s="66"/>
      <c r="U34" s="66"/>
      <c r="V34" s="66"/>
      <c r="W34" s="66"/>
      <c r="X34" s="66"/>
      <c r="Y34" s="66"/>
      <c r="Z34" s="66"/>
    </row>
    <row r="35" spans="1:26" ht="15.75">
      <c r="A35" s="66"/>
      <c r="B35" s="162"/>
      <c r="C35" s="162"/>
      <c r="D35" s="162"/>
      <c r="E35" s="162"/>
      <c r="F35" s="162"/>
      <c r="G35" s="162"/>
      <c r="H35" s="162"/>
      <c r="I35" s="162"/>
      <c r="J35" s="66"/>
      <c r="K35" s="66"/>
      <c r="L35" s="66"/>
      <c r="M35" s="66"/>
      <c r="N35" s="66"/>
      <c r="O35" s="66"/>
      <c r="P35" s="66"/>
      <c r="Q35" s="66"/>
      <c r="R35" s="66"/>
      <c r="S35" s="66"/>
      <c r="T35" s="66"/>
      <c r="U35" s="66"/>
      <c r="V35" s="66"/>
      <c r="W35" s="66"/>
      <c r="X35" s="66"/>
      <c r="Y35" s="66"/>
      <c r="Z35" s="66"/>
    </row>
    <row r="36" spans="1:26" ht="15.75">
      <c r="A36" s="75"/>
      <c r="B36" s="162"/>
      <c r="C36" s="162"/>
      <c r="D36" s="162"/>
      <c r="E36" s="162"/>
      <c r="F36" s="162"/>
      <c r="G36" s="162"/>
      <c r="H36" s="162"/>
      <c r="I36" s="162"/>
      <c r="J36" s="75"/>
      <c r="K36" s="75"/>
      <c r="L36" s="75"/>
      <c r="M36" s="75"/>
      <c r="N36" s="75"/>
      <c r="O36" s="75"/>
      <c r="P36" s="75"/>
      <c r="Q36" s="75"/>
      <c r="R36" s="75"/>
      <c r="S36" s="75"/>
      <c r="T36" s="75"/>
      <c r="U36" s="75"/>
      <c r="V36" s="75"/>
      <c r="W36" s="75"/>
      <c r="X36" s="75"/>
      <c r="Y36" s="75"/>
      <c r="Z36" s="75"/>
    </row>
    <row r="37" spans="1:26" ht="15.75">
      <c r="A37" s="75"/>
      <c r="B37" s="161" t="s">
        <v>305</v>
      </c>
      <c r="C37" s="162"/>
      <c r="D37" s="163" t="s">
        <v>306</v>
      </c>
      <c r="E37" s="162"/>
      <c r="F37" s="162"/>
      <c r="G37" s="162"/>
      <c r="H37" s="162"/>
      <c r="I37" s="162"/>
      <c r="J37" s="75"/>
      <c r="K37" s="75"/>
      <c r="L37" s="75"/>
      <c r="M37" s="75"/>
      <c r="N37" s="75"/>
      <c r="O37" s="75"/>
      <c r="P37" s="75"/>
      <c r="Q37" s="75"/>
      <c r="R37" s="75"/>
      <c r="S37" s="75"/>
      <c r="T37" s="75"/>
      <c r="U37" s="75"/>
      <c r="V37" s="75"/>
      <c r="W37" s="75"/>
      <c r="X37" s="75"/>
      <c r="Y37" s="75"/>
      <c r="Z37" s="75"/>
    </row>
    <row r="38" spans="1:26" ht="15.75">
      <c r="A38" s="75"/>
      <c r="B38" s="162"/>
      <c r="C38" s="162"/>
      <c r="D38" s="162"/>
      <c r="E38" s="162"/>
      <c r="F38" s="162"/>
      <c r="G38" s="162"/>
      <c r="H38" s="162"/>
      <c r="I38" s="162"/>
      <c r="J38" s="75"/>
      <c r="K38" s="75"/>
      <c r="L38" s="75"/>
      <c r="M38" s="75"/>
      <c r="N38" s="75"/>
      <c r="O38" s="75"/>
      <c r="P38" s="75"/>
      <c r="Q38" s="75"/>
      <c r="R38" s="75"/>
      <c r="S38" s="75"/>
      <c r="T38" s="75"/>
      <c r="U38" s="75"/>
      <c r="V38" s="75"/>
      <c r="W38" s="75"/>
      <c r="X38" s="75"/>
      <c r="Y38" s="75"/>
      <c r="Z38" s="75"/>
    </row>
    <row r="39" spans="1:26" ht="15.75">
      <c r="A39" s="75"/>
      <c r="B39" s="162"/>
      <c r="C39" s="162"/>
      <c r="D39" s="162"/>
      <c r="E39" s="162"/>
      <c r="F39" s="162"/>
      <c r="G39" s="162"/>
      <c r="H39" s="162"/>
      <c r="I39" s="162"/>
      <c r="J39" s="75"/>
      <c r="K39" s="75"/>
      <c r="L39" s="75"/>
      <c r="M39" s="75"/>
      <c r="N39" s="75"/>
      <c r="O39" s="75"/>
      <c r="P39" s="75"/>
      <c r="Q39" s="75"/>
      <c r="R39" s="75"/>
      <c r="S39" s="75"/>
      <c r="T39" s="75"/>
      <c r="U39" s="75"/>
      <c r="V39" s="75"/>
      <c r="W39" s="75"/>
      <c r="X39" s="75"/>
      <c r="Y39" s="75"/>
      <c r="Z39" s="75"/>
    </row>
    <row r="40" spans="1:26" ht="15.75">
      <c r="A40" s="75"/>
      <c r="B40" s="162"/>
      <c r="C40" s="162"/>
      <c r="D40" s="162"/>
      <c r="E40" s="162"/>
      <c r="F40" s="162"/>
      <c r="G40" s="162"/>
      <c r="H40" s="162"/>
      <c r="I40" s="162"/>
      <c r="J40" s="75"/>
      <c r="K40" s="75"/>
      <c r="L40" s="75"/>
      <c r="M40" s="75"/>
      <c r="N40" s="75"/>
      <c r="O40" s="75"/>
      <c r="P40" s="75"/>
      <c r="Q40" s="75"/>
      <c r="R40" s="75"/>
      <c r="S40" s="75"/>
      <c r="T40" s="75"/>
      <c r="U40" s="75"/>
      <c r="V40" s="75"/>
      <c r="W40" s="75"/>
      <c r="X40" s="75"/>
      <c r="Y40" s="75"/>
      <c r="Z40" s="75"/>
    </row>
    <row r="41" spans="1:26" ht="15.75">
      <c r="A41" s="75"/>
      <c r="B41" s="162"/>
      <c r="C41" s="162"/>
      <c r="D41" s="162"/>
      <c r="E41" s="162"/>
      <c r="F41" s="162"/>
      <c r="G41" s="162"/>
      <c r="H41" s="162"/>
      <c r="I41" s="162"/>
      <c r="J41" s="75"/>
      <c r="K41" s="75"/>
      <c r="L41" s="75"/>
      <c r="M41" s="75"/>
      <c r="N41" s="75"/>
      <c r="O41" s="75"/>
      <c r="P41" s="75"/>
      <c r="Q41" s="75"/>
      <c r="R41" s="75"/>
      <c r="S41" s="75"/>
      <c r="T41" s="75"/>
      <c r="U41" s="75"/>
      <c r="V41" s="75"/>
      <c r="W41" s="75"/>
      <c r="X41" s="75"/>
      <c r="Y41" s="75"/>
      <c r="Z41" s="75"/>
    </row>
    <row r="42" spans="1:26" ht="15.75">
      <c r="A42" s="75"/>
      <c r="B42" s="161" t="s">
        <v>307</v>
      </c>
      <c r="C42" s="162"/>
      <c r="D42" s="163" t="s">
        <v>308</v>
      </c>
      <c r="E42" s="162"/>
      <c r="F42" s="162"/>
      <c r="G42" s="162"/>
      <c r="H42" s="162"/>
      <c r="I42" s="162"/>
      <c r="J42" s="75"/>
      <c r="K42" s="75"/>
      <c r="L42" s="75"/>
      <c r="M42" s="75"/>
      <c r="N42" s="75"/>
      <c r="O42" s="75"/>
      <c r="P42" s="75"/>
      <c r="Q42" s="75"/>
      <c r="R42" s="75"/>
      <c r="S42" s="75"/>
      <c r="T42" s="75"/>
      <c r="U42" s="75"/>
      <c r="V42" s="75"/>
      <c r="W42" s="75"/>
      <c r="X42" s="75"/>
      <c r="Y42" s="75"/>
      <c r="Z42" s="75"/>
    </row>
    <row r="43" spans="1:26" ht="15.75">
      <c r="A43" s="75"/>
      <c r="B43" s="162"/>
      <c r="C43" s="162"/>
      <c r="D43" s="162"/>
      <c r="E43" s="162"/>
      <c r="F43" s="162"/>
      <c r="G43" s="162"/>
      <c r="H43" s="162"/>
      <c r="I43" s="162"/>
      <c r="J43" s="75"/>
      <c r="K43" s="75"/>
      <c r="L43" s="75"/>
      <c r="M43" s="75"/>
      <c r="N43" s="75"/>
      <c r="O43" s="75"/>
      <c r="P43" s="75"/>
      <c r="Q43" s="75"/>
      <c r="R43" s="75"/>
      <c r="S43" s="75"/>
      <c r="T43" s="75"/>
      <c r="U43" s="75"/>
      <c r="V43" s="75"/>
      <c r="W43" s="75"/>
      <c r="X43" s="75"/>
      <c r="Y43" s="75"/>
      <c r="Z43" s="75"/>
    </row>
    <row r="44" spans="1:26" ht="15.75">
      <c r="A44" s="75"/>
      <c r="B44" s="162"/>
      <c r="C44" s="162"/>
      <c r="D44" s="162"/>
      <c r="E44" s="162"/>
      <c r="F44" s="162"/>
      <c r="G44" s="162"/>
      <c r="H44" s="162"/>
      <c r="I44" s="162"/>
      <c r="J44" s="75"/>
      <c r="K44" s="75"/>
      <c r="L44" s="75"/>
      <c r="M44" s="75"/>
      <c r="N44" s="75"/>
      <c r="O44" s="75"/>
      <c r="P44" s="75"/>
      <c r="Q44" s="75"/>
      <c r="R44" s="75"/>
      <c r="S44" s="75"/>
      <c r="T44" s="75"/>
      <c r="U44" s="75"/>
      <c r="V44" s="75"/>
      <c r="W44" s="75"/>
      <c r="X44" s="75"/>
      <c r="Y44" s="75"/>
      <c r="Z44" s="75"/>
    </row>
    <row r="45" spans="1:26" ht="15.75">
      <c r="A45" s="75"/>
      <c r="B45" s="162"/>
      <c r="C45" s="162"/>
      <c r="D45" s="162"/>
      <c r="E45" s="162"/>
      <c r="F45" s="162"/>
      <c r="G45" s="162"/>
      <c r="H45" s="162"/>
      <c r="I45" s="162"/>
      <c r="J45" s="75"/>
      <c r="K45" s="75"/>
      <c r="L45" s="75"/>
      <c r="M45" s="75"/>
      <c r="N45" s="75"/>
      <c r="O45" s="75"/>
      <c r="P45" s="75"/>
      <c r="Q45" s="75"/>
      <c r="R45" s="75"/>
      <c r="S45" s="75"/>
      <c r="T45" s="75"/>
      <c r="U45" s="75"/>
      <c r="V45" s="75"/>
      <c r="W45" s="75"/>
      <c r="X45" s="75"/>
      <c r="Y45" s="75"/>
      <c r="Z45" s="75"/>
    </row>
    <row r="46" spans="1:26" ht="15.75">
      <c r="A46" s="75"/>
      <c r="B46" s="162"/>
      <c r="C46" s="162"/>
      <c r="D46" s="162"/>
      <c r="E46" s="162"/>
      <c r="F46" s="162"/>
      <c r="G46" s="162"/>
      <c r="H46" s="162"/>
      <c r="I46" s="162"/>
      <c r="J46" s="75"/>
      <c r="K46" s="75"/>
      <c r="L46" s="75"/>
      <c r="M46" s="75"/>
      <c r="N46" s="75"/>
      <c r="O46" s="75"/>
      <c r="P46" s="75"/>
      <c r="Q46" s="75"/>
      <c r="R46" s="75"/>
      <c r="S46" s="75"/>
      <c r="T46" s="75"/>
      <c r="U46" s="75"/>
      <c r="V46" s="75"/>
      <c r="W46" s="75"/>
      <c r="X46" s="75"/>
      <c r="Y46" s="75"/>
      <c r="Z46" s="75"/>
    </row>
    <row r="47" spans="1:26" ht="15.75">
      <c r="A47" s="75"/>
      <c r="B47" s="161" t="s">
        <v>309</v>
      </c>
      <c r="C47" s="162"/>
      <c r="D47" s="163" t="s">
        <v>310</v>
      </c>
      <c r="E47" s="162"/>
      <c r="F47" s="162"/>
      <c r="G47" s="162"/>
      <c r="H47" s="162"/>
      <c r="I47" s="162"/>
      <c r="J47" s="75"/>
      <c r="K47" s="75"/>
      <c r="L47" s="75"/>
      <c r="M47" s="75"/>
      <c r="N47" s="75"/>
      <c r="O47" s="75"/>
      <c r="P47" s="75"/>
      <c r="Q47" s="75"/>
      <c r="R47" s="75"/>
      <c r="S47" s="75"/>
      <c r="T47" s="75"/>
      <c r="U47" s="75"/>
      <c r="V47" s="75"/>
      <c r="W47" s="75"/>
      <c r="X47" s="75"/>
      <c r="Y47" s="75"/>
      <c r="Z47" s="75"/>
    </row>
    <row r="48" spans="1:26" ht="15.75">
      <c r="A48" s="75"/>
      <c r="B48" s="162"/>
      <c r="C48" s="162"/>
      <c r="D48" s="162"/>
      <c r="E48" s="162"/>
      <c r="F48" s="162"/>
      <c r="G48" s="162"/>
      <c r="H48" s="162"/>
      <c r="I48" s="162"/>
      <c r="J48" s="75"/>
      <c r="K48" s="75"/>
      <c r="L48" s="75"/>
      <c r="M48" s="75"/>
      <c r="N48" s="75"/>
      <c r="O48" s="75"/>
      <c r="P48" s="75"/>
      <c r="Q48" s="75"/>
      <c r="R48" s="75"/>
      <c r="S48" s="75"/>
      <c r="T48" s="75"/>
      <c r="U48" s="75"/>
      <c r="V48" s="75"/>
      <c r="W48" s="75"/>
      <c r="X48" s="75"/>
      <c r="Y48" s="75"/>
      <c r="Z48" s="75"/>
    </row>
    <row r="49" spans="1:26" ht="15.75">
      <c r="A49" s="75"/>
      <c r="B49" s="162"/>
      <c r="C49" s="162"/>
      <c r="D49" s="162"/>
      <c r="E49" s="162"/>
      <c r="F49" s="162"/>
      <c r="G49" s="162"/>
      <c r="H49" s="162"/>
      <c r="I49" s="162"/>
      <c r="J49" s="75"/>
      <c r="K49" s="75"/>
      <c r="L49" s="75"/>
      <c r="M49" s="75"/>
      <c r="N49" s="75"/>
      <c r="O49" s="75"/>
      <c r="P49" s="75"/>
      <c r="Q49" s="75"/>
      <c r="R49" s="75"/>
      <c r="S49" s="75"/>
      <c r="T49" s="75"/>
      <c r="U49" s="75"/>
      <c r="V49" s="75"/>
      <c r="W49" s="75"/>
      <c r="X49" s="75"/>
      <c r="Y49" s="75"/>
      <c r="Z49" s="75"/>
    </row>
    <row r="50" spans="1:26" ht="15.75">
      <c r="A50" s="75"/>
      <c r="B50" s="162"/>
      <c r="C50" s="162"/>
      <c r="D50" s="162"/>
      <c r="E50" s="162"/>
      <c r="F50" s="162"/>
      <c r="G50" s="162"/>
      <c r="H50" s="162"/>
      <c r="I50" s="162"/>
      <c r="J50" s="75"/>
      <c r="K50" s="75"/>
      <c r="L50" s="75"/>
      <c r="M50" s="75"/>
      <c r="N50" s="75"/>
      <c r="O50" s="75"/>
      <c r="P50" s="75"/>
      <c r="Q50" s="75"/>
      <c r="R50" s="75"/>
      <c r="S50" s="75"/>
      <c r="T50" s="75"/>
      <c r="U50" s="75"/>
      <c r="V50" s="75"/>
      <c r="W50" s="75"/>
      <c r="X50" s="75"/>
      <c r="Y50" s="75"/>
      <c r="Z50" s="75"/>
    </row>
    <row r="51" spans="1:26" ht="15.75">
      <c r="A51" s="75"/>
      <c r="B51" s="162"/>
      <c r="C51" s="162"/>
      <c r="D51" s="162"/>
      <c r="E51" s="162"/>
      <c r="F51" s="162"/>
      <c r="G51" s="162"/>
      <c r="H51" s="162"/>
      <c r="I51" s="162"/>
      <c r="J51" s="75"/>
      <c r="K51" s="75"/>
      <c r="L51" s="75"/>
      <c r="M51" s="75"/>
      <c r="N51" s="75"/>
      <c r="O51" s="75"/>
      <c r="P51" s="75"/>
      <c r="Q51" s="75"/>
      <c r="R51" s="75"/>
      <c r="S51" s="75"/>
      <c r="T51" s="75"/>
      <c r="U51" s="75"/>
      <c r="V51" s="75"/>
      <c r="W51" s="75"/>
      <c r="X51" s="75"/>
      <c r="Y51" s="75"/>
      <c r="Z51" s="75"/>
    </row>
    <row r="52" spans="1:26" ht="15.75">
      <c r="A52" s="75"/>
      <c r="B52" s="77"/>
      <c r="C52" s="77"/>
      <c r="D52" s="75"/>
      <c r="E52" s="75"/>
      <c r="F52" s="75"/>
      <c r="G52" s="75"/>
      <c r="H52" s="75"/>
      <c r="I52" s="75"/>
      <c r="J52" s="75"/>
      <c r="K52" s="75"/>
      <c r="L52" s="75"/>
      <c r="M52" s="75"/>
      <c r="N52" s="75"/>
      <c r="O52" s="75"/>
      <c r="P52" s="75"/>
      <c r="Q52" s="75"/>
      <c r="R52" s="75"/>
      <c r="S52" s="75"/>
      <c r="T52" s="75"/>
      <c r="U52" s="75"/>
      <c r="V52" s="75"/>
      <c r="W52" s="75"/>
      <c r="X52" s="75"/>
      <c r="Y52" s="75"/>
      <c r="Z52" s="75"/>
    </row>
    <row r="53" spans="1:26" ht="15.75">
      <c r="A53" s="75"/>
      <c r="B53" s="77"/>
      <c r="C53" s="77"/>
      <c r="D53" s="75"/>
      <c r="E53" s="75"/>
      <c r="F53" s="75"/>
      <c r="G53" s="75"/>
      <c r="H53" s="75"/>
      <c r="I53" s="75"/>
      <c r="J53" s="75"/>
      <c r="K53" s="75"/>
      <c r="L53" s="75"/>
      <c r="M53" s="75"/>
      <c r="N53" s="75"/>
      <c r="O53" s="75"/>
      <c r="P53" s="75"/>
      <c r="Q53" s="75"/>
      <c r="R53" s="75"/>
      <c r="S53" s="75"/>
      <c r="T53" s="75"/>
      <c r="U53" s="75"/>
      <c r="V53" s="75"/>
      <c r="W53" s="75"/>
      <c r="X53" s="75"/>
      <c r="Y53" s="75"/>
      <c r="Z53" s="75"/>
    </row>
    <row r="54" spans="1:26" ht="15.75">
      <c r="A54" s="75"/>
      <c r="B54" s="77"/>
      <c r="C54" s="77"/>
      <c r="D54" s="75"/>
      <c r="E54" s="75"/>
      <c r="F54" s="75"/>
      <c r="G54" s="75"/>
      <c r="H54" s="75"/>
      <c r="I54" s="75"/>
      <c r="J54" s="75"/>
      <c r="K54" s="75"/>
      <c r="L54" s="75"/>
      <c r="M54" s="75"/>
      <c r="N54" s="75"/>
      <c r="O54" s="75"/>
      <c r="P54" s="75"/>
      <c r="Q54" s="75"/>
      <c r="R54" s="75"/>
      <c r="S54" s="75"/>
      <c r="T54" s="75"/>
      <c r="U54" s="75"/>
      <c r="V54" s="75"/>
      <c r="W54" s="75"/>
      <c r="X54" s="75"/>
      <c r="Y54" s="75"/>
      <c r="Z54" s="75"/>
    </row>
    <row r="55" spans="1:26" ht="15.75">
      <c r="A55" s="75"/>
      <c r="B55" s="77"/>
      <c r="C55" s="77"/>
      <c r="D55" s="75"/>
      <c r="E55" s="75"/>
      <c r="F55" s="75"/>
      <c r="G55" s="75"/>
      <c r="H55" s="75"/>
      <c r="I55" s="75"/>
      <c r="J55" s="75"/>
      <c r="K55" s="75"/>
      <c r="L55" s="75"/>
      <c r="M55" s="75"/>
      <c r="N55" s="75"/>
      <c r="O55" s="75"/>
      <c r="P55" s="75"/>
      <c r="Q55" s="75"/>
      <c r="R55" s="75"/>
      <c r="S55" s="75"/>
      <c r="T55" s="75"/>
      <c r="U55" s="75"/>
      <c r="V55" s="75"/>
      <c r="W55" s="75"/>
      <c r="X55" s="75"/>
      <c r="Y55" s="75"/>
      <c r="Z55" s="75"/>
    </row>
    <row r="56" spans="1:26" ht="15.75">
      <c r="A56" s="75"/>
      <c r="B56" s="77"/>
      <c r="C56" s="77"/>
      <c r="D56" s="75"/>
      <c r="E56" s="75"/>
      <c r="F56" s="75"/>
      <c r="G56" s="75"/>
      <c r="H56" s="75"/>
      <c r="I56" s="75"/>
      <c r="J56" s="75"/>
      <c r="K56" s="75"/>
      <c r="L56" s="75"/>
      <c r="M56" s="75"/>
      <c r="N56" s="75"/>
      <c r="O56" s="75"/>
      <c r="P56" s="75"/>
      <c r="Q56" s="75"/>
      <c r="R56" s="75"/>
      <c r="S56" s="75"/>
      <c r="T56" s="75"/>
      <c r="U56" s="75"/>
      <c r="V56" s="75"/>
      <c r="W56" s="75"/>
      <c r="X56" s="75"/>
      <c r="Y56" s="75"/>
      <c r="Z56" s="75"/>
    </row>
    <row r="57" spans="1:26" ht="15.75">
      <c r="A57" s="75"/>
      <c r="B57" s="77"/>
      <c r="C57" s="77"/>
      <c r="D57" s="75"/>
      <c r="E57" s="75"/>
      <c r="F57" s="75"/>
      <c r="G57" s="75"/>
      <c r="H57" s="75"/>
      <c r="I57" s="75"/>
      <c r="J57" s="75"/>
      <c r="K57" s="75"/>
      <c r="L57" s="75"/>
      <c r="M57" s="75"/>
      <c r="N57" s="75"/>
      <c r="O57" s="75"/>
      <c r="P57" s="75"/>
      <c r="Q57" s="75"/>
      <c r="R57" s="75"/>
      <c r="S57" s="75"/>
      <c r="T57" s="75"/>
      <c r="U57" s="75"/>
      <c r="V57" s="75"/>
      <c r="W57" s="75"/>
      <c r="X57" s="75"/>
      <c r="Y57" s="75"/>
      <c r="Z57" s="75"/>
    </row>
    <row r="58" spans="1:26" ht="15.75">
      <c r="A58" s="75"/>
      <c r="B58" s="77"/>
      <c r="C58" s="77"/>
      <c r="D58" s="75"/>
      <c r="E58" s="75"/>
      <c r="F58" s="75"/>
      <c r="G58" s="75"/>
      <c r="H58" s="75"/>
      <c r="I58" s="75"/>
      <c r="J58" s="75"/>
      <c r="K58" s="75"/>
      <c r="L58" s="75"/>
      <c r="M58" s="75"/>
      <c r="N58" s="75"/>
      <c r="O58" s="75"/>
      <c r="P58" s="75"/>
      <c r="Q58" s="75"/>
      <c r="R58" s="75"/>
      <c r="S58" s="75"/>
      <c r="T58" s="75"/>
      <c r="U58" s="75"/>
      <c r="V58" s="75"/>
      <c r="W58" s="75"/>
      <c r="X58" s="75"/>
      <c r="Y58" s="75"/>
      <c r="Z58" s="75"/>
    </row>
    <row r="59" spans="1:26" ht="15.75">
      <c r="A59" s="75"/>
      <c r="B59" s="77"/>
      <c r="C59" s="77"/>
      <c r="D59" s="75"/>
      <c r="E59" s="75"/>
      <c r="F59" s="75"/>
      <c r="G59" s="75"/>
      <c r="H59" s="75"/>
      <c r="I59" s="75"/>
      <c r="J59" s="75"/>
      <c r="K59" s="75"/>
      <c r="L59" s="75"/>
      <c r="M59" s="75"/>
      <c r="N59" s="75"/>
      <c r="O59" s="75"/>
      <c r="P59" s="75"/>
      <c r="Q59" s="75"/>
      <c r="R59" s="75"/>
      <c r="S59" s="75"/>
      <c r="T59" s="75"/>
      <c r="U59" s="75"/>
      <c r="V59" s="75"/>
      <c r="W59" s="75"/>
      <c r="X59" s="75"/>
      <c r="Y59" s="75"/>
      <c r="Z59" s="75"/>
    </row>
    <row r="60" spans="1:26" ht="15.75">
      <c r="A60" s="75"/>
      <c r="B60" s="77"/>
      <c r="C60" s="77"/>
      <c r="D60" s="75"/>
      <c r="E60" s="75"/>
      <c r="F60" s="75"/>
      <c r="G60" s="75"/>
      <c r="H60" s="75"/>
      <c r="I60" s="75"/>
      <c r="J60" s="75"/>
      <c r="K60" s="75"/>
      <c r="L60" s="75"/>
      <c r="M60" s="75"/>
      <c r="N60" s="75"/>
      <c r="O60" s="75"/>
      <c r="P60" s="75"/>
      <c r="Q60" s="75"/>
      <c r="R60" s="75"/>
      <c r="S60" s="75"/>
      <c r="T60" s="75"/>
      <c r="U60" s="75"/>
      <c r="V60" s="75"/>
      <c r="W60" s="75"/>
      <c r="X60" s="75"/>
      <c r="Y60" s="75"/>
      <c r="Z60" s="75"/>
    </row>
    <row r="61" spans="1:26" ht="15.75">
      <c r="A61" s="75"/>
      <c r="B61" s="77"/>
      <c r="C61" s="77"/>
      <c r="D61" s="75"/>
      <c r="E61" s="75"/>
      <c r="F61" s="75"/>
      <c r="G61" s="75"/>
      <c r="H61" s="75"/>
      <c r="I61" s="75"/>
      <c r="J61" s="75"/>
      <c r="K61" s="75"/>
      <c r="L61" s="75"/>
      <c r="M61" s="75"/>
      <c r="N61" s="75"/>
      <c r="O61" s="75"/>
      <c r="P61" s="75"/>
      <c r="Q61" s="75"/>
      <c r="R61" s="75"/>
      <c r="S61" s="75"/>
      <c r="T61" s="75"/>
      <c r="U61" s="75"/>
      <c r="V61" s="75"/>
      <c r="W61" s="75"/>
      <c r="X61" s="75"/>
      <c r="Y61" s="75"/>
      <c r="Z61" s="75"/>
    </row>
    <row r="62" spans="1:26" ht="15.75">
      <c r="A62" s="75"/>
      <c r="B62" s="77"/>
      <c r="C62" s="77"/>
      <c r="D62" s="75"/>
      <c r="E62" s="75"/>
      <c r="F62" s="75"/>
      <c r="G62" s="75"/>
      <c r="H62" s="75"/>
      <c r="I62" s="75"/>
      <c r="J62" s="75"/>
      <c r="K62" s="75"/>
      <c r="L62" s="75"/>
      <c r="M62" s="75"/>
      <c r="N62" s="75"/>
      <c r="O62" s="75"/>
      <c r="P62" s="75"/>
      <c r="Q62" s="75"/>
      <c r="R62" s="75"/>
      <c r="S62" s="75"/>
      <c r="T62" s="75"/>
      <c r="U62" s="75"/>
      <c r="V62" s="75"/>
      <c r="W62" s="75"/>
      <c r="X62" s="75"/>
      <c r="Y62" s="75"/>
      <c r="Z62" s="75"/>
    </row>
    <row r="63" spans="1:26" ht="15.75">
      <c r="A63" s="75"/>
      <c r="B63" s="77"/>
      <c r="C63" s="77"/>
      <c r="D63" s="75"/>
      <c r="E63" s="75"/>
      <c r="F63" s="75"/>
      <c r="G63" s="75"/>
      <c r="H63" s="75"/>
      <c r="I63" s="75"/>
      <c r="J63" s="75"/>
      <c r="K63" s="75"/>
      <c r="L63" s="75"/>
      <c r="M63" s="75"/>
      <c r="N63" s="75"/>
      <c r="O63" s="75"/>
      <c r="P63" s="75"/>
      <c r="Q63" s="75"/>
      <c r="R63" s="75"/>
      <c r="S63" s="75"/>
      <c r="T63" s="75"/>
      <c r="U63" s="75"/>
      <c r="V63" s="75"/>
      <c r="W63" s="75"/>
      <c r="X63" s="75"/>
      <c r="Y63" s="75"/>
      <c r="Z63" s="75"/>
    </row>
    <row r="64" spans="1:26" ht="15.75">
      <c r="A64" s="75"/>
      <c r="B64" s="77"/>
      <c r="C64" s="77"/>
      <c r="D64" s="75"/>
      <c r="E64" s="75"/>
      <c r="F64" s="75"/>
      <c r="G64" s="75"/>
      <c r="H64" s="75"/>
      <c r="I64" s="75"/>
      <c r="J64" s="75"/>
      <c r="K64" s="75"/>
      <c r="L64" s="75"/>
      <c r="M64" s="75"/>
      <c r="N64" s="75"/>
      <c r="O64" s="75"/>
      <c r="P64" s="75"/>
      <c r="Q64" s="75"/>
      <c r="R64" s="75"/>
      <c r="S64" s="75"/>
      <c r="T64" s="75"/>
      <c r="U64" s="75"/>
      <c r="V64" s="75"/>
      <c r="W64" s="75"/>
      <c r="X64" s="75"/>
      <c r="Y64" s="75"/>
      <c r="Z64" s="75"/>
    </row>
    <row r="65" spans="1:26" ht="15.75">
      <c r="A65" s="75"/>
      <c r="B65" s="77"/>
      <c r="C65" s="77"/>
      <c r="D65" s="75"/>
      <c r="E65" s="75"/>
      <c r="F65" s="75"/>
      <c r="G65" s="75"/>
      <c r="H65" s="75"/>
      <c r="I65" s="75"/>
      <c r="J65" s="75"/>
      <c r="K65" s="75"/>
      <c r="L65" s="75"/>
      <c r="M65" s="75"/>
      <c r="N65" s="75"/>
      <c r="O65" s="75"/>
      <c r="P65" s="75"/>
      <c r="Q65" s="75"/>
      <c r="R65" s="75"/>
      <c r="S65" s="75"/>
      <c r="T65" s="75"/>
      <c r="U65" s="75"/>
      <c r="V65" s="75"/>
      <c r="W65" s="75"/>
      <c r="X65" s="75"/>
      <c r="Y65" s="75"/>
      <c r="Z65" s="75"/>
    </row>
    <row r="66" spans="1:26" ht="15.75">
      <c r="A66" s="75"/>
      <c r="B66" s="77"/>
      <c r="C66" s="77"/>
      <c r="D66" s="75"/>
      <c r="E66" s="75"/>
      <c r="F66" s="75"/>
      <c r="G66" s="75"/>
      <c r="H66" s="75"/>
      <c r="I66" s="75"/>
      <c r="J66" s="75"/>
      <c r="K66" s="75"/>
      <c r="L66" s="75"/>
      <c r="M66" s="75"/>
      <c r="N66" s="75"/>
      <c r="O66" s="75"/>
      <c r="P66" s="75"/>
      <c r="Q66" s="75"/>
      <c r="R66" s="75"/>
      <c r="S66" s="75"/>
      <c r="T66" s="75"/>
      <c r="U66" s="75"/>
      <c r="V66" s="75"/>
      <c r="W66" s="75"/>
      <c r="X66" s="75"/>
      <c r="Y66" s="75"/>
      <c r="Z66" s="75"/>
    </row>
    <row r="67" spans="1:26" ht="15.75">
      <c r="A67" s="75"/>
      <c r="B67" s="77"/>
      <c r="C67" s="77"/>
      <c r="D67" s="75"/>
      <c r="E67" s="75"/>
      <c r="F67" s="75"/>
      <c r="G67" s="75"/>
      <c r="H67" s="75"/>
      <c r="I67" s="75"/>
      <c r="J67" s="75"/>
      <c r="K67" s="75"/>
      <c r="L67" s="75"/>
      <c r="M67" s="75"/>
      <c r="N67" s="75"/>
      <c r="O67" s="75"/>
      <c r="P67" s="75"/>
      <c r="Q67" s="75"/>
      <c r="R67" s="75"/>
      <c r="S67" s="75"/>
      <c r="T67" s="75"/>
      <c r="U67" s="75"/>
      <c r="V67" s="75"/>
      <c r="W67" s="75"/>
      <c r="X67" s="75"/>
      <c r="Y67" s="75"/>
      <c r="Z67" s="75"/>
    </row>
    <row r="68" spans="1:26" ht="15.75">
      <c r="A68" s="75"/>
      <c r="B68" s="77"/>
      <c r="C68" s="77"/>
      <c r="D68" s="75"/>
      <c r="E68" s="75"/>
      <c r="F68" s="75"/>
      <c r="G68" s="75"/>
      <c r="H68" s="75"/>
      <c r="I68" s="75"/>
      <c r="J68" s="75"/>
      <c r="K68" s="75"/>
      <c r="L68" s="75"/>
      <c r="M68" s="75"/>
      <c r="N68" s="75"/>
      <c r="O68" s="75"/>
      <c r="P68" s="75"/>
      <c r="Q68" s="75"/>
      <c r="R68" s="75"/>
      <c r="S68" s="75"/>
      <c r="T68" s="75"/>
      <c r="U68" s="75"/>
      <c r="V68" s="75"/>
      <c r="W68" s="75"/>
      <c r="X68" s="75"/>
      <c r="Y68" s="75"/>
      <c r="Z68" s="75"/>
    </row>
    <row r="69" spans="1:26" ht="15.75">
      <c r="A69" s="75"/>
      <c r="B69" s="77"/>
      <c r="C69" s="77"/>
      <c r="D69" s="75"/>
      <c r="E69" s="75"/>
      <c r="F69" s="75"/>
      <c r="G69" s="75"/>
      <c r="H69" s="75"/>
      <c r="I69" s="75"/>
      <c r="J69" s="75"/>
      <c r="K69" s="75"/>
      <c r="L69" s="75"/>
      <c r="M69" s="75"/>
      <c r="N69" s="75"/>
      <c r="O69" s="75"/>
      <c r="P69" s="75"/>
      <c r="Q69" s="75"/>
      <c r="R69" s="75"/>
      <c r="S69" s="75"/>
      <c r="T69" s="75"/>
      <c r="U69" s="75"/>
      <c r="V69" s="75"/>
      <c r="W69" s="75"/>
      <c r="X69" s="75"/>
      <c r="Y69" s="75"/>
      <c r="Z69" s="75"/>
    </row>
    <row r="70" spans="1:26" ht="15.75">
      <c r="A70" s="75"/>
      <c r="B70" s="77"/>
      <c r="C70" s="77"/>
      <c r="D70" s="75"/>
      <c r="E70" s="75"/>
      <c r="F70" s="75"/>
      <c r="G70" s="75"/>
      <c r="H70" s="75"/>
      <c r="I70" s="75"/>
      <c r="J70" s="75"/>
      <c r="K70" s="75"/>
      <c r="L70" s="75"/>
      <c r="M70" s="75"/>
      <c r="N70" s="75"/>
      <c r="O70" s="75"/>
      <c r="P70" s="75"/>
      <c r="Q70" s="75"/>
      <c r="R70" s="75"/>
      <c r="S70" s="75"/>
      <c r="T70" s="75"/>
      <c r="U70" s="75"/>
      <c r="V70" s="75"/>
      <c r="W70" s="75"/>
      <c r="X70" s="75"/>
      <c r="Y70" s="75"/>
      <c r="Z70" s="75"/>
    </row>
    <row r="71" spans="1:26" ht="15.75">
      <c r="A71" s="75"/>
      <c r="B71" s="77"/>
      <c r="C71" s="77"/>
      <c r="D71" s="75"/>
      <c r="E71" s="75"/>
      <c r="F71" s="75"/>
      <c r="G71" s="75"/>
      <c r="H71" s="75"/>
      <c r="I71" s="75"/>
      <c r="J71" s="75"/>
      <c r="K71" s="75"/>
      <c r="L71" s="75"/>
      <c r="M71" s="75"/>
      <c r="N71" s="75"/>
      <c r="O71" s="75"/>
      <c r="P71" s="75"/>
      <c r="Q71" s="75"/>
      <c r="R71" s="75"/>
      <c r="S71" s="75"/>
      <c r="T71" s="75"/>
      <c r="U71" s="75"/>
      <c r="V71" s="75"/>
      <c r="W71" s="75"/>
      <c r="X71" s="75"/>
      <c r="Y71" s="75"/>
      <c r="Z71" s="75"/>
    </row>
    <row r="72" spans="1:26" ht="15.75">
      <c r="A72" s="75"/>
      <c r="B72" s="77"/>
      <c r="C72" s="77"/>
      <c r="D72" s="75"/>
      <c r="E72" s="75"/>
      <c r="F72" s="75"/>
      <c r="G72" s="75"/>
      <c r="H72" s="75"/>
      <c r="I72" s="75"/>
      <c r="J72" s="75"/>
      <c r="K72" s="75"/>
      <c r="L72" s="75"/>
      <c r="M72" s="75"/>
      <c r="N72" s="75"/>
      <c r="O72" s="75"/>
      <c r="P72" s="75"/>
      <c r="Q72" s="75"/>
      <c r="R72" s="75"/>
      <c r="S72" s="75"/>
      <c r="T72" s="75"/>
      <c r="U72" s="75"/>
      <c r="V72" s="75"/>
      <c r="W72" s="75"/>
      <c r="X72" s="75"/>
      <c r="Y72" s="75"/>
      <c r="Z72" s="75"/>
    </row>
    <row r="73" spans="1:26" ht="15.75">
      <c r="A73" s="75"/>
      <c r="B73" s="77"/>
      <c r="C73" s="77"/>
      <c r="D73" s="75"/>
      <c r="E73" s="75"/>
      <c r="F73" s="75"/>
      <c r="G73" s="75"/>
      <c r="H73" s="75"/>
      <c r="I73" s="75"/>
      <c r="J73" s="75"/>
      <c r="K73" s="75"/>
      <c r="L73" s="75"/>
      <c r="M73" s="75"/>
      <c r="N73" s="75"/>
      <c r="O73" s="75"/>
      <c r="P73" s="75"/>
      <c r="Q73" s="75"/>
      <c r="R73" s="75"/>
      <c r="S73" s="75"/>
      <c r="T73" s="75"/>
      <c r="U73" s="75"/>
      <c r="V73" s="75"/>
      <c r="W73" s="75"/>
      <c r="X73" s="75"/>
      <c r="Y73" s="75"/>
      <c r="Z73" s="75"/>
    </row>
    <row r="74" spans="1:26" ht="15.75">
      <c r="A74" s="75"/>
      <c r="B74" s="77"/>
      <c r="C74" s="77"/>
      <c r="D74" s="75"/>
      <c r="E74" s="75"/>
      <c r="F74" s="75"/>
      <c r="G74" s="75"/>
      <c r="H74" s="75"/>
      <c r="I74" s="75"/>
      <c r="J74" s="75"/>
      <c r="K74" s="75"/>
      <c r="L74" s="75"/>
      <c r="M74" s="75"/>
      <c r="N74" s="75"/>
      <c r="O74" s="75"/>
      <c r="P74" s="75"/>
      <c r="Q74" s="75"/>
      <c r="R74" s="75"/>
      <c r="S74" s="75"/>
      <c r="T74" s="75"/>
      <c r="U74" s="75"/>
      <c r="V74" s="75"/>
      <c r="W74" s="75"/>
      <c r="X74" s="75"/>
      <c r="Y74" s="75"/>
      <c r="Z74" s="75"/>
    </row>
    <row r="75" spans="1:26" ht="15.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spans="1:26" ht="15.75">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spans="1:26" ht="15.75">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spans="1:26" ht="15.75">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spans="1:26" ht="15.75">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spans="1:26" ht="15.75">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spans="1:26" ht="15.75">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spans="1:26" ht="15.75">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spans="1:26" ht="15.75">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spans="1:26" ht="15.75">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spans="1:26" ht="15.7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spans="1:26" ht="15.75">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spans="1:26" ht="15.75">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spans="1:26" ht="15.75">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spans="1:26" ht="15.75">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spans="1:26" ht="15.75">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spans="1:26" ht="15.75">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spans="1:26" ht="15.75">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spans="1:26" ht="15.75">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spans="1:26" ht="15.75">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spans="1:26" ht="15.7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spans="1:26" ht="15.75">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spans="1:26" ht="15.75">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spans="1:26" ht="15.75">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spans="1:26" ht="15.75">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spans="1:26" ht="15.75">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spans="1:26" ht="15.75">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spans="1:26" ht="15.75">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spans="1:26" ht="15.75">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spans="1:26" ht="15.75">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spans="1:26" ht="15.7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spans="1:26" ht="15.75">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spans="1:26" ht="15.75">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spans="1:26" ht="15.75">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spans="1:26" ht="15.75">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spans="1:26" ht="15.75">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spans="1:26" ht="15.75">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spans="1:26" ht="15.75">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spans="1:26" ht="15.75">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spans="1:26" ht="15.75">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spans="1:26" ht="15.7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spans="1:26" ht="15.75">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spans="1:26" ht="15.75">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spans="1:26" ht="15.75">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spans="1:26" ht="15.75">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26" ht="15.75">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spans="1:26" ht="15.75">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spans="1:26" ht="15.75">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spans="1:26" ht="15.75">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spans="1:26" ht="15.75">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spans="1:26" ht="15.7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spans="1:26" ht="15.75">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spans="1:26" ht="15.75">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spans="1:26" ht="15.75">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spans="1:26" ht="15.75">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spans="1:26" ht="15.75">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spans="1:26" ht="15.75">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spans="1:26" ht="15.75">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spans="1:26" ht="15.7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spans="1:26" ht="15.7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spans="1:26" ht="15.7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spans="1:26" ht="15.75">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spans="1:26" ht="15.75">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spans="1:26" ht="15.75">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spans="1:26" ht="15.75">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spans="1:26" ht="15.75">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spans="1:26" ht="15.75">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spans="1:26" ht="15.75">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spans="1:26" ht="15.75">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spans="1:26" ht="15.75">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spans="1:26" ht="15.7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spans="1:26" ht="15.75">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spans="1:26" ht="15.75">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spans="1:26" ht="15.75">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spans="1:26" ht="15.75">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spans="1:26" ht="15.75">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spans="1:26" ht="15.75">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spans="1:26" ht="15.75">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spans="1:26" ht="15.75">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spans="1:26" ht="15.75">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spans="1:26" ht="15.7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spans="1:26" ht="15.75">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spans="1:26" ht="15.75">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spans="1:26" ht="15.75">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spans="1:26" ht="15.75">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spans="1:26" ht="15.75">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spans="1:26" ht="15.75">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spans="1:26" ht="15.75">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spans="1:26" ht="15.75">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spans="1:26" ht="15.75">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spans="1:26" ht="15.7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spans="1:26" ht="15.75">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spans="1:26" ht="15.75">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spans="1:26" ht="15.75">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spans="1:26" ht="15.75">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spans="1:26" ht="15.75">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spans="1:26" ht="15.75">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spans="1:26" ht="15.75">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spans="1:26" ht="15.75">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spans="1:26" ht="15.75">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spans="1:26" ht="15.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spans="1:26" ht="15.75">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spans="1:26" ht="15.75">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spans="1:26" ht="15.75">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spans="1:26" ht="15.75">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spans="1:26" ht="15.75">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spans="1:26" ht="15.75">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spans="1:26" ht="15.75">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spans="1:26" ht="15.75">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spans="1:26" ht="15.75">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spans="1:26" ht="15.7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spans="1:26" ht="15.75">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spans="1:26" ht="15.75">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spans="1:26" ht="15.75">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spans="1:26" ht="15.75">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spans="1:26" ht="15.75">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spans="1:26" ht="15.75">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spans="1:26" ht="15.75">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spans="1:26" ht="15.75">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spans="1:26" ht="15.75">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spans="1:26" ht="15.7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spans="1:26" ht="15.75">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spans="1:26" ht="15.75">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spans="1:26" ht="15.75">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spans="1:26" ht="15.75">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spans="1:26" ht="15.75">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spans="1:26" ht="15.75">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spans="1:26" ht="15.75">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spans="1:26" ht="15.75">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spans="1:26" ht="15.75">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spans="1:26" ht="15.7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spans="1:26" ht="15.75">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spans="1:26" ht="15.75">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spans="1:26" ht="15.75">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spans="1:26" ht="15.75">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spans="1:26" ht="15.75">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spans="1:26" ht="15.75">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spans="1:26" ht="15.75">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spans="1:26" ht="15.75">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spans="1:26" ht="15.75">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spans="1:26" ht="15.7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spans="1:26" ht="15.75">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spans="1:26" ht="15.75">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spans="1:26" ht="15.75">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spans="1:26" ht="15.75">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spans="1:26" ht="15.75">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spans="1:26" ht="15.75">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spans="1:26" ht="15.75">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spans="1:26" ht="15.75">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spans="1:26" ht="15.75">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spans="1:26" ht="15.7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spans="1:26" ht="15.75">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spans="1:26" ht="15.75">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spans="1:26" ht="15.75">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spans="1:26" ht="15.75">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spans="1:26" ht="15.75">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spans="1:26" ht="15.75">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spans="1:26" ht="15.75">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spans="1:26" ht="15.75">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spans="1:26" ht="15.75">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spans="1:26" ht="15.7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spans="1:26" ht="15.75">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spans="1:26" ht="15.75">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spans="1:26" ht="15.75">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spans="1:26" ht="15.75">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spans="1:26" ht="15.75">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spans="1:26" ht="15.75">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spans="1:26" ht="15.75">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spans="1:26" ht="15.75">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spans="1:26" ht="15.75">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spans="1:26" ht="15.7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spans="1:26" ht="15.75">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spans="1:26" ht="15.75">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spans="1:26" ht="15.75">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spans="1:26" ht="15.75">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spans="1:26" ht="15.75">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spans="1:26" ht="15.75">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spans="1:26" ht="15.75">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spans="1:26" ht="15.75">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spans="1:26" ht="15.75">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spans="1:26" ht="15.7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spans="1:26" ht="15.75">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spans="1:26" ht="15.75">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spans="1:26" ht="15.75">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spans="1:26" ht="15.75">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spans="1:26" ht="15.75">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spans="1:26" ht="15.75">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spans="1:26" ht="15.75">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spans="1:26" ht="15.75">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spans="1:26" ht="15.75">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spans="1:26" ht="15.7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spans="1:26" ht="15.75">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spans="1:26" ht="15.75">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spans="1:26" ht="15.75">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spans="1:26" ht="15.75">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spans="1:26" ht="15.75">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spans="1:26" ht="15.75">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spans="1:26" ht="15.75">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spans="1:26" ht="15.75">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spans="1:26" ht="15.75">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spans="1:26" ht="15.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spans="1:26" ht="15.75">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spans="1:26" ht="15.75">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spans="1:26" ht="15.75">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spans="1:26" ht="15.75">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spans="1:26" ht="15.75">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spans="1:26" ht="15.75">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spans="1:26" ht="15.75">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spans="1:26" ht="15.75">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spans="1:26" ht="15.75">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spans="1:26" ht="15.7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spans="1:26" ht="15.75">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spans="1:26" ht="15.75">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spans="1:26" ht="15.75">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spans="1:26" ht="15.75">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spans="1:26" ht="15.75">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spans="1:26" ht="15.75">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spans="1:26" ht="15.75">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spans="1:26" ht="15.75">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spans="1:26" ht="15.75">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spans="1:26" ht="15.7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spans="1:26" ht="15.75">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spans="1:26" ht="15.75">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spans="1:26" ht="15.75">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spans="1:26" ht="15.75">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spans="1:26" ht="15.75">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spans="1:26" ht="15.75">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spans="1:26" ht="15.75">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spans="1:26" ht="15.75">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spans="1:26" ht="15.75">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spans="1:26" ht="15.7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spans="1:26" ht="15.75">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spans="1:26" ht="15.75">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spans="1:26" ht="15.75">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spans="1:26" ht="15.75">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spans="1:26" ht="15.75">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spans="1:26" ht="15.75">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spans="1:26" ht="15.75">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spans="1:26" ht="15.75">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spans="1:26" ht="15.75">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spans="1:26" ht="15.7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spans="1:26" ht="15.75">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spans="1:26" ht="15.75">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spans="1:26" ht="15.75">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spans="1:26" ht="15.75">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spans="1:26" ht="15.75">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spans="1:26" ht="15.75">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spans="1:26" ht="15.75">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spans="1:26" ht="15.75">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spans="1:26" ht="15.75">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spans="1:26" ht="15.7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spans="1:26" ht="15.75">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spans="1:26" ht="15.75">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spans="1:26" ht="15.75">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spans="1:26" ht="15.75">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spans="1:26" ht="15.75">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spans="1:26" ht="15.75">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spans="1:26" ht="15.75">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spans="1:26" ht="15.75">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spans="1:26" ht="15.75">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spans="1:26" ht="15.7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spans="1:26" ht="15.75">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spans="1:26" ht="15.75">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spans="1:26" ht="15.75">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spans="1:26" ht="15.75">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spans="1:26" ht="15.75">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spans="1:26" ht="15.75">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spans="1:26" ht="15.75">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spans="1:26" ht="15.75">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spans="1:26" ht="15.75">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spans="1:26" ht="15.7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spans="1:26" ht="15.75">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spans="1:26" ht="15.75">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spans="1:26" ht="15.75">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spans="1:26" ht="15.75">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spans="1:26" ht="15.75">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spans="1:26" ht="15.75">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spans="1:26" ht="15.75">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spans="1:26" ht="15.75">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spans="1:26" ht="15.75">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spans="1:26" ht="15.7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spans="1:26" ht="15.75">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spans="1:26" ht="15.75">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spans="1:26" ht="15.75">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spans="1:26" ht="15.75">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spans="1:26" ht="15.75">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spans="1:26" ht="15.75">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spans="1:26" ht="15.75">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spans="1:26" ht="15.75">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spans="1:26" ht="15.75">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spans="1:26" ht="15.7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spans="1:26" ht="15.75">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spans="1:26" ht="15.75">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spans="1:26" ht="15.75">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spans="1:26" ht="15.75">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spans="1:26" ht="15.75">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spans="1:26" ht="15.75">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spans="1:26" ht="15.75">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spans="1:26" ht="15.75">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spans="1:26" ht="15.75">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spans="1:26" ht="15.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spans="1:26" ht="15.75">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spans="1:26" ht="15.75">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spans="1:26" ht="15.75">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spans="1:26" ht="15.75">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spans="1:26" ht="15.75">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spans="1:26" ht="15.75">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spans="1:26" ht="15.75">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spans="1:26" ht="15.75">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spans="1:26" ht="15.75">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spans="1:26" ht="15.7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spans="1:26" ht="15.75">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spans="1:26" ht="15.75">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spans="1:26" ht="15.75">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spans="1:26" ht="15.75">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spans="1:26" ht="15.75">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spans="1:26" ht="15.75">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spans="1:26" ht="15.75">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spans="1:26" ht="15.75">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spans="1:26" ht="15.75">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spans="1:26" ht="15.7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spans="1:26" ht="15.75">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spans="1:26" ht="15.75">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spans="1:26" ht="15.75">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spans="1:26" ht="15.75">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spans="1:26" ht="15.75">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spans="1:26" ht="15.75">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spans="1:26" ht="15.75">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spans="1:26" ht="15.75">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spans="1:26" ht="15.75">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spans="1:26" ht="15.7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spans="1:26" ht="15.75">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spans="1:26" ht="15.75">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spans="1:26" ht="15.75">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spans="1:26" ht="15.75">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spans="1:26" ht="15.75">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spans="1:26" ht="15.75">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spans="1:26" ht="15.75">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spans="1:26" ht="15.75">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spans="1:26" ht="15.75">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spans="1:26" ht="15.7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spans="1:26" ht="15.75">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spans="1:26" ht="15.75">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spans="1:26" ht="15.75">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spans="1:26" ht="15.75">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spans="1:26" ht="15.75">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spans="1:26" ht="15.75">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spans="1:26" ht="15.75">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spans="1:26" ht="15.75">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spans="1:26" ht="15.75">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spans="1:26" ht="15.7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spans="1:26" ht="15.75">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spans="1:26" ht="15.75">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spans="1:26" ht="15.75">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spans="1:26" ht="15.75">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spans="1:26" ht="15.75">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spans="1:26" ht="15.75">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spans="1:26" ht="15.75">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spans="1:26" ht="15.75">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spans="1:26" ht="15.75">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spans="1:26" ht="15.7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spans="1:26" ht="15.75">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spans="1:26" ht="15.75">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spans="1:26" ht="15.75">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spans="1:26" ht="15.75">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spans="1:26" ht="15.75">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spans="1:26" ht="15.75">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spans="1:26" ht="15.75">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spans="1:26" ht="15.75">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spans="1:26" ht="15.75">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spans="1:26" ht="15.7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spans="1:26" ht="15.75">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spans="1:26" ht="15.75">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spans="1:26" ht="15.75">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spans="1:26" ht="15.75">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spans="1:26" ht="15.75">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spans="1:26" ht="15.75">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spans="1:26" ht="15.75">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spans="1:26" ht="15.75">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spans="1:26" ht="15.75">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spans="1:26" ht="15.7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spans="1:26" ht="15.75">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spans="1:26" ht="15.75">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spans="1:26" ht="15.75">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spans="1:26" ht="15.75">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spans="1:26" ht="15.75">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spans="1:26" ht="15.75">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spans="1:26" ht="15.75">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spans="1:26" ht="15.75">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spans="1:26" ht="15.75">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spans="1:26" ht="15.7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spans="1:26" ht="15.75">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spans="1:26" ht="15.75">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spans="1:26" ht="15.75">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spans="1:26" ht="15.75">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spans="1:26" ht="15.75">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spans="1:26" ht="15.75">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spans="1:26" ht="15.75">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spans="1:26" ht="15.75">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spans="1:26" ht="15.75">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spans="1:26" ht="15.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spans="1:26" ht="15.75">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spans="1:26" ht="15.75">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spans="1:26" ht="15.75">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spans="1:26" ht="15.75">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spans="1:26" ht="15.75">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spans="1:26" ht="15.75">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spans="1:26" ht="15.75">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spans="1:26" ht="15.75">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spans="1:26" ht="15.75">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spans="1:26" ht="15.7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spans="1:26" ht="15.75">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spans="1:26" ht="15.75">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spans="1:26" ht="15.75">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spans="1:26" ht="15.75">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spans="1:26" ht="15.75">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spans="1:26" ht="15.75">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spans="1:26" ht="15.75">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spans="1:26" ht="15.75">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spans="1:26" ht="15.75">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spans="1:26" ht="15.7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spans="1:26" ht="15.75">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spans="1:26" ht="15.75">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spans="1:26" ht="15.75">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spans="1:26" ht="15.75">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spans="1:26" ht="15.75">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spans="1:26" ht="15.75">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spans="1:26" ht="15.75">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spans="1:26" ht="15.75">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spans="1:26" ht="15.75">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spans="1:26" ht="15.7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spans="1:26" ht="15.75">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spans="1:26" ht="15.75">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spans="1:26" ht="15.75">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spans="1:26" ht="15.75">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spans="1:26" ht="15.75">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spans="1:26" ht="15.75">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spans="1:26" ht="15.75">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spans="1:26" ht="15.75">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spans="1:26" ht="15.75">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spans="1:26" ht="15.7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spans="1:26" ht="15.75">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spans="1:26" ht="15.75">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spans="1:26" ht="15.75">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spans="1:26" ht="15.75">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spans="1:26" ht="15.75">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spans="1:26" ht="15.75">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spans="1:26" ht="15.75">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spans="1:26" ht="15.75">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spans="1:26" ht="15.75">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spans="1:26" ht="15.7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spans="1:26" ht="15.75">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spans="1:26" ht="15.75">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spans="1:26" ht="15.75">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spans="1:26" ht="15.75">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spans="1:26" ht="15.75">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spans="1:26" ht="15.75">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spans="1:26" ht="15.75">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spans="1:26" ht="15.75">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spans="1:26" ht="15.75">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spans="1:26" ht="15.7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spans="1:26" ht="15.75">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spans="1:26" ht="15.75">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spans="1:26" ht="15.75">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spans="1:26" ht="15.75">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spans="1:26" ht="15.75">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spans="1:26" ht="15.75">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spans="1:26" ht="15.75">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spans="1:26" ht="15.75">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spans="1:26" ht="15.75">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spans="1:26" ht="15.7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spans="1:26" ht="15.75">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spans="1:26" ht="15.75">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spans="1:26" ht="15.75">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spans="1:26" ht="15.75">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spans="1:26" ht="15.75">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spans="1:26" ht="15.75">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spans="1:26" ht="15.75">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spans="1:26" ht="15.75">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spans="1:26" ht="15.75">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spans="1:26" ht="15.7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spans="1:26" ht="15.75">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spans="1:26" ht="15.75">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spans="1:26" ht="15.75">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spans="1:26" ht="15.75">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spans="1:26" ht="15.75">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spans="1:26" ht="15.75">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spans="1:26" ht="15.75">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spans="1:26" ht="15.75">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spans="1:26" ht="15.75">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spans="1:26" ht="15.7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spans="1:26" ht="15.75">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spans="1:26" ht="15.75">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spans="1:26" ht="15.75">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spans="1:26" ht="15.75">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spans="1:26" ht="15.75">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spans="1:26" ht="15.75">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spans="1:26" ht="15.75">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spans="1:26" ht="15.75">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spans="1:26" ht="15.75">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spans="1:26" ht="1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spans="1:26" ht="15.75">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spans="1:26" ht="15.75">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spans="1:26" ht="15.75">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spans="1:26" ht="15.75">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spans="1:26" ht="15.75">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spans="1:26" ht="15.75">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spans="1:26" ht="15.75">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spans="1:26" ht="15.75">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spans="1:26" ht="15.75">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spans="1:26" ht="15.7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spans="1:26" ht="15.75">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spans="1:26" ht="15.75">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spans="1:26" ht="15.75">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spans="1:26" ht="15.75">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spans="1:26" ht="15.75">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spans="1:26" ht="15.75">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spans="1:26" ht="15.75">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spans="1:26" ht="15.75">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spans="1:26" ht="15.75">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spans="1:26" ht="15.7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spans="1:26" ht="15.75">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spans="1:26" ht="15.75">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spans="1:26" ht="15.75">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spans="1:26" ht="15.75">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spans="1:26" ht="15.75">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spans="1:26" ht="15.75">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spans="1:26" ht="15.75">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spans="1:26" ht="15.75">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spans="1:26" ht="15.75">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spans="1:26" ht="15.7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spans="1:26" ht="15.75">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spans="1:26" ht="15.75">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spans="1:26" ht="15.75">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spans="1:26" ht="15.75">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spans="1:26" ht="15.75">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spans="1:26" ht="15.75">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spans="1:26" ht="15.75">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spans="1:26" ht="15.75">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spans="1:26" ht="15.75">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spans="1:26" ht="15.7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spans="1:26" ht="15.75">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spans="1:26" ht="15.75">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spans="1:26" ht="15.75">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spans="1:26" ht="15.75">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spans="1:26" ht="15.75">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spans="1:26" ht="15.75">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spans="1:26" ht="15.75">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spans="1:26" ht="15.75">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spans="1:26" ht="15.75">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spans="1:26" ht="15.7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spans="1:26" ht="15.75">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spans="1:26" ht="15.75">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spans="1:26" ht="15.75">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spans="1:26" ht="15.75">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spans="1:26" ht="15.75">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spans="1:26" ht="15.75">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spans="1:26" ht="15.75">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spans="1:26" ht="15.75">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spans="1:26" ht="15.75">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spans="1:26" ht="15.7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spans="1:26" ht="15.75">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spans="1:26" ht="15.75">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spans="1:26" ht="15.75">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spans="1:26" ht="15.75">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spans="1:26" ht="15.75">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spans="1:26" ht="15.75">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spans="1:26" ht="15.75">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spans="1:26" ht="15.75">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spans="1:26" ht="15.75">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spans="1:26" ht="15.7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spans="1:26" ht="15.75">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spans="1:26" ht="15.75">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spans="1:26" ht="15.75">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spans="1:26" ht="15.75">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spans="1:26" ht="15.75">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spans="1:26" ht="15.75">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spans="1:26" ht="15.75">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spans="1:26" ht="15.75">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spans="1:26" ht="15.75">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spans="1:26" ht="15.7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spans="1:26" ht="15.75">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spans="1:26" ht="15.75">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spans="1:26" ht="15.75">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spans="1:26" ht="15.75">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spans="1:26" ht="15.75">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spans="1:26" ht="15.75">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spans="1:26" ht="15.75">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spans="1:26" ht="15.75">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spans="1:26" ht="15.75">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spans="1:26" ht="15.7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spans="1:26" ht="15.75">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spans="1:26" ht="15.75">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spans="1:26" ht="15.75">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spans="1:26" ht="15.75">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spans="1:26" ht="15.75">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spans="1:26" ht="15.75">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spans="1:26" ht="15.75">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spans="1:26" ht="15.75">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spans="1:26" ht="15.75">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spans="1:26" ht="15.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spans="1:26" ht="15.75">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spans="1:26" ht="15.75">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spans="1:26" ht="15.75">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spans="1:26" ht="15.75">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spans="1:26" ht="15.75">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spans="1:26" ht="15.75">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spans="1:26" ht="15.75">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spans="1:26" ht="15.75">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spans="1:26" ht="15.75">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spans="1:26" ht="15.7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spans="1:26" ht="15.75">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spans="1:26" ht="15.75">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spans="1:26" ht="15.75">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spans="1:26" ht="15.75">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spans="1:26" ht="15.75">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spans="1:26" ht="15.75">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spans="1:26" ht="15.75">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spans="1:26" ht="15.75">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spans="1:26" ht="15.75">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spans="1:26" ht="15.7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spans="1:26" ht="15.75">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spans="1:26" ht="15.75">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spans="1:26" ht="15.75">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spans="1:26" ht="15.75">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spans="1:26" ht="15.75">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spans="1:26" ht="15.75">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spans="1:26" ht="15.75">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spans="1:26" ht="15.75">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spans="1:26" ht="15.75">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spans="1:26" ht="15.7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spans="1:26" ht="15.75">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spans="1:26" ht="15.75">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spans="1:26" ht="15.75">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spans="1:26" ht="15.75">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spans="1:26" ht="15.75">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spans="1:26" ht="15.75">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spans="1:26" ht="15.75">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spans="1:26" ht="15.75">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spans="1:26" ht="15.75">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spans="1:26" ht="15.7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spans="1:26" ht="15.75">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spans="1:26" ht="15.75">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spans="1:26" ht="15.75">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spans="1:26" ht="15.75">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spans="1:26" ht="15.75">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spans="1:26" ht="15.75">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spans="1:26" ht="15.75">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spans="1:26" ht="15.75">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spans="1:26" ht="15.75">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spans="1:26" ht="15.7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spans="1:26" ht="15.75">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spans="1:26" ht="15.75">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spans="1:26" ht="15.75">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spans="1:26" ht="15.75">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spans="1:26" ht="15.75">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spans="1:26" ht="15.75">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spans="1:26" ht="15.75">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spans="1:26" ht="15.75">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spans="1:26" ht="15.75">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spans="1:26" ht="15.7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spans="1:26" ht="15.75">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spans="1:26" ht="15.75">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spans="1:26" ht="15.75">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spans="1:26" ht="15.75">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spans="1:26" ht="15.75">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spans="1:26" ht="15.75">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spans="1:26" ht="15.75">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spans="1:26" ht="15.75">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spans="1:26" ht="15.75">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spans="1:26" ht="15.7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spans="1:26" ht="15.75">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spans="1:26" ht="15.75">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spans="1:26" ht="15.75">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spans="1:26" ht="15.75">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spans="1:26" ht="15.75">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spans="1:26" ht="15.75">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spans="1:26" ht="15.75">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spans="1:26" ht="15.75">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spans="1:26" ht="15.75">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spans="1:26" ht="15.7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spans="1:26" ht="15.75">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spans="1:26" ht="15.75">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spans="1:26" ht="15.75">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spans="1:26" ht="15.75">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spans="1:26" ht="15.75">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spans="1:26" ht="15.75">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spans="1:26" ht="15.75">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spans="1:26" ht="15.75">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spans="1:26" ht="15.75">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spans="1:26" ht="15.7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spans="1:26" ht="15.75">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spans="1:26" ht="15.75">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spans="1:26" ht="15.75">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spans="1:26" ht="15.75">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spans="1:26" ht="15.75">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spans="1:26" ht="15.75">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spans="1:26" ht="15.75">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spans="1:26" ht="15.75">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spans="1:26" ht="15.75">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spans="1:26" ht="15.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spans="1:26" ht="15.75">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spans="1:26" ht="15.75">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spans="1:26" ht="15.75">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spans="1:26" ht="15.75">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spans="1:26" ht="15.75">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spans="1:26" ht="15.75">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spans="1:26" ht="15.75">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spans="1:26" ht="15.75">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spans="1:26" ht="15.75">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spans="1:26" ht="15.7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spans="1:26" ht="15.75">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spans="1:26" ht="15.75">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spans="1:26" ht="15.75">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spans="1:26" ht="15.75">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spans="1:26" ht="15.75">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spans="1:26" ht="15.75">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spans="1:26" ht="15.75">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spans="1:26" ht="15.75">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spans="1:26" ht="15.75">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spans="1:26" ht="15.7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spans="1:26" ht="15.75">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spans="1:26" ht="15.75">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spans="1:26" ht="15.75">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spans="1:26" ht="15.75">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spans="1:26" ht="15.75">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spans="1:26" ht="15.75">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spans="1:26" ht="15.75">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spans="1:26" ht="15.75">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spans="1:26" ht="15.75">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spans="1:26" ht="15.7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spans="1:26" ht="15.75">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spans="1:26" ht="15.75">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spans="1:26" ht="15.75">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spans="1:26" ht="15.75">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spans="1:26" ht="15.75">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spans="1:26" ht="15.75">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spans="1:26" ht="15.75">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spans="1:26" ht="15.75">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spans="1:26" ht="15.75">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spans="1:26" ht="15.7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spans="1:26" ht="15.75">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spans="1:26" ht="15.75">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spans="1:26" ht="15.75">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spans="1:26" ht="15.75">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spans="1:26" ht="15.75">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spans="1:26" ht="15.75">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spans="1:26" ht="15.75">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spans="1:26" ht="15.75">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spans="1:26" ht="15.75">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spans="1:26" ht="15.7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spans="1:26" ht="15.75">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spans="1:26" ht="15.75">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spans="1:26" ht="15.75">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spans="1:26" ht="15.75">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spans="1:26" ht="15.75">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spans="1:26" ht="15.75">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spans="1:26" ht="15.75">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spans="1:26" ht="15.75">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spans="1:26" ht="15.75">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spans="1:26" ht="15.7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spans="1:26" ht="15.75">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spans="1:26" ht="15.75">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spans="1:26" ht="15.75">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spans="1:26" ht="15.75">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spans="1:26" ht="15.75">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spans="1:26" ht="15.75">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spans="1:26" ht="15.75">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spans="1:26" ht="15.75">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spans="1:26" ht="15.75">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spans="1:26" ht="15.7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spans="1:26" ht="15.75">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spans="1:26" ht="15.75">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spans="1:26" ht="15.75">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spans="1:26" ht="15.75">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spans="1:26" ht="15.75">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spans="1:26" ht="15.75">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spans="1:26" ht="15.75">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spans="1:26" ht="15.75">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spans="1:26" ht="15.75">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spans="1:26" ht="15.7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spans="1:26" ht="15.75">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spans="1:26" ht="15.75">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spans="1:26" ht="15.75">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spans="1:26" ht="15.75">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spans="1:26" ht="15.75">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spans="1:26" ht="15.75">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spans="1:26" ht="15.75">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spans="1:26" ht="15.75">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spans="1:26" ht="15.75">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spans="1:26" ht="15.7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spans="1:26" ht="15.75">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spans="1:26" ht="15.75">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spans="1:26" ht="15.75">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spans="1:26" ht="15.75">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spans="1:26" ht="15.75">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spans="1:26" ht="15.75">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spans="1:26" ht="15.75">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spans="1:26" ht="15.75">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spans="1:26" ht="15.75">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spans="1:26" ht="15.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spans="1:26" ht="15.75">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spans="1:26" ht="15.75">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spans="1:26" ht="15.75">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spans="1:26" ht="15.75">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spans="1:26" ht="15.75">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spans="1:26" ht="15.75">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spans="1:26" ht="15.75">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spans="1:26" ht="15.75">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spans="1:26" ht="15.75">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spans="1:26" ht="15.7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spans="1:26" ht="15.75">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spans="1:26" ht="15.75">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spans="1:26" ht="15.75">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spans="1:26" ht="15.75">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spans="1:26" ht="15.75">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spans="1:26" ht="15.75">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spans="1:26" ht="15.75">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spans="1:26" ht="15.75">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spans="1:26" ht="15.75">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spans="1:26" ht="15.7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spans="1:26" ht="15.75">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spans="1:26" ht="15.75">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spans="1:26" ht="15.75">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spans="1:26" ht="15.75">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spans="1:26" ht="15.75">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spans="1:26" ht="15.75">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spans="1:26" ht="15.75">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spans="1:26" ht="15.75">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spans="1:26" ht="15.75">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spans="1:26" ht="15.7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sheetData>
  <mergeCells count="16">
    <mergeCell ref="B2:C6"/>
    <mergeCell ref="D2:I6"/>
    <mergeCell ref="B7:C11"/>
    <mergeCell ref="D7:I11"/>
    <mergeCell ref="B12:C16"/>
    <mergeCell ref="D12:I16"/>
    <mergeCell ref="D42:I46"/>
    <mergeCell ref="D47:I51"/>
    <mergeCell ref="D37:I41"/>
    <mergeCell ref="D22:I36"/>
    <mergeCell ref="B17:C21"/>
    <mergeCell ref="D17:I21"/>
    <mergeCell ref="B37:C41"/>
    <mergeCell ref="B42:C46"/>
    <mergeCell ref="B47:C51"/>
    <mergeCell ref="B22:C3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72A9-8D0A-4835-81E5-1F7334CA386E}">
  <sheetPr codeName="Hoja12"/>
  <dimension ref="B2:M16"/>
  <sheetViews>
    <sheetView showGridLines="0" zoomScale="115" zoomScaleNormal="115" workbookViewId="0">
      <selection activeCell="P9" sqref="P9"/>
    </sheetView>
  </sheetViews>
  <sheetFormatPr baseColWidth="10" defaultColWidth="12.42578125" defaultRowHeight="27.75" customHeight="1"/>
  <cols>
    <col min="6" max="6" width="12.42578125" customWidth="1"/>
    <col min="7" max="8" width="13.85546875" customWidth="1"/>
    <col min="15" max="16" width="14.42578125" customWidth="1"/>
  </cols>
  <sheetData>
    <row r="2" spans="2:13" ht="27.75" customHeight="1">
      <c r="G2" s="78" t="s">
        <v>311</v>
      </c>
      <c r="H2" s="79" t="s">
        <v>312</v>
      </c>
    </row>
    <row r="3" spans="2:13" ht="27.75" customHeight="1">
      <c r="G3" s="80" t="s">
        <v>314</v>
      </c>
      <c r="H3" s="81" t="s">
        <v>313</v>
      </c>
    </row>
    <row r="5" spans="2:13" ht="27.75" customHeight="1">
      <c r="B5" s="167" t="s">
        <v>316</v>
      </c>
      <c r="C5" s="168"/>
      <c r="D5" s="168"/>
      <c r="E5" s="168"/>
      <c r="F5" s="168"/>
      <c r="G5" s="169"/>
      <c r="H5" s="176" t="s">
        <v>315</v>
      </c>
      <c r="I5" s="177"/>
      <c r="J5" s="177"/>
      <c r="K5" s="177"/>
      <c r="L5" s="177"/>
      <c r="M5" s="178"/>
    </row>
    <row r="6" spans="2:13" ht="27.75" customHeight="1">
      <c r="B6" s="170"/>
      <c r="C6" s="171"/>
      <c r="D6" s="171"/>
      <c r="E6" s="171"/>
      <c r="F6" s="171"/>
      <c r="G6" s="172"/>
      <c r="H6" s="179"/>
      <c r="I6" s="180"/>
      <c r="J6" s="180"/>
      <c r="K6" s="180"/>
      <c r="L6" s="180"/>
      <c r="M6" s="181"/>
    </row>
    <row r="7" spans="2:13" ht="27.75" customHeight="1">
      <c r="B7" s="170"/>
      <c r="C7" s="171"/>
      <c r="D7" s="171"/>
      <c r="E7" s="171"/>
      <c r="F7" s="171"/>
      <c r="G7" s="172"/>
      <c r="H7" s="179"/>
      <c r="I7" s="180"/>
      <c r="J7" s="180"/>
      <c r="K7" s="180"/>
      <c r="L7" s="180"/>
      <c r="M7" s="181"/>
    </row>
    <row r="8" spans="2:13" ht="27.75" customHeight="1">
      <c r="B8" s="170"/>
      <c r="C8" s="171"/>
      <c r="D8" s="171"/>
      <c r="E8" s="171"/>
      <c r="F8" s="171"/>
      <c r="G8" s="172"/>
      <c r="H8" s="179"/>
      <c r="I8" s="180"/>
      <c r="J8" s="180"/>
      <c r="K8" s="180"/>
      <c r="L8" s="180"/>
      <c r="M8" s="181"/>
    </row>
    <row r="9" spans="2:13" ht="27.75" customHeight="1">
      <c r="B9" s="170"/>
      <c r="C9" s="171"/>
      <c r="D9" s="171"/>
      <c r="E9" s="171"/>
      <c r="F9" s="171"/>
      <c r="G9" s="172"/>
      <c r="H9" s="179"/>
      <c r="I9" s="180"/>
      <c r="J9" s="180"/>
      <c r="K9" s="180"/>
      <c r="L9" s="180"/>
      <c r="M9" s="181"/>
    </row>
    <row r="10" spans="2:13" ht="27.75" customHeight="1">
      <c r="B10" s="173"/>
      <c r="C10" s="174"/>
      <c r="D10" s="174"/>
      <c r="E10" s="174"/>
      <c r="F10" s="174"/>
      <c r="G10" s="175"/>
      <c r="H10" s="182"/>
      <c r="I10" s="183"/>
      <c r="J10" s="183"/>
      <c r="K10" s="183"/>
      <c r="L10" s="183"/>
      <c r="M10" s="184"/>
    </row>
    <row r="11" spans="2:13" ht="27.75" customHeight="1">
      <c r="B11" s="185" t="s">
        <v>317</v>
      </c>
      <c r="C11" s="186"/>
      <c r="D11" s="186"/>
      <c r="E11" s="186"/>
      <c r="F11" s="186"/>
      <c r="G11" s="187"/>
      <c r="H11" s="194" t="s">
        <v>318</v>
      </c>
      <c r="I11" s="195"/>
      <c r="J11" s="195"/>
      <c r="K11" s="195"/>
      <c r="L11" s="195"/>
      <c r="M11" s="196"/>
    </row>
    <row r="12" spans="2:13" ht="27.75" customHeight="1">
      <c r="B12" s="188"/>
      <c r="C12" s="189"/>
      <c r="D12" s="189"/>
      <c r="E12" s="189"/>
      <c r="F12" s="189"/>
      <c r="G12" s="190"/>
      <c r="H12" s="197"/>
      <c r="I12" s="198"/>
      <c r="J12" s="198"/>
      <c r="K12" s="198"/>
      <c r="L12" s="198"/>
      <c r="M12" s="199"/>
    </row>
    <row r="13" spans="2:13" ht="27.75" customHeight="1">
      <c r="B13" s="188"/>
      <c r="C13" s="189"/>
      <c r="D13" s="189"/>
      <c r="E13" s="189"/>
      <c r="F13" s="189"/>
      <c r="G13" s="190"/>
      <c r="H13" s="197"/>
      <c r="I13" s="198"/>
      <c r="J13" s="198"/>
      <c r="K13" s="198"/>
      <c r="L13" s="198"/>
      <c r="M13" s="199"/>
    </row>
    <row r="14" spans="2:13" ht="27.75" customHeight="1">
      <c r="B14" s="188"/>
      <c r="C14" s="189"/>
      <c r="D14" s="189"/>
      <c r="E14" s="189"/>
      <c r="F14" s="189"/>
      <c r="G14" s="190"/>
      <c r="H14" s="197"/>
      <c r="I14" s="198"/>
      <c r="J14" s="198"/>
      <c r="K14" s="198"/>
      <c r="L14" s="198"/>
      <c r="M14" s="199"/>
    </row>
    <row r="15" spans="2:13" ht="27.75" customHeight="1">
      <c r="B15" s="188"/>
      <c r="C15" s="189"/>
      <c r="D15" s="189"/>
      <c r="E15" s="189"/>
      <c r="F15" s="189"/>
      <c r="G15" s="190"/>
      <c r="H15" s="197"/>
      <c r="I15" s="198"/>
      <c r="J15" s="198"/>
      <c r="K15" s="198"/>
      <c r="L15" s="198"/>
      <c r="M15" s="199"/>
    </row>
    <row r="16" spans="2:13" ht="27.75" customHeight="1">
      <c r="B16" s="191"/>
      <c r="C16" s="192"/>
      <c r="D16" s="192"/>
      <c r="E16" s="192"/>
      <c r="F16" s="192"/>
      <c r="G16" s="193"/>
      <c r="H16" s="200"/>
      <c r="I16" s="201"/>
      <c r="J16" s="201"/>
      <c r="K16" s="201"/>
      <c r="L16" s="201"/>
      <c r="M16" s="202"/>
    </row>
  </sheetData>
  <mergeCells count="4">
    <mergeCell ref="B5:G10"/>
    <mergeCell ref="H5:M10"/>
    <mergeCell ref="B11:G16"/>
    <mergeCell ref="H11:M1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0044F-CB72-4CE0-B361-C9F56D3AD0F2}">
  <sheetPr codeName="Hoja13"/>
  <dimension ref="B2:H26"/>
  <sheetViews>
    <sheetView showGridLines="0" zoomScale="130" zoomScaleNormal="130" workbookViewId="0">
      <selection activeCell="M13" sqref="M13"/>
    </sheetView>
  </sheetViews>
  <sheetFormatPr baseColWidth="10" defaultRowHeight="15"/>
  <cols>
    <col min="2" max="2" width="36.42578125" customWidth="1"/>
    <col min="3" max="3" width="24.7109375" bestFit="1" customWidth="1"/>
    <col min="4" max="4" width="9" customWidth="1"/>
    <col min="5" max="5" width="9.140625" customWidth="1"/>
    <col min="6" max="6" width="9" customWidth="1"/>
    <col min="7" max="7" width="9.5703125" customWidth="1"/>
    <col min="8" max="8" width="8.5703125" customWidth="1"/>
  </cols>
  <sheetData>
    <row r="2" spans="2:8" ht="15" customHeight="1">
      <c r="B2" s="226" t="s">
        <v>361</v>
      </c>
      <c r="C2" s="224" t="s">
        <v>319</v>
      </c>
      <c r="D2" s="227" t="s">
        <v>362</v>
      </c>
      <c r="E2" s="227" t="s">
        <v>363</v>
      </c>
      <c r="F2" s="227" t="s">
        <v>364</v>
      </c>
      <c r="G2" s="227" t="s">
        <v>365</v>
      </c>
      <c r="H2" s="227" t="s">
        <v>366</v>
      </c>
    </row>
    <row r="3" spans="2:8" ht="15" customHeight="1">
      <c r="B3" s="226"/>
      <c r="C3" s="225"/>
      <c r="D3" s="228"/>
      <c r="E3" s="228"/>
      <c r="F3" s="228"/>
      <c r="G3" s="228"/>
      <c r="H3" s="228"/>
    </row>
    <row r="4" spans="2:8" s="100" customFormat="1" ht="30" customHeight="1">
      <c r="B4" s="96" t="s">
        <v>413</v>
      </c>
      <c r="C4" s="97" t="s">
        <v>339</v>
      </c>
      <c r="D4" s="98" t="s">
        <v>326</v>
      </c>
      <c r="E4" s="99"/>
      <c r="F4" s="99"/>
      <c r="G4" s="99"/>
      <c r="H4" s="99"/>
    </row>
    <row r="5" spans="2:8" s="100" customFormat="1" ht="30" customHeight="1">
      <c r="B5" s="96" t="s">
        <v>375</v>
      </c>
      <c r="C5" s="97" t="s">
        <v>414</v>
      </c>
      <c r="D5" s="101" t="s">
        <v>326</v>
      </c>
      <c r="E5" s="99"/>
      <c r="F5" s="99"/>
      <c r="G5" s="99"/>
      <c r="H5" s="99"/>
    </row>
    <row r="6" spans="2:8" s="100" customFormat="1" ht="30" customHeight="1">
      <c r="B6" s="96" t="s">
        <v>367</v>
      </c>
      <c r="C6" s="97" t="s">
        <v>415</v>
      </c>
      <c r="D6" s="229" t="s">
        <v>326</v>
      </c>
      <c r="E6" s="230"/>
      <c r="F6" s="99"/>
      <c r="G6" s="99"/>
      <c r="H6" s="99"/>
    </row>
    <row r="7" spans="2:8" s="100" customFormat="1" ht="30" customHeight="1">
      <c r="B7" s="96" t="s">
        <v>368</v>
      </c>
      <c r="C7" s="97" t="s">
        <v>104</v>
      </c>
      <c r="D7" s="99"/>
      <c r="E7" s="102" t="s">
        <v>326</v>
      </c>
      <c r="F7" s="99"/>
      <c r="G7" s="99"/>
      <c r="H7" s="99"/>
    </row>
    <row r="8" spans="2:8" s="100" customFormat="1" ht="30" customHeight="1">
      <c r="B8" s="96" t="s">
        <v>369</v>
      </c>
      <c r="C8" s="97" t="s">
        <v>104</v>
      </c>
      <c r="D8" s="99"/>
      <c r="E8" s="103" t="s">
        <v>326</v>
      </c>
      <c r="F8" s="99"/>
      <c r="G8" s="99"/>
      <c r="H8" s="99"/>
    </row>
    <row r="9" spans="2:8" s="100" customFormat="1" ht="30" customHeight="1">
      <c r="B9" s="96" t="s">
        <v>370</v>
      </c>
      <c r="C9" s="97" t="s">
        <v>416</v>
      </c>
      <c r="D9" s="99"/>
      <c r="E9" s="231" t="s">
        <v>326</v>
      </c>
      <c r="F9" s="232"/>
      <c r="G9" s="99"/>
      <c r="H9" s="99"/>
    </row>
    <row r="10" spans="2:8" s="100" customFormat="1" ht="30" customHeight="1">
      <c r="B10" s="96" t="s">
        <v>371</v>
      </c>
      <c r="C10" s="97" t="s">
        <v>416</v>
      </c>
      <c r="D10" s="99"/>
      <c r="E10" s="99"/>
      <c r="F10" s="236" t="s">
        <v>326</v>
      </c>
      <c r="G10" s="237"/>
      <c r="H10" s="99"/>
    </row>
    <row r="11" spans="2:8" s="100" customFormat="1" ht="30" customHeight="1">
      <c r="B11" s="96" t="s">
        <v>372</v>
      </c>
      <c r="C11" s="97" t="s">
        <v>417</v>
      </c>
      <c r="D11" s="99"/>
      <c r="E11" s="99"/>
      <c r="F11" s="233" t="s">
        <v>326</v>
      </c>
      <c r="G11" s="234"/>
      <c r="H11" s="235"/>
    </row>
    <row r="12" spans="2:8" s="100" customFormat="1" ht="30" customHeight="1">
      <c r="B12" s="96" t="s">
        <v>373</v>
      </c>
      <c r="C12" s="97" t="s">
        <v>104</v>
      </c>
      <c r="D12" s="99"/>
      <c r="E12" s="99"/>
      <c r="F12" s="99"/>
      <c r="G12" s="238" t="s">
        <v>326</v>
      </c>
      <c r="H12" s="239"/>
    </row>
    <row r="13" spans="2:8" s="100" customFormat="1" ht="30" customHeight="1">
      <c r="B13" s="96" t="s">
        <v>374</v>
      </c>
      <c r="C13" s="97" t="s">
        <v>415</v>
      </c>
      <c r="D13" s="99"/>
      <c r="E13" s="99"/>
      <c r="F13" s="99"/>
      <c r="G13" s="214" t="s">
        <v>326</v>
      </c>
      <c r="H13" s="215"/>
    </row>
    <row r="14" spans="2:8">
      <c r="B14" s="83"/>
      <c r="C14" s="83"/>
      <c r="D14" s="83"/>
      <c r="E14" s="83"/>
      <c r="F14" s="83"/>
      <c r="G14" s="83"/>
      <c r="H14" s="83"/>
    </row>
    <row r="15" spans="2:8">
      <c r="B15" s="226" t="s">
        <v>360</v>
      </c>
      <c r="C15" s="224" t="s">
        <v>319</v>
      </c>
      <c r="D15" s="224" t="s">
        <v>320</v>
      </c>
      <c r="E15" s="224" t="s">
        <v>321</v>
      </c>
      <c r="F15" s="224" t="s">
        <v>322</v>
      </c>
      <c r="G15" s="224" t="s">
        <v>323</v>
      </c>
      <c r="H15" s="224" t="s">
        <v>324</v>
      </c>
    </row>
    <row r="16" spans="2:8">
      <c r="B16" s="226"/>
      <c r="C16" s="225"/>
      <c r="D16" s="225"/>
      <c r="E16" s="225"/>
      <c r="F16" s="225"/>
      <c r="G16" s="225"/>
      <c r="H16" s="225"/>
    </row>
    <row r="17" spans="2:8" ht="15.75">
      <c r="B17" s="93" t="s">
        <v>325</v>
      </c>
      <c r="C17" s="94" t="s">
        <v>104</v>
      </c>
      <c r="D17" s="216" t="s">
        <v>326</v>
      </c>
      <c r="E17" s="217"/>
      <c r="F17" s="92"/>
      <c r="G17" s="92"/>
      <c r="H17" s="92"/>
    </row>
    <row r="18" spans="2:8" ht="15.75">
      <c r="B18" s="93" t="s">
        <v>327</v>
      </c>
      <c r="C18" s="94" t="s">
        <v>328</v>
      </c>
      <c r="D18" s="218" t="s">
        <v>326</v>
      </c>
      <c r="E18" s="219"/>
      <c r="F18" s="92"/>
      <c r="G18" s="92"/>
      <c r="H18" s="92"/>
    </row>
    <row r="19" spans="2:8" ht="15.75">
      <c r="B19" s="93" t="s">
        <v>329</v>
      </c>
      <c r="C19" s="94" t="s">
        <v>104</v>
      </c>
      <c r="D19" s="92"/>
      <c r="E19" s="220" t="s">
        <v>326</v>
      </c>
      <c r="F19" s="221"/>
      <c r="G19" s="92"/>
      <c r="H19" s="92"/>
    </row>
    <row r="20" spans="2:8" ht="15.75">
      <c r="B20" s="93" t="s">
        <v>330</v>
      </c>
      <c r="C20" s="94" t="s">
        <v>331</v>
      </c>
      <c r="D20" s="92"/>
      <c r="E20" s="92"/>
      <c r="F20" s="222" t="s">
        <v>326</v>
      </c>
      <c r="G20" s="223"/>
      <c r="H20" s="92"/>
    </row>
    <row r="21" spans="2:8" ht="15.75">
      <c r="B21" s="93" t="s">
        <v>332</v>
      </c>
      <c r="C21" s="94" t="s">
        <v>331</v>
      </c>
      <c r="D21" s="92"/>
      <c r="E21" s="92"/>
      <c r="F21" s="203" t="s">
        <v>326</v>
      </c>
      <c r="G21" s="204"/>
      <c r="H21" s="205"/>
    </row>
    <row r="22" spans="2:8" ht="15.75">
      <c r="B22" s="93" t="s">
        <v>333</v>
      </c>
      <c r="C22" s="94" t="s">
        <v>334</v>
      </c>
      <c r="D22" s="92"/>
      <c r="E22" s="92"/>
      <c r="F22" s="92"/>
      <c r="G22" s="206" t="s">
        <v>326</v>
      </c>
      <c r="H22" s="207"/>
    </row>
    <row r="23" spans="2:8" ht="15.75">
      <c r="B23" s="93" t="s">
        <v>335</v>
      </c>
      <c r="C23" s="94" t="s">
        <v>104</v>
      </c>
      <c r="D23" s="92"/>
      <c r="E23" s="92"/>
      <c r="F23" s="92"/>
      <c r="G23" s="92"/>
      <c r="H23" s="95" t="s">
        <v>326</v>
      </c>
    </row>
    <row r="24" spans="2:8" ht="15.75">
      <c r="B24" s="93" t="s">
        <v>336</v>
      </c>
      <c r="C24" s="94" t="s">
        <v>331</v>
      </c>
      <c r="D24" s="92"/>
      <c r="E24" s="92"/>
      <c r="F24" s="92"/>
      <c r="G24" s="92"/>
      <c r="H24" s="91" t="s">
        <v>326</v>
      </c>
    </row>
    <row r="25" spans="2:8" ht="15.75">
      <c r="B25" s="93" t="s">
        <v>337</v>
      </c>
      <c r="C25" s="94" t="s">
        <v>95</v>
      </c>
      <c r="D25" s="208" t="s">
        <v>326</v>
      </c>
      <c r="E25" s="209"/>
      <c r="F25" s="209"/>
      <c r="G25" s="209"/>
      <c r="H25" s="210"/>
    </row>
    <row r="26" spans="2:8" ht="15.75">
      <c r="B26" s="93" t="s">
        <v>338</v>
      </c>
      <c r="C26" s="94" t="s">
        <v>339</v>
      </c>
      <c r="D26" s="211" t="s">
        <v>326</v>
      </c>
      <c r="E26" s="212"/>
      <c r="F26" s="212"/>
      <c r="G26" s="212"/>
      <c r="H26" s="213"/>
    </row>
  </sheetData>
  <mergeCells count="28">
    <mergeCell ref="C2:C3"/>
    <mergeCell ref="B2:B3"/>
    <mergeCell ref="B15:B16"/>
    <mergeCell ref="C15:C16"/>
    <mergeCell ref="H2:H3"/>
    <mergeCell ref="G2:G3"/>
    <mergeCell ref="F2:F3"/>
    <mergeCell ref="E2:E3"/>
    <mergeCell ref="D2:D3"/>
    <mergeCell ref="D6:E6"/>
    <mergeCell ref="E9:F9"/>
    <mergeCell ref="F11:H11"/>
    <mergeCell ref="F10:G10"/>
    <mergeCell ref="G12:H12"/>
    <mergeCell ref="F21:H21"/>
    <mergeCell ref="G22:H22"/>
    <mergeCell ref="D25:H25"/>
    <mergeCell ref="D26:H26"/>
    <mergeCell ref="G13:H13"/>
    <mergeCell ref="D17:E17"/>
    <mergeCell ref="D18:E18"/>
    <mergeCell ref="E19:F19"/>
    <mergeCell ref="F20:G20"/>
    <mergeCell ref="D15:D16"/>
    <mergeCell ref="E15:E16"/>
    <mergeCell ref="F15:F16"/>
    <mergeCell ref="G15:G16"/>
    <mergeCell ref="H15:H16"/>
  </mergeCells>
  <phoneticPr fontId="2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F1E6C-7F03-47DC-B94D-989AE6DDEFDF}">
  <dimension ref="A1"/>
  <sheetViews>
    <sheetView workbookViewId="0"/>
  </sheetViews>
  <sheetFormatPr baseColWidth="10" defaultRowHeight="1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9A2DC-EC83-4A82-8497-BFB9E1E1655A}">
  <dimension ref="B1:K147"/>
  <sheetViews>
    <sheetView zoomScale="70" zoomScaleNormal="70" workbookViewId="0">
      <selection activeCell="N24" sqref="N24"/>
    </sheetView>
  </sheetViews>
  <sheetFormatPr baseColWidth="10" defaultRowHeight="15"/>
  <cols>
    <col min="1" max="1" width="4.140625" customWidth="1"/>
    <col min="2" max="4" width="11.42578125" style="104"/>
    <col min="5" max="5" width="45.85546875" style="104" customWidth="1"/>
    <col min="6" max="6" width="26" style="104" customWidth="1"/>
    <col min="7" max="9" width="11.42578125" style="104"/>
    <col min="10" max="10" width="45.85546875" style="104" customWidth="1"/>
    <col min="11" max="11" width="25.42578125" style="104" customWidth="1"/>
  </cols>
  <sheetData>
    <row r="1" spans="2:11">
      <c r="B1"/>
      <c r="C1"/>
      <c r="D1"/>
      <c r="E1"/>
      <c r="F1"/>
      <c r="G1"/>
      <c r="H1"/>
      <c r="I1"/>
      <c r="J1"/>
      <c r="K1"/>
    </row>
    <row r="2" spans="2:11" ht="15" customHeight="1">
      <c r="B2" s="246" t="s">
        <v>21</v>
      </c>
      <c r="C2" s="247"/>
      <c r="D2" s="247"/>
      <c r="E2" s="247"/>
      <c r="F2" s="247"/>
      <c r="G2" s="246" t="s">
        <v>20</v>
      </c>
      <c r="H2" s="247"/>
      <c r="I2" s="247"/>
      <c r="J2" s="247"/>
      <c r="K2" s="247"/>
    </row>
    <row r="3" spans="2:11" ht="15" customHeight="1">
      <c r="B3" s="245" t="s">
        <v>384</v>
      </c>
      <c r="C3" s="245"/>
      <c r="D3" s="245"/>
      <c r="E3" s="245"/>
      <c r="F3" s="245"/>
      <c r="G3" s="244" t="s">
        <v>397</v>
      </c>
      <c r="H3" s="245"/>
      <c r="I3" s="245"/>
      <c r="J3" s="245"/>
      <c r="K3" s="245"/>
    </row>
    <row r="4" spans="2:11">
      <c r="B4" s="105" t="s">
        <v>376</v>
      </c>
      <c r="C4" s="105" t="s">
        <v>377</v>
      </c>
      <c r="D4" s="105" t="s">
        <v>378</v>
      </c>
      <c r="E4" s="105" t="s">
        <v>379</v>
      </c>
      <c r="F4" s="105" t="s">
        <v>380</v>
      </c>
      <c r="G4" s="105" t="s">
        <v>376</v>
      </c>
      <c r="H4" s="105" t="s">
        <v>377</v>
      </c>
      <c r="I4" s="105" t="s">
        <v>378</v>
      </c>
      <c r="J4" s="105" t="s">
        <v>379</v>
      </c>
      <c r="K4" s="105" t="s">
        <v>380</v>
      </c>
    </row>
    <row r="5" spans="2:11">
      <c r="B5" s="240">
        <v>2024</v>
      </c>
      <c r="C5" s="107" t="s">
        <v>381</v>
      </c>
      <c r="D5" s="108">
        <v>18.559999999999999</v>
      </c>
      <c r="E5" s="241"/>
      <c r="F5" s="242" t="s">
        <v>404</v>
      </c>
      <c r="G5" s="248">
        <v>2020</v>
      </c>
      <c r="H5" s="116" t="s">
        <v>389</v>
      </c>
      <c r="I5" s="117">
        <v>208984</v>
      </c>
      <c r="J5" s="241"/>
      <c r="K5" s="242" t="s">
        <v>405</v>
      </c>
    </row>
    <row r="6" spans="2:11">
      <c r="B6" s="240"/>
      <c r="C6" s="107" t="s">
        <v>382</v>
      </c>
      <c r="D6" s="109">
        <v>17.87</v>
      </c>
      <c r="E6" s="241"/>
      <c r="F6" s="243"/>
      <c r="G6" s="249"/>
      <c r="H6" s="116" t="s">
        <v>390</v>
      </c>
      <c r="I6" s="117">
        <v>179588</v>
      </c>
      <c r="J6" s="241"/>
      <c r="K6" s="243"/>
    </row>
    <row r="7" spans="2:11">
      <c r="B7" s="240"/>
      <c r="C7" s="107" t="s">
        <v>383</v>
      </c>
      <c r="D7" s="109">
        <v>17.32</v>
      </c>
      <c r="E7" s="241"/>
      <c r="F7" s="243"/>
      <c r="G7" s="249"/>
      <c r="H7" s="116" t="s">
        <v>391</v>
      </c>
      <c r="I7" s="117">
        <v>202864</v>
      </c>
      <c r="J7" s="241"/>
      <c r="K7" s="243"/>
    </row>
    <row r="8" spans="2:11">
      <c r="B8" s="240"/>
      <c r="C8" s="107" t="s">
        <v>45</v>
      </c>
      <c r="D8" s="108">
        <v>17.25</v>
      </c>
      <c r="E8" s="241"/>
      <c r="F8" s="243"/>
      <c r="G8" s="250"/>
      <c r="H8" s="116" t="s">
        <v>392</v>
      </c>
      <c r="I8" s="118">
        <v>226464</v>
      </c>
      <c r="J8" s="241"/>
      <c r="K8" s="243"/>
    </row>
    <row r="9" spans="2:11">
      <c r="B9" s="240"/>
      <c r="C9" s="107" t="s">
        <v>46</v>
      </c>
      <c r="D9" s="109">
        <v>17.09</v>
      </c>
      <c r="E9" s="241"/>
      <c r="F9" s="243"/>
      <c r="G9" s="248">
        <v>2021</v>
      </c>
      <c r="H9" s="116" t="s">
        <v>389</v>
      </c>
      <c r="I9" s="117">
        <v>212119</v>
      </c>
      <c r="J9" s="241"/>
      <c r="K9" s="243"/>
    </row>
    <row r="10" spans="2:11">
      <c r="B10" s="240"/>
      <c r="C10" s="107" t="s">
        <v>47</v>
      </c>
      <c r="D10" s="109">
        <v>16.38</v>
      </c>
      <c r="E10" s="241"/>
      <c r="F10" s="243"/>
      <c r="G10" s="249"/>
      <c r="H10" s="116" t="s">
        <v>390</v>
      </c>
      <c r="I10" s="117">
        <v>212672</v>
      </c>
      <c r="J10" s="241"/>
      <c r="K10" s="243"/>
    </row>
    <row r="11" spans="2:11">
      <c r="B11" s="240"/>
      <c r="C11" s="107" t="s">
        <v>48</v>
      </c>
      <c r="D11" s="109">
        <v>16.350000000000001</v>
      </c>
      <c r="E11" s="241"/>
      <c r="F11" s="243"/>
      <c r="G11" s="249"/>
      <c r="H11" s="116" t="s">
        <v>391</v>
      </c>
      <c r="I11" s="117">
        <v>229894</v>
      </c>
      <c r="J11" s="241"/>
      <c r="K11" s="243"/>
    </row>
    <row r="12" spans="2:11">
      <c r="B12" s="240"/>
      <c r="C12" s="107" t="s">
        <v>49</v>
      </c>
      <c r="D12" s="108">
        <v>15.87</v>
      </c>
      <c r="E12" s="241"/>
      <c r="F12" s="243"/>
      <c r="G12" s="250"/>
      <c r="H12" s="116" t="s">
        <v>392</v>
      </c>
      <c r="I12" s="118">
        <v>251559</v>
      </c>
      <c r="J12" s="241"/>
      <c r="K12" s="243"/>
    </row>
    <row r="13" spans="2:11">
      <c r="B13" s="240"/>
      <c r="C13" s="107" t="s">
        <v>50</v>
      </c>
      <c r="D13" s="109">
        <v>15.78</v>
      </c>
      <c r="E13" s="241"/>
      <c r="F13" s="243"/>
      <c r="G13" s="248">
        <v>2022</v>
      </c>
      <c r="H13" s="116" t="s">
        <v>389</v>
      </c>
      <c r="I13" s="117">
        <v>229311</v>
      </c>
      <c r="J13" s="241"/>
      <c r="K13" s="243"/>
    </row>
    <row r="14" spans="2:11">
      <c r="B14" s="240"/>
      <c r="C14" s="107" t="s">
        <v>51</v>
      </c>
      <c r="D14" s="108">
        <v>15.38</v>
      </c>
      <c r="E14" s="241"/>
      <c r="F14" s="243"/>
      <c r="G14" s="249"/>
      <c r="H14" s="116" t="s">
        <v>390</v>
      </c>
      <c r="I14" s="117">
        <v>239014</v>
      </c>
      <c r="J14" s="241"/>
      <c r="K14" s="243"/>
    </row>
    <row r="15" spans="2:11">
      <c r="B15" s="240"/>
      <c r="C15" s="107" t="s">
        <v>52</v>
      </c>
      <c r="D15" s="108">
        <v>14.78</v>
      </c>
      <c r="E15" s="241"/>
      <c r="F15" s="243"/>
      <c r="G15" s="249"/>
      <c r="H15" s="116" t="s">
        <v>391</v>
      </c>
      <c r="I15" s="117">
        <v>246908</v>
      </c>
      <c r="J15" s="241"/>
      <c r="K15" s="243"/>
    </row>
    <row r="16" spans="2:11">
      <c r="B16" s="240"/>
      <c r="C16" s="107" t="s">
        <v>53</v>
      </c>
      <c r="D16" s="109">
        <v>14.1</v>
      </c>
      <c r="E16" s="241"/>
      <c r="F16" s="243"/>
      <c r="G16" s="250"/>
      <c r="H16" s="116" t="s">
        <v>392</v>
      </c>
      <c r="I16" s="118">
        <v>257422</v>
      </c>
      <c r="J16" s="241"/>
      <c r="K16" s="243"/>
    </row>
    <row r="17" spans="2:11">
      <c r="B17" s="240">
        <v>2025</v>
      </c>
      <c r="C17" s="107" t="s">
        <v>381</v>
      </c>
      <c r="D17" s="108">
        <v>14.86</v>
      </c>
      <c r="E17" s="241"/>
      <c r="F17" s="243"/>
      <c r="G17" s="248">
        <v>2023</v>
      </c>
      <c r="H17" s="116" t="s">
        <v>389</v>
      </c>
      <c r="I17" s="117">
        <v>235749</v>
      </c>
      <c r="J17" s="241"/>
      <c r="K17" s="243"/>
    </row>
    <row r="18" spans="2:11">
      <c r="B18" s="240"/>
      <c r="C18" s="107" t="s">
        <v>382</v>
      </c>
      <c r="D18" s="108">
        <v>14.38</v>
      </c>
      <c r="E18" s="241"/>
      <c r="F18" s="243"/>
      <c r="G18" s="249"/>
      <c r="H18" s="116" t="s">
        <v>390</v>
      </c>
      <c r="I18" s="117">
        <v>239984</v>
      </c>
      <c r="J18" s="241"/>
      <c r="K18" s="243"/>
    </row>
    <row r="19" spans="2:11">
      <c r="B19" s="240"/>
      <c r="C19" s="107" t="s">
        <v>383</v>
      </c>
      <c r="D19" s="109">
        <v>14.45</v>
      </c>
      <c r="E19" s="241"/>
      <c r="F19" s="243"/>
      <c r="G19" s="249"/>
      <c r="H19" s="116" t="s">
        <v>391</v>
      </c>
      <c r="I19" s="117">
        <v>245805</v>
      </c>
      <c r="J19" s="241"/>
      <c r="K19" s="243"/>
    </row>
    <row r="20" spans="2:11">
      <c r="B20" s="240"/>
      <c r="C20" s="107" t="s">
        <v>45</v>
      </c>
      <c r="D20" s="108">
        <v>14.91</v>
      </c>
      <c r="E20" s="241"/>
      <c r="F20" s="243"/>
      <c r="G20" s="250"/>
      <c r="H20" s="116" t="s">
        <v>392</v>
      </c>
      <c r="I20" s="118">
        <v>259305</v>
      </c>
      <c r="J20" s="241"/>
      <c r="K20" s="243"/>
    </row>
    <row r="21" spans="2:11">
      <c r="B21" s="240"/>
      <c r="C21" s="107" t="s">
        <v>46</v>
      </c>
      <c r="D21" s="108">
        <v>14.34</v>
      </c>
      <c r="E21" s="241"/>
      <c r="F21" s="243"/>
      <c r="G21" s="248">
        <v>2024</v>
      </c>
      <c r="H21" s="116" t="s">
        <v>389</v>
      </c>
      <c r="I21" s="117">
        <v>236500</v>
      </c>
      <c r="J21" s="241"/>
      <c r="K21" s="243"/>
    </row>
    <row r="22" spans="2:11">
      <c r="B22" s="240"/>
      <c r="C22" s="107" t="s">
        <v>47</v>
      </c>
      <c r="D22" s="108">
        <v>14.02</v>
      </c>
      <c r="E22" s="241"/>
      <c r="F22" s="243"/>
      <c r="G22" s="249"/>
      <c r="H22" s="116" t="s">
        <v>390</v>
      </c>
      <c r="I22" s="117">
        <v>243823</v>
      </c>
      <c r="J22" s="241"/>
      <c r="K22" s="243"/>
    </row>
    <row r="23" spans="2:11">
      <c r="B23" s="240"/>
      <c r="C23" s="107" t="s">
        <v>48</v>
      </c>
      <c r="D23" s="108">
        <v>14.39</v>
      </c>
      <c r="E23" s="241"/>
      <c r="F23" s="243"/>
      <c r="G23" s="249"/>
      <c r="H23" s="116" t="s">
        <v>391</v>
      </c>
      <c r="I23" s="117">
        <v>249752</v>
      </c>
      <c r="J23" s="241"/>
      <c r="K23" s="243"/>
    </row>
    <row r="24" spans="2:11">
      <c r="B24" s="240"/>
      <c r="C24" s="107" t="s">
        <v>49</v>
      </c>
      <c r="D24" s="108">
        <v>14.26</v>
      </c>
      <c r="E24" s="241"/>
      <c r="F24" s="243"/>
      <c r="G24" s="250"/>
      <c r="H24" s="116" t="s">
        <v>392</v>
      </c>
      <c r="I24" s="118">
        <v>265415</v>
      </c>
      <c r="J24" s="241"/>
      <c r="K24" s="243"/>
    </row>
    <row r="25" spans="2:11">
      <c r="B25" s="240"/>
      <c r="C25" s="107" t="s">
        <v>50</v>
      </c>
      <c r="D25" s="108">
        <v>13.81</v>
      </c>
      <c r="E25" s="241"/>
      <c r="F25" s="243"/>
      <c r="G25" s="248">
        <v>2025</v>
      </c>
      <c r="H25" s="116" t="s">
        <v>389</v>
      </c>
      <c r="I25" s="117">
        <v>242633</v>
      </c>
      <c r="J25" s="241"/>
      <c r="K25" s="243"/>
    </row>
    <row r="26" spans="2:11">
      <c r="B26" s="240"/>
      <c r="C26" s="107" t="s">
        <v>51</v>
      </c>
      <c r="D26" s="108">
        <v>14.32</v>
      </c>
      <c r="E26" s="241"/>
      <c r="F26" s="243"/>
      <c r="G26" s="249"/>
      <c r="H26" s="116" t="s">
        <v>390</v>
      </c>
      <c r="I26" s="117">
        <v>248986</v>
      </c>
      <c r="J26" s="241"/>
      <c r="K26" s="243"/>
    </row>
    <row r="27" spans="2:11">
      <c r="B27" s="240"/>
      <c r="C27" s="107" t="s">
        <v>52</v>
      </c>
      <c r="D27" s="108">
        <v>14.21</v>
      </c>
      <c r="E27" s="241"/>
      <c r="F27" s="243"/>
      <c r="G27" s="249"/>
      <c r="H27" s="116" t="s">
        <v>391</v>
      </c>
      <c r="I27" s="117">
        <v>258738</v>
      </c>
      <c r="J27" s="241"/>
      <c r="K27" s="243"/>
    </row>
    <row r="28" spans="2:11">
      <c r="B28" s="240"/>
      <c r="C28" s="107" t="s">
        <v>53</v>
      </c>
      <c r="D28" s="108">
        <v>14</v>
      </c>
      <c r="E28" s="241"/>
      <c r="F28" s="243"/>
      <c r="G28" s="250"/>
      <c r="H28" s="116" t="s">
        <v>392</v>
      </c>
      <c r="I28" s="118">
        <v>271435</v>
      </c>
      <c r="J28" s="241"/>
      <c r="K28" s="243"/>
    </row>
    <row r="29" spans="2:11">
      <c r="B29" s="240">
        <v>2026</v>
      </c>
      <c r="C29" s="107" t="s">
        <v>381</v>
      </c>
      <c r="D29" s="109">
        <v>14.63</v>
      </c>
      <c r="E29" s="241"/>
      <c r="F29" s="243"/>
      <c r="G29" s="255" t="s">
        <v>94</v>
      </c>
      <c r="H29" s="256"/>
      <c r="I29" s="257"/>
      <c r="J29" s="241"/>
      <c r="K29" s="243"/>
    </row>
    <row r="30" spans="2:11">
      <c r="B30" s="240"/>
      <c r="C30" s="107" t="s">
        <v>382</v>
      </c>
      <c r="D30" s="109">
        <v>15.07</v>
      </c>
      <c r="E30" s="241"/>
      <c r="F30" s="243"/>
      <c r="G30" s="258"/>
      <c r="H30" s="259"/>
      <c r="I30" s="260"/>
      <c r="J30" s="241"/>
      <c r="K30" s="243"/>
    </row>
    <row r="31" spans="2:11">
      <c r="B31" s="240"/>
      <c r="C31" s="107" t="s">
        <v>383</v>
      </c>
      <c r="D31" s="109">
        <v>15.96</v>
      </c>
      <c r="E31" s="241"/>
      <c r="F31" s="243"/>
      <c r="G31" s="261"/>
      <c r="H31" s="262"/>
      <c r="I31" s="263"/>
      <c r="J31" s="241"/>
      <c r="K31" s="243"/>
    </row>
    <row r="32" spans="2:11">
      <c r="B32" s="244" t="s">
        <v>385</v>
      </c>
      <c r="C32" s="245"/>
      <c r="D32" s="245"/>
      <c r="E32" s="245"/>
      <c r="F32" s="245"/>
      <c r="G32" s="244" t="s">
        <v>393</v>
      </c>
      <c r="H32" s="245"/>
      <c r="I32" s="245"/>
      <c r="J32" s="245"/>
      <c r="K32" s="245"/>
    </row>
    <row r="33" spans="2:11">
      <c r="B33" s="105" t="s">
        <v>376</v>
      </c>
      <c r="C33" s="105" t="s">
        <v>377</v>
      </c>
      <c r="D33" s="105" t="s">
        <v>378</v>
      </c>
      <c r="E33" s="105" t="s">
        <v>379</v>
      </c>
      <c r="F33" s="105" t="s">
        <v>380</v>
      </c>
      <c r="G33" s="105" t="s">
        <v>376</v>
      </c>
      <c r="H33" s="105" t="s">
        <v>377</v>
      </c>
      <c r="I33" s="105" t="s">
        <v>378</v>
      </c>
      <c r="J33" s="105" t="s">
        <v>379</v>
      </c>
      <c r="K33" s="105" t="s">
        <v>380</v>
      </c>
    </row>
    <row r="34" spans="2:11">
      <c r="B34" s="240">
        <v>2024</v>
      </c>
      <c r="C34" s="107" t="s">
        <v>381</v>
      </c>
      <c r="D34" s="110">
        <v>11.67</v>
      </c>
      <c r="E34" s="241"/>
      <c r="F34" s="242" t="s">
        <v>406</v>
      </c>
      <c r="G34" s="240">
        <v>2024</v>
      </c>
      <c r="H34" s="107" t="s">
        <v>381</v>
      </c>
      <c r="I34" s="110">
        <v>0.92</v>
      </c>
      <c r="J34" s="241"/>
      <c r="K34" s="242" t="s">
        <v>407</v>
      </c>
    </row>
    <row r="35" spans="2:11">
      <c r="B35" s="240"/>
      <c r="C35" s="107" t="s">
        <v>382</v>
      </c>
      <c r="D35" s="110">
        <v>11.04</v>
      </c>
      <c r="E35" s="241"/>
      <c r="F35" s="243"/>
      <c r="G35" s="240"/>
      <c r="H35" s="107" t="s">
        <v>382</v>
      </c>
      <c r="I35" s="110">
        <v>1.0900000000000001</v>
      </c>
      <c r="J35" s="241"/>
      <c r="K35" s="243"/>
    </row>
    <row r="36" spans="2:11">
      <c r="B36" s="240"/>
      <c r="C36" s="107" t="s">
        <v>383</v>
      </c>
      <c r="D36" s="110">
        <v>10.44</v>
      </c>
      <c r="E36" s="241"/>
      <c r="F36" s="243"/>
      <c r="G36" s="240"/>
      <c r="H36" s="107" t="s">
        <v>383</v>
      </c>
      <c r="I36" s="110">
        <v>0.7</v>
      </c>
      <c r="J36" s="241"/>
      <c r="K36" s="243"/>
    </row>
    <row r="37" spans="2:11">
      <c r="B37" s="240"/>
      <c r="C37" s="107" t="s">
        <v>45</v>
      </c>
      <c r="D37" s="110">
        <v>10.47</v>
      </c>
      <c r="E37" s="241"/>
      <c r="F37" s="243"/>
      <c r="G37" s="240"/>
      <c r="H37" s="107" t="s">
        <v>45</v>
      </c>
      <c r="I37" s="110">
        <v>0.59</v>
      </c>
      <c r="J37" s="241"/>
      <c r="K37" s="243"/>
    </row>
    <row r="38" spans="2:11">
      <c r="B38" s="240"/>
      <c r="C38" s="107" t="s">
        <v>46</v>
      </c>
      <c r="D38" s="110">
        <v>10.199999999999999</v>
      </c>
      <c r="E38" s="241"/>
      <c r="F38" s="243"/>
      <c r="G38" s="240"/>
      <c r="H38" s="107" t="s">
        <v>46</v>
      </c>
      <c r="I38" s="110">
        <v>0.43</v>
      </c>
      <c r="J38" s="241"/>
      <c r="K38" s="243"/>
    </row>
    <row r="39" spans="2:11">
      <c r="B39" s="240"/>
      <c r="C39" s="107" t="s">
        <v>47</v>
      </c>
      <c r="D39" s="110">
        <v>10.83</v>
      </c>
      <c r="E39" s="241"/>
      <c r="F39" s="243"/>
      <c r="G39" s="240"/>
      <c r="H39" s="107" t="s">
        <v>47</v>
      </c>
      <c r="I39" s="110">
        <v>0.32</v>
      </c>
      <c r="J39" s="241"/>
      <c r="K39" s="243"/>
    </row>
    <row r="40" spans="2:11">
      <c r="B40" s="240"/>
      <c r="C40" s="107" t="s">
        <v>48</v>
      </c>
      <c r="D40" s="110">
        <v>10.45</v>
      </c>
      <c r="E40" s="241"/>
      <c r="F40" s="243"/>
      <c r="G40" s="240"/>
      <c r="H40" s="107" t="s">
        <v>48</v>
      </c>
      <c r="I40" s="110">
        <v>0.2</v>
      </c>
      <c r="J40" s="241"/>
      <c r="K40" s="243"/>
    </row>
    <row r="41" spans="2:11">
      <c r="B41" s="240"/>
      <c r="C41" s="107" t="s">
        <v>49</v>
      </c>
      <c r="D41" s="110">
        <v>10</v>
      </c>
      <c r="E41" s="241"/>
      <c r="F41" s="243"/>
      <c r="G41" s="240"/>
      <c r="H41" s="107" t="s">
        <v>49</v>
      </c>
      <c r="I41" s="110">
        <v>0</v>
      </c>
      <c r="J41" s="241"/>
      <c r="K41" s="243"/>
    </row>
    <row r="42" spans="2:11">
      <c r="B42" s="240"/>
      <c r="C42" s="107" t="s">
        <v>50</v>
      </c>
      <c r="D42" s="110">
        <v>9.8000000000000007</v>
      </c>
      <c r="E42" s="241"/>
      <c r="F42" s="243"/>
      <c r="G42" s="240"/>
      <c r="H42" s="107" t="s">
        <v>50</v>
      </c>
      <c r="I42" s="110">
        <v>0.24</v>
      </c>
      <c r="J42" s="241"/>
      <c r="K42" s="243"/>
    </row>
    <row r="43" spans="2:11">
      <c r="B43" s="240"/>
      <c r="C43" s="107" t="s">
        <v>51</v>
      </c>
      <c r="D43" s="110">
        <v>9.58</v>
      </c>
      <c r="E43" s="241"/>
      <c r="F43" s="243"/>
      <c r="G43" s="240"/>
      <c r="H43" s="107" t="s">
        <v>51</v>
      </c>
      <c r="I43" s="110">
        <v>-0.13</v>
      </c>
      <c r="J43" s="241"/>
      <c r="K43" s="243"/>
    </row>
    <row r="44" spans="2:11">
      <c r="B44" s="240"/>
      <c r="C44" s="107" t="s">
        <v>52</v>
      </c>
      <c r="D44" s="110">
        <v>9.81</v>
      </c>
      <c r="E44" s="241"/>
      <c r="F44" s="243"/>
      <c r="G44" s="240"/>
      <c r="H44" s="107" t="s">
        <v>52</v>
      </c>
      <c r="I44" s="110">
        <v>0.27</v>
      </c>
      <c r="J44" s="241"/>
      <c r="K44" s="243"/>
    </row>
    <row r="45" spans="2:11">
      <c r="B45" s="240"/>
      <c r="C45" s="107" t="s">
        <v>53</v>
      </c>
      <c r="D45" s="110">
        <v>9.43</v>
      </c>
      <c r="E45" s="241"/>
      <c r="F45" s="243"/>
      <c r="G45" s="240"/>
      <c r="H45" s="107" t="s">
        <v>53</v>
      </c>
      <c r="I45" s="110">
        <v>0.46</v>
      </c>
      <c r="J45" s="241"/>
      <c r="K45" s="243"/>
    </row>
    <row r="46" spans="2:11">
      <c r="B46" s="240">
        <v>2025</v>
      </c>
      <c r="C46" s="107" t="s">
        <v>381</v>
      </c>
      <c r="D46" s="110">
        <v>9.57</v>
      </c>
      <c r="E46" s="241"/>
      <c r="F46" s="243"/>
      <c r="G46" s="240">
        <v>2025</v>
      </c>
      <c r="H46" s="107" t="s">
        <v>381</v>
      </c>
      <c r="I46" s="110">
        <v>0.94</v>
      </c>
      <c r="J46" s="241"/>
      <c r="K46" s="243"/>
    </row>
    <row r="47" spans="2:11">
      <c r="B47" s="240"/>
      <c r="C47" s="107" t="s">
        <v>382</v>
      </c>
      <c r="D47" s="110">
        <v>10.08</v>
      </c>
      <c r="E47" s="241"/>
      <c r="F47" s="243"/>
      <c r="G47" s="240"/>
      <c r="H47" s="107" t="s">
        <v>382</v>
      </c>
      <c r="I47" s="110">
        <v>1.1399999999999999</v>
      </c>
      <c r="J47" s="241"/>
      <c r="K47" s="243"/>
    </row>
    <row r="48" spans="2:11">
      <c r="B48" s="240"/>
      <c r="C48" s="107" t="s">
        <v>383</v>
      </c>
      <c r="D48" s="110">
        <v>9.73</v>
      </c>
      <c r="E48" s="241"/>
      <c r="F48" s="243"/>
      <c r="G48" s="240"/>
      <c r="H48" s="107" t="s">
        <v>383</v>
      </c>
      <c r="I48" s="110">
        <v>0.52</v>
      </c>
      <c r="J48" s="241"/>
      <c r="K48" s="243"/>
    </row>
    <row r="49" spans="2:11">
      <c r="B49" s="240"/>
      <c r="C49" s="107" t="s">
        <v>45</v>
      </c>
      <c r="D49" s="110">
        <v>9.73</v>
      </c>
      <c r="E49" s="241"/>
      <c r="F49" s="243"/>
      <c r="G49" s="240"/>
      <c r="H49" s="107" t="s">
        <v>45</v>
      </c>
      <c r="I49" s="110">
        <v>0.66</v>
      </c>
      <c r="J49" s="241"/>
      <c r="K49" s="243"/>
    </row>
    <row r="50" spans="2:11">
      <c r="B50" s="240"/>
      <c r="C50" s="107" t="s">
        <v>46</v>
      </c>
      <c r="D50" s="110">
        <v>9.4499999999999993</v>
      </c>
      <c r="E50" s="241"/>
      <c r="F50" s="243"/>
      <c r="G50" s="240"/>
      <c r="H50" s="107" t="s">
        <v>46</v>
      </c>
      <c r="I50" s="110">
        <v>0.32</v>
      </c>
      <c r="J50" s="241"/>
      <c r="K50" s="243"/>
    </row>
    <row r="51" spans="2:11">
      <c r="B51" s="240"/>
      <c r="C51" s="107" t="s">
        <v>47</v>
      </c>
      <c r="D51" s="110">
        <v>9.6300000000000008</v>
      </c>
      <c r="E51" s="241"/>
      <c r="F51" s="243"/>
      <c r="G51" s="240"/>
      <c r="H51" s="107" t="s">
        <v>47</v>
      </c>
      <c r="I51" s="110">
        <v>0.1</v>
      </c>
      <c r="J51" s="241"/>
      <c r="K51" s="243"/>
    </row>
    <row r="52" spans="2:11">
      <c r="B52" s="240"/>
      <c r="C52" s="107" t="s">
        <v>48</v>
      </c>
      <c r="D52" s="110">
        <v>9.4700000000000006</v>
      </c>
      <c r="E52" s="241"/>
      <c r="F52" s="243"/>
      <c r="G52" s="240"/>
      <c r="H52" s="107" t="s">
        <v>48</v>
      </c>
      <c r="I52" s="110">
        <v>0.28000000000000003</v>
      </c>
      <c r="J52" s="241"/>
      <c r="K52" s="243"/>
    </row>
    <row r="53" spans="2:11">
      <c r="B53" s="240"/>
      <c r="C53" s="107" t="s">
        <v>49</v>
      </c>
      <c r="D53" s="110">
        <v>9.09</v>
      </c>
      <c r="E53" s="241"/>
      <c r="F53" s="243"/>
      <c r="G53" s="240"/>
      <c r="H53" s="107" t="s">
        <v>49</v>
      </c>
      <c r="I53" s="110">
        <v>0.19</v>
      </c>
      <c r="J53" s="241"/>
      <c r="K53" s="243"/>
    </row>
    <row r="54" spans="2:11">
      <c r="B54" s="240"/>
      <c r="C54" s="107" t="s">
        <v>50</v>
      </c>
      <c r="D54" s="110">
        <v>9.51</v>
      </c>
      <c r="E54" s="241"/>
      <c r="F54" s="243"/>
      <c r="G54" s="240"/>
      <c r="H54" s="107" t="s">
        <v>50</v>
      </c>
      <c r="I54" s="110">
        <v>0.32</v>
      </c>
      <c r="J54" s="241"/>
      <c r="K54" s="243"/>
    </row>
    <row r="55" spans="2:11">
      <c r="B55" s="240"/>
      <c r="C55" s="107" t="s">
        <v>51</v>
      </c>
      <c r="D55" s="110">
        <v>9.8800000000000008</v>
      </c>
      <c r="E55" s="241"/>
      <c r="F55" s="243"/>
      <c r="G55" s="240"/>
      <c r="H55" s="107" t="s">
        <v>51</v>
      </c>
      <c r="I55" s="110">
        <v>0.18</v>
      </c>
      <c r="J55" s="241"/>
      <c r="K55" s="243"/>
    </row>
    <row r="56" spans="2:11">
      <c r="B56" s="240"/>
      <c r="C56" s="107" t="s">
        <v>52</v>
      </c>
      <c r="D56" s="110">
        <v>9.73</v>
      </c>
      <c r="E56" s="241"/>
      <c r="F56" s="243"/>
      <c r="G56" s="240"/>
      <c r="H56" s="107" t="s">
        <v>52</v>
      </c>
      <c r="I56" s="110">
        <v>7.0000000000000007E-2</v>
      </c>
      <c r="J56" s="241"/>
      <c r="K56" s="243"/>
    </row>
    <row r="57" spans="2:11">
      <c r="B57" s="240"/>
      <c r="C57" s="107" t="s">
        <v>53</v>
      </c>
      <c r="D57" s="110">
        <v>9.39</v>
      </c>
      <c r="E57" s="241"/>
      <c r="F57" s="243"/>
      <c r="G57" s="240"/>
      <c r="H57" s="107" t="s">
        <v>53</v>
      </c>
      <c r="I57" s="110">
        <v>0.27</v>
      </c>
      <c r="J57" s="241"/>
      <c r="K57" s="243"/>
    </row>
    <row r="58" spans="2:11">
      <c r="B58" s="240">
        <v>2026</v>
      </c>
      <c r="C58" s="107" t="s">
        <v>381</v>
      </c>
      <c r="D58" s="111">
        <v>10.67</v>
      </c>
      <c r="E58" s="241"/>
      <c r="F58" s="243"/>
      <c r="G58" s="240">
        <v>2026</v>
      </c>
      <c r="H58" s="107" t="s">
        <v>381</v>
      </c>
      <c r="I58" s="111">
        <v>1.18</v>
      </c>
      <c r="J58" s="241"/>
      <c r="K58" s="243"/>
    </row>
    <row r="59" spans="2:11">
      <c r="B59" s="240"/>
      <c r="C59" s="107" t="s">
        <v>382</v>
      </c>
      <c r="D59" s="111">
        <v>11.64</v>
      </c>
      <c r="E59" s="241"/>
      <c r="F59" s="243"/>
      <c r="G59" s="240"/>
      <c r="H59" s="107" t="s">
        <v>382</v>
      </c>
      <c r="I59" s="111">
        <v>1.08</v>
      </c>
      <c r="J59" s="241"/>
      <c r="K59" s="243"/>
    </row>
    <row r="60" spans="2:11">
      <c r="B60" s="240"/>
      <c r="C60" s="107" t="s">
        <v>383</v>
      </c>
      <c r="D60" s="111">
        <v>13.06</v>
      </c>
      <c r="E60" s="241"/>
      <c r="F60" s="243"/>
      <c r="G60" s="240"/>
      <c r="H60" s="107" t="s">
        <v>383</v>
      </c>
      <c r="I60" s="111">
        <v>0.78</v>
      </c>
      <c r="J60" s="241"/>
      <c r="K60" s="243"/>
    </row>
    <row r="61" spans="2:11" ht="15" customHeight="1">
      <c r="B61" s="244" t="s">
        <v>386</v>
      </c>
      <c r="C61" s="245"/>
      <c r="D61" s="245"/>
      <c r="E61" s="245"/>
      <c r="F61" s="245"/>
      <c r="G61" s="244" t="s">
        <v>396</v>
      </c>
      <c r="H61" s="245"/>
      <c r="I61" s="245"/>
      <c r="J61" s="245"/>
      <c r="K61" s="245"/>
    </row>
    <row r="62" spans="2:11">
      <c r="B62" s="105" t="s">
        <v>376</v>
      </c>
      <c r="C62" s="105" t="s">
        <v>377</v>
      </c>
      <c r="D62" s="105" t="s">
        <v>378</v>
      </c>
      <c r="E62" s="105" t="s">
        <v>379</v>
      </c>
      <c r="F62" s="105" t="s">
        <v>380</v>
      </c>
      <c r="G62" s="105" t="s">
        <v>376</v>
      </c>
      <c r="H62" s="105" t="s">
        <v>377</v>
      </c>
      <c r="I62" s="105" t="s">
        <v>378</v>
      </c>
      <c r="J62" s="105" t="s">
        <v>379</v>
      </c>
      <c r="K62" s="105" t="s">
        <v>380</v>
      </c>
    </row>
    <row r="63" spans="2:11">
      <c r="B63" s="240">
        <v>2024</v>
      </c>
      <c r="C63" s="107" t="s">
        <v>381</v>
      </c>
      <c r="D63" s="112">
        <v>3822.05</v>
      </c>
      <c r="E63" s="241"/>
      <c r="F63" s="242" t="s">
        <v>400</v>
      </c>
      <c r="G63" s="240">
        <v>2024</v>
      </c>
      <c r="H63" s="107" t="s">
        <v>381</v>
      </c>
      <c r="I63" s="119">
        <v>-1084.0999999999999</v>
      </c>
      <c r="J63" s="241"/>
      <c r="K63" s="242" t="s">
        <v>401</v>
      </c>
    </row>
    <row r="64" spans="2:11">
      <c r="B64" s="240"/>
      <c r="C64" s="107" t="s">
        <v>382</v>
      </c>
      <c r="D64" s="112">
        <v>3915.56</v>
      </c>
      <c r="E64" s="241"/>
      <c r="F64" s="243"/>
      <c r="G64" s="240"/>
      <c r="H64" s="107" t="s">
        <v>382</v>
      </c>
      <c r="I64" s="110">
        <v>-762.1</v>
      </c>
      <c r="J64" s="241"/>
      <c r="K64" s="243"/>
    </row>
    <row r="65" spans="2:11">
      <c r="B65" s="240"/>
      <c r="C65" s="107" t="s">
        <v>383</v>
      </c>
      <c r="D65" s="112">
        <v>3931.31</v>
      </c>
      <c r="E65" s="241"/>
      <c r="F65" s="243"/>
      <c r="G65" s="240"/>
      <c r="H65" s="107" t="s">
        <v>383</v>
      </c>
      <c r="I65" s="110">
        <v>-650.4</v>
      </c>
      <c r="J65" s="241"/>
      <c r="K65" s="243"/>
    </row>
    <row r="66" spans="2:11">
      <c r="B66" s="240"/>
      <c r="C66" s="107" t="s">
        <v>45</v>
      </c>
      <c r="D66" s="112">
        <v>3842.3</v>
      </c>
      <c r="E66" s="241"/>
      <c r="F66" s="243"/>
      <c r="G66" s="240"/>
      <c r="H66" s="107" t="s">
        <v>45</v>
      </c>
      <c r="I66" s="119">
        <v>-1122.8</v>
      </c>
      <c r="J66" s="241"/>
      <c r="K66" s="243"/>
    </row>
    <row r="67" spans="2:11">
      <c r="B67" s="240"/>
      <c r="C67" s="107" t="s">
        <v>46</v>
      </c>
      <c r="D67" s="112">
        <v>3899.07</v>
      </c>
      <c r="E67" s="241"/>
      <c r="F67" s="243"/>
      <c r="G67" s="240"/>
      <c r="H67" s="107" t="s">
        <v>46</v>
      </c>
      <c r="I67" s="110">
        <v>-794.3</v>
      </c>
      <c r="J67" s="241"/>
      <c r="K67" s="243"/>
    </row>
    <row r="68" spans="2:11">
      <c r="B68" s="240"/>
      <c r="C68" s="107" t="s">
        <v>47</v>
      </c>
      <c r="D68" s="112">
        <v>3860.92</v>
      </c>
      <c r="E68" s="241"/>
      <c r="F68" s="243"/>
      <c r="G68" s="240"/>
      <c r="H68" s="107" t="s">
        <v>47</v>
      </c>
      <c r="I68" s="110">
        <v>-545.20000000000005</v>
      </c>
      <c r="J68" s="241"/>
      <c r="K68" s="243"/>
    </row>
    <row r="69" spans="2:11">
      <c r="B69" s="240"/>
      <c r="C69" s="107" t="s">
        <v>48</v>
      </c>
      <c r="D69" s="112">
        <v>4148.04</v>
      </c>
      <c r="E69" s="241"/>
      <c r="F69" s="243"/>
      <c r="G69" s="240"/>
      <c r="H69" s="107" t="s">
        <v>48</v>
      </c>
      <c r="I69" s="110">
        <v>-617.9</v>
      </c>
      <c r="J69" s="241"/>
      <c r="K69" s="243"/>
    </row>
    <row r="70" spans="2:11">
      <c r="B70" s="240"/>
      <c r="C70" s="107" t="s">
        <v>49</v>
      </c>
      <c r="D70" s="113">
        <v>4060.34</v>
      </c>
      <c r="E70" s="241"/>
      <c r="F70" s="243"/>
      <c r="G70" s="240"/>
      <c r="H70" s="107" t="s">
        <v>49</v>
      </c>
      <c r="I70" s="119">
        <v>-1312.3</v>
      </c>
      <c r="J70" s="241"/>
      <c r="K70" s="243"/>
    </row>
    <row r="71" spans="2:11">
      <c r="B71" s="240"/>
      <c r="C71" s="107" t="s">
        <v>50</v>
      </c>
      <c r="D71" s="112">
        <v>4160.3100000000004</v>
      </c>
      <c r="E71" s="241"/>
      <c r="F71" s="243"/>
      <c r="G71" s="240"/>
      <c r="H71" s="107" t="s">
        <v>50</v>
      </c>
      <c r="I71" s="110">
        <v>-660</v>
      </c>
      <c r="J71" s="241"/>
      <c r="K71" s="243"/>
    </row>
    <row r="72" spans="2:11">
      <c r="B72" s="240"/>
      <c r="C72" s="107" t="s">
        <v>51</v>
      </c>
      <c r="D72" s="112">
        <v>4178.3</v>
      </c>
      <c r="E72" s="241"/>
      <c r="F72" s="243"/>
      <c r="G72" s="240"/>
      <c r="H72" s="107" t="s">
        <v>51</v>
      </c>
      <c r="I72" s="119">
        <v>-1054.7</v>
      </c>
      <c r="J72" s="241"/>
      <c r="K72" s="243"/>
    </row>
    <row r="73" spans="2:11">
      <c r="B73" s="240"/>
      <c r="C73" s="107" t="s">
        <v>52</v>
      </c>
      <c r="D73" s="112">
        <v>4409.57</v>
      </c>
      <c r="E73" s="241"/>
      <c r="F73" s="243"/>
      <c r="G73" s="240"/>
      <c r="H73" s="107" t="s">
        <v>52</v>
      </c>
      <c r="I73" s="119">
        <v>-1375.1</v>
      </c>
      <c r="J73" s="241"/>
      <c r="K73" s="243"/>
    </row>
    <row r="74" spans="2:11">
      <c r="B74" s="240"/>
      <c r="C74" s="107" t="s">
        <v>53</v>
      </c>
      <c r="D74" s="112">
        <v>4419.59</v>
      </c>
      <c r="E74" s="241"/>
      <c r="F74" s="243"/>
      <c r="G74" s="240"/>
      <c r="H74" s="107" t="s">
        <v>53</v>
      </c>
      <c r="I74" s="110">
        <v>-827.8</v>
      </c>
      <c r="J74" s="241"/>
      <c r="K74" s="243"/>
    </row>
    <row r="75" spans="2:11">
      <c r="B75" s="240">
        <v>2025</v>
      </c>
      <c r="C75" s="107" t="s">
        <v>381</v>
      </c>
      <c r="D75" s="112">
        <v>4409.1499999999996</v>
      </c>
      <c r="E75" s="241"/>
      <c r="F75" s="243"/>
      <c r="G75" s="240">
        <v>2025</v>
      </c>
      <c r="H75" s="107" t="s">
        <v>381</v>
      </c>
      <c r="I75" s="119">
        <v>-1278.9000000000001</v>
      </c>
      <c r="J75" s="241"/>
      <c r="K75" s="243"/>
    </row>
    <row r="76" spans="2:11">
      <c r="B76" s="240"/>
      <c r="C76" s="107" t="s">
        <v>382</v>
      </c>
      <c r="D76" s="113">
        <v>4183.93</v>
      </c>
      <c r="E76" s="241"/>
      <c r="F76" s="243"/>
      <c r="G76" s="240"/>
      <c r="H76" s="107" t="s">
        <v>382</v>
      </c>
      <c r="I76" s="119">
        <v>-1241</v>
      </c>
      <c r="J76" s="241"/>
      <c r="K76" s="243"/>
    </row>
    <row r="77" spans="2:11">
      <c r="B77" s="240"/>
      <c r="C77" s="107" t="s">
        <v>383</v>
      </c>
      <c r="D77" s="112">
        <v>4134.04</v>
      </c>
      <c r="E77" s="241"/>
      <c r="F77" s="243"/>
      <c r="G77" s="240"/>
      <c r="H77" s="107" t="s">
        <v>383</v>
      </c>
      <c r="I77" s="110">
        <v>-837.3</v>
      </c>
      <c r="J77" s="241"/>
      <c r="K77" s="243"/>
    </row>
    <row r="78" spans="2:11">
      <c r="B78" s="240"/>
      <c r="C78" s="107" t="s">
        <v>45</v>
      </c>
      <c r="D78" s="112">
        <v>4191.79</v>
      </c>
      <c r="E78" s="241"/>
      <c r="F78" s="243"/>
      <c r="G78" s="240"/>
      <c r="H78" s="107" t="s">
        <v>45</v>
      </c>
      <c r="I78" s="119">
        <v>-1355</v>
      </c>
      <c r="J78" s="241"/>
      <c r="K78" s="243"/>
    </row>
    <row r="79" spans="2:11">
      <c r="B79" s="240"/>
      <c r="C79" s="107" t="s">
        <v>46</v>
      </c>
      <c r="D79" s="113">
        <v>4222.25</v>
      </c>
      <c r="E79" s="241"/>
      <c r="F79" s="243"/>
      <c r="G79" s="240"/>
      <c r="H79" s="107" t="s">
        <v>46</v>
      </c>
      <c r="I79" s="119">
        <v>-1449.1</v>
      </c>
      <c r="J79" s="241"/>
      <c r="K79" s="243"/>
    </row>
    <row r="80" spans="2:11">
      <c r="B80" s="240"/>
      <c r="C80" s="107" t="s">
        <v>47</v>
      </c>
      <c r="D80" s="112">
        <v>4148.72</v>
      </c>
      <c r="E80" s="241"/>
      <c r="F80" s="243"/>
      <c r="G80" s="240"/>
      <c r="H80" s="107" t="s">
        <v>47</v>
      </c>
      <c r="I80" s="119">
        <v>-1099.8</v>
      </c>
      <c r="J80" s="241"/>
      <c r="K80" s="243"/>
    </row>
    <row r="81" spans="2:11">
      <c r="B81" s="240"/>
      <c r="C81" s="107" t="s">
        <v>48</v>
      </c>
      <c r="D81" s="112">
        <v>4069.67</v>
      </c>
      <c r="E81" s="241"/>
      <c r="F81" s="243"/>
      <c r="G81" s="240"/>
      <c r="H81" s="107" t="s">
        <v>48</v>
      </c>
      <c r="I81" s="119">
        <v>-1694.2</v>
      </c>
      <c r="J81" s="241"/>
      <c r="K81" s="243"/>
    </row>
    <row r="82" spans="2:11">
      <c r="B82" s="240"/>
      <c r="C82" s="107" t="s">
        <v>49</v>
      </c>
      <c r="D82" s="112">
        <v>4186.71</v>
      </c>
      <c r="E82" s="241"/>
      <c r="F82" s="243"/>
      <c r="G82" s="240"/>
      <c r="H82" s="107" t="s">
        <v>49</v>
      </c>
      <c r="I82" s="119">
        <v>-1649.1</v>
      </c>
      <c r="J82" s="241"/>
      <c r="K82" s="243"/>
    </row>
    <row r="83" spans="2:11">
      <c r="B83" s="240"/>
      <c r="C83" s="107" t="s">
        <v>50</v>
      </c>
      <c r="D83" s="112">
        <v>4018.41</v>
      </c>
      <c r="E83" s="241"/>
      <c r="F83" s="243"/>
      <c r="G83" s="240"/>
      <c r="H83" s="107" t="s">
        <v>50</v>
      </c>
      <c r="I83" s="119">
        <v>-1135.0999999999999</v>
      </c>
      <c r="J83" s="241"/>
      <c r="K83" s="243"/>
    </row>
    <row r="84" spans="2:11">
      <c r="B84" s="240"/>
      <c r="C84" s="107" t="s">
        <v>51</v>
      </c>
      <c r="D84" s="112">
        <v>3923.55</v>
      </c>
      <c r="E84" s="241"/>
      <c r="F84" s="243"/>
      <c r="G84" s="240"/>
      <c r="H84" s="107" t="s">
        <v>51</v>
      </c>
      <c r="I84" s="119">
        <v>-1914.5</v>
      </c>
      <c r="J84" s="241"/>
      <c r="K84" s="243"/>
    </row>
    <row r="85" spans="2:11">
      <c r="B85" s="240"/>
      <c r="C85" s="107" t="s">
        <v>52</v>
      </c>
      <c r="D85" s="112">
        <v>3860.12</v>
      </c>
      <c r="E85" s="241"/>
      <c r="F85" s="243"/>
      <c r="G85" s="240"/>
      <c r="H85" s="107" t="s">
        <v>52</v>
      </c>
      <c r="I85" s="119">
        <v>-1548.5</v>
      </c>
      <c r="J85" s="241"/>
      <c r="K85" s="243"/>
    </row>
    <row r="86" spans="2:11">
      <c r="B86" s="240"/>
      <c r="C86" s="107" t="s">
        <v>53</v>
      </c>
      <c r="D86" s="112">
        <v>3744.43</v>
      </c>
      <c r="E86" s="241"/>
      <c r="F86" s="243"/>
      <c r="G86" s="240"/>
      <c r="H86" s="107" t="s">
        <v>53</v>
      </c>
      <c r="I86" s="119">
        <v>-1173.0999999999999</v>
      </c>
      <c r="J86" s="241"/>
      <c r="K86" s="243"/>
    </row>
    <row r="87" spans="2:11">
      <c r="B87" s="240">
        <v>2026</v>
      </c>
      <c r="C87" s="107" t="s">
        <v>381</v>
      </c>
      <c r="D87" s="112">
        <v>3757.08</v>
      </c>
      <c r="E87" s="241"/>
      <c r="F87" s="243"/>
      <c r="G87" s="106">
        <v>6</v>
      </c>
      <c r="H87" s="107" t="s">
        <v>381</v>
      </c>
      <c r="I87" s="111">
        <v>-1328.8</v>
      </c>
      <c r="J87" s="241"/>
      <c r="K87" s="243"/>
    </row>
    <row r="88" spans="2:11">
      <c r="B88" s="240"/>
      <c r="C88" s="107" t="s">
        <v>382</v>
      </c>
      <c r="D88" s="112">
        <v>3670.47</v>
      </c>
      <c r="E88" s="241"/>
      <c r="F88" s="243"/>
      <c r="G88" s="264" t="s">
        <v>94</v>
      </c>
      <c r="H88" s="265"/>
      <c r="I88" s="266"/>
      <c r="J88" s="241"/>
      <c r="K88" s="243"/>
    </row>
    <row r="89" spans="2:11">
      <c r="B89" s="240"/>
      <c r="C89" s="107" t="s">
        <v>383</v>
      </c>
      <c r="D89" s="112">
        <v>3766.3</v>
      </c>
      <c r="E89" s="241"/>
      <c r="F89" s="243"/>
      <c r="G89" s="267"/>
      <c r="H89" s="268"/>
      <c r="I89" s="269"/>
      <c r="J89" s="241"/>
      <c r="K89" s="243"/>
    </row>
    <row r="90" spans="2:11">
      <c r="B90" s="244" t="s">
        <v>387</v>
      </c>
      <c r="C90" s="245"/>
      <c r="D90" s="245"/>
      <c r="E90" s="245"/>
      <c r="F90" s="245"/>
      <c r="G90" s="244" t="s">
        <v>394</v>
      </c>
      <c r="H90" s="245"/>
      <c r="I90" s="245"/>
      <c r="J90" s="245"/>
      <c r="K90" s="245"/>
    </row>
    <row r="91" spans="2:11">
      <c r="B91" s="105" t="s">
        <v>376</v>
      </c>
      <c r="C91" s="105" t="s">
        <v>377</v>
      </c>
      <c r="D91" s="105" t="s">
        <v>378</v>
      </c>
      <c r="E91" s="105" t="s">
        <v>379</v>
      </c>
      <c r="F91" s="105" t="s">
        <v>380</v>
      </c>
      <c r="G91" s="105" t="s">
        <v>376</v>
      </c>
      <c r="H91" s="105" t="s">
        <v>377</v>
      </c>
      <c r="I91" s="105" t="s">
        <v>378</v>
      </c>
      <c r="J91" s="105" t="s">
        <v>379</v>
      </c>
      <c r="K91" s="105" t="s">
        <v>380</v>
      </c>
    </row>
    <row r="92" spans="2:11">
      <c r="B92" s="251">
        <v>2024</v>
      </c>
      <c r="C92" s="114" t="s">
        <v>381</v>
      </c>
      <c r="D92" s="110">
        <v>11.731</v>
      </c>
      <c r="E92" s="252"/>
      <c r="F92" s="253" t="s">
        <v>402</v>
      </c>
      <c r="G92" s="240">
        <v>2024</v>
      </c>
      <c r="H92" s="107" t="s">
        <v>381</v>
      </c>
      <c r="I92" s="110">
        <v>55.3</v>
      </c>
      <c r="J92" s="241"/>
      <c r="K92" s="242" t="s">
        <v>403</v>
      </c>
    </row>
    <row r="93" spans="2:11">
      <c r="B93" s="251"/>
      <c r="C93" s="114" t="s">
        <v>382</v>
      </c>
      <c r="D93" s="110">
        <v>11.819000000000001</v>
      </c>
      <c r="E93" s="252"/>
      <c r="F93" s="253"/>
      <c r="G93" s="240"/>
      <c r="H93" s="107" t="s">
        <v>382</v>
      </c>
      <c r="I93" s="110">
        <v>56.4</v>
      </c>
      <c r="J93" s="241"/>
      <c r="K93" s="243"/>
    </row>
    <row r="94" spans="2:11">
      <c r="B94" s="251"/>
      <c r="C94" s="114" t="s">
        <v>383</v>
      </c>
      <c r="D94" s="110">
        <v>11.454000000000001</v>
      </c>
      <c r="E94" s="252"/>
      <c r="F94" s="253"/>
      <c r="G94" s="240"/>
      <c r="H94" s="107" t="s">
        <v>383</v>
      </c>
      <c r="I94" s="110">
        <v>56.7</v>
      </c>
      <c r="J94" s="241"/>
      <c r="K94" s="243"/>
    </row>
    <row r="95" spans="2:11">
      <c r="B95" s="251"/>
      <c r="C95" s="114" t="s">
        <v>45</v>
      </c>
      <c r="D95" s="110">
        <v>11.026999999999999</v>
      </c>
      <c r="E95" s="252"/>
      <c r="F95" s="253"/>
      <c r="G95" s="240"/>
      <c r="H95" s="107" t="s">
        <v>45</v>
      </c>
      <c r="I95" s="110">
        <v>57.2</v>
      </c>
      <c r="J95" s="241"/>
      <c r="K95" s="243"/>
    </row>
    <row r="96" spans="2:11">
      <c r="B96" s="251"/>
      <c r="C96" s="114" t="s">
        <v>46</v>
      </c>
      <c r="D96" s="110">
        <v>10.99</v>
      </c>
      <c r="E96" s="252"/>
      <c r="F96" s="253"/>
      <c r="G96" s="240"/>
      <c r="H96" s="107" t="s">
        <v>46</v>
      </c>
      <c r="I96" s="110">
        <v>57.5</v>
      </c>
      <c r="J96" s="241"/>
      <c r="K96" s="243"/>
    </row>
    <row r="97" spans="2:11">
      <c r="B97" s="251"/>
      <c r="C97" s="114" t="s">
        <v>47</v>
      </c>
      <c r="D97" s="110">
        <v>10.538</v>
      </c>
      <c r="E97" s="252"/>
      <c r="F97" s="253"/>
      <c r="G97" s="240"/>
      <c r="H97" s="107" t="s">
        <v>47</v>
      </c>
      <c r="I97" s="110">
        <v>57.2</v>
      </c>
      <c r="J97" s="241"/>
      <c r="K97" s="243"/>
    </row>
    <row r="98" spans="2:11">
      <c r="B98" s="251"/>
      <c r="C98" s="114" t="s">
        <v>48</v>
      </c>
      <c r="D98" s="110">
        <v>10.102</v>
      </c>
      <c r="E98" s="252"/>
      <c r="F98" s="253"/>
      <c r="G98" s="240"/>
      <c r="H98" s="107" t="s">
        <v>48</v>
      </c>
      <c r="I98" s="110">
        <v>57.8</v>
      </c>
      <c r="J98" s="241"/>
      <c r="K98" s="243"/>
    </row>
    <row r="99" spans="2:11">
      <c r="B99" s="251"/>
      <c r="C99" s="114" t="s">
        <v>49</v>
      </c>
      <c r="D99" s="110">
        <v>10.099</v>
      </c>
      <c r="E99" s="252"/>
      <c r="F99" s="253"/>
      <c r="G99" s="240"/>
      <c r="H99" s="107" t="s">
        <v>49</v>
      </c>
      <c r="I99" s="110">
        <v>58.3</v>
      </c>
      <c r="J99" s="241"/>
      <c r="K99" s="243"/>
    </row>
    <row r="100" spans="2:11">
      <c r="B100" s="251"/>
      <c r="C100" s="114" t="s">
        <v>50</v>
      </c>
      <c r="D100" s="110">
        <v>9.593</v>
      </c>
      <c r="E100" s="252"/>
      <c r="F100" s="253"/>
      <c r="G100" s="240"/>
      <c r="H100" s="107" t="s">
        <v>50</v>
      </c>
      <c r="I100" s="110">
        <v>57.7</v>
      </c>
      <c r="J100" s="241"/>
      <c r="K100" s="243"/>
    </row>
    <row r="101" spans="2:11">
      <c r="B101" s="251"/>
      <c r="C101" s="114" t="s">
        <v>51</v>
      </c>
      <c r="D101" s="110">
        <v>9.1950000000000003</v>
      </c>
      <c r="E101" s="252"/>
      <c r="F101" s="253"/>
      <c r="G101" s="240"/>
      <c r="H101" s="107" t="s">
        <v>51</v>
      </c>
      <c r="I101" s="110">
        <v>58.1</v>
      </c>
      <c r="J101" s="241"/>
      <c r="K101" s="243"/>
    </row>
    <row r="102" spans="2:11">
      <c r="B102" s="251"/>
      <c r="C102" s="114" t="s">
        <v>52</v>
      </c>
      <c r="D102" s="110">
        <v>9.0679999999999996</v>
      </c>
      <c r="E102" s="252"/>
      <c r="F102" s="253"/>
      <c r="G102" s="240"/>
      <c r="H102" s="107" t="s">
        <v>52</v>
      </c>
      <c r="I102" s="110">
        <v>58.5</v>
      </c>
      <c r="J102" s="241"/>
      <c r="K102" s="243"/>
    </row>
    <row r="103" spans="2:11">
      <c r="B103" s="251"/>
      <c r="C103" s="114" t="s">
        <v>53</v>
      </c>
      <c r="D103" s="110">
        <v>8.9909999999999997</v>
      </c>
      <c r="E103" s="252"/>
      <c r="F103" s="253"/>
      <c r="G103" s="240"/>
      <c r="H103" s="107" t="s">
        <v>53</v>
      </c>
      <c r="I103" s="110">
        <v>58.5</v>
      </c>
      <c r="J103" s="241"/>
      <c r="K103" s="243"/>
    </row>
    <row r="104" spans="2:11">
      <c r="B104" s="251">
        <v>2025</v>
      </c>
      <c r="C104" s="114" t="s">
        <v>381</v>
      </c>
      <c r="D104" s="110">
        <v>8.8510000000000009</v>
      </c>
      <c r="E104" s="252"/>
      <c r="F104" s="253"/>
      <c r="G104" s="240">
        <v>2025</v>
      </c>
      <c r="H104" s="107" t="s">
        <v>381</v>
      </c>
      <c r="I104" s="110">
        <v>56.7</v>
      </c>
      <c r="J104" s="241"/>
      <c r="K104" s="243"/>
    </row>
    <row r="105" spans="2:11">
      <c r="B105" s="251"/>
      <c r="C105" s="114" t="s">
        <v>382</v>
      </c>
      <c r="D105" s="110">
        <v>8.9770000000000003</v>
      </c>
      <c r="E105" s="252"/>
      <c r="F105" s="253"/>
      <c r="G105" s="240"/>
      <c r="H105" s="107" t="s">
        <v>382</v>
      </c>
      <c r="I105" s="110">
        <v>58</v>
      </c>
      <c r="J105" s="241"/>
      <c r="K105" s="243"/>
    </row>
    <row r="106" spans="2:11">
      <c r="B106" s="251"/>
      <c r="C106" s="114" t="s">
        <v>383</v>
      </c>
      <c r="D106" s="110">
        <v>8.9480000000000004</v>
      </c>
      <c r="E106" s="252"/>
      <c r="F106" s="253"/>
      <c r="G106" s="240"/>
      <c r="H106" s="107" t="s">
        <v>383</v>
      </c>
      <c r="I106" s="110">
        <v>58.5</v>
      </c>
      <c r="J106" s="241"/>
      <c r="K106" s="243"/>
    </row>
    <row r="107" spans="2:11">
      <c r="B107" s="251"/>
      <c r="C107" s="114" t="s">
        <v>45</v>
      </c>
      <c r="D107" s="110">
        <v>8.75</v>
      </c>
      <c r="E107" s="252"/>
      <c r="F107" s="253"/>
      <c r="G107" s="240"/>
      <c r="H107" s="107" t="s">
        <v>45</v>
      </c>
      <c r="I107" s="110">
        <v>58.1</v>
      </c>
      <c r="J107" s="241"/>
      <c r="K107" s="243"/>
    </row>
    <row r="108" spans="2:11">
      <c r="B108" s="251"/>
      <c r="C108" s="114" t="s">
        <v>46</v>
      </c>
      <c r="D108" s="110">
        <v>8.7129999999999992</v>
      </c>
      <c r="E108" s="252"/>
      <c r="F108" s="253"/>
      <c r="G108" s="240"/>
      <c r="H108" s="107" t="s">
        <v>46</v>
      </c>
      <c r="I108" s="110">
        <v>58.2</v>
      </c>
      <c r="J108" s="241"/>
      <c r="K108" s="243"/>
    </row>
    <row r="109" spans="2:11">
      <c r="B109" s="251"/>
      <c r="C109" s="114" t="s">
        <v>47</v>
      </c>
      <c r="D109" s="110">
        <v>8.6020000000000003</v>
      </c>
      <c r="E109" s="252"/>
      <c r="F109" s="253"/>
      <c r="G109" s="240"/>
      <c r="H109" s="107" t="s">
        <v>47</v>
      </c>
      <c r="I109" s="110">
        <v>58.4</v>
      </c>
      <c r="J109" s="241"/>
      <c r="K109" s="243"/>
    </row>
    <row r="110" spans="2:11">
      <c r="B110" s="251"/>
      <c r="C110" s="114" t="s">
        <v>48</v>
      </c>
      <c r="D110" s="110">
        <v>8.7590000000000003</v>
      </c>
      <c r="E110" s="252"/>
      <c r="F110" s="253"/>
      <c r="G110" s="240"/>
      <c r="H110" s="107" t="s">
        <v>48</v>
      </c>
      <c r="I110" s="110">
        <v>58.9</v>
      </c>
      <c r="J110" s="241"/>
      <c r="K110" s="243"/>
    </row>
    <row r="111" spans="2:11">
      <c r="B111" s="251"/>
      <c r="C111" s="114" t="s">
        <v>49</v>
      </c>
      <c r="D111" s="110">
        <v>8.7560000000000002</v>
      </c>
      <c r="E111" s="252"/>
      <c r="F111" s="253"/>
      <c r="G111" s="240"/>
      <c r="H111" s="107" t="s">
        <v>49</v>
      </c>
      <c r="I111" s="110">
        <v>58.4</v>
      </c>
      <c r="J111" s="241"/>
      <c r="K111" s="243"/>
    </row>
    <row r="112" spans="2:11">
      <c r="B112" s="251"/>
      <c r="C112" s="114" t="s">
        <v>50</v>
      </c>
      <c r="D112" s="110">
        <v>8.7530000000000001</v>
      </c>
      <c r="E112" s="252"/>
      <c r="F112" s="253"/>
      <c r="G112" s="240"/>
      <c r="H112" s="107" t="s">
        <v>50</v>
      </c>
      <c r="I112" s="110">
        <v>58.7</v>
      </c>
      <c r="J112" s="241"/>
      <c r="K112" s="243"/>
    </row>
    <row r="113" spans="2:11">
      <c r="B113" s="251"/>
      <c r="C113" s="114" t="s">
        <v>51</v>
      </c>
      <c r="D113" s="110">
        <v>8.7569999999999997</v>
      </c>
      <c r="E113" s="252"/>
      <c r="F113" s="253"/>
      <c r="G113" s="240"/>
      <c r="H113" s="107" t="s">
        <v>51</v>
      </c>
      <c r="I113" s="110">
        <v>59.7</v>
      </c>
      <c r="J113" s="241"/>
      <c r="K113" s="243"/>
    </row>
    <row r="114" spans="2:11">
      <c r="B114" s="251"/>
      <c r="C114" s="114" t="s">
        <v>52</v>
      </c>
      <c r="D114" s="110">
        <v>8.7650000000000006</v>
      </c>
      <c r="E114" s="252"/>
      <c r="F114" s="253"/>
      <c r="G114" s="240"/>
      <c r="H114" s="107" t="s">
        <v>52</v>
      </c>
      <c r="I114" s="110">
        <v>60.2</v>
      </c>
      <c r="J114" s="241"/>
      <c r="K114" s="243"/>
    </row>
    <row r="115" spans="2:11">
      <c r="B115" s="251"/>
      <c r="C115" s="114" t="s">
        <v>53</v>
      </c>
      <c r="D115" s="110">
        <v>8.9049999999999994</v>
      </c>
      <c r="E115" s="252"/>
      <c r="F115" s="253"/>
      <c r="G115" s="240"/>
      <c r="H115" s="107" t="s">
        <v>53</v>
      </c>
      <c r="I115" s="110">
        <v>59.2</v>
      </c>
      <c r="J115" s="241"/>
      <c r="K115" s="243"/>
    </row>
    <row r="116" spans="2:11">
      <c r="B116" s="251">
        <v>2026</v>
      </c>
      <c r="C116" s="114" t="s">
        <v>381</v>
      </c>
      <c r="D116" s="111">
        <v>9.2750000000000004</v>
      </c>
      <c r="E116" s="252"/>
      <c r="F116" s="253"/>
      <c r="G116" s="248">
        <v>2026</v>
      </c>
      <c r="H116" s="107" t="s">
        <v>381</v>
      </c>
      <c r="I116" s="111">
        <v>56.7</v>
      </c>
      <c r="J116" s="241"/>
      <c r="K116" s="243"/>
    </row>
    <row r="117" spans="2:11">
      <c r="B117" s="251"/>
      <c r="C117" s="114" t="s">
        <v>382</v>
      </c>
      <c r="D117" s="111">
        <v>9.7089999999999996</v>
      </c>
      <c r="E117" s="252"/>
      <c r="F117" s="253"/>
      <c r="G117" s="249"/>
      <c r="H117" s="107" t="s">
        <v>382</v>
      </c>
      <c r="I117" s="111">
        <v>58.7</v>
      </c>
      <c r="J117" s="241"/>
      <c r="K117" s="243"/>
    </row>
    <row r="118" spans="2:11">
      <c r="B118" s="251"/>
      <c r="C118" s="114" t="s">
        <v>383</v>
      </c>
      <c r="D118" s="111">
        <v>10.555</v>
      </c>
      <c r="E118" s="252"/>
      <c r="F118" s="253"/>
      <c r="G118" s="120"/>
      <c r="H118" s="270" t="s">
        <v>94</v>
      </c>
      <c r="I118" s="271"/>
      <c r="J118" s="241"/>
      <c r="K118" s="243"/>
    </row>
    <row r="119" spans="2:11">
      <c r="B119" s="254" t="s">
        <v>388</v>
      </c>
      <c r="C119" s="254"/>
      <c r="D119" s="254"/>
      <c r="E119" s="254"/>
      <c r="F119" s="254"/>
      <c r="G119" s="244" t="s">
        <v>395</v>
      </c>
      <c r="H119" s="245"/>
      <c r="I119" s="245"/>
      <c r="J119" s="245"/>
      <c r="K119" s="245"/>
    </row>
    <row r="120" spans="2:11">
      <c r="B120" s="115" t="s">
        <v>376</v>
      </c>
      <c r="C120" s="115" t="s">
        <v>377</v>
      </c>
      <c r="D120" s="115" t="s">
        <v>378</v>
      </c>
      <c r="E120" s="115" t="s">
        <v>379</v>
      </c>
      <c r="F120" s="115" t="s">
        <v>380</v>
      </c>
      <c r="G120" s="105" t="s">
        <v>376</v>
      </c>
      <c r="H120" s="105" t="s">
        <v>377</v>
      </c>
      <c r="I120" s="105" t="s">
        <v>378</v>
      </c>
      <c r="J120" s="105" t="s">
        <v>379</v>
      </c>
      <c r="K120" s="105" t="s">
        <v>380</v>
      </c>
    </row>
    <row r="121" spans="2:11">
      <c r="B121" s="251">
        <v>2024</v>
      </c>
      <c r="C121" s="114" t="s">
        <v>381</v>
      </c>
      <c r="D121" s="110">
        <v>12.95</v>
      </c>
      <c r="E121" s="252"/>
      <c r="F121" s="253" t="s">
        <v>398</v>
      </c>
      <c r="G121" s="240">
        <v>2024</v>
      </c>
      <c r="H121" s="107" t="s">
        <v>381</v>
      </c>
      <c r="I121" s="110">
        <v>12.7</v>
      </c>
      <c r="J121" s="241"/>
      <c r="K121" s="242" t="s">
        <v>399</v>
      </c>
    </row>
    <row r="122" spans="2:11">
      <c r="B122" s="251"/>
      <c r="C122" s="114" t="s">
        <v>382</v>
      </c>
      <c r="D122" s="110">
        <v>12.73</v>
      </c>
      <c r="E122" s="252"/>
      <c r="F122" s="253"/>
      <c r="G122" s="240"/>
      <c r="H122" s="107" t="s">
        <v>382</v>
      </c>
      <c r="I122" s="110">
        <v>11.7</v>
      </c>
      <c r="J122" s="241"/>
      <c r="K122" s="243"/>
    </row>
    <row r="123" spans="2:11">
      <c r="B123" s="251"/>
      <c r="C123" s="114" t="s">
        <v>383</v>
      </c>
      <c r="D123" s="110">
        <v>12.23</v>
      </c>
      <c r="E123" s="252"/>
      <c r="F123" s="253"/>
      <c r="G123" s="240"/>
      <c r="H123" s="107" t="s">
        <v>383</v>
      </c>
      <c r="I123" s="110">
        <v>11.3</v>
      </c>
      <c r="J123" s="241"/>
      <c r="K123" s="243"/>
    </row>
    <row r="124" spans="2:11">
      <c r="B124" s="251"/>
      <c r="C124" s="114" t="s">
        <v>45</v>
      </c>
      <c r="D124" s="110">
        <v>12.25</v>
      </c>
      <c r="E124" s="252"/>
      <c r="F124" s="253"/>
      <c r="G124" s="240"/>
      <c r="H124" s="107" t="s">
        <v>45</v>
      </c>
      <c r="I124" s="110">
        <v>10.6</v>
      </c>
      <c r="J124" s="241"/>
      <c r="K124" s="243"/>
    </row>
    <row r="125" spans="2:11">
      <c r="B125" s="251"/>
      <c r="C125" s="114" t="s">
        <v>46</v>
      </c>
      <c r="D125" s="110">
        <v>11.75</v>
      </c>
      <c r="E125" s="252"/>
      <c r="F125" s="253"/>
      <c r="G125" s="240"/>
      <c r="H125" s="107" t="s">
        <v>46</v>
      </c>
      <c r="I125" s="110">
        <v>10.3</v>
      </c>
      <c r="J125" s="241"/>
      <c r="K125" s="243"/>
    </row>
    <row r="126" spans="2:11">
      <c r="B126" s="251"/>
      <c r="C126" s="114" t="s">
        <v>47</v>
      </c>
      <c r="D126" s="110">
        <v>11.74</v>
      </c>
      <c r="E126" s="252"/>
      <c r="F126" s="253"/>
      <c r="G126" s="240"/>
      <c r="H126" s="107" t="s">
        <v>47</v>
      </c>
      <c r="I126" s="110">
        <v>10.3</v>
      </c>
      <c r="J126" s="241"/>
      <c r="K126" s="243"/>
    </row>
    <row r="127" spans="2:11">
      <c r="B127" s="251"/>
      <c r="C127" s="114" t="s">
        <v>48</v>
      </c>
      <c r="D127" s="110">
        <v>11.24</v>
      </c>
      <c r="E127" s="252"/>
      <c r="F127" s="253"/>
      <c r="G127" s="240"/>
      <c r="H127" s="107" t="s">
        <v>48</v>
      </c>
      <c r="I127" s="110">
        <v>9.9</v>
      </c>
      <c r="J127" s="241"/>
      <c r="K127" s="243"/>
    </row>
    <row r="128" spans="2:11">
      <c r="B128" s="251"/>
      <c r="C128" s="114" t="s">
        <v>49</v>
      </c>
      <c r="D128" s="110">
        <v>10.75</v>
      </c>
      <c r="E128" s="252"/>
      <c r="F128" s="253"/>
      <c r="G128" s="240"/>
      <c r="H128" s="107" t="s">
        <v>49</v>
      </c>
      <c r="I128" s="110">
        <v>9.6999999999999993</v>
      </c>
      <c r="J128" s="241"/>
      <c r="K128" s="243"/>
    </row>
    <row r="129" spans="2:11">
      <c r="B129" s="251"/>
      <c r="C129" s="114" t="s">
        <v>50</v>
      </c>
      <c r="D129" s="110">
        <v>10.75</v>
      </c>
      <c r="E129" s="252"/>
      <c r="F129" s="253"/>
      <c r="G129" s="240"/>
      <c r="H129" s="107" t="s">
        <v>50</v>
      </c>
      <c r="I129" s="110">
        <v>9.1</v>
      </c>
      <c r="J129" s="241"/>
      <c r="K129" s="243"/>
    </row>
    <row r="130" spans="2:11">
      <c r="B130" s="251"/>
      <c r="C130" s="114" t="s">
        <v>51</v>
      </c>
      <c r="D130" s="110">
        <v>10.26</v>
      </c>
      <c r="E130" s="252"/>
      <c r="F130" s="253"/>
      <c r="G130" s="240"/>
      <c r="H130" s="107" t="s">
        <v>51</v>
      </c>
      <c r="I130" s="110">
        <v>9.1</v>
      </c>
      <c r="J130" s="241"/>
      <c r="K130" s="243"/>
    </row>
    <row r="131" spans="2:11">
      <c r="B131" s="251"/>
      <c r="C131" s="114" t="s">
        <v>52</v>
      </c>
      <c r="D131" s="110">
        <v>9.75</v>
      </c>
      <c r="E131" s="252"/>
      <c r="F131" s="253"/>
      <c r="G131" s="240"/>
      <c r="H131" s="107" t="s">
        <v>52</v>
      </c>
      <c r="I131" s="110">
        <v>8.1999999999999993</v>
      </c>
      <c r="J131" s="241"/>
      <c r="K131" s="243"/>
    </row>
    <row r="132" spans="2:11">
      <c r="B132" s="251"/>
      <c r="C132" s="114" t="s">
        <v>53</v>
      </c>
      <c r="D132" s="110">
        <v>9.51</v>
      </c>
      <c r="E132" s="252"/>
      <c r="F132" s="253"/>
      <c r="G132" s="240"/>
      <c r="H132" s="107" t="s">
        <v>53</v>
      </c>
      <c r="I132" s="110">
        <v>9.1</v>
      </c>
      <c r="J132" s="241"/>
      <c r="K132" s="243"/>
    </row>
    <row r="133" spans="2:11">
      <c r="B133" s="251">
        <v>2025</v>
      </c>
      <c r="C133" s="114" t="s">
        <v>381</v>
      </c>
      <c r="D133" s="110">
        <v>9.5500000000000007</v>
      </c>
      <c r="E133" s="252"/>
      <c r="F133" s="253"/>
      <c r="G133" s="240">
        <v>2025</v>
      </c>
      <c r="H133" s="107" t="s">
        <v>381</v>
      </c>
      <c r="I133" s="110">
        <v>11.6</v>
      </c>
      <c r="J133" s="241"/>
      <c r="K133" s="243"/>
    </row>
    <row r="134" spans="2:11">
      <c r="B134" s="251"/>
      <c r="C134" s="114" t="s">
        <v>382</v>
      </c>
      <c r="D134" s="110">
        <v>9.5</v>
      </c>
      <c r="E134" s="252"/>
      <c r="F134" s="253"/>
      <c r="G134" s="240"/>
      <c r="H134" s="107" t="s">
        <v>382</v>
      </c>
      <c r="I134" s="110">
        <v>10.3</v>
      </c>
      <c r="J134" s="241"/>
      <c r="K134" s="243"/>
    </row>
    <row r="135" spans="2:11">
      <c r="B135" s="251"/>
      <c r="C135" s="114" t="s">
        <v>383</v>
      </c>
      <c r="D135" s="110">
        <v>9.52</v>
      </c>
      <c r="E135" s="252"/>
      <c r="F135" s="253"/>
      <c r="G135" s="240"/>
      <c r="H135" s="107" t="s">
        <v>383</v>
      </c>
      <c r="I135" s="110">
        <v>9.6</v>
      </c>
      <c r="J135" s="241"/>
      <c r="K135" s="243"/>
    </row>
    <row r="136" spans="2:11">
      <c r="B136" s="251"/>
      <c r="C136" s="114" t="s">
        <v>45</v>
      </c>
      <c r="D136" s="110">
        <v>9.5</v>
      </c>
      <c r="E136" s="252"/>
      <c r="F136" s="253"/>
      <c r="G136" s="240"/>
      <c r="H136" s="107" t="s">
        <v>45</v>
      </c>
      <c r="I136" s="110">
        <v>8.8000000000000007</v>
      </c>
      <c r="J136" s="241"/>
      <c r="K136" s="243"/>
    </row>
    <row r="137" spans="2:11">
      <c r="B137" s="251"/>
      <c r="C137" s="114" t="s">
        <v>46</v>
      </c>
      <c r="D137" s="110">
        <v>9.24</v>
      </c>
      <c r="E137" s="252"/>
      <c r="F137" s="253"/>
      <c r="G137" s="240"/>
      <c r="H137" s="107" t="s">
        <v>46</v>
      </c>
      <c r="I137" s="110">
        <v>9</v>
      </c>
      <c r="J137" s="241"/>
      <c r="K137" s="243"/>
    </row>
    <row r="138" spans="2:11">
      <c r="B138" s="251"/>
      <c r="C138" s="114" t="s">
        <v>47</v>
      </c>
      <c r="D138" s="110">
        <v>9.26</v>
      </c>
      <c r="E138" s="252"/>
      <c r="F138" s="253"/>
      <c r="G138" s="240"/>
      <c r="H138" s="107" t="s">
        <v>47</v>
      </c>
      <c r="I138" s="110">
        <v>8.6</v>
      </c>
      <c r="J138" s="241"/>
      <c r="K138" s="243"/>
    </row>
    <row r="139" spans="2:11">
      <c r="B139" s="251"/>
      <c r="C139" s="114" t="s">
        <v>48</v>
      </c>
      <c r="D139" s="110">
        <v>9.25</v>
      </c>
      <c r="E139" s="252"/>
      <c r="F139" s="253"/>
      <c r="G139" s="240"/>
      <c r="H139" s="107" t="s">
        <v>48</v>
      </c>
      <c r="I139" s="110">
        <v>8.8000000000000007</v>
      </c>
      <c r="J139" s="241"/>
      <c r="K139" s="243"/>
    </row>
    <row r="140" spans="2:11">
      <c r="B140" s="251"/>
      <c r="C140" s="114" t="s">
        <v>49</v>
      </c>
      <c r="D140" s="110">
        <v>9.25</v>
      </c>
      <c r="E140" s="252"/>
      <c r="F140" s="253"/>
      <c r="G140" s="240"/>
      <c r="H140" s="107" t="s">
        <v>49</v>
      </c>
      <c r="I140" s="110">
        <v>8.6</v>
      </c>
      <c r="J140" s="241"/>
      <c r="K140" s="243"/>
    </row>
    <row r="141" spans="2:11">
      <c r="B141" s="251"/>
      <c r="C141" s="114" t="s">
        <v>50</v>
      </c>
      <c r="D141" s="110">
        <v>9.25</v>
      </c>
      <c r="E141" s="252"/>
      <c r="F141" s="253"/>
      <c r="G141" s="240"/>
      <c r="H141" s="107" t="s">
        <v>50</v>
      </c>
      <c r="I141" s="110">
        <v>8.1999999999999993</v>
      </c>
      <c r="J141" s="241"/>
      <c r="K141" s="243"/>
    </row>
    <row r="142" spans="2:11">
      <c r="B142" s="251"/>
      <c r="C142" s="114" t="s">
        <v>51</v>
      </c>
      <c r="D142" s="110">
        <v>9.25</v>
      </c>
      <c r="E142" s="252"/>
      <c r="F142" s="253"/>
      <c r="G142" s="240"/>
      <c r="H142" s="107" t="s">
        <v>51</v>
      </c>
      <c r="I142" s="110">
        <v>8.1999999999999993</v>
      </c>
      <c r="J142" s="241"/>
      <c r="K142" s="243"/>
    </row>
    <row r="143" spans="2:11">
      <c r="B143" s="251"/>
      <c r="C143" s="114" t="s">
        <v>52</v>
      </c>
      <c r="D143" s="110">
        <v>9.1300000000000008</v>
      </c>
      <c r="E143" s="252"/>
      <c r="F143" s="253"/>
      <c r="G143" s="240"/>
      <c r="H143" s="107" t="s">
        <v>52</v>
      </c>
      <c r="I143" s="110">
        <v>7</v>
      </c>
      <c r="J143" s="241"/>
      <c r="K143" s="243"/>
    </row>
    <row r="144" spans="2:11">
      <c r="B144" s="251"/>
      <c r="C144" s="114" t="s">
        <v>53</v>
      </c>
      <c r="D144" s="110">
        <v>9.26</v>
      </c>
      <c r="E144" s="252"/>
      <c r="F144" s="253"/>
      <c r="G144" s="240"/>
      <c r="H144" s="107" t="s">
        <v>53</v>
      </c>
      <c r="I144" s="110">
        <v>8</v>
      </c>
      <c r="J144" s="241"/>
      <c r="K144" s="243"/>
    </row>
    <row r="145" spans="2:11">
      <c r="B145" s="251">
        <v>2026</v>
      </c>
      <c r="C145" s="114" t="s">
        <v>381</v>
      </c>
      <c r="D145" s="111">
        <v>9.27</v>
      </c>
      <c r="E145" s="252"/>
      <c r="F145" s="253"/>
      <c r="G145" s="248">
        <v>2026</v>
      </c>
      <c r="H145" s="107" t="s">
        <v>381</v>
      </c>
      <c r="I145" s="111">
        <v>10.9</v>
      </c>
      <c r="J145" s="241"/>
      <c r="K145" s="243"/>
    </row>
    <row r="146" spans="2:11">
      <c r="B146" s="251"/>
      <c r="C146" s="114" t="s">
        <v>382</v>
      </c>
      <c r="D146" s="111">
        <v>10.25</v>
      </c>
      <c r="E146" s="252"/>
      <c r="F146" s="253"/>
      <c r="G146" s="250"/>
      <c r="H146" s="107" t="s">
        <v>382</v>
      </c>
      <c r="I146" s="111">
        <v>9.1999999999999993</v>
      </c>
      <c r="J146" s="241"/>
      <c r="K146" s="243"/>
    </row>
    <row r="147" spans="2:11">
      <c r="B147" s="251"/>
      <c r="C147" s="114" t="s">
        <v>383</v>
      </c>
      <c r="D147" s="111">
        <v>10.25</v>
      </c>
      <c r="E147" s="252"/>
      <c r="F147" s="253"/>
      <c r="G147" s="272" t="s">
        <v>94</v>
      </c>
      <c r="H147" s="273"/>
      <c r="I147" s="274"/>
      <c r="J147" s="241"/>
      <c r="K147" s="243"/>
    </row>
  </sheetData>
  <mergeCells count="68">
    <mergeCell ref="G145:G146"/>
    <mergeCell ref="G147:I147"/>
    <mergeCell ref="G119:K119"/>
    <mergeCell ref="G121:G132"/>
    <mergeCell ref="J121:J147"/>
    <mergeCell ref="K121:K147"/>
    <mergeCell ref="G133:G144"/>
    <mergeCell ref="K63:K89"/>
    <mergeCell ref="G75:G86"/>
    <mergeCell ref="G90:K90"/>
    <mergeCell ref="G92:G103"/>
    <mergeCell ref="J92:J118"/>
    <mergeCell ref="K92:K118"/>
    <mergeCell ref="G104:G115"/>
    <mergeCell ref="G88:I89"/>
    <mergeCell ref="H118:I118"/>
    <mergeCell ref="G116:G117"/>
    <mergeCell ref="G32:K32"/>
    <mergeCell ref="G34:G45"/>
    <mergeCell ref="J34:J60"/>
    <mergeCell ref="K34:K60"/>
    <mergeCell ref="G46:G57"/>
    <mergeCell ref="G58:G60"/>
    <mergeCell ref="B119:F119"/>
    <mergeCell ref="B121:B132"/>
    <mergeCell ref="E121:E147"/>
    <mergeCell ref="F121:F147"/>
    <mergeCell ref="B133:B144"/>
    <mergeCell ref="B145:B147"/>
    <mergeCell ref="B61:F61"/>
    <mergeCell ref="B34:B45"/>
    <mergeCell ref="B90:F90"/>
    <mergeCell ref="B92:B103"/>
    <mergeCell ref="E92:E118"/>
    <mergeCell ref="F92:F118"/>
    <mergeCell ref="B104:B115"/>
    <mergeCell ref="B116:B118"/>
    <mergeCell ref="G2:K2"/>
    <mergeCell ref="B2:F2"/>
    <mergeCell ref="B3:F3"/>
    <mergeCell ref="B5:B16"/>
    <mergeCell ref="B17:B28"/>
    <mergeCell ref="K5:K31"/>
    <mergeCell ref="G5:G8"/>
    <mergeCell ref="G9:G12"/>
    <mergeCell ref="G13:G16"/>
    <mergeCell ref="G3:K3"/>
    <mergeCell ref="G17:G20"/>
    <mergeCell ref="G21:G24"/>
    <mergeCell ref="G25:G28"/>
    <mergeCell ref="G29:I31"/>
    <mergeCell ref="J5:J31"/>
    <mergeCell ref="B29:B31"/>
    <mergeCell ref="E5:E31"/>
    <mergeCell ref="F5:F31"/>
    <mergeCell ref="G61:K61"/>
    <mergeCell ref="G63:G74"/>
    <mergeCell ref="J63:J89"/>
    <mergeCell ref="B32:F32"/>
    <mergeCell ref="B63:B74"/>
    <mergeCell ref="E63:E89"/>
    <mergeCell ref="F63:F89"/>
    <mergeCell ref="B75:B86"/>
    <mergeCell ref="B87:B89"/>
    <mergeCell ref="E34:E60"/>
    <mergeCell ref="F34:F60"/>
    <mergeCell ref="B46:B57"/>
    <mergeCell ref="B58:B60"/>
  </mergeCells>
  <phoneticPr fontId="29"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Proyecciones</vt:lpstr>
      <vt:lpstr>Cuentas T</vt:lpstr>
      <vt:lpstr>Rentabilidad del inversor</vt:lpstr>
      <vt:lpstr>Flujos De Efectivo</vt:lpstr>
      <vt:lpstr>Resultados Integrales</vt:lpstr>
      <vt:lpstr>Situación Financiera</vt:lpstr>
      <vt:lpstr>Estudio de mercado</vt:lpstr>
      <vt:lpstr>Estudio Técnico</vt:lpstr>
      <vt:lpstr>Estudio Administrativo</vt:lpstr>
      <vt:lpstr>Estudio Legal</vt:lpstr>
      <vt:lpstr>Estudio Ambiental</vt:lpstr>
      <vt:lpstr>D-O-F-A</vt:lpstr>
      <vt:lpstr>GANNT</vt:lpstr>
      <vt:lpstr>Hoja1</vt:lpstr>
      <vt:lpstr>Indicadores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ESTUDIANTE 3</dc:creator>
  <cp:lastModifiedBy>Manuel</cp:lastModifiedBy>
  <cp:lastPrinted>2026-04-20T22:56:50Z</cp:lastPrinted>
  <dcterms:created xsi:type="dcterms:W3CDTF">2026-04-21T00:31:30Z</dcterms:created>
  <dcterms:modified xsi:type="dcterms:W3CDTF">2026-05-05T05:00:04Z</dcterms:modified>
</cp:coreProperties>
</file>