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nt" sheetId="1" r:id="rId4"/>
    <sheet state="visible" name="Daily Expense_March25" sheetId="2" r:id="rId5"/>
    <sheet state="visible" name="Monthly Constant Expense" sheetId="3" r:id="rId6"/>
    <sheet state="visible" name="Daily Expense_Feb25" sheetId="4" r:id="rId7"/>
    <sheet state="visible" name="Daily Expense_Jan25" sheetId="5" r:id="rId8"/>
    <sheet state="visible" name="Daily Expense_Dec24" sheetId="6" r:id="rId9"/>
    <sheet state="visible" name="Daily Expense_Nov" sheetId="7" r:id="rId10"/>
    <sheet state="visible" name=" Daily Expense_Oct" sheetId="8" r:id="rId11"/>
    <sheet state="visible" name="Daily Expense_Sep" sheetId="9" r:id="rId12"/>
    <sheet state="visible" name="Daily Expense_August" sheetId="10" r:id="rId13"/>
    <sheet state="visible" name="Daily Expense_July" sheetId="11" r:id="rId14"/>
    <sheet state="visible" name="Total Type Payment_July" sheetId="12" r:id="rId15"/>
    <sheet state="visible" name="Daily Expense_June" sheetId="13" r:id="rId16"/>
    <sheet state="visible" name="Total Type Payment_June" sheetId="14" r:id="rId17"/>
    <sheet state="visible" name="Daily Expense_May" sheetId="15" r:id="rId18"/>
    <sheet state="visible" name="Total Type Payment_May" sheetId="16" r:id="rId19"/>
    <sheet state="visible" name="Daily Expense_Apr" sheetId="17" r:id="rId20"/>
    <sheet state="visible" name="Total Type Payment_Apr" sheetId="18" r:id="rId21"/>
    <sheet state="visible" name="Daily Expense_Mar" sheetId="19" r:id="rId22"/>
    <sheet state="visible" name=" Total Type Payment_Mar" sheetId="20" r:id="rId23"/>
    <sheet state="visible" name="Daily Expense_Feb" sheetId="21" r:id="rId24"/>
    <sheet state="visible" name="Total Type Payment_Feb" sheetId="22" r:id="rId25"/>
    <sheet state="visible" name="Daily Expense_Jan" sheetId="23" r:id="rId26"/>
    <sheet state="hidden" name="Daily expense" sheetId="24" r:id="rId27"/>
    <sheet state="visible" name="Total Type Payment_Jan" sheetId="25" r:id="rId28"/>
    <sheet state="hidden" name="Daily Expense_Dec" sheetId="26" r:id="rId29"/>
    <sheet state="hidden" name="Total Type Payment_Dec" sheetId="27" r:id="rId30"/>
    <sheet state="visible" name="Share expense" sheetId="28" r:id="rId31"/>
  </sheets>
  <definedNames>
    <definedName hidden="1" localSheetId="1" name="_xlnm._FilterDatabase">'Daily Expense_March25'!$A$12:$AA$100</definedName>
    <definedName hidden="1" localSheetId="3" name="_xlnm._FilterDatabase">'Daily Expense_Feb25'!$A$12:$AA$100</definedName>
    <definedName hidden="1" localSheetId="4" name="_xlnm._FilterDatabase">'Daily Expense_Jan25'!$A$12:$AA$100</definedName>
    <definedName hidden="1" localSheetId="5" name="_xlnm._FilterDatabase">'Daily Expense_Dec24'!$A$12:$AA$178</definedName>
    <definedName hidden="1" localSheetId="6" name="_xlnm._FilterDatabase">'Daily Expense_Nov'!$A$12:$AA$69</definedName>
    <definedName hidden="1" localSheetId="7" name="_xlnm._FilterDatabase">' Daily Expense_Oct'!$A$12:$AA$79</definedName>
    <definedName hidden="1" localSheetId="8" name="_xlnm._FilterDatabase">'Daily Expense_Sep'!$A$12:$AA$69</definedName>
    <definedName hidden="1" localSheetId="9" name="_xlnm._FilterDatabase">'Daily Expense_August'!$A$12:$AA$63</definedName>
    <definedName hidden="1" localSheetId="10" name="_xlnm._FilterDatabase">'Daily Expense_July'!$A$12:$AA$108</definedName>
    <definedName hidden="1" localSheetId="12" name="_xlnm._FilterDatabase">'Daily Expense_June'!$A$12:$AA$55</definedName>
    <definedName hidden="1" localSheetId="14" name="_xlnm._FilterDatabase">'Daily Expense_May'!$A$12:$AA$106</definedName>
    <definedName hidden="1" localSheetId="16" name="_xlnm._FilterDatabase">'Daily Expense_Apr'!$A$12:$AA$93</definedName>
  </definedNames>
  <calcPr/>
</workbook>
</file>

<file path=xl/sharedStrings.xml><?xml version="1.0" encoding="utf-8"?>
<sst xmlns="http://schemas.openxmlformats.org/spreadsheetml/2006/main" count="5503" uniqueCount="849">
  <si>
    <t>Month</t>
  </si>
  <si>
    <t>SUM</t>
  </si>
  <si>
    <t>Timothy</t>
  </si>
  <si>
    <t>650 * 7</t>
  </si>
  <si>
    <t>Rachel</t>
  </si>
  <si>
    <t>Kalong</t>
  </si>
  <si>
    <t>Daisy</t>
  </si>
  <si>
    <t>Esther</t>
  </si>
  <si>
    <t>Ivan</t>
  </si>
  <si>
    <t>Type 說明</t>
  </si>
  <si>
    <t>Paid</t>
  </si>
  <si>
    <t>食物</t>
  </si>
  <si>
    <t>包括所有買餸煮飯的食材，或外賣/出外用餐費用</t>
  </si>
  <si>
    <t>BL</t>
  </si>
  <si>
    <t>Pigskin</t>
  </si>
  <si>
    <t>Angel</t>
  </si>
  <si>
    <t>Ken9</t>
  </si>
  <si>
    <t>Devin</t>
  </si>
  <si>
    <t>Oscar</t>
  </si>
  <si>
    <t>飲品</t>
  </si>
  <si>
    <t>字面意思，汽水/手搖/牛奶/紙包飲品等</t>
  </si>
  <si>
    <t>衣物</t>
  </si>
  <si>
    <t>所有服裝</t>
  </si>
  <si>
    <t>居家</t>
  </si>
  <si>
    <t>廚房/房間/廁所相關用品，如廁紙/廚房紙/衣架等</t>
  </si>
  <si>
    <t>電子產品</t>
  </si>
  <si>
    <t>所有會通電物品</t>
  </si>
  <si>
    <t>娛樂</t>
  </si>
  <si>
    <t>如睇電影/遊樂場等洗費</t>
  </si>
  <si>
    <t>交通</t>
  </si>
  <si>
    <t>乘車費用，如TTC/Uber</t>
  </si>
  <si>
    <t>醫藥</t>
  </si>
  <si>
    <t>藥品</t>
  </si>
  <si>
    <t>其他</t>
  </si>
  <si>
    <t>以上項目不能分類的事物</t>
  </si>
  <si>
    <t>H13:N 處請填入"1" 以代表有份購買</t>
  </si>
  <si>
    <t>Date</t>
  </si>
  <si>
    <t>Item</t>
  </si>
  <si>
    <t>Type</t>
  </si>
  <si>
    <t>Price</t>
  </si>
  <si>
    <t>Paid by</t>
  </si>
  <si>
    <t>For Record 請勿清除</t>
  </si>
  <si>
    <t>Average 清算後可清除</t>
  </si>
  <si>
    <t>Bryan</t>
  </si>
  <si>
    <t>Ken 9</t>
  </si>
  <si>
    <t>Pho</t>
  </si>
  <si>
    <t>Foody</t>
  </si>
  <si>
    <t>tnt</t>
  </si>
  <si>
    <t>3wO</t>
  </si>
  <si>
    <t>bo jai fan</t>
  </si>
  <si>
    <t>Costco</t>
  </si>
  <si>
    <t>TNT</t>
  </si>
  <si>
    <t>Dinner</t>
  </si>
  <si>
    <t>Lyft</t>
  </si>
  <si>
    <t>Total Price</t>
  </si>
  <si>
    <t>Per person</t>
  </si>
  <si>
    <t>Apple</t>
  </si>
  <si>
    <t>2 months rent</t>
  </si>
  <si>
    <t>Housing Insurance</t>
  </si>
  <si>
    <t>Rent (up-front)</t>
  </si>
  <si>
    <t>Key Deposit</t>
  </si>
  <si>
    <t>Furniture Deposit</t>
  </si>
  <si>
    <t>Rent</t>
  </si>
  <si>
    <t>Water</t>
  </si>
  <si>
    <t>Heat (19/10-16/11)</t>
  </si>
  <si>
    <t>Returned 30</t>
  </si>
  <si>
    <t>Electricity</t>
  </si>
  <si>
    <t>OCT 26 2023 TO NOV 28 2023 33 397.626 1.0295 409.352</t>
  </si>
  <si>
    <t>Internet</t>
  </si>
  <si>
    <t>Heat(17/11-14/12)</t>
  </si>
  <si>
    <t>Return 30</t>
  </si>
  <si>
    <t>Heat</t>
  </si>
  <si>
    <t>January 18, 2024 - February 14, 2024</t>
  </si>
  <si>
    <t>o</t>
  </si>
  <si>
    <t>Credit</t>
  </si>
  <si>
    <t>Debit</t>
  </si>
  <si>
    <t>credit</t>
  </si>
  <si>
    <t>0679</t>
  </si>
  <si>
    <t>debit</t>
  </si>
  <si>
    <t xml:space="preserve">Master </t>
  </si>
  <si>
    <t>waffleland</t>
  </si>
  <si>
    <t>Water (Pay by Rachel)</t>
  </si>
  <si>
    <t xml:space="preserve">Water </t>
  </si>
  <si>
    <t>喺key deposit退咗</t>
  </si>
  <si>
    <t>Key deposit (退俾大家）</t>
  </si>
  <si>
    <t>Rent for 2 months</t>
  </si>
  <si>
    <t>Key deposit</t>
  </si>
  <si>
    <t>Heat January 17, 2025 - February 18, 2025</t>
  </si>
  <si>
    <t>/</t>
  </si>
  <si>
    <t>Heat Feb 19 - Mar 18</t>
  </si>
  <si>
    <t>東記</t>
  </si>
  <si>
    <t>jsan</t>
  </si>
  <si>
    <t>Green Graps</t>
  </si>
  <si>
    <t>Yogurt</t>
  </si>
  <si>
    <t>Almonds</t>
  </si>
  <si>
    <t>Banana</t>
  </si>
  <si>
    <t>Shrimp</t>
  </si>
  <si>
    <t>Zero</t>
  </si>
  <si>
    <t>Jsan</t>
  </si>
  <si>
    <t>FAsia Food Mart</t>
  </si>
  <si>
    <t>Gbo</t>
  </si>
  <si>
    <t>Phoenix Cafe</t>
  </si>
  <si>
    <t>V</t>
  </si>
  <si>
    <t>ding tai feng</t>
  </si>
  <si>
    <t>hoja</t>
  </si>
  <si>
    <t>lotion</t>
  </si>
  <si>
    <t>water</t>
  </si>
  <si>
    <t>yogurt</t>
  </si>
  <si>
    <t>Cashews</t>
  </si>
  <si>
    <t>dove</t>
  </si>
  <si>
    <t>lac free 2%</t>
  </si>
  <si>
    <t>pantene</t>
  </si>
  <si>
    <t>10% cream</t>
  </si>
  <si>
    <t>wing</t>
  </si>
  <si>
    <t>egg</t>
  </si>
  <si>
    <t>sweater</t>
  </si>
  <si>
    <t>O street cafe</t>
  </si>
  <si>
    <t>du shiao yue</t>
  </si>
  <si>
    <t>水族館</t>
  </si>
  <si>
    <t>blue mountain</t>
  </si>
  <si>
    <t>foody</t>
  </si>
  <si>
    <t>煲仔飯</t>
  </si>
  <si>
    <t>Costco spaghetti</t>
  </si>
  <si>
    <t>沙律菜</t>
  </si>
  <si>
    <t>milk</t>
  </si>
  <si>
    <t>cream</t>
  </si>
  <si>
    <t>thigh</t>
  </si>
  <si>
    <t>rib</t>
  </si>
  <si>
    <t>bag</t>
  </si>
  <si>
    <t>cheese</t>
  </si>
  <si>
    <t>Octopus</t>
  </si>
  <si>
    <t>八爪魚</t>
  </si>
  <si>
    <t>Cros Croissanterie</t>
  </si>
  <si>
    <t>森石</t>
  </si>
  <si>
    <t>Sweet house</t>
  </si>
  <si>
    <t>Siu mei</t>
  </si>
  <si>
    <t>Daimaru</t>
  </si>
  <si>
    <t>rent car</t>
  </si>
  <si>
    <t>Gloves</t>
  </si>
  <si>
    <t>衣服</t>
  </si>
  <si>
    <t>Mcdonald</t>
  </si>
  <si>
    <t>Deer garden</t>
  </si>
  <si>
    <t>金磚</t>
  </si>
  <si>
    <t>Tnt soy sauce</t>
  </si>
  <si>
    <t>放題</t>
  </si>
  <si>
    <t>東海</t>
  </si>
  <si>
    <t>lakeridge</t>
  </si>
  <si>
    <t>年糕</t>
  </si>
  <si>
    <t>foody'</t>
  </si>
  <si>
    <t>Tnt</t>
  </si>
  <si>
    <t>皮片鴨</t>
  </si>
  <si>
    <t>Bathroom tissue</t>
  </si>
  <si>
    <t>Lindor</t>
  </si>
  <si>
    <t>chocolate</t>
  </si>
  <si>
    <t>oil</t>
  </si>
  <si>
    <t>Samwoo</t>
  </si>
  <si>
    <t>keg</t>
  </si>
  <si>
    <t>Morris</t>
  </si>
  <si>
    <t>Food Mark</t>
  </si>
  <si>
    <t>Costco 紙巾</t>
  </si>
  <si>
    <t>濕紙巾</t>
  </si>
  <si>
    <t>Ketchup</t>
  </si>
  <si>
    <t>Softener</t>
  </si>
  <si>
    <t>3Wo</t>
  </si>
  <si>
    <t>Hair Dryer</t>
  </si>
  <si>
    <t>Ultima Cosa Machine</t>
  </si>
  <si>
    <t>Foody Binno</t>
  </si>
  <si>
    <t>Costco coffee</t>
  </si>
  <si>
    <t>Costco lulu</t>
  </si>
  <si>
    <t>Car license plate</t>
  </si>
  <si>
    <t>Yours food</t>
  </si>
  <si>
    <t>金玉滿堂</t>
  </si>
  <si>
    <t>bathroom tissue</t>
  </si>
  <si>
    <t>東海棠</t>
  </si>
  <si>
    <t>Distillery</t>
  </si>
  <si>
    <t>Costco 脆香雞翼</t>
  </si>
  <si>
    <t>Don Sea Don</t>
  </si>
  <si>
    <t>車仔麵</t>
  </si>
  <si>
    <t>McD</t>
  </si>
  <si>
    <t>lomaichi</t>
  </si>
  <si>
    <t>知味煲仔飯</t>
  </si>
  <si>
    <t>Ikea</t>
  </si>
  <si>
    <t>燒肉</t>
  </si>
  <si>
    <t>Cineplex</t>
  </si>
  <si>
    <t>Costco fila</t>
  </si>
  <si>
    <t>ferrero</t>
  </si>
  <si>
    <t>5 club pack</t>
  </si>
  <si>
    <t>yu seafood</t>
  </si>
  <si>
    <t>Mr bao</t>
  </si>
  <si>
    <t>walmart</t>
  </si>
  <si>
    <t>Phoenix</t>
  </si>
  <si>
    <t>metro</t>
  </si>
  <si>
    <t>Walmart</t>
  </si>
  <si>
    <t>mcgriddle</t>
  </si>
  <si>
    <t>BEN</t>
  </si>
  <si>
    <t>No frills 酥皮</t>
  </si>
  <si>
    <t>Hatch coffee</t>
  </si>
  <si>
    <t>yunshang</t>
  </si>
  <si>
    <t>紅酒牛</t>
  </si>
  <si>
    <t>糖水</t>
  </si>
  <si>
    <t>3 wo</t>
  </si>
  <si>
    <t>Linh</t>
  </si>
  <si>
    <t>honda key fob</t>
  </si>
  <si>
    <t>Wire crimping tool</t>
  </si>
  <si>
    <t>shoe rack</t>
  </si>
  <si>
    <t>uber</t>
  </si>
  <si>
    <t>Mabu</t>
  </si>
  <si>
    <t>First Choice</t>
  </si>
  <si>
    <t>Grains Fish</t>
  </si>
  <si>
    <t>Sugar sweet</t>
  </si>
  <si>
    <t>Keg</t>
  </si>
  <si>
    <t>Toilet paper</t>
  </si>
  <si>
    <t>TnT</t>
  </si>
  <si>
    <t>Food basic</t>
  </si>
  <si>
    <t>Costco 餃子</t>
  </si>
  <si>
    <t>Sapporo</t>
  </si>
  <si>
    <t>Woodstone</t>
  </si>
  <si>
    <t>coffee stuff</t>
  </si>
  <si>
    <t>monitor</t>
  </si>
  <si>
    <t>3wo</t>
  </si>
  <si>
    <t>搬屋油錢</t>
  </si>
  <si>
    <t>U haul</t>
  </si>
  <si>
    <t>Table</t>
  </si>
  <si>
    <t>Graind fish noodles</t>
  </si>
  <si>
    <t>大有</t>
  </si>
  <si>
    <t>Ikea Chair</t>
  </si>
  <si>
    <t>costco ribs</t>
  </si>
  <si>
    <t>炸雞</t>
  </si>
  <si>
    <t>crossiant</t>
  </si>
  <si>
    <t>lays</t>
  </si>
  <si>
    <t>haagendazs</t>
  </si>
  <si>
    <t>洗衣液</t>
  </si>
  <si>
    <t>洗碗機波波</t>
  </si>
  <si>
    <t>cafe de hk</t>
  </si>
  <si>
    <t>豬腳飯</t>
  </si>
  <si>
    <t>Food Basic</t>
  </si>
  <si>
    <t>Ajisan remen</t>
  </si>
  <si>
    <t>Good catch</t>
  </si>
  <si>
    <t>Ikea Kitchen stuff</t>
  </si>
  <si>
    <t>Cafe de hk</t>
  </si>
  <si>
    <t>Sugar Sweet</t>
  </si>
  <si>
    <t>Metro</t>
  </si>
  <si>
    <t>Costco Shrimp</t>
  </si>
  <si>
    <t>Ruffles</t>
  </si>
  <si>
    <t>Pepsi</t>
  </si>
  <si>
    <t>Coconut</t>
  </si>
  <si>
    <t xml:space="preserve">Ikea </t>
  </si>
  <si>
    <t>WD40</t>
  </si>
  <si>
    <t>Nofrills</t>
  </si>
  <si>
    <t>Red tea</t>
  </si>
  <si>
    <t>Italian Food</t>
  </si>
  <si>
    <t>3A noodle</t>
  </si>
  <si>
    <t>Rice</t>
  </si>
  <si>
    <t>Kolor concert</t>
  </si>
  <si>
    <t>Housing insurance</t>
  </si>
  <si>
    <t>car mirror</t>
  </si>
  <si>
    <t>wo shun</t>
  </si>
  <si>
    <t>Magic noodles</t>
  </si>
  <si>
    <t>Can opener</t>
  </si>
  <si>
    <t>Noodles</t>
  </si>
  <si>
    <t>instant pot float</t>
  </si>
  <si>
    <t>costco zero</t>
  </si>
  <si>
    <t>costco yogurt</t>
  </si>
  <si>
    <t>omega</t>
  </si>
  <si>
    <t>chicken</t>
  </si>
  <si>
    <t>燈籠</t>
  </si>
  <si>
    <t>Sushi</t>
  </si>
  <si>
    <t>Grains Fish noodles</t>
  </si>
  <si>
    <t>mooncake</t>
  </si>
  <si>
    <t>飲茶</t>
  </si>
  <si>
    <t>Carpaint</t>
  </si>
  <si>
    <t>wiper</t>
  </si>
  <si>
    <t>Towel</t>
  </si>
  <si>
    <t>Mr Congee</t>
  </si>
  <si>
    <t>rachel</t>
  </si>
  <si>
    <t>j san</t>
  </si>
  <si>
    <t>House insurance</t>
  </si>
  <si>
    <t>Stretch wrap</t>
  </si>
  <si>
    <t>Lunch</t>
  </si>
  <si>
    <t>豬肋骨</t>
  </si>
  <si>
    <t>Temu</t>
  </si>
  <si>
    <t>Siu mai</t>
  </si>
  <si>
    <t>Daango</t>
  </si>
  <si>
    <t>film</t>
  </si>
  <si>
    <t>lyft</t>
  </si>
  <si>
    <t>rice</t>
  </si>
  <si>
    <t>pho</t>
  </si>
  <si>
    <t>movie</t>
  </si>
  <si>
    <t>Pigksin</t>
  </si>
  <si>
    <t>Costco tissue</t>
  </si>
  <si>
    <t>coke zero</t>
  </si>
  <si>
    <t>toilet paper</t>
  </si>
  <si>
    <t>chicken fried</t>
  </si>
  <si>
    <t>法包</t>
  </si>
  <si>
    <t>m gay</t>
  </si>
  <si>
    <t>Garden</t>
  </si>
  <si>
    <t>EGG</t>
  </si>
  <si>
    <t>timothy</t>
  </si>
  <si>
    <t>Cross</t>
  </si>
  <si>
    <t>Firework</t>
  </si>
  <si>
    <t xml:space="preserve">3A </t>
  </si>
  <si>
    <t>Siumei</t>
  </si>
  <si>
    <t>salt</t>
  </si>
  <si>
    <t>shrimp</t>
  </si>
  <si>
    <t>Oreo</t>
  </si>
  <si>
    <t>Pizza</t>
  </si>
  <si>
    <t>sam woo</t>
  </si>
  <si>
    <t>gyubee</t>
  </si>
  <si>
    <t>Charsiu</t>
  </si>
  <si>
    <t>法棍</t>
  </si>
  <si>
    <t>Lettuce</t>
  </si>
  <si>
    <t>Mgay</t>
  </si>
  <si>
    <t>Yinji</t>
  </si>
  <si>
    <t>糖記</t>
  </si>
  <si>
    <t>百力滋</t>
  </si>
  <si>
    <t>Golden bubble</t>
  </si>
  <si>
    <t>Jamieson cranberry</t>
  </si>
  <si>
    <t>Handheld light</t>
  </si>
  <si>
    <t>Bath stone</t>
  </si>
  <si>
    <t>Mouse</t>
  </si>
  <si>
    <t>Monitor</t>
  </si>
  <si>
    <t>sony earbuds</t>
  </si>
  <si>
    <t>Grater</t>
  </si>
  <si>
    <t>DVI cable</t>
  </si>
  <si>
    <t>Cordless drill</t>
  </si>
  <si>
    <t>June總支出</t>
  </si>
  <si>
    <t>類別</t>
  </si>
  <si>
    <t>居家（包括月租水電煤）</t>
  </si>
  <si>
    <t>Total</t>
  </si>
  <si>
    <t>Sam woo</t>
  </si>
  <si>
    <t>Dai 3 Yuen</t>
  </si>
  <si>
    <t>Systane</t>
  </si>
  <si>
    <t>Kan Jam</t>
  </si>
  <si>
    <t>Coke</t>
  </si>
  <si>
    <t>Tissue</t>
  </si>
  <si>
    <t>Food</t>
  </si>
  <si>
    <t>Cider</t>
  </si>
  <si>
    <t>Mushroom</t>
  </si>
  <si>
    <t>Phoexis</t>
  </si>
  <si>
    <t>Ramen</t>
  </si>
  <si>
    <t>hand cream</t>
  </si>
  <si>
    <t>Toothpaste</t>
  </si>
  <si>
    <t>Spoon</t>
  </si>
  <si>
    <t>Macbook case</t>
  </si>
  <si>
    <t>chopstick</t>
  </si>
  <si>
    <t>Umbrella</t>
  </si>
  <si>
    <t>Gummies</t>
  </si>
  <si>
    <t>Mic</t>
  </si>
  <si>
    <t>tnt binlo</t>
  </si>
  <si>
    <t>Binlo</t>
  </si>
  <si>
    <t>No Frilla</t>
  </si>
  <si>
    <t>Congee</t>
  </si>
  <si>
    <t>Flower</t>
  </si>
  <si>
    <t>Dollarama</t>
  </si>
  <si>
    <t>homesense</t>
  </si>
  <si>
    <t>sun food</t>
  </si>
  <si>
    <t>Dumplings</t>
  </si>
  <si>
    <t>Bell</t>
  </si>
  <si>
    <t>Costco nacho</t>
  </si>
  <si>
    <t>yoga mat</t>
  </si>
  <si>
    <t>Zoo Lunch</t>
  </si>
  <si>
    <t>Zoo</t>
  </si>
  <si>
    <t>和順記</t>
  </si>
  <si>
    <t>ikea</t>
  </si>
  <si>
    <t>Can tire</t>
  </si>
  <si>
    <t>大有名糖</t>
  </si>
  <si>
    <t>Isshin</t>
  </si>
  <si>
    <t>Canadian Tire</t>
  </si>
  <si>
    <t>tnt bbq</t>
  </si>
  <si>
    <t>Sunfood</t>
  </si>
  <si>
    <t>sugar sweet</t>
  </si>
  <si>
    <t>Yesstyle</t>
  </si>
  <si>
    <t xml:space="preserve">Esther </t>
  </si>
  <si>
    <t>Putoguese tart</t>
  </si>
  <si>
    <t>Fresh co</t>
  </si>
  <si>
    <t>Siuyu</t>
  </si>
  <si>
    <t>MC</t>
  </si>
  <si>
    <t>Curry dinner</t>
  </si>
  <si>
    <t>BBq</t>
  </si>
  <si>
    <t>Neck meat</t>
  </si>
  <si>
    <t>Du shao yue</t>
  </si>
  <si>
    <t>BBQ</t>
  </si>
  <si>
    <t>1/6/</t>
  </si>
  <si>
    <t>potato</t>
  </si>
  <si>
    <t>breast</t>
  </si>
  <si>
    <t>Scotties tissue</t>
  </si>
  <si>
    <t>Olay</t>
  </si>
  <si>
    <t>Stawberry</t>
  </si>
  <si>
    <t>Othera</t>
  </si>
  <si>
    <t>othera</t>
  </si>
  <si>
    <t>BBQ kam kam</t>
  </si>
  <si>
    <t>May總支出</t>
  </si>
  <si>
    <t>Arthur</t>
  </si>
  <si>
    <t>Samuel</t>
  </si>
  <si>
    <t>Tnt sukiyaki</t>
  </si>
  <si>
    <t>Pei pa koa</t>
  </si>
  <si>
    <t xml:space="preserve">Foody </t>
  </si>
  <si>
    <t>tamjai</t>
  </si>
  <si>
    <t>Sewing kit</t>
  </si>
  <si>
    <t>Uber</t>
  </si>
  <si>
    <t>Bl</t>
  </si>
  <si>
    <t>Jayson</t>
  </si>
  <si>
    <t>Cantire</t>
  </si>
  <si>
    <t>松田</t>
  </si>
  <si>
    <t>TT</t>
  </si>
  <si>
    <t>foody dinner</t>
  </si>
  <si>
    <t>Korean BBQ</t>
  </si>
  <si>
    <t>Fisherman</t>
  </si>
  <si>
    <t>T&amp;T</t>
  </si>
  <si>
    <t>Boardgame</t>
  </si>
  <si>
    <t>Dominos</t>
  </si>
  <si>
    <t>Foody PHO</t>
  </si>
  <si>
    <t>Foody pho</t>
  </si>
  <si>
    <t>鹿園</t>
  </si>
  <si>
    <t>Binno</t>
  </si>
  <si>
    <t>Tnt binlo</t>
  </si>
  <si>
    <t>Activate</t>
  </si>
  <si>
    <t>Tnt dinner</t>
  </si>
  <si>
    <t>Curry udon</t>
  </si>
  <si>
    <t>3A</t>
  </si>
  <si>
    <t>Foody carrot</t>
  </si>
  <si>
    <t>tnt dinner</t>
  </si>
  <si>
    <t>Foody dinner</t>
  </si>
  <si>
    <t>black socks</t>
  </si>
  <si>
    <t>Shower filter</t>
  </si>
  <si>
    <t>Hair dryer</t>
  </si>
  <si>
    <t xml:space="preserve">metro </t>
  </si>
  <si>
    <t>lunch</t>
  </si>
  <si>
    <t>Costco cannelloni</t>
  </si>
  <si>
    <t xml:space="preserve">Tiramisu </t>
  </si>
  <si>
    <t>Sweeper dust mop</t>
  </si>
  <si>
    <t>Batteries</t>
  </si>
  <si>
    <t>Homesenss</t>
  </si>
  <si>
    <t>pork ribs</t>
  </si>
  <si>
    <t>Chicken soup</t>
  </si>
  <si>
    <t>dishwash</t>
  </si>
  <si>
    <t>Dicky</t>
  </si>
  <si>
    <t>Ikea hanger</t>
  </si>
  <si>
    <t>shiitakecrsp</t>
  </si>
  <si>
    <t>Snuggle</t>
  </si>
  <si>
    <t>Proglide</t>
  </si>
  <si>
    <t>dinner</t>
  </si>
  <si>
    <t>Chicken breast</t>
  </si>
  <si>
    <t>Chicken</t>
  </si>
  <si>
    <t>Apr總支出</t>
  </si>
  <si>
    <t>Egg</t>
  </si>
  <si>
    <t>Mini Golf</t>
  </si>
  <si>
    <t>Cake</t>
  </si>
  <si>
    <t>No frills</t>
  </si>
  <si>
    <t xml:space="preserve">Food Basic </t>
  </si>
  <si>
    <t>車仔麵dinner</t>
  </si>
  <si>
    <t>TNT dinner</t>
  </si>
  <si>
    <t>Costoc</t>
  </si>
  <si>
    <t>Costoo</t>
  </si>
  <si>
    <t>Orange</t>
  </si>
  <si>
    <t>Blue Brris</t>
  </si>
  <si>
    <t>Milk</t>
  </si>
  <si>
    <t>Nuts</t>
  </si>
  <si>
    <t>Shampoo</t>
  </si>
  <si>
    <t>Chicken Breast</t>
  </si>
  <si>
    <t>Chips</t>
  </si>
  <si>
    <t>Cluc</t>
  </si>
  <si>
    <t>Garlic</t>
  </si>
  <si>
    <t>Milkis</t>
  </si>
  <si>
    <t>Gary</t>
  </si>
  <si>
    <t>Tamjai dinner</t>
  </si>
  <si>
    <t>Tnt seafood dinner</t>
  </si>
  <si>
    <t>instant noodles</t>
  </si>
  <si>
    <t>Ice cream</t>
  </si>
  <si>
    <t xml:space="preserve">Tnt </t>
  </si>
  <si>
    <t xml:space="preserve">Food basic </t>
  </si>
  <si>
    <t>Food badic</t>
  </si>
  <si>
    <t>Oh cake</t>
  </si>
  <si>
    <t>Soup</t>
  </si>
  <si>
    <t>Hoson</t>
  </si>
  <si>
    <t>feifei</t>
  </si>
  <si>
    <t>Jason</t>
  </si>
  <si>
    <t>30/3/0204</t>
  </si>
  <si>
    <t>sweeper</t>
  </si>
  <si>
    <t>Mr clean</t>
  </si>
  <si>
    <t>Shock</t>
  </si>
  <si>
    <t>Blue Berry</t>
  </si>
  <si>
    <t>Tomato</t>
  </si>
  <si>
    <t>Sugar</t>
  </si>
  <si>
    <t>Lotion</t>
  </si>
  <si>
    <t>Yourk</t>
  </si>
  <si>
    <t>Foodie Dinner</t>
  </si>
  <si>
    <t>退黑素</t>
  </si>
  <si>
    <t>Mar總支出</t>
  </si>
  <si>
    <t>茶餐廳</t>
  </si>
  <si>
    <t>gel 蛋糕</t>
  </si>
  <si>
    <t>Garlic chopper</t>
  </si>
  <si>
    <t>Mobile Stand</t>
  </si>
  <si>
    <t>air fryer paper</t>
  </si>
  <si>
    <t>Key</t>
  </si>
  <si>
    <t>Planner</t>
  </si>
  <si>
    <t>Cutting board</t>
  </si>
  <si>
    <t>Roll Chinese</t>
  </si>
  <si>
    <t>Laundry Bag</t>
  </si>
  <si>
    <t>Household</t>
  </si>
  <si>
    <t>Water pressure</t>
  </si>
  <si>
    <t>Clip</t>
  </si>
  <si>
    <t>Sponge</t>
  </si>
  <si>
    <t>Ink</t>
  </si>
  <si>
    <t>Brush</t>
  </si>
  <si>
    <t>Charger</t>
  </si>
  <si>
    <t>Knief</t>
  </si>
  <si>
    <t>Forks</t>
  </si>
  <si>
    <t>Spoons</t>
  </si>
  <si>
    <t xml:space="preserve">Brush </t>
  </si>
  <si>
    <t>Mean ther</t>
  </si>
  <si>
    <t>Earring Backing</t>
  </si>
  <si>
    <t>Table Cloth</t>
  </si>
  <si>
    <t>Poster</t>
  </si>
  <si>
    <t>Goose</t>
  </si>
  <si>
    <t>年初一餸</t>
  </si>
  <si>
    <t>年三十+年初一餸</t>
  </si>
  <si>
    <t>Cup+洗衣袋</t>
  </si>
  <si>
    <t>Bamboo stick</t>
  </si>
  <si>
    <t>Foody Dinner</t>
  </si>
  <si>
    <t>3A Dinner</t>
  </si>
  <si>
    <t>Ajisen ramen</t>
  </si>
  <si>
    <t>Fish</t>
  </si>
  <si>
    <t>Pai</t>
  </si>
  <si>
    <t>MEtro</t>
  </si>
  <si>
    <t>haircut</t>
  </si>
  <si>
    <t>Ordinary</t>
  </si>
  <si>
    <t>Kitchen tongs</t>
  </si>
  <si>
    <t>BB</t>
  </si>
  <si>
    <t>Clothing rack</t>
  </si>
  <si>
    <t>Toothpaste and iron skillet</t>
  </si>
  <si>
    <t>Desk</t>
  </si>
  <si>
    <t>Suit</t>
  </si>
  <si>
    <t>Water bottle</t>
  </si>
  <si>
    <t>Test strips</t>
  </si>
  <si>
    <t>Foody Tam jai</t>
  </si>
  <si>
    <t>PEPSI</t>
  </si>
  <si>
    <t>TOMATOES</t>
  </si>
  <si>
    <t>DORITOS</t>
  </si>
  <si>
    <t>MILK</t>
  </si>
  <si>
    <t>SHAMPOO</t>
  </si>
  <si>
    <t>Vit D</t>
  </si>
  <si>
    <t>Sausage</t>
  </si>
  <si>
    <t>Lis</t>
  </si>
  <si>
    <t>Broom</t>
  </si>
  <si>
    <t>Onion</t>
  </si>
  <si>
    <t>Breasts</t>
  </si>
  <si>
    <t>nuts</t>
  </si>
  <si>
    <t>pop corn</t>
  </si>
  <si>
    <t>Ygrt</t>
  </si>
  <si>
    <t>paper</t>
  </si>
  <si>
    <t>Eggs</t>
  </si>
  <si>
    <t>Simply</t>
  </si>
  <si>
    <t>Lotus</t>
  </si>
  <si>
    <t>Dove</t>
  </si>
  <si>
    <t xml:space="preserve">in G </t>
  </si>
  <si>
    <t>Foody 車仔面</t>
  </si>
  <si>
    <t>Tnt 牛角dinner</t>
  </si>
  <si>
    <t>mcdonald</t>
  </si>
  <si>
    <t>Foody thai dinner</t>
  </si>
  <si>
    <t>Pork</t>
  </si>
  <si>
    <t>Feb總支出</t>
  </si>
  <si>
    <t>洗衣籃</t>
  </si>
  <si>
    <t>Curry Dinner</t>
  </si>
  <si>
    <t>Popeyes</t>
  </si>
  <si>
    <t>Rent car and lyft</t>
  </si>
  <si>
    <t>Bo Jai Fan</t>
  </si>
  <si>
    <t>TNT DINNER</t>
  </si>
  <si>
    <t>Indomie, corn, mushroom soup</t>
  </si>
  <si>
    <t>Rice, indomie, banana</t>
  </si>
  <si>
    <t>Metro cleaning stuff</t>
  </si>
  <si>
    <t>Metro Pork</t>
  </si>
  <si>
    <t>Spinach</t>
  </si>
  <si>
    <t>salmon</t>
  </si>
  <si>
    <t>TNt Joke</t>
  </si>
  <si>
    <t>Aluminum foil</t>
  </si>
  <si>
    <t>Grocery</t>
  </si>
  <si>
    <t>零食</t>
  </si>
  <si>
    <t>Hotpot</t>
  </si>
  <si>
    <t>Lays</t>
  </si>
  <si>
    <t>廚紙</t>
  </si>
  <si>
    <t>Movie</t>
  </si>
  <si>
    <t>Gyukaku</t>
  </si>
  <si>
    <t>Rib bone</t>
  </si>
  <si>
    <t>Air Filter</t>
  </si>
  <si>
    <t>Costco Milk</t>
  </si>
  <si>
    <t>Costco Yogurt</t>
  </si>
  <si>
    <t>Nature Bag</t>
  </si>
  <si>
    <t>Cretors Mix</t>
  </si>
  <si>
    <t>Mini Bites</t>
  </si>
  <si>
    <t>Bacon</t>
  </si>
  <si>
    <t>Toilet Paper</t>
  </si>
  <si>
    <t>Croissant</t>
  </si>
  <si>
    <t>Chicken Breasts</t>
  </si>
  <si>
    <t>Altius</t>
  </si>
  <si>
    <t>Genacol</t>
  </si>
  <si>
    <t>Bo</t>
  </si>
  <si>
    <t>Fu gee</t>
  </si>
  <si>
    <t>出前一丁</t>
  </si>
  <si>
    <t>Shop</t>
  </si>
  <si>
    <t>After tax</t>
  </si>
  <si>
    <t>Ken Lai</t>
  </si>
  <si>
    <t>Shoppers</t>
  </si>
  <si>
    <t xml:space="preserve">Lip </t>
  </si>
  <si>
    <t>Bathroom Tiss</t>
  </si>
  <si>
    <t>3 ply tissue</t>
  </si>
  <si>
    <t>Shampoo, condit, body wash</t>
  </si>
  <si>
    <t>toothp, toothb</t>
  </si>
  <si>
    <t>Wendy's</t>
  </si>
  <si>
    <t>All</t>
  </si>
  <si>
    <t>31/10/0203</t>
  </si>
  <si>
    <t>Lobster bun</t>
  </si>
  <si>
    <t>Foody Mart</t>
  </si>
  <si>
    <t>Others</t>
  </si>
  <si>
    <t>Drawer</t>
  </si>
  <si>
    <t>Chair</t>
  </si>
  <si>
    <t>Lamp</t>
  </si>
  <si>
    <t>Vildkorn Pillow</t>
  </si>
  <si>
    <t>Skogsraken</t>
  </si>
  <si>
    <t>RosenSkarm Pillow</t>
  </si>
  <si>
    <t>DVALA sheet set</t>
  </si>
  <si>
    <t>Duvet</t>
  </si>
  <si>
    <t>Mattress</t>
  </si>
  <si>
    <t>Mr convenience</t>
  </si>
  <si>
    <t>chairs</t>
  </si>
  <si>
    <t>Can Tire</t>
  </si>
  <si>
    <t>crane humidifier, yard waste, Filter, Pan</t>
  </si>
  <si>
    <t>Humidifier</t>
  </si>
  <si>
    <t>Feed</t>
  </si>
  <si>
    <t>水餃</t>
  </si>
  <si>
    <t>Fairview Mall</t>
  </si>
  <si>
    <t>兩餸飯</t>
  </si>
  <si>
    <t>Chicken leg meat</t>
  </si>
  <si>
    <t>Dinner Chicken</t>
  </si>
  <si>
    <t>Bananas</t>
  </si>
  <si>
    <t>Shreddies</t>
  </si>
  <si>
    <t>Bread</t>
  </si>
  <si>
    <t>HN cheerios</t>
  </si>
  <si>
    <t>Siwin japan</t>
  </si>
  <si>
    <t>KS GRK</t>
  </si>
  <si>
    <t>Cream Brulee</t>
  </si>
  <si>
    <t>KS almonds</t>
  </si>
  <si>
    <t>KS Uns Cashe 腰果</t>
  </si>
  <si>
    <t>Lip balm</t>
  </si>
  <si>
    <t>Marinara sauce</t>
  </si>
  <si>
    <t>Saporito oil</t>
  </si>
  <si>
    <t>Filter</t>
  </si>
  <si>
    <t>Parmesan cheese</t>
  </si>
  <si>
    <t>Dove sampoo</t>
  </si>
  <si>
    <t>Tide</t>
  </si>
  <si>
    <t xml:space="preserve">Dove BW </t>
  </si>
  <si>
    <t>Chicken powder</t>
  </si>
  <si>
    <t>Bath tissues</t>
  </si>
  <si>
    <t>Throw</t>
  </si>
  <si>
    <t>Mikeki</t>
  </si>
  <si>
    <t>Avocado</t>
  </si>
  <si>
    <t>Bamboo Skewer and tapes</t>
  </si>
  <si>
    <t>Garbage bag and snacks</t>
  </si>
  <si>
    <t>Salmon</t>
  </si>
  <si>
    <t>Shppers</t>
  </si>
  <si>
    <t>Supplement</t>
  </si>
  <si>
    <t>Butter</t>
  </si>
  <si>
    <t>Spice and gloves</t>
  </si>
  <si>
    <t>Chicken pot</t>
  </si>
  <si>
    <t>Orange, udon, roll</t>
  </si>
  <si>
    <t>雞皇飯</t>
  </si>
  <si>
    <t>水餃＋方便麵</t>
  </si>
  <si>
    <t>Foody mart</t>
  </si>
  <si>
    <t>Cleaner</t>
  </si>
  <si>
    <t>Compact</t>
  </si>
  <si>
    <t>TImothy</t>
  </si>
  <si>
    <t>Cup</t>
  </si>
  <si>
    <t>Food box</t>
  </si>
  <si>
    <t>Congee Queen</t>
  </si>
  <si>
    <t>Siu mei fan</t>
  </si>
  <si>
    <t>和順</t>
  </si>
  <si>
    <t>Wi-fi</t>
  </si>
  <si>
    <t>雲尚</t>
  </si>
  <si>
    <t>Mixian</t>
  </si>
  <si>
    <t>Rubbish bin</t>
  </si>
  <si>
    <t>防滑墊</t>
  </si>
  <si>
    <t>Knife</t>
  </si>
  <si>
    <t>拖版</t>
  </si>
  <si>
    <t>座墊</t>
  </si>
  <si>
    <t>痾屎chair</t>
  </si>
  <si>
    <t>Mug</t>
  </si>
  <si>
    <t>衣架</t>
  </si>
  <si>
    <t>盒</t>
  </si>
  <si>
    <t>chair墊</t>
  </si>
  <si>
    <t>Fruit</t>
  </si>
  <si>
    <t>Ski pant</t>
  </si>
  <si>
    <t>Footwear</t>
  </si>
  <si>
    <t>Kinder</t>
  </si>
  <si>
    <t>Grocery and meat</t>
  </si>
  <si>
    <t>Instant pot</t>
  </si>
  <si>
    <t xml:space="preserve">Tfal 21 pcs </t>
  </si>
  <si>
    <t>柔順劑</t>
  </si>
  <si>
    <t>Lemanade</t>
  </si>
  <si>
    <t>Dinner + Drink + Egg</t>
  </si>
  <si>
    <t>Ice cream, 薯餅</t>
  </si>
  <si>
    <t>牛腩</t>
  </si>
  <si>
    <t>永鴻</t>
  </si>
  <si>
    <t>清湯腩dinner</t>
  </si>
  <si>
    <t>Grocery and drink and dinner</t>
  </si>
  <si>
    <t>Loblaws</t>
  </si>
  <si>
    <t>Chips and egg</t>
  </si>
  <si>
    <t>Pork ribs</t>
  </si>
  <si>
    <t>格仔餅</t>
  </si>
  <si>
    <t>燒味飯</t>
  </si>
  <si>
    <t>Pizza Nova</t>
  </si>
  <si>
    <t>CV</t>
  </si>
  <si>
    <t>Starbucks</t>
  </si>
  <si>
    <t>Tim Horton</t>
  </si>
  <si>
    <t>mat</t>
  </si>
  <si>
    <t>Light bulb</t>
  </si>
  <si>
    <t>Tv Light</t>
  </si>
  <si>
    <t>Mommy</t>
  </si>
  <si>
    <t>Power cord</t>
  </si>
  <si>
    <t>Mcdonal</t>
  </si>
  <si>
    <t>sweet</t>
  </si>
  <si>
    <t>Best buy</t>
  </si>
  <si>
    <t>Samsung TV</t>
  </si>
  <si>
    <t>Aritzia</t>
  </si>
  <si>
    <t>Parka</t>
  </si>
  <si>
    <t>Vacuum</t>
  </si>
  <si>
    <t>葡萄園</t>
  </si>
  <si>
    <t>Diner</t>
  </si>
  <si>
    <t>Glass</t>
  </si>
  <si>
    <t>Paid to</t>
  </si>
  <si>
    <t>YEs</t>
  </si>
  <si>
    <t xml:space="preserve">Emily </t>
  </si>
  <si>
    <t>Yes</t>
  </si>
  <si>
    <t>Caton</t>
  </si>
  <si>
    <t>Rose</t>
  </si>
  <si>
    <t>Ken lai</t>
  </si>
  <si>
    <t>Magic, gary</t>
  </si>
  <si>
    <t>Paid on 27/12</t>
  </si>
  <si>
    <t>Settle on dec</t>
  </si>
  <si>
    <t>Jan總支出</t>
  </si>
  <si>
    <t>買餸</t>
  </si>
  <si>
    <t>糖</t>
  </si>
  <si>
    <t>紫米露</t>
  </si>
  <si>
    <t>即食麵</t>
  </si>
  <si>
    <t>Bald head</t>
  </si>
  <si>
    <t>腸粉</t>
  </si>
  <si>
    <t>Egg tart</t>
  </si>
  <si>
    <t>Metro - Snack</t>
  </si>
  <si>
    <t>Turkish Dinner</t>
  </si>
  <si>
    <t>梅頭肉</t>
  </si>
  <si>
    <t>Tnt Dinner</t>
  </si>
  <si>
    <t>雞肉</t>
  </si>
  <si>
    <t>Mcflurry</t>
  </si>
  <si>
    <t>炒麵</t>
  </si>
  <si>
    <t>Yum Cha</t>
  </si>
  <si>
    <t>Coke Zero</t>
  </si>
  <si>
    <t>Nestea</t>
  </si>
  <si>
    <t>Supplement Blueberry</t>
  </si>
  <si>
    <t>Conditioner</t>
  </si>
  <si>
    <t>Biscuits</t>
  </si>
  <si>
    <t xml:space="preserve">Always </t>
  </si>
  <si>
    <t>Socks</t>
  </si>
  <si>
    <t>Butter Biscuits</t>
  </si>
  <si>
    <t>Walnuts</t>
  </si>
  <si>
    <t>Vitamin</t>
  </si>
  <si>
    <t>Tiramisu</t>
  </si>
  <si>
    <t>濃湯寶</t>
  </si>
  <si>
    <t>垃圾袋</t>
  </si>
  <si>
    <t>Snack</t>
  </si>
  <si>
    <t>Produce</t>
  </si>
  <si>
    <t>Veg</t>
  </si>
  <si>
    <t>Banana, Honey</t>
  </si>
  <si>
    <t>眼睫毛膏</t>
  </si>
  <si>
    <t>米線Dinner</t>
  </si>
  <si>
    <t>Jianbing</t>
  </si>
  <si>
    <t>Rosella</t>
  </si>
  <si>
    <t>Gyau</t>
  </si>
  <si>
    <t>Emily</t>
  </si>
  <si>
    <t>Emily frd</t>
  </si>
  <si>
    <t>Siu fish</t>
  </si>
  <si>
    <t>做冬Dinner</t>
  </si>
  <si>
    <t>Grapes</t>
  </si>
  <si>
    <t>Grocery in Bestco</t>
  </si>
  <si>
    <t>21/23</t>
  </si>
  <si>
    <t>Drying mat</t>
  </si>
  <si>
    <t>洗潔精</t>
  </si>
  <si>
    <t>保鮮紙</t>
  </si>
  <si>
    <t>碗</t>
  </si>
  <si>
    <t>Padded short</t>
  </si>
  <si>
    <t>Snow goggle</t>
  </si>
  <si>
    <t>Tooth paste</t>
  </si>
  <si>
    <t>Body scale</t>
  </si>
  <si>
    <t>Decathlon</t>
  </si>
  <si>
    <t>Gyubee</t>
  </si>
  <si>
    <t>Temu clothing cloth</t>
  </si>
  <si>
    <t>Temu kitchen glove, string light, kitchen stuff</t>
  </si>
  <si>
    <t>Hair clip and other</t>
  </si>
  <si>
    <t>Makeup egg</t>
  </si>
  <si>
    <t>Electric Curling iron</t>
  </si>
  <si>
    <t>Cake stuff</t>
  </si>
  <si>
    <t>Toothpaste Sqeezer</t>
  </si>
  <si>
    <t>Karaoke mic</t>
  </si>
  <si>
    <t>Temu eyebrow shaper</t>
  </si>
  <si>
    <t>Skigloves</t>
  </si>
  <si>
    <t>Christmas card</t>
  </si>
  <si>
    <t>Skipping rope</t>
  </si>
  <si>
    <t>Snowball maker</t>
  </si>
  <si>
    <t>Massage roll</t>
  </si>
  <si>
    <t>Mirror, glass</t>
  </si>
  <si>
    <t>Party Dinner</t>
  </si>
  <si>
    <t>Alcohol</t>
  </si>
  <si>
    <t>Cheese</t>
  </si>
  <si>
    <t>Dec 總支出</t>
  </si>
  <si>
    <t>Total Expenses</t>
  </si>
  <si>
    <t>Total Expense (Per 1)</t>
  </si>
  <si>
    <t>item</t>
  </si>
  <si>
    <t>Pre-Tax</t>
  </si>
  <si>
    <t>Per</t>
  </si>
  <si>
    <t>Pot</t>
  </si>
  <si>
    <t>Dinner ware</t>
  </si>
  <si>
    <t>Cleaning Tool</t>
  </si>
  <si>
    <t>FLUNDRA Dish drainer</t>
  </si>
  <si>
    <t>choppping board</t>
  </si>
  <si>
    <t>Smacker</t>
  </si>
  <si>
    <t>Cutlery</t>
  </si>
  <si>
    <t>Wok turner</t>
  </si>
  <si>
    <t>Soup ladle</t>
  </si>
  <si>
    <t>Scissor</t>
  </si>
  <si>
    <t>Heat Board</t>
  </si>
  <si>
    <t>Drain Basket</t>
  </si>
  <si>
    <t>Knife holder</t>
  </si>
  <si>
    <t>Cutting Board Rack</t>
  </si>
  <si>
    <t>Toilet Paper Holder</t>
  </si>
  <si>
    <t>Ice cube maker</t>
  </si>
  <si>
    <t>Rice Cooker</t>
  </si>
  <si>
    <t>Toaster</t>
  </si>
  <si>
    <t>Air Flyer</t>
  </si>
  <si>
    <t>Enbridge New Account Charge</t>
  </si>
  <si>
    <t>Hydro account setup price</t>
  </si>
  <si>
    <t>Ikea broom</t>
  </si>
  <si>
    <t>mop</t>
  </si>
  <si>
    <t>Steam rack</t>
  </si>
  <si>
    <t>ripper</t>
  </si>
  <si>
    <t>sofa</t>
  </si>
  <si>
    <t>Bin</t>
  </si>
  <si>
    <t>Shower Curtain</t>
  </si>
  <si>
    <t>Organizer</t>
  </si>
  <si>
    <t>Soap Dispenser</t>
  </si>
  <si>
    <t>Bath Mat</t>
  </si>
  <si>
    <t>Cook Top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</si>
</sst>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[$$]#,##0.00"/>
    <numFmt numFmtId="165" formatCode="yyyy/M/d"/>
    <numFmt numFmtId="166" formatCode="d/m/yyyy"/>
    <numFmt numFmtId="167" formatCode="d/m"/>
    <numFmt numFmtId="168" formatCode="mmmm yyyy"/>
    <numFmt numFmtId="169" formatCode="dd/mm/yyyy"/>
  </numFmts>
  <fonts count="15">
    <font>
      <sz val="10.0"/>
      <color rgb="FF000000"/>
      <name val="Arial"/>
      <scheme val="minor"/>
    </font>
    <font>
      <color theme="1"/>
      <name val="Arial"/>
      <scheme val="minor"/>
    </font>
    <font/>
    <font>
      <color rgb="FF000000"/>
      <name val="Arial"/>
    </font>
    <font>
      <sz val="10.0"/>
      <color theme="1"/>
      <name val="Arial"/>
      <scheme val="minor"/>
    </font>
    <font>
      <color theme="1"/>
      <name val="Arial"/>
    </font>
    <font>
      <color rgb="FFFF0000"/>
      <name val="Arial"/>
      <scheme val="minor"/>
    </font>
    <font>
      <b/>
      <i/>
      <color theme="1"/>
      <name val="Arial"/>
      <scheme val="minor"/>
    </font>
    <font>
      <b/>
      <color rgb="FF353535"/>
      <name val="FoundationBold"/>
    </font>
    <font>
      <b/>
      <color rgb="FF353535"/>
      <name val="Arial"/>
    </font>
    <font>
      <sz val="12.0"/>
      <color rgb="FF353535"/>
      <name val="FoundationRoman"/>
    </font>
    <font>
      <sz val="8.0"/>
      <color rgb="FF000000"/>
      <name val="&quot;Helvetica Neue&quot;"/>
    </font>
    <font>
      <b/>
      <color theme="1"/>
      <name val="Arial"/>
      <scheme val="minor"/>
    </font>
    <font>
      <sz val="11.0"/>
      <color rgb="FF000000"/>
      <name val="Arial"/>
    </font>
    <font>
      <sz val="11.0"/>
      <color rgb="FF222222"/>
      <name val="Arial"/>
    </font>
  </fonts>
  <fills count="26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CCCCCC"/>
        <bgColor rgb="FFCCCCCC"/>
      </patternFill>
    </fill>
    <fill>
      <patternFill patternType="solid">
        <fgColor rgb="FFD9D2E9"/>
        <bgColor rgb="FFD9D2E9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FCE5CD"/>
        <bgColor rgb="FFFCE5CD"/>
      </patternFill>
    </fill>
    <fill>
      <patternFill patternType="solid">
        <fgColor rgb="FFE6B8AF"/>
        <bgColor rgb="FFE6B8AF"/>
      </patternFill>
    </fill>
    <fill>
      <patternFill patternType="solid">
        <fgColor rgb="FFD5A6BD"/>
        <bgColor rgb="FFD5A6BD"/>
      </patternFill>
    </fill>
    <fill>
      <patternFill patternType="solid">
        <fgColor rgb="FF666666"/>
        <bgColor rgb="FF666666"/>
      </patternFill>
    </fill>
    <fill>
      <patternFill patternType="solid">
        <fgColor rgb="FFCFE2F3"/>
        <bgColor rgb="FFCFE2F3"/>
      </patternFill>
    </fill>
    <fill>
      <patternFill patternType="solid">
        <fgColor rgb="FFEAD1DC"/>
        <bgColor rgb="FFEAD1DC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B6D7A8"/>
        <bgColor rgb="FFB6D7A8"/>
      </patternFill>
    </fill>
    <fill>
      <patternFill patternType="solid">
        <fgColor rgb="FFD0E0E3"/>
        <bgColor rgb="FFD0E0E3"/>
      </patternFill>
    </fill>
    <fill>
      <patternFill patternType="solid">
        <fgColor rgb="FFEAEAED"/>
        <bgColor rgb="FFEAEAED"/>
      </patternFill>
    </fill>
    <fill>
      <patternFill patternType="solid">
        <fgColor rgb="FFFF0000"/>
        <bgColor rgb="FFFF0000"/>
      </patternFill>
    </fill>
    <fill>
      <patternFill patternType="solid">
        <fgColor rgb="FFD9D9D9"/>
        <bgColor rgb="FFD9D9D9"/>
      </patternFill>
    </fill>
    <fill>
      <patternFill patternType="solid">
        <fgColor rgb="FFFFE599"/>
        <bgColor rgb="FFFFE599"/>
      </patternFill>
    </fill>
    <fill>
      <patternFill patternType="solid">
        <fgColor rgb="FF999999"/>
        <bgColor rgb="FF999999"/>
      </patternFill>
    </fill>
    <fill>
      <patternFill patternType="solid">
        <fgColor rgb="FFA4C2F4"/>
        <bgColor rgb="FFA4C2F4"/>
      </patternFill>
    </fill>
  </fills>
  <borders count="18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top style="thin">
        <color rgb="FF000000"/>
      </top>
      <bottom style="double">
        <color rgb="FF000000"/>
      </bottom>
    </border>
    <border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5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Fill="1" applyFont="1"/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0" fillId="0" fontId="1" numFmtId="2" xfId="0" applyFont="1" applyNumberFormat="1"/>
    <xf borderId="4" fillId="0" fontId="1" numFmtId="2" xfId="0" applyAlignment="1" applyBorder="1" applyFont="1" applyNumberFormat="1">
      <alignment horizontal="center" readingOrder="0"/>
    </xf>
    <xf borderId="5" fillId="0" fontId="2" numFmtId="0" xfId="0" applyBorder="1" applyFont="1"/>
    <xf borderId="6" fillId="0" fontId="2" numFmtId="0" xfId="0" applyBorder="1" applyFont="1"/>
    <xf borderId="0" fillId="0" fontId="1" numFmtId="0" xfId="0" applyAlignment="1" applyFont="1">
      <alignment horizontal="center"/>
    </xf>
    <xf borderId="7" fillId="0" fontId="1" numFmtId="0" xfId="0" applyAlignment="1" applyBorder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3" fontId="3" numFmtId="0" xfId="0" applyAlignment="1" applyFill="1" applyFont="1">
      <alignment horizontal="left" readingOrder="0"/>
    </xf>
    <xf borderId="8" fillId="0" fontId="2" numFmtId="0" xfId="0" applyBorder="1" applyFont="1"/>
    <xf borderId="9" fillId="0" fontId="4" numFmtId="0" xfId="0" applyAlignment="1" applyBorder="1" applyFont="1">
      <alignment horizontal="center" readingOrder="0"/>
    </xf>
    <xf borderId="10" fillId="0" fontId="4" numFmtId="0" xfId="0" applyAlignment="1" applyBorder="1" applyFont="1">
      <alignment horizontal="center" readingOrder="0"/>
    </xf>
    <xf borderId="6" fillId="0" fontId="4" numFmtId="0" xfId="0" applyAlignment="1" applyBorder="1" applyFont="1">
      <alignment horizontal="center" readingOrder="0"/>
    </xf>
    <xf borderId="0" fillId="0" fontId="1" numFmtId="0" xfId="0" applyFont="1"/>
    <xf borderId="11" fillId="4" fontId="4" numFmtId="0" xfId="0" applyAlignment="1" applyBorder="1" applyFill="1" applyFont="1">
      <alignment horizontal="center" readingOrder="0"/>
    </xf>
    <xf borderId="0" fillId="5" fontId="4" numFmtId="164" xfId="0" applyAlignment="1" applyFill="1" applyFont="1" applyNumberFormat="1">
      <alignment horizontal="center"/>
    </xf>
    <xf borderId="0" fillId="0" fontId="4" numFmtId="164" xfId="0" applyAlignment="1" applyFont="1" applyNumberFormat="1">
      <alignment horizontal="center"/>
    </xf>
    <xf borderId="8" fillId="0" fontId="4" numFmtId="164" xfId="0" applyAlignment="1" applyBorder="1" applyFont="1" applyNumberFormat="1">
      <alignment horizontal="center"/>
    </xf>
    <xf borderId="0" fillId="0" fontId="1" numFmtId="164" xfId="0" applyFont="1" applyNumberFormat="1"/>
    <xf borderId="12" fillId="6" fontId="4" numFmtId="0" xfId="0" applyAlignment="1" applyBorder="1" applyFill="1" applyFont="1">
      <alignment horizontal="center" readingOrder="0"/>
    </xf>
    <xf borderId="0" fillId="0" fontId="0" numFmtId="164" xfId="0" applyAlignment="1" applyFont="1" applyNumberFormat="1">
      <alignment horizontal="center"/>
    </xf>
    <xf borderId="8" fillId="0" fontId="0" numFmtId="164" xfId="0" applyAlignment="1" applyBorder="1" applyFont="1" applyNumberFormat="1">
      <alignment horizontal="center"/>
    </xf>
    <xf borderId="12" fillId="7" fontId="4" numFmtId="0" xfId="0" applyAlignment="1" applyBorder="1" applyFill="1" applyFont="1">
      <alignment horizontal="center" readingOrder="0"/>
    </xf>
    <xf borderId="0" fillId="3" fontId="0" numFmtId="164" xfId="0" applyAlignment="1" applyFont="1" applyNumberFormat="1">
      <alignment horizontal="center"/>
    </xf>
    <xf borderId="12" fillId="8" fontId="4" numFmtId="0" xfId="0" applyAlignment="1" applyBorder="1" applyFill="1" applyFont="1">
      <alignment horizontal="center" readingOrder="0"/>
    </xf>
    <xf borderId="12" fillId="9" fontId="4" numFmtId="0" xfId="0" applyAlignment="1" applyBorder="1" applyFill="1" applyFont="1">
      <alignment horizontal="center" readingOrder="0"/>
    </xf>
    <xf borderId="8" fillId="3" fontId="0" numFmtId="164" xfId="0" applyAlignment="1" applyBorder="1" applyFont="1" applyNumberFormat="1">
      <alignment horizontal="center"/>
    </xf>
    <xf borderId="12" fillId="10" fontId="4" numFmtId="0" xfId="0" applyAlignment="1" applyBorder="1" applyFill="1" applyFont="1">
      <alignment horizontal="center" readingOrder="0"/>
    </xf>
    <xf borderId="0" fillId="0" fontId="1" numFmtId="0" xfId="0" applyAlignment="1" applyFont="1">
      <alignment horizontal="left" readingOrder="0"/>
    </xf>
    <xf borderId="12" fillId="11" fontId="4" numFmtId="0" xfId="0" applyAlignment="1" applyBorder="1" applyFill="1" applyFont="1">
      <alignment horizontal="center" readingOrder="0"/>
    </xf>
    <xf borderId="13" fillId="0" fontId="1" numFmtId="0" xfId="0" applyAlignment="1" applyBorder="1" applyFont="1">
      <alignment horizontal="center" readingOrder="0"/>
    </xf>
    <xf borderId="10" fillId="0" fontId="1" numFmtId="0" xfId="0" applyAlignment="1" applyBorder="1" applyFont="1">
      <alignment horizontal="center" readingOrder="0"/>
    </xf>
    <xf borderId="10" fillId="0" fontId="1" numFmtId="0" xfId="0" applyAlignment="1" applyBorder="1" applyFont="1">
      <alignment horizontal="left" readingOrder="0"/>
    </xf>
    <xf borderId="10" fillId="0" fontId="2" numFmtId="0" xfId="0" applyBorder="1" applyFont="1"/>
    <xf borderId="14" fillId="0" fontId="2" numFmtId="0" xfId="0" applyBorder="1" applyFont="1"/>
    <xf borderId="10" fillId="3" fontId="0" numFmtId="164" xfId="0" applyAlignment="1" applyBorder="1" applyFont="1" applyNumberFormat="1">
      <alignment horizontal="center"/>
    </xf>
    <xf borderId="14" fillId="5" fontId="4" numFmtId="164" xfId="0" applyAlignment="1" applyBorder="1" applyFont="1" applyNumberFormat="1">
      <alignment horizontal="center"/>
    </xf>
    <xf borderId="0" fillId="12" fontId="1" numFmtId="0" xfId="0" applyAlignment="1" applyFill="1" applyFont="1">
      <alignment horizontal="center" readingOrder="0"/>
    </xf>
    <xf borderId="0" fillId="13" fontId="1" numFmtId="0" xfId="0" applyAlignment="1" applyFill="1" applyFont="1">
      <alignment horizontal="center" readingOrder="0"/>
    </xf>
    <xf borderId="0" fillId="6" fontId="1" numFmtId="0" xfId="0" applyAlignment="1" applyFont="1">
      <alignment horizontal="center" readingOrder="0"/>
    </xf>
    <xf borderId="0" fillId="7" fontId="1" numFmtId="0" xfId="0" applyAlignment="1" applyFont="1">
      <alignment horizontal="center" readingOrder="0"/>
    </xf>
    <xf borderId="0" fillId="8" fontId="1" numFmtId="0" xfId="0" applyAlignment="1" applyFont="1">
      <alignment horizontal="center" readingOrder="0"/>
    </xf>
    <xf borderId="0" fillId="9" fontId="1" numFmtId="0" xfId="0" applyAlignment="1" applyFont="1">
      <alignment horizontal="center" readingOrder="0"/>
    </xf>
    <xf borderId="0" fillId="10" fontId="1" numFmtId="0" xfId="0" applyAlignment="1" applyFont="1">
      <alignment horizontal="center" readingOrder="0"/>
    </xf>
    <xf borderId="0" fillId="11" fontId="1" numFmtId="0" xfId="0" applyAlignment="1" applyFont="1">
      <alignment horizontal="center" readingOrder="0"/>
    </xf>
    <xf borderId="0" fillId="0" fontId="5" numFmtId="165" xfId="0" applyAlignment="1" applyFont="1" applyNumberFormat="1">
      <alignment horizontal="center" readingOrder="0"/>
    </xf>
    <xf borderId="0" fillId="0" fontId="5" numFmtId="0" xfId="0" applyAlignment="1" applyFont="1">
      <alignment horizontal="center" readingOrder="0" vertical="bottom"/>
    </xf>
    <xf borderId="0" fillId="0" fontId="5" numFmtId="0" xfId="0" applyAlignment="1" applyFont="1">
      <alignment horizontal="right" readingOrder="0"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1" numFmtId="166" xfId="0" applyAlignment="1" applyFont="1" applyNumberFormat="1">
      <alignment horizontal="center" readingOrder="0"/>
    </xf>
    <xf borderId="0" fillId="0" fontId="5" numFmtId="166" xfId="0" applyAlignment="1" applyFont="1" applyNumberFormat="1">
      <alignment horizontal="center" readingOrder="0" vertical="bottom"/>
    </xf>
    <xf borderId="0" fillId="14" fontId="5" numFmtId="0" xfId="0" applyAlignment="1" applyFill="1" applyFont="1">
      <alignment vertical="bottom"/>
    </xf>
    <xf borderId="0" fillId="0" fontId="5" numFmtId="165" xfId="0" applyAlignment="1" applyFont="1" applyNumberFormat="1">
      <alignment readingOrder="0" vertical="bottom"/>
    </xf>
    <xf borderId="0" fillId="0" fontId="1" numFmtId="167" xfId="0" applyAlignment="1" applyFont="1" applyNumberFormat="1">
      <alignment horizontal="center" readingOrder="0"/>
    </xf>
    <xf borderId="0" fillId="0" fontId="1" numFmtId="167" xfId="0" applyAlignment="1" applyFont="1" applyNumberFormat="1">
      <alignment readingOrder="0"/>
    </xf>
    <xf borderId="0" fillId="0" fontId="5" numFmtId="167" xfId="0" applyAlignment="1" applyFont="1" applyNumberFormat="1">
      <alignment horizontal="center" readingOrder="0" vertical="bottom"/>
    </xf>
    <xf borderId="0" fillId="0" fontId="6" numFmtId="0" xfId="0" applyAlignment="1" applyFont="1">
      <alignment readingOrder="0"/>
    </xf>
    <xf borderId="0" fillId="0" fontId="5" numFmtId="2" xfId="0" applyAlignment="1" applyFont="1" applyNumberFormat="1">
      <alignment horizontal="center" readingOrder="0" vertical="bottom"/>
    </xf>
    <xf borderId="0" fillId="13" fontId="5" numFmtId="0" xfId="0" applyAlignment="1" applyFont="1">
      <alignment vertical="bottom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right" vertical="bottom"/>
    </xf>
    <xf borderId="0" fillId="12" fontId="1" numFmtId="0" xfId="0" applyAlignment="1" applyFont="1">
      <alignment horizontal="center"/>
    </xf>
    <xf borderId="0" fillId="10" fontId="7" numFmtId="168" xfId="0" applyAlignment="1" applyFont="1" applyNumberFormat="1">
      <alignment horizontal="center" readingOrder="0" vertical="center"/>
    </xf>
    <xf borderId="15" fillId="0" fontId="1" numFmtId="0" xfId="0" applyAlignment="1" applyBorder="1" applyFont="1">
      <alignment horizontal="center"/>
    </xf>
    <xf borderId="0" fillId="0" fontId="7" numFmtId="168" xfId="0" applyAlignment="1" applyFont="1" applyNumberFormat="1">
      <alignment horizontal="center" readingOrder="0" vertical="center"/>
    </xf>
    <xf borderId="0" fillId="15" fontId="7" numFmtId="168" xfId="0" applyAlignment="1" applyFill="1" applyFont="1" applyNumberFormat="1">
      <alignment horizontal="center" readingOrder="0" vertical="center"/>
    </xf>
    <xf borderId="0" fillId="16" fontId="1" numFmtId="0" xfId="0" applyAlignment="1" applyFill="1" applyFont="1">
      <alignment horizontal="center" readingOrder="0"/>
    </xf>
    <xf borderId="0" fillId="17" fontId="1" numFmtId="0" xfId="0" applyAlignment="1" applyFill="1" applyFont="1">
      <alignment readingOrder="0"/>
    </xf>
    <xf borderId="0" fillId="17" fontId="1" numFmtId="0" xfId="0" applyAlignment="1" applyFont="1">
      <alignment horizontal="center"/>
    </xf>
    <xf borderId="10" fillId="0" fontId="1" numFmtId="0" xfId="0" applyAlignment="1" applyBorder="1" applyFont="1">
      <alignment horizontal="center"/>
    </xf>
    <xf borderId="16" fillId="0" fontId="1" numFmtId="0" xfId="0" applyAlignment="1" applyBorder="1" applyFont="1">
      <alignment horizontal="center"/>
    </xf>
    <xf borderId="0" fillId="9" fontId="7" numFmtId="168" xfId="0" applyAlignment="1" applyFont="1" applyNumberFormat="1">
      <alignment horizontal="center" readingOrder="0" vertical="center"/>
    </xf>
    <xf borderId="0" fillId="8" fontId="7" numFmtId="168" xfId="0" applyAlignment="1" applyFont="1" applyNumberFormat="1">
      <alignment horizontal="center" readingOrder="0" vertical="center"/>
    </xf>
    <xf borderId="0" fillId="7" fontId="7" numFmtId="168" xfId="0" applyAlignment="1" applyFont="1" applyNumberFormat="1">
      <alignment horizontal="center" readingOrder="0" vertical="center"/>
    </xf>
    <xf borderId="0" fillId="18" fontId="1" numFmtId="0" xfId="0" applyAlignment="1" applyFill="1" applyFont="1">
      <alignment horizontal="center" readingOrder="0"/>
    </xf>
    <xf borderId="0" fillId="0" fontId="1" numFmtId="2" xfId="0" applyAlignment="1" applyFont="1" applyNumberFormat="1">
      <alignment horizontal="center"/>
    </xf>
    <xf borderId="10" fillId="0" fontId="1" numFmtId="2" xfId="0" applyAlignment="1" applyBorder="1" applyFont="1" applyNumberFormat="1">
      <alignment horizontal="center"/>
    </xf>
    <xf borderId="0" fillId="19" fontId="7" numFmtId="168" xfId="0" applyAlignment="1" applyFill="1" applyFont="1" applyNumberFormat="1">
      <alignment horizontal="center" readingOrder="0" vertical="center"/>
    </xf>
    <xf quotePrefix="1" borderId="0" fillId="0" fontId="1" numFmtId="0" xfId="0" applyAlignment="1" applyFont="1">
      <alignment horizontal="center" readingOrder="0"/>
    </xf>
    <xf borderId="0" fillId="20" fontId="8" numFmtId="0" xfId="0" applyAlignment="1" applyFill="1" applyFont="1">
      <alignment readingOrder="0"/>
    </xf>
    <xf borderId="0" fillId="20" fontId="9" numFmtId="0" xfId="0" applyAlignment="1" applyFont="1">
      <alignment readingOrder="0"/>
    </xf>
    <xf borderId="0" fillId="0" fontId="5" numFmtId="0" xfId="0" applyAlignment="1" applyFont="1">
      <alignment horizontal="center" vertical="bottom"/>
    </xf>
    <xf borderId="0" fillId="0" fontId="1" numFmtId="0" xfId="0" applyFont="1"/>
    <xf borderId="0" fillId="0" fontId="10" numFmtId="0" xfId="0" applyAlignment="1" applyFont="1">
      <alignment readingOrder="0"/>
    </xf>
    <xf borderId="0" fillId="21" fontId="1" numFmtId="0" xfId="0" applyAlignment="1" applyFill="1" applyFont="1">
      <alignment horizontal="center"/>
    </xf>
    <xf borderId="0" fillId="21" fontId="1" numFmtId="0" xfId="0" applyFont="1"/>
    <xf borderId="0" fillId="0" fontId="1" numFmtId="0" xfId="0" applyAlignment="1" applyFont="1">
      <alignment vertical="top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horizontal="center" readingOrder="0"/>
    </xf>
    <xf borderId="0" fillId="0" fontId="13" numFmtId="3" xfId="0" applyAlignment="1" applyFont="1" applyNumberFormat="1">
      <alignment horizontal="left" readingOrder="0" shrinkToFit="0" wrapText="1"/>
    </xf>
    <xf borderId="0" fillId="0" fontId="1" numFmtId="10" xfId="0" applyAlignment="1" applyFont="1" applyNumberFormat="1">
      <alignment readingOrder="0"/>
    </xf>
    <xf borderId="0" fillId="0" fontId="13" numFmtId="0" xfId="0" applyAlignment="1" applyFont="1">
      <alignment horizontal="left" readingOrder="0" shrinkToFit="0" wrapText="1"/>
    </xf>
    <xf borderId="0" fillId="0" fontId="5" numFmtId="166" xfId="0" applyAlignment="1" applyFont="1" applyNumberFormat="1">
      <alignment horizontal="center" vertical="bottom"/>
    </xf>
    <xf borderId="0" fillId="0" fontId="5" numFmtId="167" xfId="0" applyAlignment="1" applyFont="1" applyNumberFormat="1">
      <alignment horizontal="center" readingOrder="0"/>
    </xf>
    <xf borderId="8" fillId="19" fontId="4" numFmtId="164" xfId="0" applyAlignment="1" applyBorder="1" applyFont="1" applyNumberFormat="1">
      <alignment horizontal="center"/>
    </xf>
    <xf borderId="8" fillId="19" fontId="0" numFmtId="164" xfId="0" applyAlignment="1" applyBorder="1" applyFont="1" applyNumberFormat="1">
      <alignment horizontal="center"/>
    </xf>
    <xf borderId="0" fillId="4" fontId="0" numFmtId="164" xfId="0" applyAlignment="1" applyFont="1" applyNumberFormat="1">
      <alignment horizontal="center"/>
    </xf>
    <xf borderId="8" fillId="13" fontId="4" numFmtId="164" xfId="0" applyAlignment="1" applyBorder="1" applyFont="1" applyNumberFormat="1">
      <alignment horizontal="center"/>
    </xf>
    <xf borderId="10" fillId="19" fontId="0" numFmtId="164" xfId="0" applyAlignment="1" applyBorder="1" applyFont="1" applyNumberFormat="1">
      <alignment horizontal="center"/>
    </xf>
    <xf borderId="14" fillId="19" fontId="4" numFmtId="164" xfId="0" applyAlignment="1" applyBorder="1" applyFont="1" applyNumberFormat="1">
      <alignment horizontal="center"/>
    </xf>
    <xf borderId="0" fillId="0" fontId="4" numFmtId="0" xfId="0" applyAlignment="1" applyFont="1">
      <alignment horizontal="center" readingOrder="0"/>
    </xf>
    <xf borderId="0" fillId="14" fontId="1" numFmtId="0" xfId="0" applyAlignment="1" applyFont="1">
      <alignment readingOrder="0"/>
    </xf>
    <xf borderId="0" fillId="22" fontId="1" numFmtId="166" xfId="0" applyAlignment="1" applyFill="1" applyFont="1" applyNumberFormat="1">
      <alignment horizontal="center" readingOrder="0"/>
    </xf>
    <xf borderId="0" fillId="22" fontId="1" numFmtId="0" xfId="0" applyAlignment="1" applyFont="1">
      <alignment horizontal="center" readingOrder="0"/>
    </xf>
    <xf borderId="0" fillId="22" fontId="1" numFmtId="0" xfId="0" applyAlignment="1" applyFont="1">
      <alignment horizontal="center"/>
    </xf>
    <xf borderId="0" fillId="22" fontId="1" numFmtId="0" xfId="0" applyAlignment="1" applyFont="1">
      <alignment readingOrder="0"/>
    </xf>
    <xf borderId="0" fillId="22" fontId="1" numFmtId="0" xfId="0" applyFont="1"/>
    <xf borderId="0" fillId="22" fontId="5" numFmtId="0" xfId="0" applyAlignment="1" applyFont="1">
      <alignment horizontal="center" readingOrder="0" vertical="bottom"/>
    </xf>
    <xf borderId="0" fillId="22" fontId="5" numFmtId="0" xfId="0" applyAlignment="1" applyFont="1">
      <alignment vertical="bottom"/>
    </xf>
    <xf borderId="0" fillId="0" fontId="1" numFmtId="0" xfId="0" applyAlignment="1" applyFont="1">
      <alignment horizontal="right" readingOrder="0"/>
    </xf>
    <xf borderId="0" fillId="15" fontId="4" numFmtId="164" xfId="0" applyAlignment="1" applyFont="1" applyNumberFormat="1">
      <alignment horizontal="center"/>
    </xf>
    <xf borderId="0" fillId="15" fontId="0" numFmtId="164" xfId="0" applyAlignment="1" applyFont="1" applyNumberFormat="1">
      <alignment horizontal="center"/>
    </xf>
    <xf borderId="0" fillId="0" fontId="1" numFmtId="2" xfId="0" applyAlignment="1" applyFont="1" applyNumberFormat="1">
      <alignment horizontal="center" readingOrder="0"/>
    </xf>
    <xf borderId="1" fillId="0" fontId="1" numFmtId="2" xfId="0" applyAlignment="1" applyBorder="1" applyFont="1" applyNumberFormat="1">
      <alignment horizontal="center" readingOrder="0"/>
    </xf>
    <xf borderId="17" fillId="0" fontId="1" numFmtId="2" xfId="0" applyAlignment="1" applyBorder="1" applyFont="1" applyNumberFormat="1">
      <alignment readingOrder="0"/>
    </xf>
    <xf borderId="5" fillId="13" fontId="1" numFmtId="2" xfId="0" applyAlignment="1" applyBorder="1" applyFont="1" applyNumberFormat="1">
      <alignment horizontal="center" readingOrder="0"/>
    </xf>
    <xf borderId="5" fillId="6" fontId="1" numFmtId="2" xfId="0" applyAlignment="1" applyBorder="1" applyFont="1" applyNumberFormat="1">
      <alignment horizontal="center" readingOrder="0"/>
    </xf>
    <xf borderId="5" fillId="7" fontId="1" numFmtId="2" xfId="0" applyAlignment="1" applyBorder="1" applyFont="1" applyNumberFormat="1">
      <alignment horizontal="center" readingOrder="0"/>
    </xf>
    <xf borderId="5" fillId="8" fontId="1" numFmtId="2" xfId="0" applyAlignment="1" applyBorder="1" applyFont="1" applyNumberFormat="1">
      <alignment horizontal="center" readingOrder="0"/>
    </xf>
    <xf borderId="6" fillId="11" fontId="1" numFmtId="2" xfId="0" applyAlignment="1" applyBorder="1" applyFont="1" applyNumberFormat="1">
      <alignment horizontal="center" readingOrder="0"/>
    </xf>
    <xf borderId="12" fillId="0" fontId="1" numFmtId="2" xfId="0" applyAlignment="1" applyBorder="1" applyFont="1" applyNumberFormat="1">
      <alignment readingOrder="0"/>
    </xf>
    <xf borderId="8" fillId="0" fontId="1" numFmtId="2" xfId="0" applyBorder="1" applyFont="1" applyNumberFormat="1"/>
    <xf borderId="9" fillId="0" fontId="1" numFmtId="2" xfId="0" applyAlignment="1" applyBorder="1" applyFont="1" applyNumberFormat="1">
      <alignment readingOrder="0"/>
    </xf>
    <xf borderId="10" fillId="0" fontId="1" numFmtId="2" xfId="0" applyBorder="1" applyFont="1" applyNumberFormat="1"/>
    <xf borderId="14" fillId="0" fontId="1" numFmtId="2" xfId="0" applyBorder="1" applyFont="1" applyNumberFormat="1"/>
    <xf borderId="0" fillId="0" fontId="1" numFmtId="2" xfId="0" applyAlignment="1" applyFont="1" applyNumberFormat="1">
      <alignment readingOrder="0"/>
    </xf>
    <xf borderId="0" fillId="12" fontId="1" numFmtId="0" xfId="0" applyFont="1"/>
    <xf borderId="0" fillId="12" fontId="1" numFmtId="167" xfId="0" applyFont="1" applyNumberFormat="1"/>
    <xf borderId="0" fillId="12" fontId="1" numFmtId="168" xfId="0" applyFont="1" applyNumberFormat="1"/>
    <xf borderId="0" fillId="12" fontId="1" numFmtId="2" xfId="0" applyFont="1" applyNumberFormat="1"/>
    <xf borderId="0" fillId="12" fontId="1" numFmtId="166" xfId="0" applyFont="1" applyNumberFormat="1"/>
    <xf borderId="0" fillId="0" fontId="1" numFmtId="167" xfId="0" applyFont="1" applyNumberFormat="1"/>
    <xf borderId="0" fillId="0" fontId="1" numFmtId="168" xfId="0" applyFont="1" applyNumberFormat="1"/>
    <xf borderId="0" fillId="0" fontId="1" numFmtId="3" xfId="0" applyFont="1" applyNumberFormat="1"/>
    <xf borderId="0" fillId="0" fontId="1" numFmtId="166" xfId="0" applyFont="1" applyNumberFormat="1"/>
    <xf borderId="0" fillId="0" fontId="5" numFmtId="167" xfId="0" applyAlignment="1" applyFont="1" applyNumberFormat="1">
      <alignment horizontal="center" vertical="bottom"/>
    </xf>
    <xf borderId="8" fillId="4" fontId="0" numFmtId="164" xfId="0" applyAlignment="1" applyBorder="1" applyFont="1" applyNumberFormat="1">
      <alignment horizontal="center"/>
    </xf>
    <xf borderId="10" fillId="4" fontId="0" numFmtId="164" xfId="0" applyAlignment="1" applyBorder="1" applyFont="1" applyNumberFormat="1">
      <alignment horizontal="center"/>
    </xf>
    <xf borderId="0" fillId="4" fontId="1" numFmtId="0" xfId="0" applyAlignment="1" applyFont="1">
      <alignment horizontal="center" readingOrder="0"/>
    </xf>
    <xf borderId="0" fillId="4" fontId="1" numFmtId="0" xfId="0" applyFont="1"/>
    <xf borderId="0" fillId="9" fontId="1" numFmtId="166" xfId="0" applyAlignment="1" applyFont="1" applyNumberFormat="1">
      <alignment horizontal="center" readingOrder="0"/>
    </xf>
    <xf borderId="0" fillId="9" fontId="1" numFmtId="0" xfId="0" applyAlignment="1" applyFont="1">
      <alignment horizontal="center"/>
    </xf>
    <xf borderId="0" fillId="4" fontId="1" numFmtId="0" xfId="0" applyAlignment="1" applyFont="1">
      <alignment horizontal="center"/>
    </xf>
    <xf borderId="0" fillId="9" fontId="1" numFmtId="0" xfId="0" applyFont="1"/>
    <xf borderId="0" fillId="9" fontId="1" numFmtId="0" xfId="0" applyAlignment="1" applyFont="1">
      <alignment readingOrder="0"/>
    </xf>
    <xf borderId="0" fillId="9" fontId="1" numFmtId="0" xfId="0" applyFont="1"/>
    <xf borderId="0" fillId="9" fontId="1" numFmtId="167" xfId="0" applyAlignment="1" applyFont="1" applyNumberFormat="1">
      <alignment horizontal="center" readingOrder="0"/>
    </xf>
    <xf borderId="0" fillId="4" fontId="5" numFmtId="0" xfId="0" applyAlignment="1" applyFont="1">
      <alignment horizontal="center" readingOrder="0" vertical="bottom"/>
    </xf>
    <xf borderId="0" fillId="4" fontId="5" numFmtId="2" xfId="0" applyAlignment="1" applyFont="1" applyNumberFormat="1">
      <alignment horizontal="center" readingOrder="0" vertical="bottom"/>
    </xf>
    <xf borderId="0" fillId="9" fontId="5" numFmtId="167" xfId="0" applyAlignment="1" applyFont="1" applyNumberFormat="1">
      <alignment horizontal="center" readingOrder="0" vertical="bottom"/>
    </xf>
    <xf borderId="0" fillId="9" fontId="5" numFmtId="0" xfId="0" applyAlignment="1" applyFont="1">
      <alignment horizontal="center" readingOrder="0" vertical="bottom"/>
    </xf>
    <xf borderId="0" fillId="9" fontId="5" numFmtId="0" xfId="0" applyAlignment="1" applyFont="1">
      <alignment readingOrder="0" vertical="bottom"/>
    </xf>
    <xf borderId="0" fillId="9" fontId="5" numFmtId="0" xfId="0" applyAlignment="1" applyFont="1">
      <alignment horizontal="right" vertical="bottom"/>
    </xf>
    <xf borderId="0" fillId="4" fontId="1" numFmtId="0" xfId="0" applyAlignment="1" applyFont="1">
      <alignment readingOrder="0"/>
    </xf>
    <xf borderId="0" fillId="9" fontId="5" numFmtId="0" xfId="0" applyAlignment="1" applyFont="1">
      <alignment horizontal="right" readingOrder="0" vertical="bottom"/>
    </xf>
    <xf borderId="0" fillId="9" fontId="5" numFmtId="0" xfId="0" applyAlignment="1" applyFont="1">
      <alignment vertical="bottom"/>
    </xf>
    <xf borderId="0" fillId="8" fontId="1" numFmtId="0" xfId="0" applyAlignment="1" applyFont="1">
      <alignment readingOrder="0"/>
    </xf>
    <xf borderId="0" fillId="8" fontId="1" numFmtId="0" xfId="0" applyFont="1"/>
    <xf borderId="0" fillId="0" fontId="5" numFmtId="167" xfId="0" applyAlignment="1" applyFont="1" applyNumberFormat="1">
      <alignment readingOrder="0" vertical="bottom"/>
    </xf>
    <xf borderId="0" fillId="23" fontId="5" numFmtId="167" xfId="0" applyAlignment="1" applyFill="1" applyFont="1" applyNumberFormat="1">
      <alignment readingOrder="0" vertical="bottom"/>
    </xf>
    <xf borderId="0" fillId="23" fontId="5" numFmtId="0" xfId="0" applyAlignment="1" applyFont="1">
      <alignment horizontal="center" readingOrder="0" vertical="bottom"/>
    </xf>
    <xf borderId="0" fillId="23" fontId="5" numFmtId="2" xfId="0" applyAlignment="1" applyFont="1" applyNumberFormat="1">
      <alignment horizontal="center" readingOrder="0" vertical="bottom"/>
    </xf>
    <xf borderId="0" fillId="23" fontId="1" numFmtId="0" xfId="0" applyAlignment="1" applyFont="1">
      <alignment horizontal="center"/>
    </xf>
    <xf borderId="0" fillId="23" fontId="5" numFmtId="0" xfId="0" applyAlignment="1" applyFont="1">
      <alignment horizontal="right" readingOrder="0" vertical="bottom"/>
    </xf>
    <xf borderId="0" fillId="23" fontId="5" numFmtId="0" xfId="0" applyAlignment="1" applyFont="1">
      <alignment readingOrder="0" vertical="bottom"/>
    </xf>
    <xf borderId="0" fillId="23" fontId="5" numFmtId="0" xfId="0" applyAlignment="1" applyFont="1">
      <alignment vertical="bottom"/>
    </xf>
    <xf borderId="0" fillId="23" fontId="1" numFmtId="0" xfId="0" applyFont="1"/>
    <xf borderId="0" fillId="23" fontId="1" numFmtId="0" xfId="0" applyAlignment="1" applyFont="1">
      <alignment readingOrder="0"/>
    </xf>
    <xf borderId="0" fillId="0" fontId="5" numFmtId="167" xfId="0" applyAlignment="1" applyFont="1" applyNumberFormat="1">
      <alignment vertical="bottom"/>
    </xf>
    <xf borderId="0" fillId="0" fontId="5" numFmtId="166" xfId="0" applyAlignment="1" applyFont="1" applyNumberFormat="1">
      <alignment vertical="bottom"/>
    </xf>
    <xf borderId="0" fillId="23" fontId="1" numFmtId="166" xfId="0" applyAlignment="1" applyFont="1" applyNumberFormat="1">
      <alignment horizontal="center" readingOrder="0"/>
    </xf>
    <xf borderId="0" fillId="23" fontId="1" numFmtId="0" xfId="0" applyAlignment="1" applyFont="1">
      <alignment horizontal="center" readingOrder="0"/>
    </xf>
    <xf borderId="0" fillId="8" fontId="1" numFmtId="166" xfId="0" applyAlignment="1" applyFont="1" applyNumberFormat="1">
      <alignment horizontal="center" readingOrder="0"/>
    </xf>
    <xf borderId="0" fillId="8" fontId="1" numFmtId="0" xfId="0" applyAlignment="1" applyFont="1">
      <alignment horizontal="center"/>
    </xf>
    <xf borderId="0" fillId="12" fontId="5" numFmtId="0" xfId="0" applyAlignment="1" applyFont="1">
      <alignment horizontal="center" vertical="bottom"/>
    </xf>
    <xf borderId="0" fillId="0" fontId="5" numFmtId="0" xfId="0" applyAlignment="1" applyFont="1">
      <alignment horizontal="right" vertical="bottom"/>
    </xf>
    <xf borderId="0" fillId="7" fontId="0" numFmtId="164" xfId="0" applyAlignment="1" applyFont="1" applyNumberFormat="1">
      <alignment horizontal="center"/>
    </xf>
    <xf borderId="0" fillId="0" fontId="5" numFmtId="2" xfId="0" applyAlignment="1" applyFont="1" applyNumberFormat="1">
      <alignment horizontal="center" vertical="bottom"/>
    </xf>
    <xf borderId="0" fillId="18" fontId="4" numFmtId="164" xfId="0" applyAlignment="1" applyFont="1" applyNumberFormat="1">
      <alignment horizontal="center"/>
    </xf>
    <xf borderId="0" fillId="18" fontId="0" numFmtId="164" xfId="0" applyAlignment="1" applyFont="1" applyNumberFormat="1">
      <alignment horizontal="center"/>
    </xf>
    <xf borderId="0" fillId="0" fontId="1" numFmtId="169" xfId="0" applyAlignment="1" applyFont="1" applyNumberFormat="1">
      <alignment horizontal="center" readingOrder="0"/>
    </xf>
    <xf borderId="0" fillId="13" fontId="1" numFmtId="2" xfId="0" applyAlignment="1" applyFont="1" applyNumberFormat="1">
      <alignment horizontal="center"/>
    </xf>
    <xf borderId="0" fillId="6" fontId="1" numFmtId="2" xfId="0" applyAlignment="1" applyFont="1" applyNumberFormat="1">
      <alignment horizontal="center"/>
    </xf>
    <xf borderId="0" fillId="7" fontId="1" numFmtId="2" xfId="0" applyAlignment="1" applyFont="1" applyNumberFormat="1">
      <alignment horizontal="center"/>
    </xf>
    <xf borderId="0" fillId="8" fontId="1" numFmtId="2" xfId="0" applyAlignment="1" applyFont="1" applyNumberFormat="1">
      <alignment horizontal="center"/>
    </xf>
    <xf borderId="0" fillId="10" fontId="1" numFmtId="2" xfId="0" applyAlignment="1" applyFont="1" applyNumberFormat="1">
      <alignment horizontal="center"/>
    </xf>
    <xf borderId="0" fillId="11" fontId="1" numFmtId="2" xfId="0" applyAlignment="1" applyFont="1" applyNumberFormat="1">
      <alignment horizontal="center"/>
    </xf>
    <xf borderId="0" fillId="13" fontId="1" numFmtId="2" xfId="0" applyAlignment="1" applyFont="1" applyNumberFormat="1">
      <alignment horizontal="center" readingOrder="0"/>
    </xf>
    <xf borderId="0" fillId="6" fontId="1" numFmtId="2" xfId="0" applyAlignment="1" applyFont="1" applyNumberFormat="1">
      <alignment horizontal="center" readingOrder="0"/>
    </xf>
    <xf borderId="0" fillId="7" fontId="1" numFmtId="2" xfId="0" applyAlignment="1" applyFont="1" applyNumberFormat="1">
      <alignment horizontal="center" readingOrder="0"/>
    </xf>
    <xf borderId="0" fillId="8" fontId="1" numFmtId="2" xfId="0" applyAlignment="1" applyFont="1" applyNumberFormat="1">
      <alignment horizontal="center" readingOrder="0"/>
    </xf>
    <xf borderId="0" fillId="10" fontId="1" numFmtId="2" xfId="0" applyAlignment="1" applyFont="1" applyNumberFormat="1">
      <alignment horizontal="center" readingOrder="0"/>
    </xf>
    <xf borderId="0" fillId="11" fontId="1" numFmtId="2" xfId="0" applyAlignment="1" applyFont="1" applyNumberFormat="1">
      <alignment horizontal="center" readingOrder="0"/>
    </xf>
    <xf borderId="0" fillId="13" fontId="1" numFmtId="0" xfId="0" applyAlignment="1" applyFont="1">
      <alignment horizontal="center"/>
    </xf>
    <xf borderId="0" fillId="6" fontId="1" numFmtId="0" xfId="0" applyAlignment="1" applyFont="1">
      <alignment horizontal="center"/>
    </xf>
    <xf borderId="0" fillId="7" fontId="1" numFmtId="0" xfId="0" applyAlignment="1" applyFont="1">
      <alignment horizontal="center"/>
    </xf>
    <xf borderId="0" fillId="10" fontId="1" numFmtId="0" xfId="0" applyAlignment="1" applyFont="1">
      <alignment horizontal="center"/>
    </xf>
    <xf borderId="0" fillId="11" fontId="1" numFmtId="0" xfId="0" applyAlignment="1" applyFont="1">
      <alignment horizontal="center"/>
    </xf>
    <xf borderId="0" fillId="6" fontId="1" numFmtId="0" xfId="0" applyFont="1"/>
    <xf borderId="16" fillId="13" fontId="1" numFmtId="164" xfId="0" applyAlignment="1" applyBorder="1" applyFont="1" applyNumberFormat="1">
      <alignment horizontal="center"/>
    </xf>
    <xf borderId="16" fillId="6" fontId="1" numFmtId="164" xfId="0" applyAlignment="1" applyBorder="1" applyFont="1" applyNumberFormat="1">
      <alignment horizontal="center"/>
    </xf>
    <xf borderId="16" fillId="7" fontId="1" numFmtId="164" xfId="0" applyAlignment="1" applyBorder="1" applyFont="1" applyNumberFormat="1">
      <alignment horizontal="center"/>
    </xf>
    <xf borderId="16" fillId="8" fontId="1" numFmtId="164" xfId="0" applyAlignment="1" applyBorder="1" applyFont="1" applyNumberFormat="1">
      <alignment horizontal="center"/>
    </xf>
    <xf borderId="16" fillId="0" fontId="1" numFmtId="164" xfId="0" applyAlignment="1" applyBorder="1" applyFont="1" applyNumberFormat="1">
      <alignment horizontal="center"/>
    </xf>
    <xf borderId="16" fillId="10" fontId="1" numFmtId="164" xfId="0" applyAlignment="1" applyBorder="1" applyFont="1" applyNumberFormat="1">
      <alignment horizontal="center"/>
    </xf>
    <xf borderId="16" fillId="11" fontId="1" numFmtId="164" xfId="0" applyAlignment="1" applyBorder="1" applyFont="1" applyNumberFormat="1">
      <alignment horizontal="center"/>
    </xf>
    <xf borderId="17" fillId="13" fontId="1" numFmtId="0" xfId="0" applyAlignment="1" applyBorder="1" applyFont="1">
      <alignment horizontal="center" readingOrder="0"/>
    </xf>
    <xf borderId="17" fillId="6" fontId="1" numFmtId="0" xfId="0" applyAlignment="1" applyBorder="1" applyFont="1">
      <alignment horizontal="center" readingOrder="0"/>
    </xf>
    <xf borderId="17" fillId="7" fontId="1" numFmtId="0" xfId="0" applyAlignment="1" applyBorder="1" applyFont="1">
      <alignment horizontal="center" readingOrder="0"/>
    </xf>
    <xf borderId="17" fillId="8" fontId="1" numFmtId="0" xfId="0" applyAlignment="1" applyBorder="1" applyFont="1">
      <alignment horizontal="center" readingOrder="0"/>
    </xf>
    <xf borderId="17" fillId="0" fontId="1" numFmtId="0" xfId="0" applyAlignment="1" applyBorder="1" applyFont="1">
      <alignment horizontal="center" readingOrder="0"/>
    </xf>
    <xf borderId="17" fillId="10" fontId="1" numFmtId="0" xfId="0" applyAlignment="1" applyBorder="1" applyFont="1">
      <alignment horizontal="center" readingOrder="0"/>
    </xf>
    <xf borderId="17" fillId="11" fontId="1" numFmtId="0" xfId="0" applyAlignment="1" applyBorder="1" applyFont="1">
      <alignment horizontal="center" readingOrder="0"/>
    </xf>
    <xf borderId="17" fillId="6" fontId="1" numFmtId="0" xfId="0" applyAlignment="1" applyBorder="1" applyFont="1">
      <alignment horizontal="center"/>
    </xf>
    <xf borderId="17" fillId="7" fontId="1" numFmtId="0" xfId="0" applyAlignment="1" applyBorder="1" applyFont="1">
      <alignment horizontal="center"/>
    </xf>
    <xf borderId="17" fillId="8" fontId="1" numFmtId="0" xfId="0" applyAlignment="1" applyBorder="1" applyFont="1">
      <alignment horizontal="center"/>
    </xf>
    <xf borderId="17" fillId="24" fontId="1" numFmtId="0" xfId="0" applyAlignment="1" applyBorder="1" applyFill="1" applyFont="1">
      <alignment horizontal="center"/>
    </xf>
    <xf borderId="17" fillId="10" fontId="1" numFmtId="0" xfId="0" applyAlignment="1" applyBorder="1" applyFont="1">
      <alignment horizontal="center"/>
    </xf>
    <xf borderId="17" fillId="11" fontId="1" numFmtId="0" xfId="0" applyAlignment="1" applyBorder="1" applyFont="1">
      <alignment horizontal="center"/>
    </xf>
    <xf borderId="17" fillId="6" fontId="1" numFmtId="164" xfId="0" applyAlignment="1" applyBorder="1" applyFont="1" applyNumberFormat="1">
      <alignment horizontal="center"/>
    </xf>
    <xf borderId="17" fillId="7" fontId="1" numFmtId="164" xfId="0" applyAlignment="1" applyBorder="1" applyFont="1" applyNumberFormat="1">
      <alignment horizontal="center"/>
    </xf>
    <xf borderId="17" fillId="8" fontId="1" numFmtId="164" xfId="0" applyAlignment="1" applyBorder="1" applyFont="1" applyNumberFormat="1">
      <alignment horizontal="center"/>
    </xf>
    <xf borderId="17" fillId="0" fontId="1" numFmtId="164" xfId="0" applyAlignment="1" applyBorder="1" applyFont="1" applyNumberFormat="1">
      <alignment horizontal="center"/>
    </xf>
    <xf borderId="17" fillId="10" fontId="1" numFmtId="164" xfId="0" applyAlignment="1" applyBorder="1" applyFont="1" applyNumberFormat="1">
      <alignment horizontal="center"/>
    </xf>
    <xf borderId="17" fillId="11" fontId="1" numFmtId="164" xfId="0" applyAlignment="1" applyBorder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17" fillId="22" fontId="1" numFmtId="164" xfId="0" applyAlignment="1" applyBorder="1" applyFont="1" applyNumberFormat="1">
      <alignment horizontal="center"/>
    </xf>
    <xf borderId="0" fillId="25" fontId="1" numFmtId="0" xfId="0" applyAlignment="1" applyFill="1" applyFont="1">
      <alignment horizontal="center" readingOrder="0"/>
    </xf>
    <xf borderId="0" fillId="25" fontId="1" numFmtId="0" xfId="0" applyAlignment="1" applyFont="1">
      <alignment horizontal="center"/>
    </xf>
    <xf borderId="0" fillId="12" fontId="1" numFmtId="169" xfId="0" applyFont="1" applyNumberFormat="1"/>
    <xf borderId="10" fillId="12" fontId="1" numFmtId="0" xfId="0" applyAlignment="1" applyBorder="1" applyFont="1">
      <alignment horizontal="center" readingOrder="0"/>
    </xf>
    <xf borderId="10" fillId="13" fontId="1" numFmtId="0" xfId="0" applyAlignment="1" applyBorder="1" applyFont="1">
      <alignment horizontal="center" readingOrder="0"/>
    </xf>
    <xf borderId="10" fillId="6" fontId="1" numFmtId="0" xfId="0" applyAlignment="1" applyBorder="1" applyFont="1">
      <alignment horizontal="center" readingOrder="0"/>
    </xf>
    <xf borderId="10" fillId="7" fontId="1" numFmtId="0" xfId="0" applyAlignment="1" applyBorder="1" applyFont="1">
      <alignment horizontal="center" readingOrder="0"/>
    </xf>
    <xf borderId="10" fillId="8" fontId="1" numFmtId="0" xfId="0" applyAlignment="1" applyBorder="1" applyFont="1">
      <alignment horizontal="center" readingOrder="0"/>
    </xf>
    <xf borderId="10" fillId="9" fontId="1" numFmtId="0" xfId="0" applyAlignment="1" applyBorder="1" applyFont="1">
      <alignment horizontal="center" readingOrder="0"/>
    </xf>
    <xf borderId="10" fillId="10" fontId="1" numFmtId="0" xfId="0" applyAlignment="1" applyBorder="1" applyFont="1">
      <alignment horizontal="center" readingOrder="0"/>
    </xf>
    <xf borderId="10" fillId="11" fontId="1" numFmtId="0" xfId="0" applyAlignment="1" applyBorder="1" applyFont="1">
      <alignment horizontal="center" readingOrder="0"/>
    </xf>
    <xf borderId="0" fillId="14" fontId="5" numFmtId="166" xfId="0" applyAlignment="1" applyFont="1" applyNumberFormat="1">
      <alignment horizontal="center" vertical="bottom"/>
    </xf>
    <xf borderId="0" fillId="14" fontId="5" numFmtId="0" xfId="0" applyAlignment="1" applyFont="1">
      <alignment horizontal="center" vertical="bottom"/>
    </xf>
    <xf borderId="0" fillId="14" fontId="5" numFmtId="0" xfId="0" applyAlignment="1" applyFont="1">
      <alignment horizontal="center" readingOrder="0" vertical="bottom"/>
    </xf>
    <xf borderId="0" fillId="18" fontId="5" numFmtId="0" xfId="0" applyAlignment="1" applyFont="1">
      <alignment horizontal="center" readingOrder="0" vertical="bottom"/>
    </xf>
    <xf borderId="0" fillId="18" fontId="5" numFmtId="0" xfId="0" applyAlignment="1" applyFont="1">
      <alignment horizontal="center" vertical="bottom"/>
    </xf>
    <xf borderId="0" fillId="14" fontId="5" numFmtId="167" xfId="0" applyAlignment="1" applyFont="1" applyNumberFormat="1">
      <alignment horizontal="center" vertical="bottom"/>
    </xf>
    <xf borderId="0" fillId="14" fontId="5" numFmtId="2" xfId="0" applyAlignment="1" applyFont="1" applyNumberFormat="1">
      <alignment horizontal="center" vertical="bottom"/>
    </xf>
    <xf borderId="0" fillId="13" fontId="5" numFmtId="167" xfId="0" applyAlignment="1" applyFont="1" applyNumberFormat="1">
      <alignment horizontal="center" vertical="bottom"/>
    </xf>
    <xf borderId="0" fillId="13" fontId="5" numFmtId="0" xfId="0" applyAlignment="1" applyFont="1">
      <alignment horizontal="center" vertical="bottom"/>
    </xf>
    <xf borderId="0" fillId="0" fontId="0" numFmtId="0" xfId="0" applyAlignment="1" applyFont="1">
      <alignment horizontal="center"/>
    </xf>
    <xf borderId="0" fillId="0" fontId="0" numFmtId="0" xfId="0" applyAlignment="1" applyFont="1">
      <alignment horizontal="center" readingOrder="0"/>
    </xf>
    <xf borderId="0" fillId="3" fontId="0" numFmtId="0" xfId="0" applyAlignment="1" applyFont="1">
      <alignment horizontal="center" readingOrder="0"/>
    </xf>
    <xf borderId="0" fillId="3" fontId="14" numFmtId="0" xfId="0" applyAlignment="1" applyFont="1">
      <alignment horizontal="center" readingOrder="0" shrinkToFit="0" wrapText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>
        <v>10.0</v>
      </c>
      <c r="C1" s="1">
        <v>11.0</v>
      </c>
      <c r="D1" s="1">
        <v>12.0</v>
      </c>
      <c r="E1" s="1">
        <v>1.0</v>
      </c>
      <c r="F1" s="1">
        <v>2.0</v>
      </c>
      <c r="G1" s="1">
        <v>3.0</v>
      </c>
      <c r="H1" s="1">
        <v>4.0</v>
      </c>
      <c r="I1" s="1">
        <v>5.0</v>
      </c>
      <c r="J1" s="1">
        <v>6.0</v>
      </c>
      <c r="K1" s="1">
        <v>7.0</v>
      </c>
      <c r="L1" s="1">
        <v>8.0</v>
      </c>
      <c r="M1" s="1">
        <v>9.0</v>
      </c>
      <c r="N1" s="1" t="s">
        <v>1</v>
      </c>
    </row>
    <row r="2">
      <c r="A2" s="1" t="s">
        <v>2</v>
      </c>
      <c r="B2" s="2"/>
      <c r="C2" s="2"/>
      <c r="D2" s="2"/>
      <c r="E2" s="2"/>
      <c r="F2" s="2"/>
      <c r="G2" s="2"/>
      <c r="M2" s="2"/>
      <c r="N2" s="1" t="s">
        <v>3</v>
      </c>
    </row>
    <row r="3">
      <c r="A3" s="1" t="s">
        <v>4</v>
      </c>
      <c r="B3" s="2"/>
      <c r="C3" s="2"/>
      <c r="D3" s="2"/>
      <c r="E3" s="2"/>
      <c r="F3" s="2"/>
      <c r="G3" s="2"/>
      <c r="M3" s="2"/>
    </row>
    <row r="4">
      <c r="A4" s="1" t="s">
        <v>5</v>
      </c>
      <c r="B4" s="2"/>
      <c r="C4" s="2"/>
      <c r="D4" s="2"/>
      <c r="E4" s="2"/>
      <c r="F4" s="2"/>
      <c r="G4" s="2"/>
      <c r="M4" s="2"/>
    </row>
    <row r="5">
      <c r="A5" s="1" t="s">
        <v>6</v>
      </c>
      <c r="B5" s="2"/>
      <c r="C5" s="2"/>
      <c r="D5" s="2"/>
      <c r="E5" s="2"/>
      <c r="F5" s="2"/>
      <c r="G5" s="2"/>
      <c r="M5" s="2"/>
    </row>
    <row r="6">
      <c r="A6" s="1" t="s">
        <v>7</v>
      </c>
      <c r="B6" s="2"/>
      <c r="C6" s="2"/>
      <c r="D6" s="2"/>
      <c r="E6" s="2"/>
      <c r="F6" s="2"/>
      <c r="G6" s="2"/>
      <c r="M6" s="2"/>
    </row>
    <row r="7">
      <c r="A7" s="1" t="s">
        <v>8</v>
      </c>
      <c r="B7" s="2"/>
      <c r="C7" s="2"/>
      <c r="D7" s="2"/>
      <c r="E7" s="2"/>
      <c r="G7" s="2"/>
      <c r="M7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1" max="1" width="15.75"/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P2" s="1" t="s">
        <v>17</v>
      </c>
      <c r="Q2" s="1" t="s">
        <v>18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SUMIFS($G$13:$G968, $E$13:$E968, "Rachel", $H$13:$H968, 1)-SUMIFS($G$13:$G968, $E$13:$E968, "Timothy", $I$13:$I968, 1)</f>
        <v>-78.82333333</v>
      </c>
      <c r="J3" s="21">
        <f>SUMIFS($G$13:$G968, $E$13:$E968, "BL", $H$13:$H968, 1)-SUMIFS($G$13:$G968, $E$13:$E968, "Timothy", $J$13:$J968, 1)</f>
        <v>0</v>
      </c>
      <c r="K3" s="21">
        <f>SUMIFS($G$13:$G968, $E$13:$E968, "Pigskin", $H$13:$H968, 1)-SUMIFS($G$13:$G968, $E$13:$E968, "Timothy", $K$13:$K968, 1)</f>
        <v>0</v>
      </c>
      <c r="L3" s="21">
        <f>SUMIFS($G$13:$G968, $E$13:$E968, "Angel", $H$13:$H968, 1)-SUMIFS($G$13:$G968, $E$13:$E968, "Timothy", $L$13:$L968, 1)</f>
        <v>0</v>
      </c>
      <c r="M3" s="21">
        <f>SUMIFS($G$13:$G968, $E$13:$E968, "Ivan", $H$13:$H968, 1)-SUMIFS($G$13:$G968, $E$13:$E968, "Timothy", $M$13:$M968, 1)</f>
        <v>0</v>
      </c>
      <c r="N3" s="21">
        <f>SUMIFS($G$13:$G968, $E$13:$E968, "Esther", $H$13:$H968, 1)-SUMIFS($G$13:$G968, $E$13:$E968, "Timothy", $N$13:$N968, 1)</f>
        <v>-118.8533333</v>
      </c>
      <c r="O3" s="22">
        <f>SUMIFS($G$13:$G968, $E$13:$E968, "Ken9", $H$13:$H968, 1)-SUMIFS($G$13:$G968, $E$13:$E968, "Timothy", $O$13:$O968,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SUMIFS($G$13:$G968, $E$13:$E968, "Timothy", $I$13:$I968, 1)-SUMIFS($G$13:$G968, $E$13:$E968, "Rachel", $H$13:$H968, 1)</f>
        <v>78.82333333</v>
      </c>
      <c r="I4" s="20"/>
      <c r="J4" s="25">
        <f>SUMIFS($G$13:$G968, $E$13:$E968, "BL", $I$13:$I968, 1)-SUMIFS($G$13:$G968, $E$13:$E968, "Rachel", $J$13:$J968, 1)</f>
        <v>0</v>
      </c>
      <c r="K4" s="25">
        <f>SUMIFS($G$13:$G968, $E$13:$E968, "Pigskin", $I$13:$I968, 1)-SUMIFS($G$13:$G968, $E$13:$E968, "Rachel", $K$13:$K968, 1)</f>
        <v>0</v>
      </c>
      <c r="L4" s="25">
        <f>SUMIFS($G$13:$G968, $E$13:$E968, "Angel", $I$13:$I968, 1)-SUMIFS($G$13:$G968, $E$13:$E968, "Rachel", $L$13:$L968, 1)</f>
        <v>0</v>
      </c>
      <c r="M4" s="25">
        <f>SUMIFS($G$13:$G968, $E$13:$E968, "Ivan", $I$13:$I968, 1)-SUMIFS($G$13:$G968, $E$13:$E968, "Rachel", $M$13:$M968, 1)</f>
        <v>0</v>
      </c>
      <c r="N4" s="25">
        <f>SUMIFS($G$13:$G968, $E$13:$E968, "Esther", $I$13:$I968, 1)-SUMIFS($G$13:$G968, $E$13:$E968, "Rachel", $N$13:$N968, 1)</f>
        <v>-35.37</v>
      </c>
      <c r="O4" s="26">
        <f>SUMIFS($G$13:$G968, $E$13:$E968, "Ken9", $I$13:$I968, 1)-SUMIFS($G$13:$G968, $E$13:$E968, "Rachel", $O$13:$O968,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SUMIFS($G$13:$G968, $E$13:$E968, "Timothy", $J$13:$J968, 1)-SUMIFS($G$13:$G968, $E$13:$E968, "BL", $H$13:$H968, 1)</f>
        <v>0</v>
      </c>
      <c r="I5" s="28">
        <f>SUMIFS($G$13:$G968, $E$13:$E968, "Rachel", $J$13:$J968, 1)-SUMIFS($G$13:$G968, $E$13:$E968, "BL", $I$13:$I968, 1)</f>
        <v>0</v>
      </c>
      <c r="J5" s="20"/>
      <c r="K5" s="25">
        <f>SUMIFS($G$13:$G968, $E$13:$E968, "Pigskin", $J$13:$J968, 1)-SUMIFS($G$13:$G968, $E$13:$E968, "BL", $K$13:$K968, 1)</f>
        <v>0</v>
      </c>
      <c r="L5" s="28">
        <f>SUMIFS($G$13:$G968, $E$13:$E968, "Angel", $J$13:$J968, 1)-SUMIFS($G$13:$G968, $E$13:$E968, "BL", $L$13:$L968, 1)</f>
        <v>0</v>
      </c>
      <c r="M5" s="25">
        <f>SUMIFS($G$13:$G968, $E$13:$E968, "Ivan", $J$13:$J968, 1)-SUMIFS($G$13:$G968, $E$13:$E968, "BL", $M$13:$M968, 1)</f>
        <v>0</v>
      </c>
      <c r="N5" s="28">
        <f>SUMIFS($G$13:$G968, $E$13:$E968, "Esther", $J$13:$J968, 1)-SUMIFS($G$13:$G968, $E$13:$E968, "BL", $N$13:$N968, 1)</f>
        <v>0</v>
      </c>
      <c r="O5" s="26">
        <f>SUMIFS($G$13:$G968, $E$13:$E968, "Ken9", $J$13:$J968, 1)-SUMIFS($G$13:$G968, $E$13:$E968, "BL", $O$13:$O968,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SUMIFS($G$13:$G968, $E$13:$E968, "Timothy", $K$13:$K968, 1)-SUMIFS($G$13:$G968, $E$13:$E968, "Pigskin", $H$13:$H968, 1)</f>
        <v>0</v>
      </c>
      <c r="I6" s="28">
        <f>SUMIFS($G$13:$G968, $E$13:$E968, "Rachel", $K$13:$K968, 1)-SUMIFS($G$13:$G968, $E$13:$E968, "Pigskin", $I$13:$I968, 1)</f>
        <v>0</v>
      </c>
      <c r="J6" s="28">
        <f>SUMIFS($G$13:$G968, $E$13:$E968, "BL", $K$13:$K968, 1)-SUMIFS($G$13:$G968, $E$13:$E968, "Pigskin", $J$13:$J968, 1)</f>
        <v>0</v>
      </c>
      <c r="K6" s="20"/>
      <c r="L6" s="25">
        <f>SUMIFS($G$13:$G968, $E$13:$E968, "Angel", $K$13:$K968, 1)-SUMIFS($G$13:$G968, $E$13:$E968, "Pigskin", $L$13:$L968, 1)</f>
        <v>0</v>
      </c>
      <c r="M6" s="28">
        <f>SUMIFS($G$13:$G968, $E$13:$E968, "Ivan", $K$13:$K968, 1)-SUMIFS($G$13:$G968, $E$13:$E968, "Pigskin", $M$13:$M968, 1)</f>
        <v>0</v>
      </c>
      <c r="N6" s="28">
        <f>SUMIFS($G$13:$G968, $E$13:$E968, "Esther", $K$13:$K968, 1)-SUMIFS($G$13:$G968, $E$13:$E968, "Pigskin", $N$13:$N968, 1)</f>
        <v>0</v>
      </c>
      <c r="O6" s="26">
        <f>SUMIFS($G$13:$G968, $E$13:$E968, "Ken9", $K$13:$K968, 1)-SUMIFS($G$13:$G968, $E$13:$E968, "Pigskin", $O$13:$O968,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SUMIFS($G$13:$G968, $E$13:$E968, "Timothy", $L$13:$L968, 1)-SUMIFS($G$13:$G968, $E$13:$E968, "Angel", $H$13:$H968, 1)</f>
        <v>0</v>
      </c>
      <c r="I7" s="25">
        <f>SUMIFS($G$13:$G968, $E$13:$E968, "Rachel", $L$13:$L968, 1)-SUMIFS($G$13:$G968, $E$13:$E968, "Angel", $I$13:$I968, 1)</f>
        <v>0</v>
      </c>
      <c r="J7" s="25">
        <f>SUMIFS($G$13:$G968, $E$13:$E968, "BL", $L$13:$L968, 1)-SUMIFS($G$13:$G968, $E$13:$E968, "Angel", $J$13:$J968, 1)</f>
        <v>0</v>
      </c>
      <c r="K7" s="25">
        <f>SUMIFS($G$13:$G968, $E$13:$E968, "Pigskin", $L$13:$L968, 1)-SUMIFS($G$13:$G968, $E$13:$E968, "Angel", $K$13:$K968, 1)</f>
        <v>0</v>
      </c>
      <c r="L7" s="20"/>
      <c r="M7" s="25">
        <f>SUMIFS($G$13:$G968, $E$13:$E968, "Ivan", $L$13:$L968, 1)-SUMIFS($G$13:$G968, $E$13:$E968, "Angel", $M$13:$M968, 1)</f>
        <v>0</v>
      </c>
      <c r="N7" s="28">
        <f>SUMIFS($G$13:$G968, $E$13:$E968, "Esther", $L$13:$L968, 1)-SUMIFS($G$13:$G968, $E$13:$E968, "Angel", $N$13:$N968, 1)</f>
        <v>0</v>
      </c>
      <c r="O7" s="31">
        <f>SUMIFS($G$13:$G968, $E$13:$E968, "Ken9", $L$13:$L968, 1)-SUMIFS($G$13:$G968, $E$13:$E968, "Angel", $O$13:$O968,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SUMIFS($G$13:$G968, $E$13:$E968, "Timothy", $M$13:$M968, 1)-SUMIFS($G$13:$G968, $E$13:$E968, "Ivan", $H$13:$H968, 1)</f>
        <v>0</v>
      </c>
      <c r="I8" s="28">
        <f>SUMIFS($G$13:$G968, $E$13:$E968, "Rachel", $M$13:$M968, 1)-SUMIFS($G$13:$G968, $E$13:$E968, "Ivan", $I$13:$I968, 1)</f>
        <v>0</v>
      </c>
      <c r="J8" s="25">
        <f>SUMIFS($G$13:$G968, $E$13:$E968, "BL", $M$13:$M968, 1)-SUMIFS($G$13:$G968, $E$13:$E968, "Ivan", $J$13:$J968, 1)</f>
        <v>0</v>
      </c>
      <c r="K8" s="25">
        <f>SUMIFS($G$13:$G968, $E$13:$E968, "Pigskin", $M$13:$M968, 1)-SUMIFS($G$13:$G968, $E$13:$E968, "Ivan", $K$13:$K968, 1)</f>
        <v>0</v>
      </c>
      <c r="L8" s="25">
        <f>SUMIFS($G$13:$G968, $E$13:$E968, "Angel", $M$13:$M968, 1)-SUMIFS($G$13:$G968, $E$13:$E968, "Ivan", $L$13:$L968, 1)</f>
        <v>0</v>
      </c>
      <c r="M8" s="20"/>
      <c r="N8" s="28">
        <f>SUMIFS($G$13:$G968, $E$13:$E968, "Esther", $M$13:$M968, 1)-SUMIFS($G$13:$G968, $E$13:$E968, "Ivan", $N$13:$N968, 1)</f>
        <v>0</v>
      </c>
      <c r="O8" s="31">
        <f>SUMIFS($G$13:$G968, $E$13:$E968, "Ken9", $M$13:$M968, 1)-SUMIFS($G$13:$G968, $E$13:$E968, "Ivan", $O$13:$O968,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SUMIFS($G$13:$G968, $E$13:$E968, "Timothy", $N$13:$N968, 1)-SUMIFS($G$13:$G968, $E$13:$E968, "Esther", $H$13:$H968, 1)</f>
        <v>118.8533333</v>
      </c>
      <c r="I9" s="25">
        <f>SUMIFS($G$13:$G968, $E$13:$E968, "Rachel", $N$13:$N968, 1)-SUMIFS($G$13:$G968, $E$13:$E968, "Esther", $I$13:$I968, 1)</f>
        <v>35.37</v>
      </c>
      <c r="J9" s="25">
        <f>SUMIFS($G$13:$G968, $E$13:$E968, "BL", $N$13:$N968, 1)-SUMIFS($G$13:$G968, $E$13:$E968, "Esther", $J$13:$J968, 1)</f>
        <v>0</v>
      </c>
      <c r="K9" s="25">
        <f>SUMIFS($G$13:$G968, $E$13:$E968, "Pigskin", $N$13:$N968, 1)-SUMIFS($G$13:$G968, $E$13:$E968, "Esther", $K$13:$K968, 1)</f>
        <v>0</v>
      </c>
      <c r="L9" s="25">
        <f>SUMIFS($G$13:$G968, $E$13:$E968, "Angel", $N$13:$N968, 1)-SUMIFS($G$13:$G968, $E$13:$E968, "Esther", $L$13:$L968, 1)</f>
        <v>0</v>
      </c>
      <c r="M9" s="25">
        <f>SUMIFS($G$13:$G968, $E$13:$E968, "Ivan", $N$13:$N968, 1)-SUMIFS($G$13:$G968, $E$13:$E968, "Esther", $M$13:$M968, 1)</f>
        <v>0</v>
      </c>
      <c r="N9" s="20"/>
      <c r="O9" s="31">
        <f>SUMIFS($G$13:$G968, $E$13:$E968, "Ken9", $N$13:$N968, 1)-SUMIFS($G$13:$G968, $E$13:$E968, "Esther", $O$13:$O968,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SUMIFS($G$13:$G968, $E$13:$E968, "Timothy", $O$13:$O968, 1)-SUMIFS($G$13:$G968, $E$13:$E968, "Ken9", $H$13:$H968, 1)</f>
        <v>0</v>
      </c>
      <c r="I10" s="40">
        <f>SUMIFS($G$13:$G968, $E$13:$E968, "Rachel", $O$13:$O968, 1)-SUMIFS($G$13:$G968, $E$13:$E968, "Ken9", $I$13:$I968, 1)</f>
        <v>0</v>
      </c>
      <c r="J10" s="40">
        <f>SUMIFS($G$13:$G968, $E$13:$E968, "BL", $O$13:$O968, 1)-SUMIFS($G$13:$G968, $E$13:$E968, "Ken9", $J$13:$J968, 1)</f>
        <v>0</v>
      </c>
      <c r="K10" s="40">
        <f>SUMIFS($G$13:$G968, $E$13:$E968, "Pigskin", $O$13:$O968, 1)-SUMIFS($G$13:$G968, $E$13:$E968, "Ken9", $K$13:$K968, 1)</f>
        <v>0</v>
      </c>
      <c r="L10" s="40">
        <f>SUMIFS($G$13:$G968, $E$13:$E968, "Angel", $O$13:$O968, 1)-SUMIFS($G$13:$G968, $E$13:$E968, "Ken9", $L$13:$L968, 1)</f>
        <v>0</v>
      </c>
      <c r="M10" s="40">
        <f>SUMIFS($G$13:$G968, $E$13:$E968, "Ivan", $O$13:$O968, 1)-SUMIFS($G$13:$G968, $E$13:$E968, "Ken9", $M$13:$M968, 1)</f>
        <v>0</v>
      </c>
      <c r="N10" s="40">
        <f>SUMIFS($G$13:$G968, $E$13:$E968, "Esther", $O$13:$O968, 1)-SUMIFS($G$13:$G968, $E$13:$E968, "Ken9", $N$13:$N968,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0">
        <v>45718.0</v>
      </c>
      <c r="B13" s="12" t="s">
        <v>45</v>
      </c>
      <c r="C13" s="51" t="s">
        <v>11</v>
      </c>
      <c r="D13" s="12"/>
      <c r="E13" s="51"/>
      <c r="F13" s="10">
        <f>D13/sum(H13:Q13)</f>
        <v>0</v>
      </c>
      <c r="G13" s="10">
        <f>D13/sum(H13:Q13)</f>
        <v>0</v>
      </c>
      <c r="H13" s="1">
        <v>1.0</v>
      </c>
      <c r="I13" s="1">
        <v>1.0</v>
      </c>
      <c r="N13" s="1">
        <v>1.0</v>
      </c>
      <c r="Z13" s="10"/>
      <c r="AA13" s="10"/>
    </row>
    <row r="14">
      <c r="A14" s="50">
        <v>45726.0</v>
      </c>
      <c r="B14" s="12" t="s">
        <v>46</v>
      </c>
      <c r="C14" s="12" t="s">
        <v>11</v>
      </c>
      <c r="D14" s="12">
        <v>29.29</v>
      </c>
      <c r="E14" s="51" t="s">
        <v>2</v>
      </c>
      <c r="F14" s="10">
        <f>D14/sum('Daily Expense_Feb25'!H32:Q32)</f>
        <v>9.763333333</v>
      </c>
      <c r="G14" s="10">
        <f>D14/sum('Daily Expense_Feb25'!H32:Q32)</f>
        <v>9.763333333</v>
      </c>
      <c r="H14" s="52">
        <v>1.0</v>
      </c>
      <c r="I14" s="52">
        <v>1.0</v>
      </c>
      <c r="J14" s="52"/>
      <c r="K14" s="52"/>
      <c r="L14" s="53"/>
      <c r="M14" s="54"/>
      <c r="N14" s="52">
        <v>1.0</v>
      </c>
      <c r="Z14" s="10"/>
      <c r="AA14" s="10"/>
    </row>
    <row r="15">
      <c r="A15" s="55">
        <v>45728.0</v>
      </c>
      <c r="B15" s="12" t="s">
        <v>47</v>
      </c>
      <c r="C15" s="12" t="s">
        <v>11</v>
      </c>
      <c r="D15" s="12">
        <v>53.1</v>
      </c>
      <c r="E15" s="12" t="s">
        <v>2</v>
      </c>
      <c r="F15" s="10">
        <f>D15/sum('Daily Expense_Feb25'!H33:Q33)</f>
        <v>17.7</v>
      </c>
      <c r="G15" s="10">
        <f>D15/sum('Daily Expense_Feb25'!H33:Q33)</f>
        <v>17.7</v>
      </c>
      <c r="H15" s="1">
        <v>1.0</v>
      </c>
      <c r="I15" s="1">
        <v>1.0</v>
      </c>
      <c r="N15" s="1">
        <v>1.0</v>
      </c>
      <c r="Z15" s="10"/>
      <c r="AA15" s="10"/>
    </row>
    <row r="16">
      <c r="A16" s="55">
        <v>45726.0</v>
      </c>
      <c r="B16" s="12" t="s">
        <v>48</v>
      </c>
      <c r="C16" s="51" t="s">
        <v>11</v>
      </c>
      <c r="D16" s="12">
        <v>40.68</v>
      </c>
      <c r="E16" s="51" t="s">
        <v>2</v>
      </c>
      <c r="F16" s="10">
        <f t="shared" ref="F16:F119" si="1">D16/sum(H16:Q16)</f>
        <v>13.56</v>
      </c>
      <c r="G16" s="10">
        <f t="shared" ref="G16:G119" si="2">D16/sum(H16:Q16)</f>
        <v>13.56</v>
      </c>
      <c r="H16" s="1">
        <v>1.0</v>
      </c>
      <c r="I16" s="1">
        <v>1.0</v>
      </c>
      <c r="N16" s="1">
        <v>1.0</v>
      </c>
      <c r="Z16" s="10"/>
      <c r="AA16" s="10"/>
    </row>
    <row r="17">
      <c r="A17" s="55">
        <v>45750.0</v>
      </c>
      <c r="B17" s="12" t="s">
        <v>49</v>
      </c>
      <c r="C17" s="51" t="s">
        <v>11</v>
      </c>
      <c r="D17" s="12">
        <v>45.15</v>
      </c>
      <c r="E17" s="12" t="s">
        <v>2</v>
      </c>
      <c r="F17" s="10">
        <f t="shared" si="1"/>
        <v>15.05</v>
      </c>
      <c r="G17" s="10">
        <f t="shared" si="2"/>
        <v>15.05</v>
      </c>
      <c r="H17" s="1">
        <v>1.0</v>
      </c>
      <c r="I17" s="1">
        <v>1.0</v>
      </c>
      <c r="N17" s="1">
        <v>1.0</v>
      </c>
      <c r="Z17" s="10"/>
      <c r="AA17" s="10"/>
    </row>
    <row r="18">
      <c r="A18" s="56">
        <v>45717.0</v>
      </c>
      <c r="B18" s="12" t="s">
        <v>50</v>
      </c>
      <c r="C18" s="51" t="s">
        <v>11</v>
      </c>
      <c r="D18" s="51">
        <v>57.19</v>
      </c>
      <c r="E18" s="51" t="s">
        <v>4</v>
      </c>
      <c r="F18" s="10">
        <f t="shared" si="1"/>
        <v>19.06333333</v>
      </c>
      <c r="G18" s="10">
        <f t="shared" si="2"/>
        <v>19.06333333</v>
      </c>
      <c r="H18" s="52">
        <v>1.0</v>
      </c>
      <c r="I18" s="52">
        <v>1.0</v>
      </c>
      <c r="J18" s="52"/>
      <c r="K18" s="52"/>
      <c r="L18" s="54"/>
      <c r="M18" s="54"/>
      <c r="N18" s="52">
        <v>1.0</v>
      </c>
      <c r="Z18" s="10"/>
      <c r="AA18" s="10"/>
    </row>
    <row r="19">
      <c r="A19" s="56">
        <v>45718.0</v>
      </c>
      <c r="B19" s="12" t="s">
        <v>46</v>
      </c>
      <c r="C19" s="51" t="s">
        <v>11</v>
      </c>
      <c r="D19" s="51">
        <v>33.03</v>
      </c>
      <c r="E19" s="51" t="s">
        <v>4</v>
      </c>
      <c r="F19" s="10">
        <f t="shared" si="1"/>
        <v>11.01</v>
      </c>
      <c r="G19" s="10">
        <f t="shared" si="2"/>
        <v>11.01</v>
      </c>
      <c r="H19" s="52">
        <v>1.0</v>
      </c>
      <c r="I19" s="54">
        <v>1.0</v>
      </c>
      <c r="J19" s="54"/>
      <c r="K19" s="54"/>
      <c r="L19" s="53"/>
      <c r="M19" s="54"/>
      <c r="N19" s="54">
        <v>1.0</v>
      </c>
      <c r="Z19" s="10"/>
      <c r="AA19" s="10"/>
    </row>
    <row r="20">
      <c r="A20" s="56">
        <v>45720.0</v>
      </c>
      <c r="B20" s="12" t="s">
        <v>46</v>
      </c>
      <c r="C20" s="51" t="s">
        <v>11</v>
      </c>
      <c r="D20" s="51">
        <v>10.98</v>
      </c>
      <c r="E20" s="51" t="s">
        <v>4</v>
      </c>
      <c r="F20" s="10">
        <f t="shared" si="1"/>
        <v>3.66</v>
      </c>
      <c r="G20" s="10">
        <f t="shared" si="2"/>
        <v>3.66</v>
      </c>
      <c r="H20" s="52">
        <v>1.0</v>
      </c>
      <c r="I20" s="52">
        <v>1.0</v>
      </c>
      <c r="J20" s="52"/>
      <c r="K20" s="52"/>
      <c r="L20" s="54"/>
      <c r="M20" s="54"/>
      <c r="N20" s="52">
        <v>1.0</v>
      </c>
      <c r="Z20" s="10"/>
      <c r="AA20" s="10"/>
    </row>
    <row r="21">
      <c r="A21" s="56">
        <v>45730.0</v>
      </c>
      <c r="B21" s="12" t="s">
        <v>51</v>
      </c>
      <c r="C21" s="51" t="s">
        <v>11</v>
      </c>
      <c r="D21" s="51">
        <v>48.86</v>
      </c>
      <c r="E21" s="51" t="s">
        <v>4</v>
      </c>
      <c r="F21" s="10">
        <f t="shared" si="1"/>
        <v>16.28666667</v>
      </c>
      <c r="G21" s="10">
        <f t="shared" si="2"/>
        <v>16.28666667</v>
      </c>
      <c r="H21" s="1">
        <v>1.0</v>
      </c>
      <c r="I21" s="1">
        <v>1.0</v>
      </c>
      <c r="N21" s="1">
        <v>1.0</v>
      </c>
      <c r="Z21" s="10"/>
      <c r="AA21" s="10"/>
    </row>
    <row r="22">
      <c r="A22" s="56">
        <v>45731.0</v>
      </c>
      <c r="B22" s="51" t="s">
        <v>50</v>
      </c>
      <c r="C22" s="51" t="s">
        <v>11</v>
      </c>
      <c r="D22" s="51">
        <v>93.76</v>
      </c>
      <c r="E22" s="51" t="s">
        <v>4</v>
      </c>
      <c r="F22" s="10" t="str">
        <f t="shared" si="1"/>
        <v>#DIV/0!</v>
      </c>
      <c r="G22" s="10" t="str">
        <f t="shared" si="2"/>
        <v>#DIV/0!</v>
      </c>
      <c r="Z22" s="10"/>
      <c r="AA22" s="10"/>
    </row>
    <row r="23">
      <c r="A23" s="56">
        <v>45742.0</v>
      </c>
      <c r="B23" s="51" t="s">
        <v>52</v>
      </c>
      <c r="C23" s="51" t="s">
        <v>11</v>
      </c>
      <c r="D23" s="12">
        <v>35.66</v>
      </c>
      <c r="E23" s="51" t="s">
        <v>2</v>
      </c>
      <c r="F23" s="10">
        <f t="shared" si="1"/>
        <v>11.88666667</v>
      </c>
      <c r="G23" s="10">
        <f t="shared" si="2"/>
        <v>11.88666667</v>
      </c>
      <c r="H23" s="1">
        <v>1.0</v>
      </c>
      <c r="I23" s="1">
        <v>1.0</v>
      </c>
      <c r="N23" s="1">
        <v>1.0</v>
      </c>
      <c r="Z23" s="57"/>
      <c r="AA23" s="57"/>
    </row>
    <row r="24">
      <c r="A24" s="56">
        <v>45743.0</v>
      </c>
      <c r="B24" s="51" t="s">
        <v>46</v>
      </c>
      <c r="C24" s="12" t="s">
        <v>11</v>
      </c>
      <c r="D24" s="12">
        <v>29.97</v>
      </c>
      <c r="E24" s="51" t="s">
        <v>7</v>
      </c>
      <c r="F24" s="10">
        <f t="shared" si="1"/>
        <v>9.99</v>
      </c>
      <c r="G24" s="10">
        <f t="shared" si="2"/>
        <v>9.99</v>
      </c>
      <c r="H24" s="1">
        <v>1.0</v>
      </c>
      <c r="I24" s="1">
        <v>1.0</v>
      </c>
      <c r="N24" s="1">
        <v>1.0</v>
      </c>
      <c r="Z24" s="10"/>
      <c r="AA24" s="10"/>
    </row>
    <row r="25">
      <c r="A25" s="56">
        <v>45746.0</v>
      </c>
      <c r="B25" s="51" t="s">
        <v>53</v>
      </c>
      <c r="C25" s="12" t="s">
        <v>29</v>
      </c>
      <c r="D25" s="51">
        <v>9.32</v>
      </c>
      <c r="E25" s="51" t="s">
        <v>7</v>
      </c>
      <c r="F25" s="10">
        <f t="shared" si="1"/>
        <v>4.66</v>
      </c>
      <c r="G25" s="10">
        <f t="shared" si="2"/>
        <v>4.66</v>
      </c>
      <c r="H25" s="52"/>
      <c r="I25" s="52">
        <v>1.0</v>
      </c>
      <c r="J25" s="52"/>
      <c r="K25" s="52"/>
      <c r="L25" s="54"/>
      <c r="M25" s="54"/>
      <c r="N25" s="52">
        <v>1.0</v>
      </c>
      <c r="Z25" s="10"/>
      <c r="AA25" s="10"/>
    </row>
    <row r="26">
      <c r="A26" s="58">
        <v>45743.0</v>
      </c>
      <c r="B26" s="12" t="s">
        <v>50</v>
      </c>
      <c r="C26" s="12" t="s">
        <v>11</v>
      </c>
      <c r="D26" s="12">
        <v>147.3</v>
      </c>
      <c r="E26" s="51" t="s">
        <v>2</v>
      </c>
      <c r="F26" s="10">
        <f t="shared" si="1"/>
        <v>49.1</v>
      </c>
      <c r="G26" s="10">
        <f t="shared" si="2"/>
        <v>49.1</v>
      </c>
      <c r="H26" s="1">
        <v>1.0</v>
      </c>
      <c r="I26" s="1">
        <v>1.0</v>
      </c>
      <c r="N26" s="1">
        <v>1.0</v>
      </c>
      <c r="Z26" s="10"/>
      <c r="AA26" s="10"/>
    </row>
    <row r="27">
      <c r="A27" s="58">
        <v>45740.0</v>
      </c>
      <c r="B27" s="51" t="s">
        <v>51</v>
      </c>
      <c r="C27" s="51" t="s">
        <v>11</v>
      </c>
      <c r="D27" s="51">
        <v>35.35</v>
      </c>
      <c r="E27" s="51" t="s">
        <v>2</v>
      </c>
      <c r="F27" s="10">
        <f t="shared" si="1"/>
        <v>11.78333333</v>
      </c>
      <c r="G27" s="10">
        <f t="shared" si="2"/>
        <v>11.78333333</v>
      </c>
      <c r="H27" s="52">
        <v>1.0</v>
      </c>
      <c r="I27" s="52">
        <v>1.0</v>
      </c>
      <c r="J27" s="52"/>
      <c r="K27" s="52"/>
      <c r="L27" s="54"/>
      <c r="M27" s="54"/>
      <c r="N27" s="52">
        <v>1.0</v>
      </c>
      <c r="Z27" s="10"/>
      <c r="AA27" s="10"/>
    </row>
    <row r="28">
      <c r="A28" s="58"/>
      <c r="B28" s="12"/>
      <c r="C28" s="12" t="s">
        <v>11</v>
      </c>
      <c r="D28" s="12"/>
      <c r="E28" s="51"/>
      <c r="F28" s="10" t="str">
        <f t="shared" si="1"/>
        <v>#DIV/0!</v>
      </c>
      <c r="G28" s="10" t="str">
        <f t="shared" si="2"/>
        <v>#DIV/0!</v>
      </c>
      <c r="Z28" s="10"/>
      <c r="AA28" s="10"/>
    </row>
    <row r="29">
      <c r="A29" s="50"/>
      <c r="B29" s="12"/>
      <c r="C29" s="12" t="s">
        <v>11</v>
      </c>
      <c r="D29" s="12"/>
      <c r="E29" s="12"/>
      <c r="F29" s="10" t="str">
        <f t="shared" si="1"/>
        <v>#DIV/0!</v>
      </c>
      <c r="G29" s="10" t="str">
        <f t="shared" si="2"/>
        <v>#DIV/0!</v>
      </c>
      <c r="Z29" s="10"/>
      <c r="AA29" s="10"/>
    </row>
    <row r="30">
      <c r="A30" s="50"/>
      <c r="B30" s="51"/>
      <c r="C30" s="12" t="s">
        <v>11</v>
      </c>
      <c r="D30" s="51"/>
      <c r="E30" s="51"/>
      <c r="F30" s="10" t="str">
        <f t="shared" si="1"/>
        <v>#DIV/0!</v>
      </c>
      <c r="G30" s="10" t="str">
        <f t="shared" si="2"/>
        <v>#DIV/0!</v>
      </c>
      <c r="H30" s="52"/>
      <c r="I30" s="54"/>
      <c r="J30" s="52"/>
      <c r="K30" s="54"/>
      <c r="L30" s="54"/>
      <c r="M30" s="54"/>
      <c r="N30" s="54"/>
      <c r="Z30" s="10"/>
      <c r="AA30" s="10"/>
    </row>
    <row r="31">
      <c r="A31" s="55"/>
      <c r="B31" s="12"/>
      <c r="C31" s="12"/>
      <c r="D31" s="12"/>
      <c r="E31" s="51"/>
      <c r="F31" s="10" t="str">
        <f t="shared" si="1"/>
        <v>#DIV/0!</v>
      </c>
      <c r="G31" s="10" t="str">
        <f t="shared" si="2"/>
        <v>#DIV/0!</v>
      </c>
      <c r="Z31" s="10"/>
      <c r="AA31" s="10"/>
    </row>
    <row r="32">
      <c r="A32" s="50"/>
      <c r="B32" s="12"/>
      <c r="C32" s="12"/>
      <c r="D32" s="12"/>
      <c r="E32" s="51"/>
      <c r="F32" s="10" t="str">
        <f t="shared" si="1"/>
        <v>#DIV/0!</v>
      </c>
      <c r="G32" s="10" t="str">
        <f t="shared" si="2"/>
        <v>#DIV/0!</v>
      </c>
      <c r="H32" s="52"/>
      <c r="I32" s="52"/>
      <c r="J32" s="52"/>
      <c r="K32" s="52"/>
      <c r="L32" s="53"/>
      <c r="M32" s="54"/>
      <c r="N32" s="52"/>
      <c r="Z32" s="10"/>
      <c r="AA32" s="10"/>
    </row>
    <row r="33">
      <c r="A33" s="55"/>
      <c r="B33" s="12"/>
      <c r="C33" s="12"/>
      <c r="D33" s="12"/>
      <c r="E33" s="12"/>
      <c r="F33" s="10" t="str">
        <f t="shared" si="1"/>
        <v>#DIV/0!</v>
      </c>
      <c r="G33" s="10" t="str">
        <f t="shared" si="2"/>
        <v>#DIV/0!</v>
      </c>
      <c r="Z33" s="10"/>
      <c r="AA33" s="10"/>
    </row>
    <row r="34">
      <c r="A34" s="50"/>
      <c r="B34" s="12"/>
      <c r="C34" s="12"/>
      <c r="D34" s="51"/>
      <c r="E34" s="51"/>
      <c r="F34" s="10" t="str">
        <f t="shared" si="1"/>
        <v>#DIV/0!</v>
      </c>
      <c r="G34" s="10" t="str">
        <f t="shared" si="2"/>
        <v>#DIV/0!</v>
      </c>
      <c r="H34" s="52"/>
      <c r="I34" s="54"/>
      <c r="J34" s="52"/>
      <c r="K34" s="54"/>
      <c r="L34" s="54"/>
      <c r="M34" s="54"/>
      <c r="N34" s="54"/>
      <c r="Z34" s="10"/>
      <c r="AA34" s="10"/>
    </row>
    <row r="35">
      <c r="A35" s="55"/>
      <c r="B35" s="51"/>
      <c r="C35" s="12"/>
      <c r="D35" s="51"/>
      <c r="E35" s="51"/>
      <c r="F35" s="10" t="str">
        <f t="shared" si="1"/>
        <v>#DIV/0!</v>
      </c>
      <c r="G35" s="10" t="str">
        <f t="shared" si="2"/>
        <v>#DIV/0!</v>
      </c>
      <c r="H35" s="52"/>
      <c r="I35" s="54"/>
      <c r="J35" s="54"/>
      <c r="K35" s="54"/>
      <c r="L35" s="53"/>
      <c r="M35" s="54"/>
      <c r="N35" s="54"/>
      <c r="Z35" s="10"/>
      <c r="AA35" s="10"/>
    </row>
    <row r="36">
      <c r="A36" s="59"/>
      <c r="B36" s="12"/>
      <c r="C36" s="12"/>
      <c r="D36" s="12"/>
      <c r="E36" s="12"/>
      <c r="F36" s="10" t="str">
        <f t="shared" si="1"/>
        <v>#DIV/0!</v>
      </c>
      <c r="G36" s="10" t="str">
        <f t="shared" si="2"/>
        <v>#DIV/0!</v>
      </c>
      <c r="Z36" s="10"/>
      <c r="AA36" s="10"/>
    </row>
    <row r="37">
      <c r="A37" s="55"/>
      <c r="B37" s="12"/>
      <c r="C37" s="12"/>
      <c r="D37" s="12"/>
      <c r="E37" s="51"/>
      <c r="F37" s="10" t="str">
        <f t="shared" si="1"/>
        <v>#DIV/0!</v>
      </c>
      <c r="G37" s="10" t="str">
        <f t="shared" si="2"/>
        <v>#DIV/0!</v>
      </c>
      <c r="Z37" s="10"/>
      <c r="AA37" s="10"/>
    </row>
    <row r="38">
      <c r="A38" s="60"/>
      <c r="C38" s="12"/>
      <c r="D38" s="51"/>
      <c r="E38" s="51"/>
      <c r="F38" s="10" t="str">
        <f t="shared" si="1"/>
        <v>#DIV/0!</v>
      </c>
      <c r="G38" s="10" t="str">
        <f t="shared" si="2"/>
        <v>#DIV/0!</v>
      </c>
      <c r="H38" s="52"/>
      <c r="I38" s="52"/>
      <c r="J38" s="52"/>
      <c r="K38" s="52"/>
      <c r="L38" s="54"/>
      <c r="M38" s="54"/>
      <c r="N38" s="52"/>
      <c r="R38" s="1"/>
      <c r="Z38" s="10"/>
      <c r="AA38" s="10"/>
    </row>
    <row r="39">
      <c r="A39" s="61"/>
      <c r="B39" s="51"/>
      <c r="C39" s="12"/>
      <c r="D39" s="51"/>
      <c r="E39" s="51"/>
      <c r="F39" s="10" t="str">
        <f t="shared" si="1"/>
        <v>#DIV/0!</v>
      </c>
      <c r="G39" s="10" t="str">
        <f t="shared" si="2"/>
        <v>#DIV/0!</v>
      </c>
      <c r="H39" s="52"/>
      <c r="I39" s="52"/>
      <c r="J39" s="52"/>
      <c r="K39" s="52"/>
      <c r="L39" s="54"/>
      <c r="M39" s="54"/>
      <c r="N39" s="52"/>
      <c r="Z39" s="10"/>
      <c r="AA39" s="10"/>
    </row>
    <row r="40">
      <c r="A40" s="50"/>
      <c r="B40" s="51"/>
      <c r="C40" s="12"/>
      <c r="D40" s="51"/>
      <c r="E40" s="51"/>
      <c r="F40" s="10" t="str">
        <f t="shared" si="1"/>
        <v>#DIV/0!</v>
      </c>
      <c r="G40" s="10" t="str">
        <f t="shared" si="2"/>
        <v>#DIV/0!</v>
      </c>
      <c r="Z40" s="10"/>
      <c r="AA40" s="10"/>
    </row>
    <row r="41">
      <c r="A41" s="50"/>
      <c r="B41" s="51"/>
      <c r="C41" s="12"/>
      <c r="D41" s="12"/>
      <c r="E41" s="51"/>
      <c r="F41" s="10" t="str">
        <f t="shared" si="1"/>
        <v>#DIV/0!</v>
      </c>
      <c r="G41" s="10" t="str">
        <f t="shared" si="2"/>
        <v>#DIV/0!</v>
      </c>
      <c r="Z41" s="10"/>
      <c r="AA41" s="10"/>
    </row>
    <row r="42">
      <c r="A42" s="50"/>
      <c r="B42" s="51"/>
      <c r="C42" s="12"/>
      <c r="D42" s="51"/>
      <c r="E42" s="51"/>
      <c r="F42" s="10" t="str">
        <f t="shared" si="1"/>
        <v>#DIV/0!</v>
      </c>
      <c r="G42" s="10" t="str">
        <f t="shared" si="2"/>
        <v>#DIV/0!</v>
      </c>
      <c r="Q42" s="62"/>
      <c r="Z42" s="10"/>
      <c r="AA42" s="10"/>
    </row>
    <row r="43">
      <c r="A43" s="50"/>
      <c r="B43" s="51"/>
      <c r="C43" s="12"/>
      <c r="D43" s="51"/>
      <c r="E43" s="51"/>
      <c r="F43" s="10" t="str">
        <f t="shared" si="1"/>
        <v>#DIV/0!</v>
      </c>
      <c r="G43" s="10" t="str">
        <f t="shared" si="2"/>
        <v>#DIV/0!</v>
      </c>
      <c r="H43" s="52"/>
      <c r="I43" s="52"/>
      <c r="J43" s="52"/>
      <c r="K43" s="52"/>
      <c r="L43" s="54"/>
      <c r="M43" s="54"/>
      <c r="N43" s="52"/>
      <c r="Z43" s="10"/>
      <c r="AA43" s="10"/>
    </row>
    <row r="44">
      <c r="A44" s="50"/>
      <c r="B44" s="51"/>
      <c r="C44" s="12"/>
      <c r="D44" s="51"/>
      <c r="E44" s="51"/>
      <c r="F44" s="10" t="str">
        <f t="shared" si="1"/>
        <v>#DIV/0!</v>
      </c>
      <c r="G44" s="10" t="str">
        <f t="shared" si="2"/>
        <v>#DIV/0!</v>
      </c>
      <c r="H44" s="52"/>
      <c r="I44" s="52"/>
      <c r="J44" s="52"/>
      <c r="K44" s="52"/>
      <c r="L44" s="54"/>
      <c r="M44" s="54"/>
      <c r="N44" s="52"/>
      <c r="Z44" s="10"/>
      <c r="AA44" s="10"/>
    </row>
    <row r="45">
      <c r="A45" s="50"/>
      <c r="B45" s="12"/>
      <c r="C45" s="12"/>
      <c r="D45" s="12"/>
      <c r="E45" s="51"/>
      <c r="F45" s="10" t="str">
        <f t="shared" si="1"/>
        <v>#DIV/0!</v>
      </c>
      <c r="G45" s="10" t="str">
        <f t="shared" si="2"/>
        <v>#DIV/0!</v>
      </c>
      <c r="Z45" s="10"/>
      <c r="AA45" s="10"/>
    </row>
    <row r="46">
      <c r="A46" s="61"/>
      <c r="B46" s="51"/>
      <c r="C46" s="12"/>
      <c r="D46" s="51"/>
      <c r="E46" s="51"/>
      <c r="F46" s="10" t="str">
        <f t="shared" si="1"/>
        <v>#DIV/0!</v>
      </c>
      <c r="G46" s="10" t="str">
        <f t="shared" si="2"/>
        <v>#DIV/0!</v>
      </c>
      <c r="H46" s="52"/>
      <c r="I46" s="52"/>
      <c r="J46" s="52"/>
      <c r="K46" s="52"/>
      <c r="L46" s="54"/>
      <c r="M46" s="54"/>
      <c r="N46" s="52"/>
      <c r="Z46" s="10"/>
      <c r="AA46" s="10"/>
    </row>
    <row r="47">
      <c r="A47" s="55"/>
      <c r="B47" s="12"/>
      <c r="C47" s="12"/>
      <c r="D47" s="12"/>
      <c r="E47" s="51"/>
      <c r="F47" s="10" t="str">
        <f t="shared" si="1"/>
        <v>#DIV/0!</v>
      </c>
      <c r="G47" s="10" t="str">
        <f t="shared" si="2"/>
        <v>#DIV/0!</v>
      </c>
      <c r="Z47" s="10"/>
      <c r="AA47" s="10"/>
    </row>
    <row r="48">
      <c r="A48" s="55"/>
      <c r="B48" s="12"/>
      <c r="C48" s="12"/>
      <c r="D48" s="12"/>
      <c r="E48" s="51"/>
      <c r="F48" s="10" t="str">
        <f t="shared" si="1"/>
        <v>#DIV/0!</v>
      </c>
      <c r="G48" s="10" t="str">
        <f t="shared" si="2"/>
        <v>#DIV/0!</v>
      </c>
      <c r="Z48" s="10"/>
      <c r="AA48" s="10"/>
    </row>
    <row r="49">
      <c r="A49" s="61"/>
      <c r="B49" s="51"/>
      <c r="C49" s="12"/>
      <c r="D49" s="12"/>
      <c r="E49" s="51"/>
      <c r="F49" s="10" t="str">
        <f t="shared" si="1"/>
        <v>#DIV/0!</v>
      </c>
      <c r="G49" s="10" t="str">
        <f t="shared" si="2"/>
        <v>#DIV/0!</v>
      </c>
      <c r="Z49" s="10"/>
      <c r="AA49" s="10"/>
    </row>
    <row r="50">
      <c r="A50" s="50"/>
      <c r="B50" s="51"/>
      <c r="C50" s="12"/>
      <c r="D50" s="51"/>
      <c r="E50" s="51"/>
      <c r="F50" s="10" t="str">
        <f t="shared" si="1"/>
        <v>#DIV/0!</v>
      </c>
      <c r="G50" s="10" t="str">
        <f t="shared" si="2"/>
        <v>#DIV/0!</v>
      </c>
      <c r="H50" s="52"/>
      <c r="I50" s="52"/>
      <c r="J50" s="52"/>
      <c r="K50" s="52"/>
      <c r="L50" s="54"/>
      <c r="M50" s="54"/>
      <c r="N50" s="52"/>
      <c r="Z50" s="10"/>
      <c r="AA50" s="10"/>
    </row>
    <row r="51">
      <c r="A51" s="55"/>
      <c r="B51" s="12"/>
      <c r="C51" s="12"/>
      <c r="D51" s="12"/>
      <c r="E51" s="51"/>
      <c r="F51" s="10" t="str">
        <f t="shared" si="1"/>
        <v>#DIV/0!</v>
      </c>
      <c r="G51" s="10" t="str">
        <f t="shared" si="2"/>
        <v>#DIV/0!</v>
      </c>
      <c r="Z51" s="10"/>
      <c r="AA51" s="10"/>
    </row>
    <row r="52">
      <c r="A52" s="55"/>
      <c r="B52" s="51"/>
      <c r="C52" s="12"/>
      <c r="D52" s="51"/>
      <c r="E52" s="51"/>
      <c r="F52" s="10" t="str">
        <f t="shared" si="1"/>
        <v>#DIV/0!</v>
      </c>
      <c r="G52" s="10" t="str">
        <f t="shared" si="2"/>
        <v>#DIV/0!</v>
      </c>
      <c r="H52" s="54"/>
      <c r="I52" s="54"/>
      <c r="J52" s="54"/>
      <c r="K52" s="54"/>
      <c r="L52" s="54"/>
      <c r="M52" s="54"/>
      <c r="N52" s="54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>
      <c r="A53" s="61"/>
      <c r="B53" s="51"/>
      <c r="C53" s="12"/>
      <c r="D53" s="51"/>
      <c r="E53" s="51"/>
      <c r="F53" s="10" t="str">
        <f t="shared" si="1"/>
        <v>#DIV/0!</v>
      </c>
      <c r="G53" s="10" t="str">
        <f t="shared" si="2"/>
        <v>#DIV/0!</v>
      </c>
      <c r="H53" s="52"/>
      <c r="I53" s="52"/>
      <c r="J53" s="52"/>
      <c r="K53" s="52"/>
      <c r="L53" s="54"/>
      <c r="M53" s="52"/>
      <c r="N53" s="52"/>
      <c r="Z53" s="10"/>
      <c r="AA53" s="10"/>
    </row>
    <row r="54">
      <c r="A54" s="55"/>
      <c r="B54" s="12"/>
      <c r="C54" s="12"/>
      <c r="D54" s="12"/>
      <c r="E54" s="12"/>
      <c r="F54" s="10" t="str">
        <f t="shared" si="1"/>
        <v>#DIV/0!</v>
      </c>
      <c r="G54" s="10" t="str">
        <f t="shared" si="2"/>
        <v>#DIV/0!</v>
      </c>
      <c r="Z54" s="10"/>
      <c r="AA54" s="10"/>
    </row>
    <row r="55">
      <c r="A55" s="61"/>
      <c r="B55" s="51"/>
      <c r="C55" s="12"/>
      <c r="D55" s="12"/>
      <c r="E55" s="51"/>
      <c r="F55" s="10" t="str">
        <f t="shared" si="1"/>
        <v>#DIV/0!</v>
      </c>
      <c r="G55" s="10" t="str">
        <f t="shared" si="2"/>
        <v>#DIV/0!</v>
      </c>
      <c r="Z55" s="10"/>
      <c r="AA55" s="10"/>
    </row>
    <row r="56">
      <c r="A56" s="61"/>
      <c r="B56" s="51"/>
      <c r="C56" s="12"/>
      <c r="D56" s="51"/>
      <c r="E56" s="51"/>
      <c r="F56" s="10" t="str">
        <f t="shared" si="1"/>
        <v>#DIV/0!</v>
      </c>
      <c r="G56" s="10" t="str">
        <f t="shared" si="2"/>
        <v>#DIV/0!</v>
      </c>
      <c r="H56" s="52"/>
      <c r="I56" s="52"/>
      <c r="J56" s="52"/>
      <c r="K56" s="52"/>
      <c r="L56" s="54"/>
      <c r="M56" s="54"/>
      <c r="N56" s="52"/>
      <c r="Z56" s="10"/>
      <c r="AA56" s="10"/>
    </row>
    <row r="57">
      <c r="A57" s="55"/>
      <c r="B57" s="12"/>
      <c r="C57" s="12"/>
      <c r="D57" s="12"/>
      <c r="E57" s="12"/>
      <c r="F57" s="10" t="str">
        <f t="shared" si="1"/>
        <v>#DIV/0!</v>
      </c>
      <c r="G57" s="10" t="str">
        <f t="shared" si="2"/>
        <v>#DIV/0!</v>
      </c>
      <c r="Z57" s="10"/>
      <c r="AA57" s="10"/>
    </row>
    <row r="58">
      <c r="A58" s="59"/>
      <c r="B58" s="12"/>
      <c r="C58" s="12"/>
      <c r="D58" s="12"/>
      <c r="E58" s="12"/>
      <c r="F58" s="10" t="str">
        <f t="shared" si="1"/>
        <v>#DIV/0!</v>
      </c>
      <c r="G58" s="10" t="str">
        <f t="shared" si="2"/>
        <v>#DIV/0!</v>
      </c>
      <c r="Z58" s="10"/>
      <c r="AA58" s="10"/>
    </row>
    <row r="59">
      <c r="A59" s="59"/>
      <c r="B59" s="12"/>
      <c r="C59" s="12"/>
      <c r="D59" s="12"/>
      <c r="E59" s="12"/>
      <c r="F59" s="10" t="str">
        <f t="shared" si="1"/>
        <v>#DIV/0!</v>
      </c>
      <c r="G59" s="10" t="str">
        <f t="shared" si="2"/>
        <v>#DIV/0!</v>
      </c>
      <c r="Z59" s="10"/>
      <c r="AA59" s="10"/>
    </row>
    <row r="60">
      <c r="A60" s="61"/>
      <c r="B60" s="51"/>
      <c r="C60" s="12"/>
      <c r="D60" s="63"/>
      <c r="E60" s="51"/>
      <c r="F60" s="10" t="str">
        <f t="shared" si="1"/>
        <v>#DIV/0!</v>
      </c>
      <c r="G60" s="10" t="str">
        <f t="shared" si="2"/>
        <v>#DIV/0!</v>
      </c>
      <c r="H60" s="52"/>
      <c r="I60" s="52"/>
      <c r="J60" s="52"/>
      <c r="K60" s="52"/>
      <c r="L60" s="54"/>
      <c r="M60" s="54"/>
      <c r="N60" s="52"/>
      <c r="Z60" s="10"/>
      <c r="AA60" s="10"/>
    </row>
    <row r="61">
      <c r="A61" s="59"/>
      <c r="B61" s="12"/>
      <c r="C61" s="12"/>
      <c r="D61" s="12"/>
      <c r="E61" s="12"/>
      <c r="F61" s="10" t="str">
        <f t="shared" si="1"/>
        <v>#DIV/0!</v>
      </c>
      <c r="G61" s="10" t="str">
        <f t="shared" si="2"/>
        <v>#DIV/0!</v>
      </c>
      <c r="Z61" s="10"/>
      <c r="AA61" s="10"/>
    </row>
    <row r="62">
      <c r="A62" s="59"/>
      <c r="B62" s="12"/>
      <c r="C62" s="12"/>
      <c r="D62" s="12"/>
      <c r="E62" s="12"/>
      <c r="F62" s="10" t="str">
        <f t="shared" si="1"/>
        <v>#DIV/0!</v>
      </c>
      <c r="G62" s="10" t="str">
        <f t="shared" si="2"/>
        <v>#DIV/0!</v>
      </c>
      <c r="Z62" s="10"/>
      <c r="AA62" s="10"/>
    </row>
    <row r="63">
      <c r="A63" s="50"/>
      <c r="B63" s="51"/>
      <c r="C63" s="12"/>
      <c r="D63" s="51"/>
      <c r="E63" s="51"/>
      <c r="F63" s="10" t="str">
        <f t="shared" si="1"/>
        <v>#DIV/0!</v>
      </c>
      <c r="G63" s="10" t="str">
        <f t="shared" si="2"/>
        <v>#DIV/0!</v>
      </c>
      <c r="H63" s="52"/>
      <c r="I63" s="52"/>
      <c r="J63" s="52"/>
      <c r="K63" s="52"/>
      <c r="L63" s="54"/>
      <c r="M63" s="54"/>
      <c r="N63" s="52"/>
      <c r="Z63" s="10"/>
      <c r="AA63" s="10"/>
    </row>
    <row r="64">
      <c r="A64" s="61"/>
      <c r="B64" s="51"/>
      <c r="C64" s="12"/>
      <c r="D64" s="12"/>
      <c r="E64" s="51"/>
      <c r="F64" s="10" t="str">
        <f t="shared" si="1"/>
        <v>#DIV/0!</v>
      </c>
      <c r="G64" s="10" t="str">
        <f t="shared" si="2"/>
        <v>#DIV/0!</v>
      </c>
      <c r="Z64" s="10"/>
      <c r="AA64" s="10"/>
    </row>
    <row r="65">
      <c r="A65" s="55"/>
      <c r="B65" s="12"/>
      <c r="C65" s="12"/>
      <c r="D65" s="12"/>
      <c r="E65" s="51"/>
      <c r="F65" s="10" t="str">
        <f t="shared" si="1"/>
        <v>#DIV/0!</v>
      </c>
      <c r="G65" s="10" t="str">
        <f t="shared" si="2"/>
        <v>#DIV/0!</v>
      </c>
      <c r="Z65" s="10"/>
      <c r="AA65" s="10"/>
    </row>
    <row r="66">
      <c r="A66" s="55"/>
      <c r="B66" s="12"/>
      <c r="C66" s="12"/>
      <c r="D66" s="12"/>
      <c r="E66" s="12"/>
      <c r="F66" s="10" t="str">
        <f t="shared" si="1"/>
        <v>#DIV/0!</v>
      </c>
      <c r="G66" s="10" t="str">
        <f t="shared" si="2"/>
        <v>#DIV/0!</v>
      </c>
      <c r="Z66" s="10"/>
      <c r="AA66" s="10"/>
    </row>
    <row r="67">
      <c r="A67" s="61"/>
      <c r="B67" s="51"/>
      <c r="C67" s="12"/>
      <c r="D67" s="63"/>
      <c r="E67" s="51"/>
      <c r="F67" s="10" t="str">
        <f t="shared" si="1"/>
        <v>#DIV/0!</v>
      </c>
      <c r="G67" s="10" t="str">
        <f t="shared" si="2"/>
        <v>#DIV/0!</v>
      </c>
      <c r="H67" s="52"/>
      <c r="I67" s="52"/>
      <c r="J67" s="52"/>
      <c r="K67" s="52"/>
      <c r="L67" s="53"/>
      <c r="M67" s="53"/>
      <c r="N67" s="52"/>
      <c r="Z67" s="10"/>
      <c r="AA67" s="10"/>
    </row>
    <row r="68">
      <c r="A68" s="61"/>
      <c r="B68" s="51"/>
      <c r="C68" s="12"/>
      <c r="D68" s="63"/>
      <c r="E68" s="51"/>
      <c r="F68" s="10" t="str">
        <f t="shared" si="1"/>
        <v>#DIV/0!</v>
      </c>
      <c r="G68" s="10" t="str">
        <f t="shared" si="2"/>
        <v>#DIV/0!</v>
      </c>
      <c r="H68" s="52"/>
      <c r="I68" s="52"/>
      <c r="J68" s="52"/>
      <c r="K68" s="52"/>
      <c r="L68" s="53"/>
      <c r="M68" s="53"/>
      <c r="N68" s="52"/>
      <c r="Z68" s="10"/>
      <c r="AA68" s="10"/>
    </row>
    <row r="69">
      <c r="A69" s="59"/>
      <c r="B69" s="12"/>
      <c r="C69" s="12"/>
      <c r="D69" s="12"/>
      <c r="E69" s="51"/>
      <c r="F69" s="10" t="str">
        <f t="shared" si="1"/>
        <v>#DIV/0!</v>
      </c>
      <c r="G69" s="10" t="str">
        <f t="shared" si="2"/>
        <v>#DIV/0!</v>
      </c>
      <c r="Z69" s="10"/>
      <c r="AA69" s="10"/>
    </row>
    <row r="70">
      <c r="A70" s="55"/>
      <c r="B70" s="12"/>
      <c r="C70" s="12"/>
      <c r="D70" s="12"/>
      <c r="E70" s="51"/>
      <c r="F70" s="10" t="str">
        <f t="shared" si="1"/>
        <v>#DIV/0!</v>
      </c>
      <c r="G70" s="10" t="str">
        <f t="shared" si="2"/>
        <v>#DIV/0!</v>
      </c>
      <c r="Z70" s="10"/>
      <c r="AA70" s="10"/>
    </row>
    <row r="71">
      <c r="A71" s="55"/>
      <c r="B71" s="12"/>
      <c r="C71" s="12"/>
      <c r="D71" s="12"/>
      <c r="E71" s="12"/>
      <c r="F71" s="10" t="str">
        <f t="shared" si="1"/>
        <v>#DIV/0!</v>
      </c>
      <c r="G71" s="10" t="str">
        <f t="shared" si="2"/>
        <v>#DIV/0!</v>
      </c>
      <c r="Z71" s="10"/>
      <c r="AA71" s="10"/>
    </row>
    <row r="72">
      <c r="A72" s="59"/>
      <c r="B72" s="12"/>
      <c r="C72" s="12"/>
      <c r="D72" s="12"/>
      <c r="E72" s="12"/>
      <c r="F72" s="10" t="str">
        <f t="shared" si="1"/>
        <v>#DIV/0!</v>
      </c>
      <c r="G72" s="10" t="str">
        <f t="shared" si="2"/>
        <v>#DIV/0!</v>
      </c>
      <c r="T72" s="18"/>
      <c r="U72" s="18"/>
      <c r="V72" s="18"/>
      <c r="W72" s="18"/>
      <c r="Z72" s="10"/>
      <c r="AA72" s="10"/>
    </row>
    <row r="73">
      <c r="A73" s="55"/>
      <c r="B73" s="12"/>
      <c r="C73" s="12"/>
      <c r="D73" s="12"/>
      <c r="E73" s="12"/>
      <c r="F73" s="10" t="str">
        <f t="shared" si="1"/>
        <v>#DIV/0!</v>
      </c>
      <c r="G73" s="10" t="str">
        <f t="shared" si="2"/>
        <v>#DIV/0!</v>
      </c>
      <c r="Z73" s="10"/>
      <c r="AA73" s="10"/>
    </row>
    <row r="74">
      <c r="A74" s="55"/>
      <c r="B74" s="12"/>
      <c r="C74" s="12"/>
      <c r="D74" s="12"/>
      <c r="E74" s="12"/>
      <c r="F74" s="10" t="str">
        <f t="shared" si="1"/>
        <v>#DIV/0!</v>
      </c>
      <c r="G74" s="10" t="str">
        <f t="shared" si="2"/>
        <v>#DIV/0!</v>
      </c>
      <c r="Z74" s="10"/>
      <c r="AA74" s="10"/>
    </row>
    <row r="75">
      <c r="A75" s="59"/>
      <c r="B75" s="12"/>
      <c r="C75" s="12"/>
      <c r="D75" s="12"/>
      <c r="E75" s="12"/>
      <c r="F75" s="10" t="str">
        <f t="shared" si="1"/>
        <v>#DIV/0!</v>
      </c>
      <c r="G75" s="10" t="str">
        <f t="shared" si="2"/>
        <v>#DIV/0!</v>
      </c>
      <c r="Z75" s="64"/>
      <c r="AA75" s="64"/>
    </row>
    <row r="76">
      <c r="A76" s="50"/>
      <c r="B76" s="51"/>
      <c r="C76" s="12"/>
      <c r="D76" s="51"/>
      <c r="E76" s="51"/>
      <c r="F76" s="10" t="str">
        <f t="shared" si="1"/>
        <v>#DIV/0!</v>
      </c>
      <c r="G76" s="10" t="str">
        <f t="shared" si="2"/>
        <v>#DIV/0!</v>
      </c>
      <c r="H76" s="52"/>
      <c r="I76" s="52"/>
      <c r="J76" s="52"/>
      <c r="K76" s="52"/>
      <c r="L76" s="54"/>
      <c r="M76" s="54"/>
      <c r="N76" s="52"/>
      <c r="Z76" s="10"/>
      <c r="AA76" s="10"/>
    </row>
    <row r="77">
      <c r="A77" s="50"/>
      <c r="B77" s="51"/>
      <c r="C77" s="12"/>
      <c r="D77" s="51"/>
      <c r="E77" s="51"/>
      <c r="F77" s="10" t="str">
        <f t="shared" si="1"/>
        <v>#DIV/0!</v>
      </c>
      <c r="G77" s="10" t="str">
        <f t="shared" si="2"/>
        <v>#DIV/0!</v>
      </c>
      <c r="H77" s="54"/>
      <c r="I77" s="54"/>
      <c r="J77" s="54"/>
      <c r="K77" s="54"/>
      <c r="L77" s="54"/>
      <c r="M77" s="54"/>
      <c r="N77" s="54"/>
      <c r="O77" s="54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>
      <c r="A78" s="50"/>
      <c r="B78" s="51"/>
      <c r="C78" s="12"/>
      <c r="D78" s="51"/>
      <c r="E78" s="51"/>
      <c r="F78" s="65" t="str">
        <f t="shared" si="1"/>
        <v>#DIV/0!</v>
      </c>
      <c r="G78" s="65" t="str">
        <f t="shared" si="2"/>
        <v>#DIV/0!</v>
      </c>
      <c r="H78" s="54"/>
      <c r="I78" s="54"/>
      <c r="J78" s="54"/>
      <c r="K78" s="54"/>
      <c r="L78" s="54"/>
      <c r="M78" s="54"/>
      <c r="N78" s="54"/>
      <c r="O78" s="54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>
      <c r="A79" s="50"/>
      <c r="B79" s="51"/>
      <c r="C79" s="12"/>
      <c r="D79" s="63"/>
      <c r="E79" s="51"/>
      <c r="F79" s="10" t="str">
        <f t="shared" si="1"/>
        <v>#DIV/0!</v>
      </c>
      <c r="G79" s="10" t="str">
        <f t="shared" si="2"/>
        <v>#DIV/0!</v>
      </c>
      <c r="H79" s="52"/>
      <c r="I79" s="52"/>
      <c r="J79" s="52"/>
      <c r="K79" s="52"/>
      <c r="L79" s="53"/>
      <c r="M79" s="54"/>
      <c r="N79" s="52"/>
      <c r="Z79" s="10"/>
      <c r="AA79" s="10"/>
    </row>
    <row r="80">
      <c r="A80" s="59"/>
      <c r="B80" s="12"/>
      <c r="C80" s="12"/>
      <c r="D80" s="12"/>
      <c r="E80" s="51"/>
      <c r="F80" s="10" t="str">
        <f t="shared" si="1"/>
        <v>#DIV/0!</v>
      </c>
      <c r="G80" s="10" t="str">
        <f t="shared" si="2"/>
        <v>#DIV/0!</v>
      </c>
      <c r="Z80" s="10"/>
      <c r="AA80" s="10"/>
    </row>
    <row r="81">
      <c r="A81" s="59"/>
      <c r="B81" s="12"/>
      <c r="C81" s="12"/>
      <c r="D81" s="12"/>
      <c r="E81" s="51"/>
      <c r="F81" s="10" t="str">
        <f t="shared" si="1"/>
        <v>#DIV/0!</v>
      </c>
      <c r="G81" s="10" t="str">
        <f t="shared" si="2"/>
        <v>#DIV/0!</v>
      </c>
      <c r="Z81" s="10"/>
      <c r="AA81" s="10"/>
    </row>
    <row r="82">
      <c r="A82" s="50"/>
      <c r="B82" s="51"/>
      <c r="C82" s="12"/>
      <c r="D82" s="51"/>
      <c r="E82" s="51"/>
      <c r="F82" s="10" t="str">
        <f t="shared" si="1"/>
        <v>#DIV/0!</v>
      </c>
      <c r="G82" s="10" t="str">
        <f t="shared" si="2"/>
        <v>#DIV/0!</v>
      </c>
      <c r="H82" s="52"/>
      <c r="I82" s="52"/>
      <c r="J82" s="52"/>
      <c r="K82" s="52"/>
      <c r="L82" s="54"/>
      <c r="M82" s="54"/>
      <c r="N82" s="52"/>
      <c r="Z82" s="10"/>
      <c r="AA82" s="10"/>
    </row>
    <row r="83">
      <c r="A83" s="61"/>
      <c r="B83" s="51"/>
      <c r="C83" s="12"/>
      <c r="D83" s="12"/>
      <c r="E83" s="51"/>
      <c r="F83" s="10" t="str">
        <f t="shared" si="1"/>
        <v>#DIV/0!</v>
      </c>
      <c r="G83" s="10" t="str">
        <f t="shared" si="2"/>
        <v>#DIV/0!</v>
      </c>
      <c r="Z83" s="10"/>
      <c r="AA83" s="10"/>
    </row>
    <row r="84">
      <c r="A84" s="61"/>
      <c r="B84" s="12"/>
      <c r="C84" s="12"/>
      <c r="D84" s="12"/>
      <c r="E84" s="12"/>
      <c r="F84" s="10" t="str">
        <f t="shared" si="1"/>
        <v>#DIV/0!</v>
      </c>
      <c r="G84" s="10" t="str">
        <f t="shared" si="2"/>
        <v>#DIV/0!</v>
      </c>
      <c r="Z84" s="10"/>
      <c r="AA84" s="10"/>
    </row>
    <row r="85">
      <c r="A85" s="55"/>
      <c r="B85" s="12"/>
      <c r="C85" s="12"/>
      <c r="D85" s="12"/>
      <c r="E85" s="51"/>
      <c r="F85" s="10" t="str">
        <f t="shared" si="1"/>
        <v>#DIV/0!</v>
      </c>
      <c r="G85" s="10" t="str">
        <f t="shared" si="2"/>
        <v>#DIV/0!</v>
      </c>
      <c r="Z85" s="10"/>
      <c r="AA85" s="10"/>
    </row>
    <row r="86">
      <c r="A86" s="59"/>
      <c r="B86" s="12"/>
      <c r="C86" s="12"/>
      <c r="D86" s="12"/>
      <c r="E86" s="12"/>
      <c r="F86" s="10" t="str">
        <f t="shared" si="1"/>
        <v>#DIV/0!</v>
      </c>
      <c r="G86" s="10" t="str">
        <f t="shared" si="2"/>
        <v>#DIV/0!</v>
      </c>
      <c r="Z86" s="10"/>
      <c r="AA86" s="10"/>
    </row>
    <row r="87">
      <c r="A87" s="59"/>
      <c r="B87" s="12"/>
      <c r="C87" s="51"/>
      <c r="D87" s="12"/>
      <c r="E87" s="12"/>
      <c r="F87" s="10" t="str">
        <f t="shared" si="1"/>
        <v>#DIV/0!</v>
      </c>
      <c r="G87" s="10" t="str">
        <f t="shared" si="2"/>
        <v>#DIV/0!</v>
      </c>
      <c r="Z87" s="64"/>
      <c r="AA87" s="64"/>
    </row>
    <row r="88">
      <c r="A88" s="59"/>
      <c r="B88" s="12"/>
      <c r="C88" s="51"/>
      <c r="D88" s="12"/>
      <c r="E88" s="12"/>
      <c r="F88" s="10" t="str">
        <f t="shared" si="1"/>
        <v>#DIV/0!</v>
      </c>
      <c r="G88" s="10" t="str">
        <f t="shared" si="2"/>
        <v>#DIV/0!</v>
      </c>
      <c r="Z88" s="64"/>
      <c r="AA88" s="64"/>
    </row>
    <row r="89">
      <c r="A89" s="59"/>
      <c r="B89" s="12"/>
      <c r="C89" s="51"/>
      <c r="D89" s="12"/>
      <c r="E89" s="12"/>
      <c r="F89" s="10" t="str">
        <f t="shared" si="1"/>
        <v>#DIV/0!</v>
      </c>
      <c r="G89" s="10" t="str">
        <f t="shared" si="2"/>
        <v>#DIV/0!</v>
      </c>
      <c r="Z89" s="64"/>
      <c r="AA89" s="64"/>
    </row>
    <row r="90">
      <c r="A90" s="55"/>
      <c r="B90" s="12"/>
      <c r="C90" s="12"/>
      <c r="D90" s="12"/>
      <c r="E90" s="12"/>
      <c r="F90" s="10" t="str">
        <f t="shared" si="1"/>
        <v>#DIV/0!</v>
      </c>
      <c r="G90" s="10" t="str">
        <f t="shared" si="2"/>
        <v>#DIV/0!</v>
      </c>
      <c r="Z90" s="10"/>
      <c r="AA90" s="10"/>
    </row>
    <row r="91">
      <c r="A91" s="59"/>
      <c r="B91" s="12"/>
      <c r="C91" s="12"/>
      <c r="D91" s="12"/>
      <c r="E91" s="12"/>
      <c r="F91" s="10" t="str">
        <f t="shared" si="1"/>
        <v>#DIV/0!</v>
      </c>
      <c r="G91" s="10" t="str">
        <f t="shared" si="2"/>
        <v>#DIV/0!</v>
      </c>
      <c r="Z91" s="10"/>
      <c r="AA91" s="10"/>
    </row>
    <row r="92">
      <c r="A92" s="59"/>
      <c r="B92" s="12"/>
      <c r="C92" s="12"/>
      <c r="D92" s="12"/>
      <c r="E92" s="12"/>
      <c r="F92" s="10" t="str">
        <f t="shared" si="1"/>
        <v>#DIV/0!</v>
      </c>
      <c r="G92" s="10" t="str">
        <f t="shared" si="2"/>
        <v>#DIV/0!</v>
      </c>
      <c r="Z92" s="10"/>
      <c r="AA92" s="10"/>
    </row>
    <row r="93">
      <c r="A93" s="59"/>
      <c r="B93" s="12"/>
      <c r="C93" s="12"/>
      <c r="D93" s="12"/>
      <c r="E93" s="12"/>
      <c r="F93" s="10" t="str">
        <f t="shared" si="1"/>
        <v>#DIV/0!</v>
      </c>
      <c r="G93" s="10" t="str">
        <f t="shared" si="2"/>
        <v>#DIV/0!</v>
      </c>
      <c r="Z93" s="10"/>
      <c r="AA93" s="10"/>
    </row>
    <row r="94">
      <c r="A94" s="55"/>
      <c r="B94" s="12"/>
      <c r="C94" s="12"/>
      <c r="D94" s="12"/>
      <c r="E94" s="12"/>
      <c r="F94" s="10" t="str">
        <f t="shared" si="1"/>
        <v>#DIV/0!</v>
      </c>
      <c r="G94" s="10" t="str">
        <f t="shared" si="2"/>
        <v>#DIV/0!</v>
      </c>
      <c r="Z94" s="10"/>
      <c r="AA94" s="10"/>
    </row>
    <row r="95">
      <c r="A95" s="55"/>
      <c r="B95" s="51"/>
      <c r="C95" s="51"/>
      <c r="D95" s="51"/>
      <c r="E95" s="12"/>
      <c r="F95" s="10" t="str">
        <f t="shared" si="1"/>
        <v>#DIV/0!</v>
      </c>
      <c r="G95" s="10" t="str">
        <f t="shared" si="2"/>
        <v>#DIV/0!</v>
      </c>
      <c r="H95" s="52"/>
      <c r="I95" s="52"/>
      <c r="J95" s="52"/>
      <c r="K95" s="52"/>
      <c r="L95" s="53"/>
      <c r="M95" s="54"/>
      <c r="N95" s="52"/>
      <c r="O95" s="54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>
      <c r="A96" s="55"/>
      <c r="B96" s="12"/>
      <c r="C96" s="12"/>
      <c r="D96" s="12"/>
      <c r="E96" s="12"/>
      <c r="F96" s="10" t="str">
        <f t="shared" si="1"/>
        <v>#DIV/0!</v>
      </c>
      <c r="G96" s="10" t="str">
        <f t="shared" si="2"/>
        <v>#DIV/0!</v>
      </c>
      <c r="Z96" s="10"/>
      <c r="AA96" s="10"/>
    </row>
    <row r="97">
      <c r="A97" s="59"/>
      <c r="B97" s="12"/>
      <c r="C97" s="12"/>
      <c r="D97" s="12"/>
      <c r="E97" s="12"/>
      <c r="F97" s="10" t="str">
        <f t="shared" si="1"/>
        <v>#DIV/0!</v>
      </c>
      <c r="G97" s="10" t="str">
        <f t="shared" si="2"/>
        <v>#DIV/0!</v>
      </c>
      <c r="Z97" s="10"/>
      <c r="AA97" s="10"/>
    </row>
    <row r="98">
      <c r="A98" s="61"/>
      <c r="B98" s="12"/>
      <c r="C98" s="12"/>
      <c r="D98" s="12"/>
      <c r="E98" s="12"/>
      <c r="F98" s="10" t="str">
        <f t="shared" si="1"/>
        <v>#DIV/0!</v>
      </c>
      <c r="G98" s="10" t="str">
        <f t="shared" si="2"/>
        <v>#DIV/0!</v>
      </c>
      <c r="Z98" s="10"/>
      <c r="AA98" s="10"/>
    </row>
    <row r="99">
      <c r="A99" s="61"/>
      <c r="B99" s="12"/>
      <c r="C99" s="12"/>
      <c r="D99" s="12"/>
      <c r="E99" s="12"/>
      <c r="F99" s="10" t="str">
        <f t="shared" si="1"/>
        <v>#DIV/0!</v>
      </c>
      <c r="G99" s="10" t="str">
        <f t="shared" si="2"/>
        <v>#DIV/0!</v>
      </c>
      <c r="Z99" s="10"/>
      <c r="AA99" s="10"/>
    </row>
    <row r="100">
      <c r="A100" s="59"/>
      <c r="B100" s="12"/>
      <c r="C100" s="12"/>
      <c r="D100" s="12"/>
      <c r="E100" s="12"/>
      <c r="F100" s="10" t="str">
        <f t="shared" si="1"/>
        <v>#DIV/0!</v>
      </c>
      <c r="G100" s="10" t="str">
        <f t="shared" si="2"/>
        <v>#DIV/0!</v>
      </c>
      <c r="Z100" s="10"/>
      <c r="AA100" s="10"/>
    </row>
    <row r="101">
      <c r="A101" s="59"/>
      <c r="B101" s="12"/>
      <c r="C101" s="12"/>
      <c r="D101" s="12"/>
      <c r="E101" s="12"/>
      <c r="F101" s="10" t="str">
        <f t="shared" si="1"/>
        <v>#DIV/0!</v>
      </c>
      <c r="G101" s="10" t="str">
        <f t="shared" si="2"/>
        <v>#DIV/0!</v>
      </c>
      <c r="Z101" s="10"/>
      <c r="AA101" s="10"/>
    </row>
    <row r="102">
      <c r="A102" s="59"/>
      <c r="B102" s="12"/>
      <c r="C102" s="12"/>
      <c r="D102" s="12"/>
      <c r="E102" s="12"/>
      <c r="F102" s="10" t="str">
        <f t="shared" si="1"/>
        <v>#DIV/0!</v>
      </c>
      <c r="G102" s="10" t="str">
        <f t="shared" si="2"/>
        <v>#DIV/0!</v>
      </c>
      <c r="Z102" s="10"/>
      <c r="AA102" s="10"/>
    </row>
    <row r="103">
      <c r="A103" s="59"/>
      <c r="B103" s="12"/>
      <c r="C103" s="12"/>
      <c r="D103" s="12"/>
      <c r="E103" s="12"/>
      <c r="F103" s="10" t="str">
        <f t="shared" si="1"/>
        <v>#DIV/0!</v>
      </c>
      <c r="G103" s="10" t="str">
        <f t="shared" si="2"/>
        <v>#DIV/0!</v>
      </c>
      <c r="Z103" s="10"/>
      <c r="AA103" s="10"/>
    </row>
    <row r="104">
      <c r="A104" s="12"/>
      <c r="B104" s="12"/>
      <c r="C104" s="12"/>
      <c r="D104" s="12"/>
      <c r="E104" s="12"/>
      <c r="F104" s="10" t="str">
        <f t="shared" si="1"/>
        <v>#DIV/0!</v>
      </c>
      <c r="G104" s="10" t="str">
        <f t="shared" si="2"/>
        <v>#DIV/0!</v>
      </c>
      <c r="Z104" s="10"/>
      <c r="AA104" s="10"/>
    </row>
    <row r="105">
      <c r="A105" s="61"/>
      <c r="B105" s="51"/>
      <c r="C105" s="51"/>
      <c r="D105" s="51"/>
      <c r="E105" s="51"/>
      <c r="F105" s="10" t="str">
        <f t="shared" si="1"/>
        <v>#DIV/0!</v>
      </c>
      <c r="G105" s="10" t="str">
        <f t="shared" si="2"/>
        <v>#DIV/0!</v>
      </c>
      <c r="H105" s="52"/>
      <c r="I105" s="52"/>
      <c r="J105" s="52"/>
      <c r="K105" s="52"/>
      <c r="L105" s="53"/>
      <c r="M105" s="53"/>
      <c r="N105" s="52"/>
      <c r="Z105" s="10"/>
      <c r="AA105" s="10"/>
    </row>
    <row r="106">
      <c r="A106" s="59"/>
      <c r="B106" s="12"/>
      <c r="C106" s="12"/>
      <c r="D106" s="12"/>
      <c r="E106" s="12"/>
      <c r="F106" s="10" t="str">
        <f t="shared" si="1"/>
        <v>#DIV/0!</v>
      </c>
      <c r="G106" s="10" t="str">
        <f t="shared" si="2"/>
        <v>#DIV/0!</v>
      </c>
      <c r="Z106" s="10"/>
      <c r="AA106" s="10"/>
    </row>
    <row r="107">
      <c r="A107" s="61"/>
      <c r="B107" s="51"/>
      <c r="C107" s="51"/>
      <c r="D107" s="63"/>
      <c r="E107" s="51"/>
      <c r="F107" s="10" t="str">
        <f t="shared" si="1"/>
        <v>#DIV/0!</v>
      </c>
      <c r="G107" s="10" t="str">
        <f t="shared" si="2"/>
        <v>#DIV/0!</v>
      </c>
      <c r="H107" s="54"/>
      <c r="I107" s="54"/>
      <c r="J107" s="54"/>
      <c r="K107" s="54"/>
      <c r="L107" s="52"/>
      <c r="M107" s="54"/>
      <c r="N107" s="54"/>
      <c r="Z107" s="10"/>
      <c r="AA107" s="10"/>
    </row>
    <row r="108">
      <c r="A108" s="61"/>
      <c r="B108" s="51"/>
      <c r="C108" s="51"/>
      <c r="D108" s="51"/>
      <c r="E108" s="51"/>
      <c r="F108" s="10" t="str">
        <f t="shared" si="1"/>
        <v>#DIV/0!</v>
      </c>
      <c r="G108" s="10" t="str">
        <f t="shared" si="2"/>
        <v>#DIV/0!</v>
      </c>
      <c r="H108" s="52"/>
      <c r="I108" s="52"/>
      <c r="J108" s="52"/>
      <c r="K108" s="52"/>
      <c r="L108" s="53"/>
      <c r="M108" s="54"/>
      <c r="N108" s="52"/>
      <c r="Z108" s="10"/>
      <c r="AA108" s="10"/>
    </row>
    <row r="109">
      <c r="A109" s="59"/>
      <c r="B109" s="12"/>
      <c r="C109" s="12"/>
      <c r="D109" s="12"/>
      <c r="E109" s="12"/>
      <c r="F109" s="10" t="str">
        <f t="shared" si="1"/>
        <v>#DIV/0!</v>
      </c>
      <c r="G109" s="10" t="str">
        <f t="shared" si="2"/>
        <v>#DIV/0!</v>
      </c>
      <c r="Z109" s="10"/>
      <c r="AA109" s="10"/>
    </row>
    <row r="110">
      <c r="A110" s="61"/>
      <c r="B110" s="51"/>
      <c r="C110" s="51"/>
      <c r="D110" s="51"/>
      <c r="E110" s="51"/>
      <c r="F110" s="10" t="str">
        <f t="shared" si="1"/>
        <v>#DIV/0!</v>
      </c>
      <c r="G110" s="10" t="str">
        <f t="shared" si="2"/>
        <v>#DIV/0!</v>
      </c>
      <c r="H110" s="52"/>
      <c r="I110" s="52"/>
      <c r="J110" s="52"/>
      <c r="K110" s="52"/>
      <c r="L110" s="53"/>
      <c r="M110" s="54"/>
      <c r="N110" s="52"/>
      <c r="Z110" s="10"/>
      <c r="AA110" s="10"/>
    </row>
    <row r="111">
      <c r="A111" s="61"/>
      <c r="B111" s="51"/>
      <c r="C111" s="51"/>
      <c r="D111" s="51"/>
      <c r="E111" s="51"/>
      <c r="F111" s="10" t="str">
        <f t="shared" si="1"/>
        <v>#DIV/0!</v>
      </c>
      <c r="G111" s="10" t="str">
        <f t="shared" si="2"/>
        <v>#DIV/0!</v>
      </c>
      <c r="H111" s="52"/>
      <c r="I111" s="52"/>
      <c r="J111" s="52"/>
      <c r="K111" s="52"/>
      <c r="L111" s="54"/>
      <c r="M111" s="54"/>
      <c r="N111" s="52"/>
      <c r="Z111" s="10"/>
      <c r="AA111" s="10"/>
    </row>
    <row r="112">
      <c r="A112" s="61"/>
      <c r="B112" s="51"/>
      <c r="C112" s="51"/>
      <c r="D112" s="51"/>
      <c r="E112" s="51"/>
      <c r="F112" s="10" t="str">
        <f t="shared" si="1"/>
        <v>#DIV/0!</v>
      </c>
      <c r="G112" s="10" t="str">
        <f t="shared" si="2"/>
        <v>#DIV/0!</v>
      </c>
      <c r="H112" s="66"/>
      <c r="I112" s="66"/>
      <c r="J112" s="52"/>
      <c r="K112" s="66"/>
      <c r="L112" s="54"/>
      <c r="M112" s="53"/>
      <c r="N112" s="66"/>
      <c r="Z112" s="10"/>
      <c r="AA112" s="10"/>
    </row>
    <row r="113">
      <c r="A113" s="61"/>
      <c r="B113" s="51"/>
      <c r="C113" s="51"/>
      <c r="D113" s="63"/>
      <c r="E113" s="51"/>
      <c r="F113" s="10" t="str">
        <f t="shared" si="1"/>
        <v>#DIV/0!</v>
      </c>
      <c r="G113" s="10" t="str">
        <f t="shared" si="2"/>
        <v>#DIV/0!</v>
      </c>
      <c r="H113" s="52"/>
      <c r="I113" s="54"/>
      <c r="J113" s="54"/>
      <c r="K113" s="54"/>
      <c r="L113" s="54"/>
      <c r="M113" s="54"/>
      <c r="N113" s="54"/>
      <c r="Z113" s="10"/>
      <c r="AA113" s="10"/>
    </row>
    <row r="114">
      <c r="A114" s="61"/>
      <c r="B114" s="51"/>
      <c r="C114" s="51"/>
      <c r="D114" s="51"/>
      <c r="E114" s="51"/>
      <c r="F114" s="10" t="str">
        <f t="shared" si="1"/>
        <v>#DIV/0!</v>
      </c>
      <c r="G114" s="10" t="str">
        <f t="shared" si="2"/>
        <v>#DIV/0!</v>
      </c>
      <c r="H114" s="52"/>
      <c r="I114" s="54"/>
      <c r="J114" s="54"/>
      <c r="K114" s="54"/>
      <c r="L114" s="53"/>
      <c r="M114" s="54"/>
      <c r="N114" s="54"/>
      <c r="Z114" s="10"/>
      <c r="AA114" s="10"/>
    </row>
    <row r="115">
      <c r="A115" s="61"/>
      <c r="B115" s="51"/>
      <c r="C115" s="51"/>
      <c r="D115" s="63"/>
      <c r="E115" s="51"/>
      <c r="F115" s="10" t="str">
        <f t="shared" si="1"/>
        <v>#DIV/0!</v>
      </c>
      <c r="G115" s="10" t="str">
        <f t="shared" si="2"/>
        <v>#DIV/0!</v>
      </c>
      <c r="H115" s="52"/>
      <c r="I115" s="54"/>
      <c r="J115" s="52"/>
      <c r="K115" s="54"/>
      <c r="L115" s="53"/>
      <c r="M115" s="53"/>
      <c r="N115" s="54"/>
      <c r="Z115" s="10"/>
      <c r="AA115" s="10"/>
    </row>
    <row r="116">
      <c r="C116" s="12"/>
      <c r="D116" s="12"/>
      <c r="E116" s="12"/>
      <c r="F116" s="10" t="str">
        <f t="shared" si="1"/>
        <v>#DIV/0!</v>
      </c>
      <c r="G116" s="10" t="str">
        <f t="shared" si="2"/>
        <v>#DIV/0!</v>
      </c>
      <c r="Z116" s="10"/>
      <c r="AA116" s="10"/>
    </row>
    <row r="117">
      <c r="A117" s="61"/>
      <c r="B117" s="12"/>
      <c r="C117" s="12"/>
      <c r="D117" s="12"/>
      <c r="E117" s="12"/>
      <c r="F117" s="67" t="str">
        <f t="shared" si="1"/>
        <v>#DIV/0!</v>
      </c>
      <c r="G117" s="10" t="str">
        <f t="shared" si="2"/>
        <v>#DIV/0!</v>
      </c>
      <c r="Z117" s="10"/>
      <c r="AA117" s="10"/>
    </row>
    <row r="118">
      <c r="A118" s="59"/>
      <c r="B118" s="12"/>
      <c r="C118" s="12"/>
      <c r="D118" s="12"/>
      <c r="E118" s="12"/>
      <c r="F118" s="67" t="str">
        <f t="shared" si="1"/>
        <v>#DIV/0!</v>
      </c>
      <c r="G118" s="10" t="str">
        <f t="shared" si="2"/>
        <v>#DIV/0!</v>
      </c>
      <c r="Z118" s="10"/>
      <c r="AA118" s="10"/>
    </row>
    <row r="119">
      <c r="A119" s="59"/>
      <c r="B119" s="12"/>
      <c r="C119" s="12"/>
      <c r="D119" s="12"/>
      <c r="E119" s="12"/>
      <c r="F119" s="67" t="str">
        <f t="shared" si="1"/>
        <v>#DIV/0!</v>
      </c>
      <c r="G119" s="10" t="str">
        <f t="shared" si="2"/>
        <v>#DIV/0!</v>
      </c>
      <c r="Z119" s="10"/>
      <c r="AA119" s="10"/>
    </row>
    <row r="120">
      <c r="A120" s="59"/>
      <c r="B120" s="12"/>
      <c r="C120" s="12"/>
      <c r="D120" s="12"/>
      <c r="E120" s="12"/>
      <c r="F120" s="67"/>
      <c r="G120" s="10"/>
      <c r="Z120" s="10"/>
      <c r="AA120" s="10"/>
    </row>
    <row r="121">
      <c r="A121" s="59"/>
      <c r="B121" s="12"/>
      <c r="C121" s="12"/>
      <c r="D121" s="12"/>
      <c r="E121" s="12"/>
      <c r="F121" s="67"/>
      <c r="G121" s="10"/>
      <c r="Z121" s="10"/>
      <c r="AA121" s="10"/>
    </row>
    <row r="122">
      <c r="A122" s="59"/>
      <c r="B122" s="12"/>
      <c r="C122" s="12"/>
      <c r="D122" s="12"/>
      <c r="E122" s="12"/>
      <c r="F122" s="67"/>
      <c r="G122" s="10"/>
      <c r="Z122" s="10"/>
      <c r="AA122" s="10"/>
    </row>
    <row r="123">
      <c r="A123" s="59"/>
      <c r="B123" s="12"/>
      <c r="C123" s="12"/>
      <c r="D123" s="12"/>
      <c r="E123" s="12"/>
      <c r="F123" s="67"/>
      <c r="G123" s="10"/>
      <c r="Z123" s="10"/>
      <c r="AA123" s="10"/>
    </row>
    <row r="124">
      <c r="A124" s="59"/>
      <c r="B124" s="12"/>
      <c r="C124" s="12"/>
      <c r="D124" s="12"/>
      <c r="E124" s="12"/>
      <c r="F124" s="67"/>
      <c r="G124" s="10"/>
      <c r="Z124" s="10"/>
      <c r="AA124" s="10"/>
    </row>
    <row r="125">
      <c r="A125" s="59"/>
      <c r="B125" s="12"/>
      <c r="C125" s="12"/>
      <c r="D125" s="12"/>
      <c r="E125" s="12"/>
      <c r="F125" s="67"/>
      <c r="G125" s="10"/>
      <c r="Z125" s="10"/>
      <c r="AA125" s="10"/>
    </row>
    <row r="126">
      <c r="A126" s="59"/>
      <c r="B126" s="12"/>
      <c r="C126" s="12"/>
      <c r="D126" s="12"/>
      <c r="E126" s="12"/>
      <c r="F126" s="67"/>
      <c r="G126" s="10"/>
      <c r="Z126" s="10"/>
      <c r="AA126" s="10"/>
    </row>
    <row r="127">
      <c r="A127" s="59"/>
      <c r="B127" s="12"/>
      <c r="C127" s="12"/>
      <c r="D127" s="12"/>
      <c r="E127" s="12"/>
      <c r="F127" s="67"/>
      <c r="G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 t="str">
        <f t="shared" ref="F153:F156" si="3">D153/sum(H153:O153)</f>
        <v>#DIV/0!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 t="str">
        <f t="shared" si="3"/>
        <v>#DIV/0!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 t="str">
        <f t="shared" si="3"/>
        <v>#DIV/0!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 t="str">
        <f t="shared" si="3"/>
        <v>#DIV/0!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59"/>
      <c r="B158" s="12"/>
      <c r="C158" s="12"/>
      <c r="D158" s="12"/>
      <c r="E158" s="12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59"/>
      <c r="B159" s="12"/>
      <c r="C159" s="10"/>
      <c r="D159" s="12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59"/>
      <c r="B160" s="12"/>
      <c r="C160" s="10"/>
      <c r="D160" s="12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67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67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67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67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67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67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>
      <c r="A968" s="55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</sheetData>
  <autoFilter ref="$A$12:$AA$100">
    <sortState ref="A12:AA100">
      <sortCondition ref="A12:A100"/>
    </sortState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31">
      <formula1>"食物,飲品,衣服,居家,電子產品,娛樂,醫藥,交通,其他"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75"/>
  <cols>
    <col customWidth="1" min="1" max="1" width="16.5"/>
    <col customWidth="1" min="2" max="2" width="36.88"/>
  </cols>
  <sheetData>
    <row r="1">
      <c r="A1" s="12" t="s">
        <v>0</v>
      </c>
      <c r="B1" s="12" t="s">
        <v>37</v>
      </c>
      <c r="C1" s="12" t="s">
        <v>54</v>
      </c>
      <c r="D1" s="12" t="s">
        <v>55</v>
      </c>
      <c r="E1" s="12" t="s">
        <v>2</v>
      </c>
      <c r="F1" s="12" t="s">
        <v>4</v>
      </c>
      <c r="G1" s="12" t="s">
        <v>43</v>
      </c>
      <c r="H1" s="12" t="s">
        <v>14</v>
      </c>
      <c r="I1" s="12" t="s">
        <v>56</v>
      </c>
      <c r="J1" s="12" t="s">
        <v>8</v>
      </c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>
      <c r="A2" s="68">
        <v>45200.0</v>
      </c>
      <c r="B2" s="12" t="s">
        <v>57</v>
      </c>
      <c r="C2" s="12">
        <v>7200.0</v>
      </c>
      <c r="D2" s="10">
        <f>C2/5</f>
        <v>1440</v>
      </c>
      <c r="E2" s="12" t="s">
        <v>10</v>
      </c>
      <c r="F2" s="12" t="s">
        <v>10</v>
      </c>
      <c r="G2" s="12" t="s">
        <v>10</v>
      </c>
      <c r="H2" s="12" t="s">
        <v>10</v>
      </c>
      <c r="I2" s="12" t="s">
        <v>10</v>
      </c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>
      <c r="B3" s="12" t="s">
        <v>58</v>
      </c>
      <c r="C3" s="12">
        <v>676.3</v>
      </c>
      <c r="D3" s="10">
        <f t="shared" ref="D3:D6" si="1">(C3/5)</f>
        <v>135.26</v>
      </c>
      <c r="E3" s="12" t="s">
        <v>10</v>
      </c>
      <c r="F3" s="12" t="s">
        <v>10</v>
      </c>
      <c r="G3" s="12" t="s">
        <v>10</v>
      </c>
      <c r="H3" s="12" t="s">
        <v>10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>
      <c r="B4" s="12" t="s">
        <v>59</v>
      </c>
      <c r="C4" s="12">
        <v>14400.0</v>
      </c>
      <c r="D4" s="10">
        <f t="shared" si="1"/>
        <v>2880</v>
      </c>
      <c r="E4" s="12" t="s">
        <v>10</v>
      </c>
      <c r="F4" s="12" t="s">
        <v>10</v>
      </c>
      <c r="G4" s="12" t="s">
        <v>10</v>
      </c>
      <c r="H4" s="12" t="s">
        <v>10</v>
      </c>
      <c r="I4" s="12" t="s">
        <v>10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>
      <c r="B5" s="12" t="s">
        <v>60</v>
      </c>
      <c r="C5" s="12">
        <v>200.0</v>
      </c>
      <c r="D5" s="10">
        <f t="shared" si="1"/>
        <v>40</v>
      </c>
      <c r="E5" s="12" t="s">
        <v>10</v>
      </c>
      <c r="F5" s="12" t="s">
        <v>10</v>
      </c>
      <c r="G5" s="12" t="s">
        <v>10</v>
      </c>
      <c r="H5" s="12" t="s">
        <v>10</v>
      </c>
      <c r="I5" s="12" t="s">
        <v>10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>
      <c r="B6" s="12" t="s">
        <v>61</v>
      </c>
      <c r="C6" s="12">
        <v>800.0</v>
      </c>
      <c r="D6" s="10">
        <f t="shared" si="1"/>
        <v>160</v>
      </c>
      <c r="E6" s="12" t="s">
        <v>10</v>
      </c>
      <c r="F6" s="12" t="s">
        <v>10</v>
      </c>
      <c r="G6" s="12" t="s">
        <v>10</v>
      </c>
      <c r="H6" s="12" t="s">
        <v>10</v>
      </c>
      <c r="I6" s="12" t="s">
        <v>10</v>
      </c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>
      <c r="A10" s="10"/>
      <c r="B10" s="10"/>
      <c r="C10" s="69">
        <f t="shared" ref="C10:D10" si="2">sum(C2:C6)</f>
        <v>23276.3</v>
      </c>
      <c r="D10" s="69">
        <f t="shared" si="2"/>
        <v>4655.26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>
      <c r="A11" s="70"/>
      <c r="B11" s="12"/>
      <c r="C11" s="12"/>
      <c r="D11" s="10"/>
      <c r="E11" s="12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>
      <c r="A12" s="71">
        <v>45231.0</v>
      </c>
      <c r="B12" s="12" t="s">
        <v>62</v>
      </c>
      <c r="C12" s="12">
        <v>3600.0</v>
      </c>
      <c r="D12" s="10">
        <f>C12/5</f>
        <v>720</v>
      </c>
      <c r="E12" s="12" t="s">
        <v>10</v>
      </c>
      <c r="F12" s="12" t="s">
        <v>10</v>
      </c>
      <c r="G12" s="12" t="s">
        <v>10</v>
      </c>
      <c r="H12" s="12" t="s">
        <v>10</v>
      </c>
      <c r="I12" s="12" t="s">
        <v>10</v>
      </c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>
      <c r="B13" s="12" t="s">
        <v>63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>
      <c r="B14" s="12" t="s">
        <v>64</v>
      </c>
      <c r="C14" s="10">
        <f>SUM(E14:I14)</f>
        <v>136.95</v>
      </c>
      <c r="D14" s="10"/>
      <c r="E14" s="72">
        <v>40.53</v>
      </c>
      <c r="F14" s="72">
        <v>40.53</v>
      </c>
      <c r="G14" s="72">
        <v>25.15</v>
      </c>
      <c r="H14" s="72">
        <v>25.15</v>
      </c>
      <c r="I14" s="72">
        <v>5.59</v>
      </c>
      <c r="J14" s="12" t="s">
        <v>65</v>
      </c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>
      <c r="B15" s="12" t="s">
        <v>66</v>
      </c>
      <c r="C15" s="10"/>
      <c r="D15" s="10"/>
      <c r="E15" s="12" t="s">
        <v>10</v>
      </c>
      <c r="F15" s="12" t="s">
        <v>10</v>
      </c>
      <c r="G15" s="12" t="s">
        <v>10</v>
      </c>
      <c r="H15" s="12" t="s">
        <v>10</v>
      </c>
      <c r="I15" s="12" t="s">
        <v>10</v>
      </c>
      <c r="J15" s="10"/>
      <c r="K15" s="73" t="s">
        <v>67</v>
      </c>
      <c r="L15" s="74"/>
      <c r="M15" s="74"/>
      <c r="N15" s="74"/>
      <c r="O15" s="73">
        <v>97.66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>
      <c r="B16" s="12" t="s">
        <v>68</v>
      </c>
      <c r="C16" s="36">
        <v>56.5</v>
      </c>
      <c r="D16" s="75"/>
      <c r="E16" s="12" t="s">
        <v>10</v>
      </c>
      <c r="F16" s="72" t="s">
        <v>10</v>
      </c>
      <c r="G16" s="72" t="s">
        <v>10</v>
      </c>
      <c r="H16" s="72" t="s">
        <v>10</v>
      </c>
      <c r="I16" s="72" t="s">
        <v>10</v>
      </c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>
      <c r="A17" s="10"/>
      <c r="B17" s="10"/>
      <c r="C17" s="76">
        <f t="shared" ref="C17:D17" si="3">sum(C12:C16)</f>
        <v>3793.45</v>
      </c>
      <c r="D17" s="76">
        <f t="shared" si="3"/>
        <v>720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>
      <c r="A19" s="77">
        <v>45261.0</v>
      </c>
      <c r="B19" s="12" t="s">
        <v>62</v>
      </c>
      <c r="C19" s="12">
        <v>3600.0</v>
      </c>
      <c r="D19" s="10">
        <f t="shared" ref="D19:D22" si="4">C19/5</f>
        <v>720</v>
      </c>
      <c r="E19" s="12" t="s">
        <v>10</v>
      </c>
      <c r="F19" s="12" t="s">
        <v>10</v>
      </c>
      <c r="G19" s="12" t="s">
        <v>10</v>
      </c>
      <c r="H19" s="12" t="s">
        <v>10</v>
      </c>
      <c r="I19" s="12" t="s">
        <v>10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>
      <c r="B20" s="12" t="s">
        <v>63</v>
      </c>
      <c r="C20" s="12">
        <v>284.24</v>
      </c>
      <c r="D20" s="10">
        <f t="shared" si="4"/>
        <v>56.848</v>
      </c>
      <c r="E20" s="12" t="s">
        <v>10</v>
      </c>
      <c r="F20" s="12" t="s">
        <v>10</v>
      </c>
      <c r="G20" s="12" t="s">
        <v>10</v>
      </c>
      <c r="H20" s="12" t="s">
        <v>10</v>
      </c>
      <c r="I20" s="12" t="s">
        <v>10</v>
      </c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>
      <c r="B21" s="12" t="s">
        <v>69</v>
      </c>
      <c r="C21" s="12">
        <v>149.7</v>
      </c>
      <c r="D21" s="10">
        <f t="shared" si="4"/>
        <v>29.94</v>
      </c>
      <c r="E21" s="12" t="s">
        <v>10</v>
      </c>
      <c r="F21" s="12" t="s">
        <v>10</v>
      </c>
      <c r="G21" s="12" t="s">
        <v>10</v>
      </c>
      <c r="H21" s="12" t="s">
        <v>10</v>
      </c>
      <c r="I21" s="12" t="s">
        <v>10</v>
      </c>
      <c r="J21" s="12" t="s">
        <v>70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>
      <c r="B22" s="12" t="s">
        <v>66</v>
      </c>
      <c r="C22" s="12">
        <v>107.46</v>
      </c>
      <c r="D22" s="10">
        <f t="shared" si="4"/>
        <v>21.492</v>
      </c>
      <c r="E22" s="12" t="s">
        <v>10</v>
      </c>
      <c r="F22" s="12" t="s">
        <v>10</v>
      </c>
      <c r="G22" s="12" t="s">
        <v>10</v>
      </c>
      <c r="H22" s="12" t="s">
        <v>10</v>
      </c>
      <c r="I22" s="12" t="s">
        <v>10</v>
      </c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>
      <c r="B23" s="12" t="s">
        <v>68</v>
      </c>
      <c r="C23" s="36">
        <v>56.5</v>
      </c>
      <c r="D23" s="10">
        <f>(C23/5)</f>
        <v>11.3</v>
      </c>
      <c r="E23" s="12" t="s">
        <v>10</v>
      </c>
      <c r="F23" s="12" t="s">
        <v>10</v>
      </c>
      <c r="G23" s="12" t="s">
        <v>10</v>
      </c>
      <c r="H23" s="12" t="s">
        <v>10</v>
      </c>
      <c r="I23" s="12" t="s">
        <v>10</v>
      </c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10"/>
      <c r="B24" s="10"/>
      <c r="C24" s="76">
        <f t="shared" ref="C24:D24" si="5">sum(C19:C23)</f>
        <v>4197.9</v>
      </c>
      <c r="D24" s="76">
        <f t="shared" si="5"/>
        <v>839.58</v>
      </c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78">
        <v>45292.0</v>
      </c>
      <c r="B26" s="12" t="s">
        <v>62</v>
      </c>
      <c r="C26" s="12">
        <v>3600.0</v>
      </c>
      <c r="D26" s="10">
        <f>C26/5</f>
        <v>720</v>
      </c>
      <c r="E26" s="12" t="s">
        <v>10</v>
      </c>
      <c r="F26" s="12" t="s">
        <v>10</v>
      </c>
      <c r="G26" s="12" t="s">
        <v>10</v>
      </c>
      <c r="H26" s="12" t="s">
        <v>10</v>
      </c>
      <c r="I26" s="12" t="s">
        <v>10</v>
      </c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B27" s="12" t="s">
        <v>63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B28" s="12" t="s">
        <v>71</v>
      </c>
      <c r="C28" s="12">
        <v>210.09</v>
      </c>
      <c r="D28" s="10">
        <f t="shared" ref="D28:D29" si="6">C28/5</f>
        <v>42.018</v>
      </c>
      <c r="E28" s="12" t="s">
        <v>10</v>
      </c>
      <c r="F28" s="12" t="s">
        <v>10</v>
      </c>
      <c r="G28" s="12" t="s">
        <v>10</v>
      </c>
      <c r="H28" s="12" t="s">
        <v>10</v>
      </c>
      <c r="I28" s="12" t="s">
        <v>10</v>
      </c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B29" s="12" t="s">
        <v>66</v>
      </c>
      <c r="C29" s="12">
        <v>111.7</v>
      </c>
      <c r="D29" s="10">
        <f t="shared" si="6"/>
        <v>22.34</v>
      </c>
      <c r="E29" s="12" t="s">
        <v>10</v>
      </c>
      <c r="F29" s="12" t="s">
        <v>10</v>
      </c>
      <c r="G29" s="12" t="s">
        <v>10</v>
      </c>
      <c r="H29" s="12" t="s">
        <v>10</v>
      </c>
      <c r="I29" s="12" t="s">
        <v>10</v>
      </c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>
      <c r="B30" s="12" t="s">
        <v>68</v>
      </c>
      <c r="C30" s="36">
        <v>56.5</v>
      </c>
      <c r="D30" s="36">
        <v>11.3</v>
      </c>
      <c r="E30" s="12" t="s">
        <v>10</v>
      </c>
      <c r="F30" s="12" t="s">
        <v>10</v>
      </c>
      <c r="G30" s="12" t="s">
        <v>10</v>
      </c>
      <c r="H30" s="12" t="s">
        <v>10</v>
      </c>
      <c r="I30" s="12" t="s">
        <v>10</v>
      </c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>
      <c r="A31" s="10"/>
      <c r="B31" s="10"/>
      <c r="C31" s="76">
        <f t="shared" ref="C31:D31" si="7">sum(C26:C30)</f>
        <v>3978.29</v>
      </c>
      <c r="D31" s="76">
        <f t="shared" si="7"/>
        <v>795.658</v>
      </c>
      <c r="E31" s="10"/>
      <c r="F31" s="10"/>
      <c r="G31" s="10"/>
      <c r="H31" s="10"/>
      <c r="I31" s="10"/>
      <c r="J31" s="10">
        <f>D26+D28+D30+D22</f>
        <v>794.81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>
      <c r="A33" s="79">
        <v>45323.0</v>
      </c>
      <c r="B33" s="12" t="s">
        <v>62</v>
      </c>
      <c r="C33" s="12">
        <v>3600.0</v>
      </c>
      <c r="D33" s="10">
        <f>C33/5</f>
        <v>720</v>
      </c>
      <c r="E33" s="12" t="s">
        <v>10</v>
      </c>
      <c r="F33" s="12" t="s">
        <v>10</v>
      </c>
      <c r="G33" s="12" t="s">
        <v>10</v>
      </c>
      <c r="H33" s="12" t="s">
        <v>10</v>
      </c>
      <c r="I33" s="80" t="s">
        <v>10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>
      <c r="B34" s="12" t="s">
        <v>63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>
      <c r="B35" s="12" t="s">
        <v>71</v>
      </c>
      <c r="C35" s="12">
        <v>198.76</v>
      </c>
      <c r="D35" s="81">
        <f t="shared" ref="D35:D37" si="8">C35/6</f>
        <v>33.12666667</v>
      </c>
      <c r="E35" s="12" t="s">
        <v>10</v>
      </c>
      <c r="F35" s="12" t="s">
        <v>10</v>
      </c>
      <c r="G35" s="12" t="s">
        <v>10</v>
      </c>
      <c r="H35" s="12" t="s">
        <v>10</v>
      </c>
      <c r="I35" s="80" t="s">
        <v>10</v>
      </c>
      <c r="J35" s="33" t="s">
        <v>72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>
      <c r="B36" s="12" t="s">
        <v>66</v>
      </c>
      <c r="C36" s="12">
        <v>117.83</v>
      </c>
      <c r="D36" s="81">
        <f t="shared" si="8"/>
        <v>19.63833333</v>
      </c>
      <c r="E36" s="12" t="s">
        <v>10</v>
      </c>
      <c r="F36" s="12" t="s">
        <v>10</v>
      </c>
      <c r="G36" s="12" t="s">
        <v>10</v>
      </c>
      <c r="H36" s="12" t="s">
        <v>10</v>
      </c>
      <c r="I36" s="80" t="s">
        <v>10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>
      <c r="B37" s="12" t="s">
        <v>68</v>
      </c>
      <c r="C37" s="36">
        <v>56.5</v>
      </c>
      <c r="D37" s="82">
        <f t="shared" si="8"/>
        <v>9.416666667</v>
      </c>
      <c r="E37" s="12" t="s">
        <v>10</v>
      </c>
      <c r="F37" s="45" t="s">
        <v>10</v>
      </c>
      <c r="G37" s="12" t="s">
        <v>10</v>
      </c>
      <c r="H37" s="12" t="s">
        <v>10</v>
      </c>
      <c r="I37" s="80" t="s">
        <v>10</v>
      </c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>
      <c r="A38" s="10"/>
      <c r="B38" s="10"/>
      <c r="C38" s="76">
        <f t="shared" ref="C38:D38" si="9">sum(C33:C37)</f>
        <v>3973.09</v>
      </c>
      <c r="D38" s="76">
        <f t="shared" si="9"/>
        <v>782.1816667</v>
      </c>
      <c r="E38" s="10"/>
      <c r="F38" s="12"/>
      <c r="G38" s="10"/>
      <c r="H38" s="10"/>
      <c r="I38" s="10"/>
      <c r="J38" s="81">
        <f>D33+D29+D35+D36+D37</f>
        <v>804.5216667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>
      <c r="A40" s="83">
        <v>45352.0</v>
      </c>
      <c r="B40" s="12" t="s">
        <v>62</v>
      </c>
      <c r="C40" s="12">
        <v>3600.0</v>
      </c>
      <c r="D40" s="10">
        <f t="shared" ref="D40:D44" si="10">C40/5</f>
        <v>720</v>
      </c>
      <c r="E40" s="12" t="s">
        <v>10</v>
      </c>
      <c r="F40" s="12" t="s">
        <v>10</v>
      </c>
      <c r="G40" s="12" t="s">
        <v>10</v>
      </c>
      <c r="H40" s="45" t="s">
        <v>10</v>
      </c>
      <c r="I40" s="12" t="s">
        <v>10</v>
      </c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>
      <c r="B41" s="12" t="s">
        <v>63</v>
      </c>
      <c r="C41" s="10"/>
      <c r="D41" s="10">
        <f t="shared" si="10"/>
        <v>0</v>
      </c>
      <c r="E41" s="10"/>
      <c r="F41" s="10"/>
      <c r="G41" s="10"/>
      <c r="H41" s="12"/>
      <c r="I41" s="12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>
      <c r="B42" s="12" t="s">
        <v>71</v>
      </c>
      <c r="C42" s="12">
        <v>173.22</v>
      </c>
      <c r="D42" s="10">
        <f t="shared" si="10"/>
        <v>34.644</v>
      </c>
      <c r="E42" s="12" t="s">
        <v>10</v>
      </c>
      <c r="F42" s="12" t="s">
        <v>10</v>
      </c>
      <c r="G42" s="12" t="s">
        <v>10</v>
      </c>
      <c r="H42" s="45" t="s">
        <v>10</v>
      </c>
      <c r="I42" s="12" t="s">
        <v>10</v>
      </c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>
      <c r="B43" s="12" t="s">
        <v>66</v>
      </c>
      <c r="C43" s="12">
        <v>97.82</v>
      </c>
      <c r="D43" s="10">
        <f t="shared" si="10"/>
        <v>19.564</v>
      </c>
      <c r="E43" s="12" t="s">
        <v>10</v>
      </c>
      <c r="F43" s="12" t="s">
        <v>10</v>
      </c>
      <c r="G43" s="12" t="s">
        <v>10</v>
      </c>
      <c r="H43" s="45" t="s">
        <v>10</v>
      </c>
      <c r="I43" s="12" t="s">
        <v>10</v>
      </c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>
      <c r="B44" s="12" t="s">
        <v>68</v>
      </c>
      <c r="C44" s="36">
        <v>56.5</v>
      </c>
      <c r="D44" s="10">
        <f t="shared" si="10"/>
        <v>11.3</v>
      </c>
      <c r="E44" s="12" t="s">
        <v>10</v>
      </c>
      <c r="F44" s="12" t="s">
        <v>10</v>
      </c>
      <c r="G44" s="12" t="s">
        <v>10</v>
      </c>
      <c r="H44" s="45" t="s">
        <v>10</v>
      </c>
      <c r="I44" s="12" t="s">
        <v>10</v>
      </c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>
      <c r="A45" s="10"/>
      <c r="B45" s="10"/>
      <c r="C45" s="76">
        <f t="shared" ref="C45:D45" si="11">sum(C40:C44)</f>
        <v>3927.54</v>
      </c>
      <c r="D45" s="76">
        <f t="shared" si="11"/>
        <v>785.508</v>
      </c>
      <c r="E45" s="10"/>
      <c r="F45" s="10"/>
      <c r="G45" s="10"/>
      <c r="H45" s="10"/>
      <c r="I45" s="10"/>
      <c r="J45" s="10">
        <f>D40+D42+D43+D44</f>
        <v>785.508</v>
      </c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>
      <c r="A47" s="83">
        <v>45383.0</v>
      </c>
      <c r="B47" s="12" t="s">
        <v>62</v>
      </c>
      <c r="C47" s="12">
        <v>3600.0</v>
      </c>
      <c r="D47" s="10">
        <f>C47/5</f>
        <v>720</v>
      </c>
      <c r="E47" s="12" t="s">
        <v>10</v>
      </c>
      <c r="F47" s="12" t="s">
        <v>10</v>
      </c>
      <c r="G47" s="12" t="s">
        <v>10</v>
      </c>
      <c r="H47" s="12" t="s">
        <v>10</v>
      </c>
      <c r="I47" s="12" t="s">
        <v>10</v>
      </c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>
      <c r="B48" s="12" t="s">
        <v>73</v>
      </c>
      <c r="D48" s="10"/>
      <c r="E48" s="12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>
      <c r="B49" s="12" t="s">
        <v>71</v>
      </c>
      <c r="C49" s="12">
        <v>169.33</v>
      </c>
      <c r="D49" s="10">
        <f t="shared" ref="D49:D51" si="12">C49/5</f>
        <v>33.866</v>
      </c>
      <c r="E49" s="12" t="s">
        <v>10</v>
      </c>
      <c r="F49" s="12" t="s">
        <v>10</v>
      </c>
      <c r="G49" s="12" t="s">
        <v>10</v>
      </c>
      <c r="H49" s="12" t="s">
        <v>10</v>
      </c>
      <c r="I49" s="12" t="s">
        <v>10</v>
      </c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>
      <c r="B50" s="12" t="s">
        <v>66</v>
      </c>
      <c r="C50" s="12">
        <v>104.26</v>
      </c>
      <c r="D50" s="10">
        <f t="shared" si="12"/>
        <v>20.852</v>
      </c>
      <c r="E50" s="12" t="s">
        <v>10</v>
      </c>
      <c r="F50" s="12" t="s">
        <v>10</v>
      </c>
      <c r="G50" s="12" t="s">
        <v>10</v>
      </c>
      <c r="H50" s="12" t="s">
        <v>10</v>
      </c>
      <c r="I50" s="12" t="s">
        <v>10</v>
      </c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>
      <c r="B51" s="12" t="s">
        <v>68</v>
      </c>
      <c r="C51" s="36">
        <v>56.5</v>
      </c>
      <c r="D51" s="10">
        <f t="shared" si="12"/>
        <v>11.3</v>
      </c>
      <c r="E51" s="12" t="s">
        <v>10</v>
      </c>
      <c r="F51" s="12" t="s">
        <v>10</v>
      </c>
      <c r="G51" s="12" t="s">
        <v>10</v>
      </c>
      <c r="H51" s="12" t="s">
        <v>10</v>
      </c>
      <c r="I51" s="12" t="s">
        <v>10</v>
      </c>
      <c r="J51" s="10"/>
      <c r="K51" s="10"/>
      <c r="L51" s="12" t="s">
        <v>4</v>
      </c>
      <c r="M51" s="12" t="s">
        <v>74</v>
      </c>
      <c r="N51" s="12">
        <v>3874.0</v>
      </c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>
      <c r="A52" s="10"/>
      <c r="B52" s="10"/>
      <c r="C52" s="76">
        <f t="shared" ref="C52:D52" si="13">sum(C47:C51)</f>
        <v>3930.09</v>
      </c>
      <c r="D52" s="76">
        <f t="shared" si="13"/>
        <v>786.018</v>
      </c>
      <c r="E52" s="10"/>
      <c r="F52" s="10"/>
      <c r="G52" s="10"/>
      <c r="H52" s="12"/>
      <c r="I52" s="10"/>
      <c r="J52" s="10"/>
      <c r="K52" s="10"/>
      <c r="L52" s="1" t="s">
        <v>4</v>
      </c>
      <c r="M52" s="1" t="s">
        <v>75</v>
      </c>
      <c r="N52" s="1">
        <v>1043.0</v>
      </c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>
      <c r="A54" s="83">
        <v>45413.0</v>
      </c>
      <c r="B54" s="12"/>
      <c r="C54" s="12"/>
      <c r="D54" s="10"/>
      <c r="E54" s="12"/>
      <c r="F54" s="10"/>
      <c r="G54" s="10"/>
      <c r="H54" s="10"/>
      <c r="I54" s="10"/>
      <c r="J54" s="10"/>
      <c r="K54" s="10"/>
      <c r="L54" s="12" t="s">
        <v>13</v>
      </c>
      <c r="M54" s="12" t="s">
        <v>76</v>
      </c>
      <c r="N54" s="84" t="s">
        <v>77</v>
      </c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>
      <c r="B55" s="12" t="s">
        <v>63</v>
      </c>
      <c r="C55" s="12">
        <v>428.7</v>
      </c>
      <c r="D55" s="12">
        <f t="shared" ref="D55:D58" si="14">C55/5</f>
        <v>85.74</v>
      </c>
      <c r="E55" s="12" t="s">
        <v>10</v>
      </c>
      <c r="F55" s="12" t="s">
        <v>10</v>
      </c>
      <c r="G55" s="12" t="s">
        <v>10</v>
      </c>
      <c r="H55" s="12" t="s">
        <v>10</v>
      </c>
      <c r="I55" s="12" t="s">
        <v>10</v>
      </c>
      <c r="J55" s="12"/>
      <c r="K55" s="12"/>
      <c r="L55" s="10"/>
      <c r="M55" s="12" t="s">
        <v>78</v>
      </c>
      <c r="N55" s="12">
        <v>5647.0</v>
      </c>
      <c r="O55" s="12" t="s">
        <v>79</v>
      </c>
      <c r="P55" s="12">
        <v>7608.0</v>
      </c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>
      <c r="B56" s="12" t="s">
        <v>71</v>
      </c>
      <c r="C56" s="12">
        <v>109.38</v>
      </c>
      <c r="D56" s="12">
        <f t="shared" si="14"/>
        <v>21.876</v>
      </c>
      <c r="E56" s="12" t="s">
        <v>10</v>
      </c>
      <c r="F56" s="12" t="s">
        <v>10</v>
      </c>
      <c r="G56" s="12" t="s">
        <v>10</v>
      </c>
      <c r="H56" s="12" t="s">
        <v>10</v>
      </c>
      <c r="I56" s="12" t="s">
        <v>10</v>
      </c>
      <c r="J56" s="10"/>
      <c r="K56" s="10"/>
      <c r="L56" s="12" t="s">
        <v>2</v>
      </c>
      <c r="M56" s="12" t="s">
        <v>74</v>
      </c>
      <c r="N56" s="12">
        <v>1042.0</v>
      </c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>
      <c r="B57" s="12" t="s">
        <v>66</v>
      </c>
      <c r="C57" s="12">
        <v>97.82</v>
      </c>
      <c r="D57" s="12">
        <f t="shared" si="14"/>
        <v>19.564</v>
      </c>
      <c r="E57" s="12" t="s">
        <v>10</v>
      </c>
      <c r="F57" s="12" t="s">
        <v>10</v>
      </c>
      <c r="G57" s="12" t="s">
        <v>10</v>
      </c>
      <c r="H57" s="12" t="s">
        <v>10</v>
      </c>
      <c r="I57" s="12" t="s">
        <v>10</v>
      </c>
      <c r="J57" s="10"/>
      <c r="K57" s="10"/>
      <c r="M57" s="12" t="s">
        <v>74</v>
      </c>
      <c r="N57" s="1">
        <v>964.0</v>
      </c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>
      <c r="B58" s="12" t="s">
        <v>68</v>
      </c>
      <c r="C58" s="36">
        <v>56.5</v>
      </c>
      <c r="D58" s="12">
        <f t="shared" si="14"/>
        <v>11.3</v>
      </c>
      <c r="E58" s="12" t="s">
        <v>10</v>
      </c>
      <c r="F58" s="12" t="s">
        <v>10</v>
      </c>
      <c r="G58" s="12" t="s">
        <v>10</v>
      </c>
      <c r="H58" s="12" t="s">
        <v>10</v>
      </c>
      <c r="I58" s="12" t="s">
        <v>10</v>
      </c>
      <c r="J58" s="10"/>
      <c r="K58" s="10"/>
      <c r="M58" s="1" t="s">
        <v>75</v>
      </c>
      <c r="N58" s="1">
        <v>7584.0</v>
      </c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>
      <c r="A59" s="10"/>
      <c r="B59" s="10"/>
      <c r="C59" s="76">
        <f t="shared" ref="C59:D59" si="15">sum(C54:C58)</f>
        <v>692.4</v>
      </c>
      <c r="D59" s="76">
        <f t="shared" si="15"/>
        <v>138.48</v>
      </c>
      <c r="E59" s="10"/>
      <c r="F59" s="10"/>
      <c r="G59" s="10"/>
      <c r="H59" s="10"/>
      <c r="I59" s="10"/>
      <c r="J59" s="10"/>
      <c r="K59" s="10"/>
      <c r="L59" s="12" t="s">
        <v>14</v>
      </c>
      <c r="M59" s="12" t="s">
        <v>74</v>
      </c>
      <c r="N59" s="12">
        <v>2842.0</v>
      </c>
      <c r="S59" s="10"/>
      <c r="T59" s="10"/>
      <c r="U59" s="10"/>
      <c r="V59" s="10"/>
      <c r="W59" s="10"/>
      <c r="X59" s="10"/>
      <c r="Y59" s="10"/>
      <c r="Z59" s="10"/>
    </row>
    <row r="60">
      <c r="A60" s="83">
        <v>45444.0</v>
      </c>
      <c r="B60" s="12"/>
      <c r="C60" s="12"/>
      <c r="D60" s="10"/>
      <c r="E60" s="12"/>
      <c r="F60" s="10"/>
      <c r="G60" s="10"/>
      <c r="H60" s="10"/>
      <c r="I60" s="10"/>
      <c r="J60" s="10"/>
      <c r="K60" s="10"/>
      <c r="M60" s="12" t="s">
        <v>74</v>
      </c>
      <c r="N60" s="12">
        <v>6485.0</v>
      </c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>
      <c r="B61" s="12" t="s">
        <v>63</v>
      </c>
      <c r="D61" s="12">
        <f t="shared" ref="D61:D64" si="16">C61/5</f>
        <v>0</v>
      </c>
      <c r="E61" s="12"/>
      <c r="F61" s="12"/>
      <c r="G61" s="12"/>
      <c r="H61" s="12"/>
      <c r="I61" s="12"/>
      <c r="J61" s="10"/>
      <c r="K61" s="10"/>
      <c r="M61" s="12" t="s">
        <v>50</v>
      </c>
      <c r="N61" s="12">
        <v>2208.0</v>
      </c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>
      <c r="B62" s="12" t="s">
        <v>71</v>
      </c>
      <c r="C62" s="85">
        <v>91.03</v>
      </c>
      <c r="D62" s="12">
        <f t="shared" si="16"/>
        <v>18.206</v>
      </c>
      <c r="E62" s="12" t="s">
        <v>10</v>
      </c>
      <c r="F62" s="12" t="s">
        <v>10</v>
      </c>
      <c r="G62" s="12" t="s">
        <v>10</v>
      </c>
      <c r="H62" s="12" t="s">
        <v>10</v>
      </c>
      <c r="I62" s="12" t="s">
        <v>10</v>
      </c>
      <c r="J62" s="10"/>
      <c r="K62" s="10"/>
      <c r="M62" s="1" t="s">
        <v>78</v>
      </c>
      <c r="N62" s="1">
        <v>5537.0</v>
      </c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>
      <c r="B63" s="12" t="s">
        <v>66</v>
      </c>
      <c r="C63" s="12">
        <v>122.11</v>
      </c>
      <c r="D63" s="12">
        <f t="shared" si="16"/>
        <v>24.422</v>
      </c>
      <c r="E63" s="12" t="s">
        <v>10</v>
      </c>
      <c r="F63" s="12" t="s">
        <v>10</v>
      </c>
      <c r="G63" s="12" t="s">
        <v>10</v>
      </c>
      <c r="H63" s="12" t="s">
        <v>10</v>
      </c>
      <c r="I63" s="12" t="s">
        <v>10</v>
      </c>
      <c r="J63" s="10"/>
      <c r="K63" s="10"/>
      <c r="L63" s="12" t="s">
        <v>56</v>
      </c>
      <c r="M63" s="12" t="s">
        <v>74</v>
      </c>
      <c r="N63" s="12">
        <v>9768.0</v>
      </c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>
      <c r="B64" s="12" t="s">
        <v>68</v>
      </c>
      <c r="C64" s="36">
        <v>56.5</v>
      </c>
      <c r="D64" s="12">
        <f t="shared" si="16"/>
        <v>11.3</v>
      </c>
      <c r="E64" s="12" t="s">
        <v>10</v>
      </c>
      <c r="F64" s="12" t="s">
        <v>10</v>
      </c>
      <c r="G64" s="12" t="s">
        <v>10</v>
      </c>
      <c r="H64" s="12" t="s">
        <v>10</v>
      </c>
      <c r="I64" s="12" t="s">
        <v>10</v>
      </c>
      <c r="J64" s="10"/>
      <c r="K64" s="10"/>
      <c r="L64" s="12" t="s">
        <v>8</v>
      </c>
      <c r="M64" s="12" t="s">
        <v>74</v>
      </c>
      <c r="N64" s="12">
        <v>2404.0</v>
      </c>
      <c r="O64" s="12">
        <v>9609.0</v>
      </c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>
      <c r="A65" s="10"/>
      <c r="B65" s="10"/>
      <c r="C65" s="76">
        <f t="shared" ref="C65:D65" si="17">sum(C60:C64)</f>
        <v>269.64</v>
      </c>
      <c r="D65" s="76">
        <f t="shared" si="17"/>
        <v>53.928</v>
      </c>
      <c r="E65" s="10"/>
      <c r="F65" s="12"/>
      <c r="G65" s="10"/>
      <c r="H65" s="10"/>
      <c r="I65" s="10"/>
      <c r="J65" s="10"/>
      <c r="K65" s="10"/>
      <c r="L65" s="12" t="s">
        <v>80</v>
      </c>
      <c r="M65" s="10"/>
      <c r="N65" s="12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>
      <c r="A67" s="83">
        <v>45474.0</v>
      </c>
      <c r="B67" s="12"/>
      <c r="C67" s="12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>
      <c r="B68" s="12" t="s">
        <v>63</v>
      </c>
      <c r="D68" s="12">
        <f t="shared" ref="D68:D71" si="18">C68/5</f>
        <v>0</v>
      </c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>
      <c r="B69" s="12" t="s">
        <v>71</v>
      </c>
      <c r="C69" s="86">
        <v>101.27</v>
      </c>
      <c r="D69" s="12">
        <f t="shared" si="18"/>
        <v>20.254</v>
      </c>
      <c r="E69" s="12" t="s">
        <v>10</v>
      </c>
      <c r="F69" s="12" t="s">
        <v>10</v>
      </c>
      <c r="G69" s="12" t="s">
        <v>10</v>
      </c>
      <c r="H69" s="12" t="s">
        <v>10</v>
      </c>
      <c r="I69" s="12" t="s">
        <v>10</v>
      </c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>
      <c r="B70" s="12" t="s">
        <v>66</v>
      </c>
      <c r="C70" s="12">
        <v>170.93</v>
      </c>
      <c r="D70" s="12">
        <f t="shared" si="18"/>
        <v>34.186</v>
      </c>
      <c r="E70" s="12" t="s">
        <v>10</v>
      </c>
      <c r="F70" s="12" t="s">
        <v>10</v>
      </c>
      <c r="G70" s="12" t="s">
        <v>10</v>
      </c>
      <c r="H70" s="12" t="s">
        <v>10</v>
      </c>
      <c r="I70" s="12" t="s">
        <v>10</v>
      </c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>
      <c r="B71" s="12" t="s">
        <v>68</v>
      </c>
      <c r="C71" s="36">
        <v>56.5</v>
      </c>
      <c r="D71" s="12">
        <f t="shared" si="18"/>
        <v>11.3</v>
      </c>
      <c r="E71" s="12" t="s">
        <v>10</v>
      </c>
      <c r="F71" s="12" t="s">
        <v>10</v>
      </c>
      <c r="G71" s="12" t="s">
        <v>10</v>
      </c>
      <c r="H71" s="12" t="s">
        <v>10</v>
      </c>
      <c r="I71" s="12" t="s">
        <v>10</v>
      </c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>
      <c r="A72" s="10"/>
      <c r="B72" s="10"/>
      <c r="C72" s="76">
        <f t="shared" ref="C72:D72" si="19">sum(C67:C71)</f>
        <v>328.7</v>
      </c>
      <c r="D72" s="76">
        <f t="shared" si="19"/>
        <v>65.74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>
      <c r="A74" s="83">
        <v>45505.0</v>
      </c>
      <c r="B74" s="12"/>
      <c r="C74" s="12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>
      <c r="B75" s="51" t="s">
        <v>81</v>
      </c>
      <c r="C75" s="12">
        <v>375.27</v>
      </c>
      <c r="D75" s="12">
        <f t="shared" ref="D75:D78" si="20">C75/5</f>
        <v>75.054</v>
      </c>
      <c r="E75" s="12" t="s">
        <v>10</v>
      </c>
      <c r="F75" s="12" t="s">
        <v>10</v>
      </c>
      <c r="G75" s="12" t="s">
        <v>10</v>
      </c>
      <c r="H75" s="12" t="s">
        <v>10</v>
      </c>
      <c r="I75" s="12" t="s">
        <v>10</v>
      </c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>
      <c r="B76" s="12" t="s">
        <v>71</v>
      </c>
      <c r="C76" s="1">
        <v>47.34</v>
      </c>
      <c r="D76" s="12">
        <f t="shared" si="20"/>
        <v>9.468</v>
      </c>
      <c r="E76" s="12" t="s">
        <v>10</v>
      </c>
      <c r="F76" s="12" t="s">
        <v>10</v>
      </c>
      <c r="G76" s="12" t="s">
        <v>10</v>
      </c>
      <c r="H76" s="12" t="s">
        <v>10</v>
      </c>
      <c r="I76" s="12" t="s">
        <v>10</v>
      </c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>
      <c r="B77" s="12" t="s">
        <v>66</v>
      </c>
      <c r="C77" s="1">
        <v>208.04</v>
      </c>
      <c r="D77" s="12">
        <f t="shared" si="20"/>
        <v>41.608</v>
      </c>
      <c r="E77" s="12" t="s">
        <v>10</v>
      </c>
      <c r="F77" s="12" t="s">
        <v>10</v>
      </c>
      <c r="G77" s="12" t="s">
        <v>10</v>
      </c>
      <c r="H77" s="12" t="s">
        <v>10</v>
      </c>
      <c r="I77" s="12" t="s">
        <v>10</v>
      </c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>
      <c r="B78" s="12" t="s">
        <v>68</v>
      </c>
      <c r="C78" s="36">
        <v>56.5</v>
      </c>
      <c r="D78" s="12">
        <f t="shared" si="20"/>
        <v>11.3</v>
      </c>
      <c r="E78" s="12" t="s">
        <v>10</v>
      </c>
      <c r="F78" s="12" t="s">
        <v>10</v>
      </c>
      <c r="G78" s="12" t="s">
        <v>10</v>
      </c>
      <c r="H78" s="12" t="s">
        <v>10</v>
      </c>
      <c r="I78" s="12" t="s">
        <v>10</v>
      </c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>
      <c r="A79" s="10"/>
      <c r="B79" s="10"/>
      <c r="C79" s="76">
        <f t="shared" ref="C79:D79" si="21">sum(C74:C78)</f>
        <v>687.15</v>
      </c>
      <c r="D79" s="76">
        <f t="shared" si="21"/>
        <v>137.43</v>
      </c>
      <c r="E79" s="10"/>
      <c r="F79" s="12"/>
      <c r="G79" s="12"/>
      <c r="H79" s="12"/>
      <c r="I79" s="12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>
      <c r="A80" s="10"/>
      <c r="B80" s="10"/>
      <c r="C80" s="10"/>
      <c r="D80" s="10"/>
      <c r="E80" s="10"/>
      <c r="F80" s="10"/>
      <c r="G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>
      <c r="A81" s="83">
        <v>45536.0</v>
      </c>
      <c r="B81" s="54" t="s">
        <v>82</v>
      </c>
      <c r="C81" s="12">
        <v>100.0</v>
      </c>
      <c r="D81" s="12" t="s">
        <v>83</v>
      </c>
      <c r="E81" s="12" t="s">
        <v>10</v>
      </c>
      <c r="F81" s="12" t="s">
        <v>10</v>
      </c>
      <c r="G81" s="12" t="s">
        <v>10</v>
      </c>
      <c r="H81" s="12" t="s">
        <v>10</v>
      </c>
      <c r="I81" s="12" t="s">
        <v>10</v>
      </c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>
      <c r="B82" s="51" t="s">
        <v>84</v>
      </c>
      <c r="C82" s="1">
        <v>-900.0</v>
      </c>
      <c r="D82" s="12">
        <f t="shared" ref="D82:D85" si="22">C82/5</f>
        <v>-180</v>
      </c>
      <c r="E82" s="12" t="s">
        <v>10</v>
      </c>
      <c r="F82" s="12" t="s">
        <v>10</v>
      </c>
      <c r="G82" s="12" t="s">
        <v>10</v>
      </c>
      <c r="H82" s="12" t="s">
        <v>10</v>
      </c>
      <c r="I82" s="12" t="s">
        <v>10</v>
      </c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>
      <c r="B83" s="87" t="s">
        <v>71</v>
      </c>
      <c r="C83" s="1">
        <v>68.81</v>
      </c>
      <c r="D83" s="12">
        <f t="shared" si="22"/>
        <v>13.762</v>
      </c>
      <c r="E83" s="12" t="s">
        <v>10</v>
      </c>
      <c r="F83" s="12" t="s">
        <v>10</v>
      </c>
      <c r="G83" s="12" t="s">
        <v>10</v>
      </c>
      <c r="H83" s="12" t="s">
        <v>10</v>
      </c>
      <c r="I83" s="12" t="s">
        <v>10</v>
      </c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>
      <c r="B84" s="65" t="s">
        <v>66</v>
      </c>
      <c r="C84" s="12">
        <v>185.28</v>
      </c>
      <c r="D84" s="12">
        <f t="shared" si="22"/>
        <v>37.056</v>
      </c>
      <c r="E84" s="12" t="s">
        <v>10</v>
      </c>
      <c r="F84" s="12" t="s">
        <v>10</v>
      </c>
      <c r="G84" s="12" t="s">
        <v>10</v>
      </c>
      <c r="H84" s="12" t="s">
        <v>10</v>
      </c>
      <c r="I84" s="12" t="s">
        <v>10</v>
      </c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>
      <c r="B85" s="65" t="s">
        <v>68</v>
      </c>
      <c r="C85" s="36">
        <v>56.5</v>
      </c>
      <c r="D85" s="12">
        <f t="shared" si="22"/>
        <v>11.3</v>
      </c>
      <c r="E85" s="12" t="s">
        <v>10</v>
      </c>
      <c r="F85" s="12" t="s">
        <v>10</v>
      </c>
      <c r="G85" s="12" t="s">
        <v>10</v>
      </c>
      <c r="H85" s="12" t="s">
        <v>10</v>
      </c>
      <c r="I85" s="12" t="s">
        <v>10</v>
      </c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>
      <c r="A86" s="10"/>
      <c r="B86" s="10"/>
      <c r="C86" s="76">
        <f t="shared" ref="C86:D86" si="23">sum(C81:C85)</f>
        <v>-489.41</v>
      </c>
      <c r="D86" s="76">
        <f t="shared" si="23"/>
        <v>-117.882</v>
      </c>
      <c r="E86" s="10"/>
      <c r="F86" s="10"/>
      <c r="G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>
      <c r="A87" s="70"/>
      <c r="B87" s="12"/>
      <c r="C87" s="12"/>
      <c r="D87" s="10"/>
      <c r="E87" s="10"/>
      <c r="F87" s="10"/>
      <c r="G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>
      <c r="A88" s="70"/>
      <c r="B88" s="12"/>
      <c r="C88" s="12"/>
      <c r="D88" s="10"/>
      <c r="E88" s="10"/>
      <c r="F88" s="10"/>
      <c r="G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>
      <c r="A89" s="83">
        <v>45566.0</v>
      </c>
      <c r="B89" s="87" t="s">
        <v>71</v>
      </c>
      <c r="C89" s="12">
        <v>68.81</v>
      </c>
      <c r="D89" s="88">
        <f t="shared" ref="D89:D93" si="24">C89/6</f>
        <v>11.46833333</v>
      </c>
      <c r="E89" s="12" t="s">
        <v>10</v>
      </c>
      <c r="F89" s="12" t="s">
        <v>10</v>
      </c>
      <c r="G89" s="12" t="s">
        <v>10</v>
      </c>
      <c r="H89" s="12" t="s">
        <v>10</v>
      </c>
      <c r="I89" s="12" t="s">
        <v>10</v>
      </c>
      <c r="J89" s="12" t="s">
        <v>10</v>
      </c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>
      <c r="B90" s="65" t="s">
        <v>66</v>
      </c>
      <c r="C90" s="12">
        <v>128.04</v>
      </c>
      <c r="D90" s="88">
        <f t="shared" si="24"/>
        <v>21.34</v>
      </c>
      <c r="E90" s="12" t="s">
        <v>10</v>
      </c>
      <c r="F90" s="12" t="s">
        <v>10</v>
      </c>
      <c r="G90" s="12" t="s">
        <v>10</v>
      </c>
      <c r="H90" s="12" t="s">
        <v>10</v>
      </c>
      <c r="I90" s="12" t="s">
        <v>10</v>
      </c>
      <c r="J90" s="12" t="s">
        <v>10</v>
      </c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>
      <c r="B91" s="65" t="s">
        <v>68</v>
      </c>
      <c r="C91" s="12">
        <v>56.5</v>
      </c>
      <c r="D91" s="10">
        <f t="shared" si="24"/>
        <v>9.416666667</v>
      </c>
      <c r="E91" s="12" t="s">
        <v>10</v>
      </c>
      <c r="F91" s="12" t="s">
        <v>10</v>
      </c>
      <c r="G91" s="12" t="s">
        <v>10</v>
      </c>
      <c r="H91" s="12" t="s">
        <v>10</v>
      </c>
      <c r="I91" s="12" t="s">
        <v>10</v>
      </c>
      <c r="J91" s="12" t="s">
        <v>10</v>
      </c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>
      <c r="B92" s="12" t="s">
        <v>85</v>
      </c>
      <c r="C92" s="12">
        <v>7800.0</v>
      </c>
      <c r="D92" s="10">
        <f t="shared" si="24"/>
        <v>1300</v>
      </c>
      <c r="E92" s="12" t="s">
        <v>10</v>
      </c>
      <c r="F92" s="12" t="s">
        <v>10</v>
      </c>
      <c r="G92" s="12" t="s">
        <v>10</v>
      </c>
      <c r="H92" s="12" t="s">
        <v>10</v>
      </c>
      <c r="I92" s="12" t="s">
        <v>10</v>
      </c>
      <c r="J92" s="12" t="s">
        <v>10</v>
      </c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>
      <c r="B93" s="12" t="s">
        <v>86</v>
      </c>
      <c r="C93" s="12">
        <v>500.0</v>
      </c>
      <c r="D93" s="10">
        <f t="shared" si="24"/>
        <v>83.33333333</v>
      </c>
      <c r="E93" s="12" t="s">
        <v>10</v>
      </c>
      <c r="F93" s="12" t="s">
        <v>10</v>
      </c>
      <c r="G93" s="12" t="s">
        <v>10</v>
      </c>
      <c r="H93" s="12" t="s">
        <v>10</v>
      </c>
      <c r="I93" s="12" t="s">
        <v>10</v>
      </c>
      <c r="J93" s="12" t="s">
        <v>10</v>
      </c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>
      <c r="A94" s="10"/>
      <c r="E94" s="10"/>
      <c r="F94" s="10"/>
      <c r="G94" s="12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>
      <c r="A96" s="83">
        <v>45597.0</v>
      </c>
      <c r="B96" s="12" t="s">
        <v>62</v>
      </c>
      <c r="C96" s="1">
        <v>3900.0</v>
      </c>
      <c r="D96" s="88">
        <f t="shared" ref="D96:D99" si="25">C96/6</f>
        <v>650</v>
      </c>
      <c r="E96" s="12" t="s">
        <v>10</v>
      </c>
      <c r="F96" s="12" t="s">
        <v>10</v>
      </c>
      <c r="G96" s="12" t="s">
        <v>10</v>
      </c>
      <c r="H96" s="12" t="s">
        <v>10</v>
      </c>
      <c r="I96" s="12" t="s">
        <v>10</v>
      </c>
      <c r="J96" s="12" t="s">
        <v>10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>
      <c r="B97" s="87" t="s">
        <v>71</v>
      </c>
      <c r="C97" s="1">
        <v>158.95</v>
      </c>
      <c r="D97" s="88">
        <f t="shared" si="25"/>
        <v>26.49166667</v>
      </c>
      <c r="E97" s="12" t="s">
        <v>10</v>
      </c>
      <c r="F97" s="12" t="s">
        <v>10</v>
      </c>
      <c r="G97" s="12" t="s">
        <v>10</v>
      </c>
      <c r="H97" s="12" t="s">
        <v>10</v>
      </c>
      <c r="I97" s="12" t="s">
        <v>10</v>
      </c>
      <c r="J97" s="12" t="s">
        <v>10</v>
      </c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>
      <c r="B98" s="65" t="s">
        <v>66</v>
      </c>
      <c r="C98" s="1">
        <v>167.9</v>
      </c>
      <c r="D98" s="88">
        <f t="shared" si="25"/>
        <v>27.98333333</v>
      </c>
      <c r="E98" s="12" t="s">
        <v>10</v>
      </c>
      <c r="F98" s="12" t="s">
        <v>10</v>
      </c>
      <c r="G98" s="12" t="s">
        <v>10</v>
      </c>
      <c r="H98" s="12" t="s">
        <v>10</v>
      </c>
      <c r="I98" s="12" t="s">
        <v>10</v>
      </c>
      <c r="J98" s="12" t="s">
        <v>10</v>
      </c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>
      <c r="B99" s="65" t="s">
        <v>68</v>
      </c>
      <c r="C99" s="12">
        <v>56.5</v>
      </c>
      <c r="D99" s="10">
        <f t="shared" si="25"/>
        <v>9.416666667</v>
      </c>
      <c r="E99" s="12" t="s">
        <v>10</v>
      </c>
      <c r="F99" s="12" t="s">
        <v>10</v>
      </c>
      <c r="G99" s="12" t="s">
        <v>10</v>
      </c>
      <c r="H99" s="12" t="s">
        <v>10</v>
      </c>
      <c r="I99" s="12" t="s">
        <v>10</v>
      </c>
      <c r="J99" s="12" t="s">
        <v>10</v>
      </c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>
      <c r="B100" s="12"/>
      <c r="C100" s="12"/>
      <c r="D100" s="10"/>
      <c r="E100" s="12"/>
      <c r="F100" s="12"/>
      <c r="G100" s="12"/>
      <c r="H100" s="12"/>
      <c r="I100" s="12"/>
      <c r="J100" s="12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>
      <c r="A101" s="10"/>
      <c r="B101" s="12"/>
      <c r="C101" s="10"/>
      <c r="D101" s="10"/>
      <c r="E101" s="10"/>
      <c r="F101" s="10"/>
      <c r="G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>
      <c r="A102" s="83">
        <v>45627.0</v>
      </c>
      <c r="B102" s="12" t="s">
        <v>62</v>
      </c>
      <c r="C102" s="1">
        <v>3900.0</v>
      </c>
      <c r="D102" s="88">
        <f t="shared" ref="D102:D105" si="26">C102/6</f>
        <v>650</v>
      </c>
      <c r="E102" s="12" t="s">
        <v>10</v>
      </c>
      <c r="F102" s="12" t="s">
        <v>10</v>
      </c>
      <c r="G102" s="12" t="s">
        <v>10</v>
      </c>
      <c r="H102" s="12" t="s">
        <v>10</v>
      </c>
      <c r="I102" s="12" t="s">
        <v>10</v>
      </c>
      <c r="J102" s="12" t="s">
        <v>10</v>
      </c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>
      <c r="B103" s="87" t="s">
        <v>71</v>
      </c>
      <c r="C103" s="1">
        <v>182.8</v>
      </c>
      <c r="D103" s="88">
        <f t="shared" si="26"/>
        <v>30.46666667</v>
      </c>
      <c r="E103" s="12" t="s">
        <v>10</v>
      </c>
      <c r="F103" s="12" t="s">
        <v>10</v>
      </c>
      <c r="G103" s="12" t="s">
        <v>10</v>
      </c>
      <c r="H103" s="12" t="s">
        <v>10</v>
      </c>
      <c r="I103" s="12" t="s">
        <v>10</v>
      </c>
      <c r="J103" s="12" t="s">
        <v>10</v>
      </c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>
      <c r="B104" s="65" t="s">
        <v>66</v>
      </c>
      <c r="C104" s="1">
        <v>166.37</v>
      </c>
      <c r="D104" s="88">
        <f t="shared" si="26"/>
        <v>27.72833333</v>
      </c>
      <c r="E104" s="12" t="s">
        <v>10</v>
      </c>
      <c r="F104" s="12" t="s">
        <v>10</v>
      </c>
      <c r="G104" s="12" t="s">
        <v>10</v>
      </c>
      <c r="H104" s="12" t="s">
        <v>10</v>
      </c>
      <c r="I104" s="12" t="s">
        <v>10</v>
      </c>
      <c r="J104" s="12" t="s">
        <v>10</v>
      </c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>
      <c r="B105" s="65" t="s">
        <v>68</v>
      </c>
      <c r="C105" s="12">
        <v>56.5</v>
      </c>
      <c r="D105" s="10">
        <f t="shared" si="26"/>
        <v>9.416666667</v>
      </c>
      <c r="E105" s="12" t="s">
        <v>10</v>
      </c>
      <c r="F105" s="12" t="s">
        <v>10</v>
      </c>
      <c r="G105" s="12" t="s">
        <v>10</v>
      </c>
      <c r="H105" s="12" t="s">
        <v>10</v>
      </c>
      <c r="I105" s="12" t="s">
        <v>10</v>
      </c>
      <c r="J105" s="12" t="s">
        <v>10</v>
      </c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>
      <c r="A106" s="10"/>
      <c r="B106" s="10"/>
      <c r="C106" s="10"/>
      <c r="D106" s="10"/>
      <c r="E106" s="10"/>
      <c r="F106" s="10"/>
      <c r="G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>
      <c r="A107" s="83">
        <v>45658.0</v>
      </c>
      <c r="B107" s="12" t="s">
        <v>62</v>
      </c>
      <c r="C107" s="1">
        <v>3900.0</v>
      </c>
      <c r="D107" s="88">
        <f>C107/6</f>
        <v>650</v>
      </c>
      <c r="E107" s="12" t="s">
        <v>10</v>
      </c>
      <c r="F107" s="12" t="s">
        <v>10</v>
      </c>
      <c r="G107" s="12" t="s">
        <v>10</v>
      </c>
      <c r="H107" s="12" t="s">
        <v>10</v>
      </c>
      <c r="I107" s="12" t="s">
        <v>10</v>
      </c>
      <c r="J107" s="12" t="s">
        <v>10</v>
      </c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>
      <c r="B108" s="51" t="s">
        <v>87</v>
      </c>
      <c r="C108" s="85">
        <v>303.55</v>
      </c>
      <c r="D108" s="88">
        <f>C108/5</f>
        <v>60.71</v>
      </c>
      <c r="E108" s="10"/>
      <c r="F108" s="10"/>
      <c r="G108" s="10"/>
      <c r="J108" s="1" t="s">
        <v>88</v>
      </c>
      <c r="L108" s="89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>
      <c r="B109" s="65" t="s">
        <v>66</v>
      </c>
      <c r="C109" s="1">
        <v>202.18</v>
      </c>
      <c r="D109" s="88">
        <f t="shared" ref="D109:D111" si="27">C109/6</f>
        <v>33.69666667</v>
      </c>
      <c r="E109" s="10"/>
      <c r="F109" s="10"/>
      <c r="G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>
      <c r="B110" s="65" t="s">
        <v>68</v>
      </c>
      <c r="C110" s="12">
        <v>56.5</v>
      </c>
      <c r="D110" s="10">
        <f t="shared" si="27"/>
        <v>9.416666667</v>
      </c>
      <c r="E110" s="10"/>
      <c r="F110" s="10"/>
      <c r="G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>
      <c r="B111" s="12" t="s">
        <v>63</v>
      </c>
      <c r="C111" s="12">
        <v>136.32</v>
      </c>
      <c r="D111" s="10">
        <f t="shared" si="27"/>
        <v>22.72</v>
      </c>
      <c r="E111" s="10"/>
      <c r="F111" s="10"/>
      <c r="G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>
      <c r="A113" s="83">
        <v>45689.0</v>
      </c>
      <c r="B113" s="12" t="s">
        <v>62</v>
      </c>
      <c r="C113" s="1">
        <v>3900.0</v>
      </c>
      <c r="D113" s="88">
        <f>C113/6</f>
        <v>650</v>
      </c>
      <c r="E113" s="12" t="s">
        <v>10</v>
      </c>
      <c r="F113" s="12" t="s">
        <v>10</v>
      </c>
      <c r="G113" s="12" t="s">
        <v>10</v>
      </c>
      <c r="H113" s="12" t="s">
        <v>10</v>
      </c>
      <c r="I113" s="12" t="s">
        <v>10</v>
      </c>
      <c r="J113" s="12" t="s">
        <v>10</v>
      </c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>
      <c r="B114" s="51" t="s">
        <v>89</v>
      </c>
      <c r="C114" s="85">
        <v>146.59</v>
      </c>
      <c r="D114" s="88">
        <f>C114/3</f>
        <v>48.86333333</v>
      </c>
      <c r="E114" s="10"/>
      <c r="F114" s="10"/>
      <c r="G114" s="90"/>
      <c r="H114" s="91"/>
      <c r="J114" s="91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>
      <c r="B115" s="65" t="s">
        <v>66</v>
      </c>
      <c r="C115" s="1">
        <v>147.53</v>
      </c>
      <c r="E115" s="10"/>
      <c r="F115" s="10"/>
      <c r="G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>
      <c r="B116" s="65" t="s">
        <v>68</v>
      </c>
      <c r="C116" s="12">
        <v>56.5</v>
      </c>
      <c r="D116" s="10">
        <f>C116/6</f>
        <v>9.416666667</v>
      </c>
      <c r="E116" s="10"/>
      <c r="F116" s="10"/>
      <c r="G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>
      <c r="E117" s="10"/>
      <c r="F117" s="10"/>
      <c r="G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>
      <c r="A118" s="10"/>
      <c r="B118" s="10"/>
      <c r="C118" s="10"/>
      <c r="D118" s="10"/>
      <c r="E118" s="10"/>
      <c r="F118" s="10"/>
      <c r="G118" s="10"/>
      <c r="H118" s="92"/>
      <c r="I118" s="10"/>
      <c r="J118" s="93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>
      <c r="A119" s="83">
        <v>45717.0</v>
      </c>
      <c r="B119" s="12" t="s">
        <v>62</v>
      </c>
      <c r="C119" s="1">
        <v>3900.0</v>
      </c>
      <c r="D119" s="88">
        <f>C119/6</f>
        <v>650</v>
      </c>
      <c r="E119" s="12" t="s">
        <v>10</v>
      </c>
      <c r="F119" s="12" t="s">
        <v>10</v>
      </c>
      <c r="G119" s="12"/>
      <c r="H119" s="12" t="s">
        <v>10</v>
      </c>
      <c r="I119" s="12" t="s">
        <v>10</v>
      </c>
      <c r="J119" s="12" t="s">
        <v>10</v>
      </c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>
      <c r="B120" s="87" t="s">
        <v>71</v>
      </c>
      <c r="E120" s="10"/>
      <c r="F120" s="10"/>
      <c r="G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>
      <c r="B121" s="65" t="s">
        <v>66</v>
      </c>
      <c r="C121" s="1">
        <v>100.34</v>
      </c>
      <c r="E121" s="10"/>
      <c r="F121" s="10"/>
      <c r="G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>
      <c r="B122" s="65" t="s">
        <v>68</v>
      </c>
      <c r="C122" s="12">
        <v>56.5</v>
      </c>
      <c r="D122" s="10">
        <f>C122/6</f>
        <v>9.416666667</v>
      </c>
      <c r="E122" s="10"/>
      <c r="F122" s="10"/>
      <c r="G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>
      <c r="E123" s="10"/>
      <c r="F123" s="10"/>
      <c r="G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>
      <c r="A124" s="10"/>
      <c r="B124" s="10"/>
      <c r="C124" s="10"/>
      <c r="D124" s="10"/>
      <c r="E124" s="10"/>
      <c r="F124" s="10"/>
      <c r="G124" s="10"/>
      <c r="H124" s="93"/>
      <c r="I124" s="10"/>
      <c r="J124" s="9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>
      <c r="A125" s="10"/>
      <c r="B125" s="10"/>
      <c r="C125" s="10"/>
      <c r="D125" s="10"/>
      <c r="E125" s="10"/>
      <c r="F125" s="10"/>
      <c r="G125" s="10"/>
      <c r="H125" s="92"/>
      <c r="I125" s="10"/>
      <c r="J125" s="9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>
      <c r="A126" s="10"/>
      <c r="B126" s="10"/>
      <c r="C126" s="10"/>
      <c r="D126" s="10"/>
      <c r="E126" s="10"/>
      <c r="F126" s="10"/>
      <c r="G126" s="10"/>
      <c r="H126" s="93"/>
      <c r="I126" s="10"/>
      <c r="J126" s="93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>
      <c r="A127" s="10"/>
      <c r="B127" s="10"/>
      <c r="C127" s="10"/>
      <c r="D127" s="10"/>
      <c r="E127" s="10"/>
      <c r="F127" s="10"/>
      <c r="G127" s="10"/>
      <c r="H127" s="93"/>
      <c r="I127" s="10"/>
      <c r="J127" s="93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>
      <c r="A128" s="10"/>
      <c r="B128" s="10"/>
      <c r="C128" s="10"/>
      <c r="D128" s="10"/>
      <c r="E128" s="10"/>
      <c r="F128" s="10"/>
      <c r="G128" s="10"/>
      <c r="H128" s="92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>
      <c r="A129" s="10"/>
      <c r="B129" s="10"/>
      <c r="C129" s="10"/>
      <c r="D129" s="10"/>
      <c r="E129" s="10"/>
      <c r="F129" s="10"/>
      <c r="G129" s="10"/>
      <c r="H129" s="92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>
      <c r="A130" s="10"/>
      <c r="B130" s="10"/>
      <c r="C130" s="10"/>
      <c r="D130" s="10"/>
      <c r="E130" s="10"/>
      <c r="F130" s="10"/>
      <c r="G130" s="10"/>
      <c r="H130" s="93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>
      <c r="A131" s="10"/>
      <c r="B131" s="10"/>
      <c r="C131" s="10"/>
      <c r="D131" s="10"/>
      <c r="E131" s="10"/>
      <c r="F131" s="10"/>
      <c r="G131" s="10"/>
      <c r="H131" s="93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94"/>
      <c r="N165" s="94"/>
      <c r="O165" s="10"/>
      <c r="P165" s="94"/>
      <c r="Q165" s="94"/>
      <c r="R165" s="10"/>
      <c r="S165" s="10"/>
      <c r="T165" s="10"/>
      <c r="U165" s="10"/>
      <c r="V165" s="10"/>
      <c r="W165" s="10"/>
      <c r="X165" s="10"/>
      <c r="Y165" s="10"/>
      <c r="Z165" s="10"/>
    </row>
    <row r="166">
      <c r="A166" s="10"/>
      <c r="B166" s="10"/>
      <c r="C166" s="10"/>
      <c r="D166" s="10"/>
      <c r="E166" s="10"/>
      <c r="F166" s="10"/>
      <c r="G166" s="10"/>
      <c r="H166" s="95"/>
      <c r="I166" s="10"/>
      <c r="J166" s="10"/>
      <c r="K166" s="10"/>
      <c r="L166" s="10"/>
      <c r="N166" s="96"/>
      <c r="O166" s="10"/>
      <c r="Q166" s="96"/>
      <c r="R166" s="10"/>
      <c r="S166" s="10"/>
      <c r="T166" s="10"/>
      <c r="U166" s="10"/>
      <c r="V166" s="10"/>
      <c r="W166" s="10"/>
      <c r="X166" s="10"/>
      <c r="Y166" s="10"/>
      <c r="Z166" s="10"/>
    </row>
    <row r="167">
      <c r="A167" s="10"/>
      <c r="B167" s="10"/>
      <c r="C167" s="10"/>
      <c r="D167" s="10"/>
      <c r="E167" s="10"/>
      <c r="F167" s="10"/>
      <c r="G167" s="10"/>
      <c r="H167" s="95"/>
      <c r="I167" s="10"/>
      <c r="J167" s="10"/>
      <c r="K167" s="10"/>
      <c r="L167" s="10"/>
      <c r="N167" s="96"/>
      <c r="O167" s="10"/>
      <c r="Q167" s="96"/>
      <c r="R167" s="10"/>
      <c r="S167" s="10"/>
      <c r="T167" s="10"/>
      <c r="U167" s="10"/>
      <c r="V167" s="10"/>
      <c r="W167" s="10"/>
      <c r="X167" s="10"/>
      <c r="Y167" s="10"/>
      <c r="Z167" s="10"/>
    </row>
    <row r="168">
      <c r="A168" s="10"/>
      <c r="B168" s="10"/>
      <c r="C168" s="10"/>
      <c r="D168" s="10"/>
      <c r="E168" s="10"/>
      <c r="F168" s="10"/>
      <c r="G168" s="10"/>
      <c r="H168" s="97"/>
      <c r="I168" s="10"/>
      <c r="J168" s="10"/>
      <c r="K168" s="10"/>
      <c r="L168" s="10"/>
      <c r="N168" s="96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>
      <c r="A169" s="10"/>
      <c r="B169" s="10"/>
      <c r="C169" s="10"/>
      <c r="D169" s="10"/>
      <c r="E169" s="10"/>
      <c r="F169" s="10"/>
      <c r="G169" s="10"/>
      <c r="H169" s="95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>
      <c r="A170" s="10"/>
      <c r="B170" s="10"/>
      <c r="C170" s="10"/>
      <c r="D170" s="10"/>
      <c r="E170" s="10"/>
      <c r="F170" s="10"/>
      <c r="G170" s="10"/>
      <c r="H170" s="95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>
      <c r="A171" s="10"/>
      <c r="B171" s="10"/>
      <c r="C171" s="10"/>
      <c r="D171" s="10"/>
      <c r="E171" s="10"/>
      <c r="F171" s="10"/>
      <c r="G171" s="10"/>
      <c r="H171" s="95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>
      <c r="A172" s="10"/>
      <c r="B172" s="10"/>
      <c r="C172" s="10"/>
      <c r="D172" s="10"/>
      <c r="E172" s="10"/>
      <c r="F172" s="10"/>
      <c r="G172" s="10"/>
      <c r="H172" s="95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>
      <c r="A173" s="10"/>
      <c r="B173" s="10"/>
      <c r="C173" s="10"/>
      <c r="D173" s="10"/>
      <c r="E173" s="10"/>
      <c r="F173" s="10"/>
      <c r="G173" s="10"/>
      <c r="H173" s="95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>
      <c r="A174" s="10"/>
      <c r="B174" s="10"/>
      <c r="C174" s="10"/>
      <c r="D174" s="10"/>
      <c r="E174" s="10"/>
      <c r="F174" s="10"/>
      <c r="G174" s="10"/>
      <c r="H174" s="95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>
      <c r="A175" s="10"/>
      <c r="B175" s="10"/>
      <c r="C175" s="10"/>
      <c r="D175" s="10"/>
      <c r="E175" s="10"/>
      <c r="F175" s="10"/>
      <c r="G175" s="10"/>
      <c r="H175" s="97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>
      <c r="A176" s="10"/>
      <c r="B176" s="10"/>
      <c r="C176" s="10"/>
      <c r="D176" s="10"/>
      <c r="E176" s="10"/>
      <c r="F176" s="10"/>
      <c r="G176" s="10"/>
      <c r="H176" s="95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>
      <c r="A177" s="10"/>
      <c r="B177" s="10"/>
      <c r="C177" s="10"/>
      <c r="D177" s="10"/>
      <c r="E177" s="10"/>
      <c r="F177" s="10"/>
      <c r="G177" s="10"/>
      <c r="H177" s="97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>
      <c r="A178" s="10"/>
      <c r="B178" s="10"/>
      <c r="C178" s="10"/>
      <c r="D178" s="10"/>
      <c r="E178" s="10"/>
      <c r="F178" s="10"/>
      <c r="G178" s="10"/>
      <c r="H178" s="97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>
      <c r="A179" s="10"/>
      <c r="B179" s="10"/>
      <c r="C179" s="10"/>
      <c r="D179" s="10"/>
      <c r="E179" s="10"/>
      <c r="F179" s="10"/>
      <c r="G179" s="10"/>
      <c r="H179" s="95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</sheetData>
  <mergeCells count="18">
    <mergeCell ref="A2:A9"/>
    <mergeCell ref="A12:A16"/>
    <mergeCell ref="A19:A23"/>
    <mergeCell ref="A26:A30"/>
    <mergeCell ref="A33:A37"/>
    <mergeCell ref="A40:A44"/>
    <mergeCell ref="A47:A51"/>
    <mergeCell ref="A102:A105"/>
    <mergeCell ref="A107:A111"/>
    <mergeCell ref="A113:A117"/>
    <mergeCell ref="A119:A123"/>
    <mergeCell ref="A54:A58"/>
    <mergeCell ref="A60:A64"/>
    <mergeCell ref="A67:A71"/>
    <mergeCell ref="A74:A78"/>
    <mergeCell ref="A81:A85"/>
    <mergeCell ref="A89:A93"/>
    <mergeCell ref="A96:A100"/>
  </mergeCells>
  <conditionalFormatting sqref="E2:H6 I2 I4:I6 E11:E12 F12:I12 E15:E16 F15:I15 E19:I23 E26:I26 E28:I30 E33:I33 E35:E37 F35:F36 G35:I37 E40:G40 H40:I44 E42:G44 E47:E51 F47:I47 F49:G51 H49:H52 I49:I51 E54:E58 F55:I58 E60:E64 F61:F65 G61:I64 E69:I71 E75:E78 F75:I79 E81:I85 E89:F93 G89:G94 H89:J93 E96:J100 E102:J105 E107:J107 E113:J113 E119:J119">
    <cfRule type="notContainsBlanks" dxfId="0" priority="1">
      <formula>LEN(TRIM(E2))&gt;0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1" max="1" width="15.75"/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P2" s="1" t="s">
        <v>17</v>
      </c>
      <c r="Q2" s="1" t="s">
        <v>18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SUMIFS($G$13:$G968, $E$13:$E968, "Rachel", $H$13:$H968, 1)-SUMIFS($G$13:$G968, $E$13:$E968, "Timothy", $I$13:$I968, 1)</f>
        <v>3.66935</v>
      </c>
      <c r="J3" s="21">
        <f>SUMIFS($G$13:$G968, $E$13:$E968, "BL", $H$13:$H968, 1)-SUMIFS($G$13:$G968, $E$13:$E968, "Timothy", $J$13:$J968, 1)</f>
        <v>0</v>
      </c>
      <c r="K3" s="21">
        <f>SUMIFS($G$13:$G968, $E$13:$E968, "Pigskin", $H$13:$H968, 1)-SUMIFS($G$13:$G968, $E$13:$E968, "Timothy", $K$13:$K968, 1)</f>
        <v>0</v>
      </c>
      <c r="L3" s="21">
        <f>SUMIFS($G$13:$G968, $E$13:$E968, "Angel", $H$13:$H968, 1)-SUMIFS($G$13:$G968, $E$13:$E968, "Timothy", $L$13:$L968, 1)</f>
        <v>0</v>
      </c>
      <c r="M3" s="21">
        <f>SUMIFS($G$13:$G968, $E$13:$E968, "Ivan", $H$13:$H968, 1)-SUMIFS($G$13:$G968, $E$13:$E968, "Timothy", $M$13:$M968, 1)</f>
        <v>0</v>
      </c>
      <c r="N3" s="21">
        <f>SUMIFS($G$13:$G968, $E$13:$E968, "Esther", $H$13:$H968, 1)-SUMIFS($G$13:$G968, $E$13:$E968, "Timothy", $N$13:$N968, 1)</f>
        <v>-42.50333333</v>
      </c>
      <c r="O3" s="22">
        <f>SUMIFS($G$13:$G968, $E$13:$E968, "Ken9", $H$13:$H968, 1)-SUMIFS($G$13:$G968, $E$13:$E968, "Timothy", $O$13:$O968,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SUMIFS($G$13:$G968, $E$13:$E968, "Timothy", $I$13:$I968, 1)-SUMIFS($G$13:$G968, $E$13:$E968, "Rachel", $H$13:$H968, 1)</f>
        <v>-3.66935</v>
      </c>
      <c r="I4" s="20"/>
      <c r="J4" s="25">
        <f>SUMIFS($G$13:$G968, $E$13:$E968, "BL", $I$13:$I968, 1)-SUMIFS($G$13:$G968, $E$13:$E968, "Rachel", $J$13:$J968, 1)</f>
        <v>0</v>
      </c>
      <c r="K4" s="25">
        <f>SUMIFS($G$13:$G968, $E$13:$E968, "Pigskin", $I$13:$I968, 1)-SUMIFS($G$13:$G968, $E$13:$E968, "Rachel", $K$13:$K968, 1)</f>
        <v>0</v>
      </c>
      <c r="L4" s="25">
        <f>SUMIFS($G$13:$G968, $E$13:$E968, "Angel", $I$13:$I968, 1)-SUMIFS($G$13:$G968, $E$13:$E968, "Rachel", $L$13:$L968, 1)</f>
        <v>0</v>
      </c>
      <c r="M4" s="25">
        <f>SUMIFS($G$13:$G968, $E$13:$E968, "Ivan", $I$13:$I968, 1)-SUMIFS($G$13:$G968, $E$13:$E968, "Rachel", $M$13:$M968, 1)</f>
        <v>0</v>
      </c>
      <c r="N4" s="25">
        <f>SUMIFS($G$13:$G968, $E$13:$E968, "Esther", $I$13:$I968, 1)-SUMIFS($G$13:$G968, $E$13:$E968, "Rachel", $N$13:$N968, 1)</f>
        <v>-3.983333333</v>
      </c>
      <c r="O4" s="26">
        <f>SUMIFS($G$13:$G968, $E$13:$E968, "Ken9", $I$13:$I968, 1)-SUMIFS($G$13:$G968, $E$13:$E968, "Rachel", $O$13:$O968,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SUMIFS($G$13:$G968, $E$13:$E968, "Timothy", $J$13:$J968, 1)-SUMIFS($G$13:$G968, $E$13:$E968, "BL", $H$13:$H968, 1)</f>
        <v>0</v>
      </c>
      <c r="I5" s="28">
        <f>SUMIFS($G$13:$G968, $E$13:$E968, "Rachel", $J$13:$J968, 1)-SUMIFS($G$13:$G968, $E$13:$E968, "BL", $I$13:$I968, 1)</f>
        <v>0</v>
      </c>
      <c r="J5" s="20"/>
      <c r="K5" s="25">
        <f>SUMIFS($G$13:$G968, $E$13:$E968, "Pigskin", $J$13:$J968, 1)-SUMIFS($G$13:$G968, $E$13:$E968, "BL", $K$13:$K968, 1)</f>
        <v>0</v>
      </c>
      <c r="L5" s="28">
        <f>SUMIFS($G$13:$G968, $E$13:$E968, "Angel", $J$13:$J968, 1)-SUMIFS($G$13:$G968, $E$13:$E968, "BL", $L$13:$L968, 1)</f>
        <v>0</v>
      </c>
      <c r="M5" s="25">
        <f>SUMIFS($G$13:$G968, $E$13:$E968, "Ivan", $J$13:$J968, 1)-SUMIFS($G$13:$G968, $E$13:$E968, "BL", $M$13:$M968, 1)</f>
        <v>0</v>
      </c>
      <c r="N5" s="28">
        <f>SUMIFS($G$13:$G968, $E$13:$E968, "Esther", $J$13:$J968, 1)-SUMIFS($G$13:$G968, $E$13:$E968, "BL", $N$13:$N968, 1)</f>
        <v>0</v>
      </c>
      <c r="O5" s="26">
        <f>SUMIFS($G$13:$G968, $E$13:$E968, "Ken9", $J$13:$J968, 1)-SUMIFS($G$13:$G968, $E$13:$E968, "BL", $O$13:$O968,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SUMIFS($G$13:$G968, $E$13:$E968, "Timothy", $K$13:$K968, 1)-SUMIFS($G$13:$G968, $E$13:$E968, "Pigskin", $H$13:$H968, 1)</f>
        <v>0</v>
      </c>
      <c r="I6" s="28">
        <f>SUMIFS($G$13:$G968, $E$13:$E968, "Rachel", $K$13:$K968, 1)-SUMIFS($G$13:$G968, $E$13:$E968, "Pigskin", $I$13:$I968, 1)</f>
        <v>0</v>
      </c>
      <c r="J6" s="28">
        <f>SUMIFS($G$13:$G968, $E$13:$E968, "BL", $K$13:$K968, 1)-SUMIFS($G$13:$G968, $E$13:$E968, "Pigskin", $J$13:$J968, 1)</f>
        <v>0</v>
      </c>
      <c r="K6" s="20"/>
      <c r="L6" s="25">
        <f>SUMIFS($G$13:$G968, $E$13:$E968, "Angel", $K$13:$K968, 1)-SUMIFS($G$13:$G968, $E$13:$E968, "Pigskin", $L$13:$L968, 1)</f>
        <v>0</v>
      </c>
      <c r="M6" s="28">
        <f>SUMIFS($G$13:$G968, $E$13:$E968, "Ivan", $K$13:$K968, 1)-SUMIFS($G$13:$G968, $E$13:$E968, "Pigskin", $M$13:$M968, 1)</f>
        <v>0</v>
      </c>
      <c r="N6" s="28">
        <f>SUMIFS($G$13:$G968, $E$13:$E968, "Esther", $K$13:$K968, 1)-SUMIFS($G$13:$G968, $E$13:$E968, "Pigskin", $N$13:$N968, 1)</f>
        <v>0</v>
      </c>
      <c r="O6" s="26">
        <f>SUMIFS($G$13:$G968, $E$13:$E968, "Ken9", $K$13:$K968, 1)-SUMIFS($G$13:$G968, $E$13:$E968, "Pigskin", $O$13:$O968,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SUMIFS($G$13:$G968, $E$13:$E968, "Timothy", $L$13:$L968, 1)-SUMIFS($G$13:$G968, $E$13:$E968, "Angel", $H$13:$H968, 1)</f>
        <v>0</v>
      </c>
      <c r="I7" s="25">
        <f>SUMIFS($G$13:$G968, $E$13:$E968, "Rachel", $L$13:$L968, 1)-SUMIFS($G$13:$G968, $E$13:$E968, "Angel", $I$13:$I968, 1)</f>
        <v>0</v>
      </c>
      <c r="J7" s="25">
        <f>SUMIFS($G$13:$G968, $E$13:$E968, "BL", $L$13:$L968, 1)-SUMIFS($G$13:$G968, $E$13:$E968, "Angel", $J$13:$J968, 1)</f>
        <v>0</v>
      </c>
      <c r="K7" s="25">
        <f>SUMIFS($G$13:$G968, $E$13:$E968, "Pigskin", $L$13:$L968, 1)-SUMIFS($G$13:$G968, $E$13:$E968, "Angel", $K$13:$K968, 1)</f>
        <v>0</v>
      </c>
      <c r="L7" s="20"/>
      <c r="M7" s="25">
        <f>SUMIFS($G$13:$G968, $E$13:$E968, "Ivan", $L$13:$L968, 1)-SUMIFS($G$13:$G968, $E$13:$E968, "Angel", $M$13:$M968, 1)</f>
        <v>0</v>
      </c>
      <c r="N7" s="28">
        <f>SUMIFS($G$13:$G968, $E$13:$E968, "Esther", $L$13:$L968, 1)-SUMIFS($G$13:$G968, $E$13:$E968, "Angel", $N$13:$N968, 1)</f>
        <v>0</v>
      </c>
      <c r="O7" s="31">
        <f>SUMIFS($G$13:$G968, $E$13:$E968, "Ken9", $L$13:$L968, 1)-SUMIFS($G$13:$G968, $E$13:$E968, "Angel", $O$13:$O968,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SUMIFS($G$13:$G968, $E$13:$E968, "Timothy", $M$13:$M968, 1)-SUMIFS($G$13:$G968, $E$13:$E968, "Ivan", $H$13:$H968, 1)</f>
        <v>0</v>
      </c>
      <c r="I8" s="28">
        <f>SUMIFS($G$13:$G968, $E$13:$E968, "Rachel", $M$13:$M968, 1)-SUMIFS($G$13:$G968, $E$13:$E968, "Ivan", $I$13:$I968, 1)</f>
        <v>0</v>
      </c>
      <c r="J8" s="25">
        <f>SUMIFS($G$13:$G968, $E$13:$E968, "BL", $M$13:$M968, 1)-SUMIFS($G$13:$G968, $E$13:$E968, "Ivan", $J$13:$J968, 1)</f>
        <v>0</v>
      </c>
      <c r="K8" s="25">
        <f>SUMIFS($G$13:$G968, $E$13:$E968, "Pigskin", $M$13:$M968, 1)-SUMIFS($G$13:$G968, $E$13:$E968, "Ivan", $K$13:$K968, 1)</f>
        <v>0</v>
      </c>
      <c r="L8" s="25">
        <f>SUMIFS($G$13:$G968, $E$13:$E968, "Angel", $M$13:$M968, 1)-SUMIFS($G$13:$G968, $E$13:$E968, "Ivan", $L$13:$L968, 1)</f>
        <v>0</v>
      </c>
      <c r="M8" s="20"/>
      <c r="N8" s="28">
        <f>SUMIFS($G$13:$G968, $E$13:$E968, "Esther", $M$13:$M968, 1)-SUMIFS($G$13:$G968, $E$13:$E968, "Ivan", $N$13:$N968, 1)</f>
        <v>0</v>
      </c>
      <c r="O8" s="31">
        <f>SUMIFS($G$13:$G968, $E$13:$E968, "Ken9", $M$13:$M968, 1)-SUMIFS($G$13:$G968, $E$13:$E968, "Ivan", $O$13:$O968,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SUMIFS($G$13:$G968, $E$13:$E968, "Timothy", $N$13:$N968, 1)-SUMIFS($G$13:$G968, $E$13:$E968, "Esther", $H$13:$H968, 1)</f>
        <v>42.50333333</v>
      </c>
      <c r="I9" s="25">
        <f>SUMIFS($G$13:$G968, $E$13:$E968, "Rachel", $N$13:$N968, 1)-SUMIFS($G$13:$G968, $E$13:$E968, "Esther", $I$13:$I968, 1)</f>
        <v>3.983333333</v>
      </c>
      <c r="J9" s="25">
        <f>SUMIFS($G$13:$G968, $E$13:$E968, "BL", $N$13:$N968, 1)-SUMIFS($G$13:$G968, $E$13:$E968, "Esther", $J$13:$J968, 1)</f>
        <v>0</v>
      </c>
      <c r="K9" s="25">
        <f>SUMIFS($G$13:$G968, $E$13:$E968, "Pigskin", $N$13:$N968, 1)-SUMIFS($G$13:$G968, $E$13:$E968, "Esther", $K$13:$K968, 1)</f>
        <v>0</v>
      </c>
      <c r="L9" s="25">
        <f>SUMIFS($G$13:$G968, $E$13:$E968, "Angel", $N$13:$N968, 1)-SUMIFS($G$13:$G968, $E$13:$E968, "Esther", $L$13:$L968, 1)</f>
        <v>0</v>
      </c>
      <c r="M9" s="25">
        <f>SUMIFS($G$13:$G968, $E$13:$E968, "Ivan", $N$13:$N968, 1)-SUMIFS($G$13:$G968, $E$13:$E968, "Esther", $M$13:$M968, 1)</f>
        <v>0</v>
      </c>
      <c r="N9" s="20"/>
      <c r="O9" s="31">
        <f>SUMIFS($G$13:$G968, $E$13:$E968, "Ken9", $N$13:$N968, 1)-SUMIFS($G$13:$G968, $E$13:$E968, "Esther", $O$13:$O968,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SUMIFS($G$13:$G968, $E$13:$E968, "Timothy", $O$13:$O968, 1)-SUMIFS($G$13:$G968, $E$13:$E968, "Ken9", $H$13:$H968, 1)</f>
        <v>0</v>
      </c>
      <c r="I10" s="40">
        <f>SUMIFS($G$13:$G968, $E$13:$E968, "Rachel", $O$13:$O968, 1)-SUMIFS($G$13:$G968, $E$13:$E968, "Ken9", $I$13:$I968, 1)</f>
        <v>0</v>
      </c>
      <c r="J10" s="40">
        <f>SUMIFS($G$13:$G968, $E$13:$E968, "BL", $O$13:$O968, 1)-SUMIFS($G$13:$G968, $E$13:$E968, "Ken9", $J$13:$J968, 1)</f>
        <v>0</v>
      </c>
      <c r="K10" s="40">
        <f>SUMIFS($G$13:$G968, $E$13:$E968, "Pigskin", $O$13:$O968, 1)-SUMIFS($G$13:$G968, $E$13:$E968, "Ken9", $K$13:$K968, 1)</f>
        <v>0</v>
      </c>
      <c r="L10" s="40">
        <f>SUMIFS($G$13:$G968, $E$13:$E968, "Angel", $O$13:$O968, 1)-SUMIFS($G$13:$G968, $E$13:$E968, "Ken9", $L$13:$L968, 1)</f>
        <v>0</v>
      </c>
      <c r="M10" s="40">
        <f>SUMIFS($G$13:$G968, $E$13:$E968, "Ivan", $O$13:$O968, 1)-SUMIFS($G$13:$G968, $E$13:$E968, "Ken9", $M$13:$M968, 1)</f>
        <v>0</v>
      </c>
      <c r="N10" s="40">
        <f>SUMIFS($G$13:$G968, $E$13:$E968, "Esther", $O$13:$O968, 1)-SUMIFS($G$13:$G968, $E$13:$E968, "Ken9", $N$13:$N968,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0">
        <v>45690.0</v>
      </c>
      <c r="B13" s="12" t="s">
        <v>90</v>
      </c>
      <c r="C13" s="51" t="s">
        <v>11</v>
      </c>
      <c r="D13" s="12">
        <v>107.0</v>
      </c>
      <c r="E13" s="51" t="s">
        <v>7</v>
      </c>
      <c r="F13" s="10">
        <f t="shared" ref="F13:F119" si="1">D13/sum(H13:Q13)</f>
        <v>35.66666667</v>
      </c>
      <c r="G13" s="10">
        <f t="shared" ref="G13:G119" si="2">D13/sum(H13:Q13)</f>
        <v>35.66666667</v>
      </c>
      <c r="H13" s="1">
        <v>1.0</v>
      </c>
      <c r="I13" s="1">
        <v>1.0</v>
      </c>
      <c r="N13" s="1">
        <v>1.0</v>
      </c>
      <c r="Z13" s="10"/>
      <c r="AA13" s="10"/>
    </row>
    <row r="14">
      <c r="A14" s="50">
        <v>45694.0</v>
      </c>
      <c r="B14" s="12" t="s">
        <v>91</v>
      </c>
      <c r="C14" s="51" t="s">
        <v>11</v>
      </c>
      <c r="D14" s="12">
        <v>20.95</v>
      </c>
      <c r="E14" s="12" t="s">
        <v>2</v>
      </c>
      <c r="F14" s="10">
        <f t="shared" si="1"/>
        <v>20.95</v>
      </c>
      <c r="G14" s="10">
        <f t="shared" si="2"/>
        <v>20.95</v>
      </c>
      <c r="N14" s="1">
        <v>1.0</v>
      </c>
      <c r="Z14" s="10"/>
      <c r="AA14" s="10"/>
    </row>
    <row r="15">
      <c r="A15" s="50">
        <v>45694.0</v>
      </c>
      <c r="B15" s="12" t="s">
        <v>91</v>
      </c>
      <c r="C15" s="51" t="s">
        <v>11</v>
      </c>
      <c r="D15" s="12">
        <v>33.9</v>
      </c>
      <c r="E15" s="12" t="s">
        <v>2</v>
      </c>
      <c r="F15" s="10">
        <f t="shared" si="1"/>
        <v>16.95</v>
      </c>
      <c r="G15" s="10">
        <f t="shared" si="2"/>
        <v>16.95</v>
      </c>
      <c r="H15" s="1">
        <v>1.0</v>
      </c>
      <c r="I15" s="1">
        <v>1.0</v>
      </c>
      <c r="Z15" s="10"/>
      <c r="AA15" s="10"/>
    </row>
    <row r="16">
      <c r="A16" s="55">
        <v>45703.0</v>
      </c>
      <c r="B16" s="12" t="s">
        <v>50</v>
      </c>
      <c r="C16" s="51" t="s">
        <v>23</v>
      </c>
      <c r="D16" s="12">
        <f>15.99 * 1.13</f>
        <v>18.0687</v>
      </c>
      <c r="E16" s="51" t="s">
        <v>4</v>
      </c>
      <c r="F16" s="10">
        <f t="shared" si="1"/>
        <v>9.03435</v>
      </c>
      <c r="G16" s="10">
        <f t="shared" si="2"/>
        <v>9.03435</v>
      </c>
      <c r="H16" s="1">
        <v>1.0</v>
      </c>
      <c r="I16" s="1">
        <v>1.0</v>
      </c>
      <c r="Z16" s="10"/>
      <c r="AA16" s="10"/>
    </row>
    <row r="17">
      <c r="A17" s="55">
        <v>45703.0</v>
      </c>
      <c r="B17" s="12" t="s">
        <v>50</v>
      </c>
      <c r="C17" s="51" t="s">
        <v>11</v>
      </c>
      <c r="D17" s="12">
        <v>11.99</v>
      </c>
      <c r="E17" s="51" t="s">
        <v>4</v>
      </c>
      <c r="F17" s="10">
        <f t="shared" si="1"/>
        <v>11.99</v>
      </c>
      <c r="G17" s="10">
        <f t="shared" si="2"/>
        <v>11.99</v>
      </c>
      <c r="I17" s="1">
        <v>1.0</v>
      </c>
      <c r="Z17" s="10"/>
      <c r="AA17" s="10"/>
    </row>
    <row r="18">
      <c r="A18" s="98">
        <v>45703.0</v>
      </c>
      <c r="B18" s="12" t="s">
        <v>50</v>
      </c>
      <c r="C18" s="51" t="s">
        <v>11</v>
      </c>
      <c r="D18" s="51">
        <v>6.99</v>
      </c>
      <c r="E18" s="51" t="s">
        <v>4</v>
      </c>
      <c r="F18" s="10">
        <f t="shared" si="1"/>
        <v>6.99</v>
      </c>
      <c r="G18" s="10">
        <f t="shared" si="2"/>
        <v>6.99</v>
      </c>
      <c r="H18" s="52">
        <v>1.0</v>
      </c>
      <c r="I18" s="52"/>
      <c r="J18" s="52"/>
      <c r="K18" s="52"/>
      <c r="L18" s="54"/>
      <c r="M18" s="54"/>
      <c r="N18" s="52"/>
      <c r="Z18" s="10"/>
      <c r="AA18" s="10"/>
    </row>
    <row r="19">
      <c r="A19" s="98">
        <v>45703.0</v>
      </c>
      <c r="B19" s="12" t="s">
        <v>92</v>
      </c>
      <c r="C19" s="51" t="s">
        <v>11</v>
      </c>
      <c r="D19" s="51">
        <v>11.99</v>
      </c>
      <c r="E19" s="51" t="s">
        <v>4</v>
      </c>
      <c r="F19" s="10">
        <f t="shared" si="1"/>
        <v>5.995</v>
      </c>
      <c r="G19" s="10">
        <f t="shared" si="2"/>
        <v>5.995</v>
      </c>
      <c r="H19" s="52">
        <v>1.0</v>
      </c>
      <c r="I19" s="54">
        <v>1.0</v>
      </c>
      <c r="J19" s="54"/>
      <c r="K19" s="54"/>
      <c r="L19" s="53"/>
      <c r="M19" s="54"/>
      <c r="N19" s="54"/>
      <c r="Z19" s="10"/>
      <c r="AA19" s="10"/>
    </row>
    <row r="20">
      <c r="A20" s="98">
        <v>45703.0</v>
      </c>
      <c r="B20" s="12" t="s">
        <v>93</v>
      </c>
      <c r="C20" s="51" t="s">
        <v>11</v>
      </c>
      <c r="D20" s="51">
        <v>10.79</v>
      </c>
      <c r="E20" s="51" t="s">
        <v>4</v>
      </c>
      <c r="F20" s="10">
        <f t="shared" si="1"/>
        <v>10.79</v>
      </c>
      <c r="G20" s="10">
        <f t="shared" si="2"/>
        <v>10.79</v>
      </c>
      <c r="H20" s="52"/>
      <c r="I20" s="52">
        <v>1.0</v>
      </c>
      <c r="J20" s="52"/>
      <c r="K20" s="52"/>
      <c r="L20" s="54"/>
      <c r="M20" s="54"/>
      <c r="N20" s="52"/>
      <c r="Z20" s="10"/>
      <c r="AA20" s="10"/>
    </row>
    <row r="21">
      <c r="A21" s="98">
        <v>45703.0</v>
      </c>
      <c r="B21" s="12" t="s">
        <v>94</v>
      </c>
      <c r="C21" s="51" t="s">
        <v>11</v>
      </c>
      <c r="D21" s="51">
        <v>13.99</v>
      </c>
      <c r="E21" s="51" t="s">
        <v>4</v>
      </c>
      <c r="F21" s="10">
        <f t="shared" si="1"/>
        <v>6.995</v>
      </c>
      <c r="G21" s="10">
        <f t="shared" si="2"/>
        <v>6.995</v>
      </c>
      <c r="H21" s="1">
        <v>1.0</v>
      </c>
      <c r="I21" s="1">
        <v>1.0</v>
      </c>
      <c r="Z21" s="10"/>
      <c r="AA21" s="10"/>
    </row>
    <row r="22">
      <c r="A22" s="98">
        <v>45703.0</v>
      </c>
      <c r="B22" s="51" t="s">
        <v>95</v>
      </c>
      <c r="C22" s="51" t="s">
        <v>11</v>
      </c>
      <c r="D22" s="51">
        <v>1.69</v>
      </c>
      <c r="E22" s="51" t="s">
        <v>4</v>
      </c>
      <c r="F22" s="10">
        <f t="shared" si="1"/>
        <v>0.845</v>
      </c>
      <c r="G22" s="10">
        <f t="shared" si="2"/>
        <v>0.845</v>
      </c>
      <c r="H22" s="1">
        <v>1.0</v>
      </c>
      <c r="I22" s="1">
        <v>1.0</v>
      </c>
      <c r="Z22" s="10"/>
      <c r="AA22" s="10"/>
    </row>
    <row r="23">
      <c r="A23" s="98">
        <v>45703.0</v>
      </c>
      <c r="B23" s="51" t="s">
        <v>96</v>
      </c>
      <c r="C23" s="51" t="s">
        <v>11</v>
      </c>
      <c r="D23" s="12">
        <v>18.99</v>
      </c>
      <c r="E23" s="51" t="s">
        <v>4</v>
      </c>
      <c r="F23" s="10">
        <f t="shared" si="1"/>
        <v>6.33</v>
      </c>
      <c r="G23" s="10">
        <f t="shared" si="2"/>
        <v>6.33</v>
      </c>
      <c r="H23" s="1">
        <v>1.0</v>
      </c>
      <c r="I23" s="1">
        <v>1.0</v>
      </c>
      <c r="N23" s="1">
        <v>1.0</v>
      </c>
      <c r="Z23" s="57"/>
      <c r="AA23" s="57"/>
    </row>
    <row r="24">
      <c r="A24" s="98">
        <v>45703.0</v>
      </c>
      <c r="B24" s="51" t="s">
        <v>97</v>
      </c>
      <c r="C24" s="12" t="s">
        <v>11</v>
      </c>
      <c r="D24" s="12">
        <v>12.37</v>
      </c>
      <c r="E24" s="51" t="s">
        <v>4</v>
      </c>
      <c r="F24" s="10">
        <f t="shared" si="1"/>
        <v>6.185</v>
      </c>
      <c r="G24" s="10">
        <f t="shared" si="2"/>
        <v>6.185</v>
      </c>
      <c r="H24" s="1">
        <v>1.0</v>
      </c>
      <c r="I24" s="1">
        <v>1.0</v>
      </c>
      <c r="Z24" s="10"/>
      <c r="AA24" s="10"/>
    </row>
    <row r="25">
      <c r="A25" s="98">
        <v>45703.0</v>
      </c>
      <c r="B25" s="51" t="s">
        <v>63</v>
      </c>
      <c r="C25" s="12" t="s">
        <v>11</v>
      </c>
      <c r="D25" s="51">
        <v>4.29</v>
      </c>
      <c r="E25" s="51" t="s">
        <v>4</v>
      </c>
      <c r="F25" s="10">
        <f t="shared" si="1"/>
        <v>2.145</v>
      </c>
      <c r="G25" s="10">
        <f t="shared" si="2"/>
        <v>2.145</v>
      </c>
      <c r="H25" s="52">
        <v>1.0</v>
      </c>
      <c r="I25" s="52">
        <v>1.0</v>
      </c>
      <c r="J25" s="52"/>
      <c r="K25" s="52"/>
      <c r="L25" s="54"/>
      <c r="M25" s="54"/>
      <c r="N25" s="52"/>
      <c r="Z25" s="10"/>
      <c r="AA25" s="10"/>
    </row>
    <row r="26">
      <c r="A26" s="58">
        <v>45695.0</v>
      </c>
      <c r="B26" s="12" t="s">
        <v>51</v>
      </c>
      <c r="C26" s="12" t="s">
        <v>11</v>
      </c>
      <c r="D26" s="12">
        <v>16.86</v>
      </c>
      <c r="E26" s="51" t="s">
        <v>2</v>
      </c>
      <c r="F26" s="10">
        <f t="shared" si="1"/>
        <v>5.62</v>
      </c>
      <c r="G26" s="10">
        <f t="shared" si="2"/>
        <v>5.62</v>
      </c>
      <c r="H26" s="1">
        <v>1.0</v>
      </c>
      <c r="I26" s="1">
        <v>1.0</v>
      </c>
      <c r="N26" s="1">
        <v>1.0</v>
      </c>
      <c r="Z26" s="10"/>
      <c r="AA26" s="10"/>
    </row>
    <row r="27">
      <c r="A27" s="58">
        <v>45693.0</v>
      </c>
      <c r="B27" s="51" t="s">
        <v>46</v>
      </c>
      <c r="C27" s="51" t="s">
        <v>11</v>
      </c>
      <c r="D27" s="51">
        <v>10.0</v>
      </c>
      <c r="E27" s="51" t="s">
        <v>2</v>
      </c>
      <c r="F27" s="10">
        <f t="shared" si="1"/>
        <v>3.333333333</v>
      </c>
      <c r="G27" s="10">
        <f t="shared" si="2"/>
        <v>3.333333333</v>
      </c>
      <c r="H27" s="52">
        <v>1.0</v>
      </c>
      <c r="I27" s="52">
        <v>1.0</v>
      </c>
      <c r="J27" s="52"/>
      <c r="K27" s="52"/>
      <c r="L27" s="54"/>
      <c r="M27" s="54"/>
      <c r="N27" s="52">
        <v>1.0</v>
      </c>
      <c r="Z27" s="10"/>
      <c r="AA27" s="10"/>
    </row>
    <row r="28">
      <c r="A28" s="58">
        <v>45694.0</v>
      </c>
      <c r="B28" s="12" t="s">
        <v>98</v>
      </c>
      <c r="C28" s="12" t="s">
        <v>11</v>
      </c>
      <c r="D28" s="12">
        <v>54.85</v>
      </c>
      <c r="E28" s="51" t="s">
        <v>2</v>
      </c>
      <c r="F28" s="10">
        <f t="shared" si="1"/>
        <v>18.28333333</v>
      </c>
      <c r="G28" s="10">
        <f t="shared" si="2"/>
        <v>18.28333333</v>
      </c>
      <c r="H28" s="1">
        <v>1.0</v>
      </c>
      <c r="I28" s="1">
        <v>1.0</v>
      </c>
      <c r="N28" s="1">
        <v>1.0</v>
      </c>
      <c r="Z28" s="10"/>
      <c r="AA28" s="10"/>
    </row>
    <row r="29">
      <c r="A29" s="50">
        <v>45714.0</v>
      </c>
      <c r="B29" s="12" t="s">
        <v>99</v>
      </c>
      <c r="C29" s="12" t="s">
        <v>11</v>
      </c>
      <c r="D29" s="12">
        <v>27.6</v>
      </c>
      <c r="E29" s="12" t="s">
        <v>4</v>
      </c>
      <c r="F29" s="10">
        <f t="shared" si="1"/>
        <v>9.2</v>
      </c>
      <c r="G29" s="10">
        <f t="shared" si="2"/>
        <v>9.2</v>
      </c>
      <c r="H29" s="1">
        <v>1.0</v>
      </c>
      <c r="I29" s="1">
        <v>1.0</v>
      </c>
      <c r="N29" s="1">
        <v>1.0</v>
      </c>
      <c r="Z29" s="10"/>
      <c r="AA29" s="10"/>
    </row>
    <row r="30">
      <c r="A30" s="50"/>
      <c r="B30" s="51" t="s">
        <v>100</v>
      </c>
      <c r="C30" s="12" t="s">
        <v>11</v>
      </c>
      <c r="D30" s="51">
        <v>26.0</v>
      </c>
      <c r="E30" s="51" t="s">
        <v>2</v>
      </c>
      <c r="F30" s="10">
        <f t="shared" si="1"/>
        <v>8.666666667</v>
      </c>
      <c r="G30" s="10">
        <f t="shared" si="2"/>
        <v>8.666666667</v>
      </c>
      <c r="H30" s="52">
        <v>1.0</v>
      </c>
      <c r="I30" s="54">
        <v>1.0</v>
      </c>
      <c r="J30" s="52"/>
      <c r="K30" s="54"/>
      <c r="L30" s="54"/>
      <c r="M30" s="54"/>
      <c r="N30" s="54">
        <v>1.0</v>
      </c>
      <c r="Z30" s="10"/>
      <c r="AA30" s="10"/>
    </row>
    <row r="31">
      <c r="A31" s="55">
        <v>45715.0</v>
      </c>
      <c r="B31" s="12" t="s">
        <v>46</v>
      </c>
      <c r="C31" s="12" t="s">
        <v>11</v>
      </c>
      <c r="D31" s="12">
        <v>4.62</v>
      </c>
      <c r="E31" s="51" t="s">
        <v>2</v>
      </c>
      <c r="F31" s="10">
        <f t="shared" si="1"/>
        <v>1.54</v>
      </c>
      <c r="G31" s="10">
        <f t="shared" si="2"/>
        <v>1.54</v>
      </c>
      <c r="H31" s="1">
        <v>1.0</v>
      </c>
      <c r="I31" s="1">
        <v>1.0</v>
      </c>
      <c r="N31" s="1">
        <v>1.0</v>
      </c>
      <c r="Z31" s="10"/>
      <c r="AA31" s="10"/>
    </row>
    <row r="32">
      <c r="A32" s="60">
        <v>45713.0</v>
      </c>
      <c r="B32" s="1" t="s">
        <v>101</v>
      </c>
      <c r="C32" s="12" t="s">
        <v>11</v>
      </c>
      <c r="D32" s="1">
        <v>59.33</v>
      </c>
      <c r="E32" s="1" t="s">
        <v>2</v>
      </c>
      <c r="F32" s="10">
        <f t="shared" si="1"/>
        <v>19.77666667</v>
      </c>
      <c r="G32" s="10">
        <f t="shared" si="2"/>
        <v>19.77666667</v>
      </c>
      <c r="H32" s="1">
        <v>1.0</v>
      </c>
      <c r="I32" s="1">
        <v>1.0</v>
      </c>
      <c r="N32" s="1">
        <v>1.0</v>
      </c>
      <c r="Z32" s="10"/>
      <c r="AA32" s="10"/>
    </row>
    <row r="33">
      <c r="A33" s="60">
        <v>45697.0</v>
      </c>
      <c r="B33" s="1" t="s">
        <v>46</v>
      </c>
      <c r="C33" s="12" t="s">
        <v>11</v>
      </c>
      <c r="D33" s="1">
        <v>30.22</v>
      </c>
      <c r="E33" s="1" t="s">
        <v>4</v>
      </c>
      <c r="F33" s="10">
        <f t="shared" si="1"/>
        <v>10.07333333</v>
      </c>
      <c r="G33" s="10">
        <f t="shared" si="2"/>
        <v>10.07333333</v>
      </c>
      <c r="H33" s="1">
        <v>1.0</v>
      </c>
      <c r="I33" s="1">
        <v>1.0</v>
      </c>
      <c r="N33" s="1">
        <v>1.0</v>
      </c>
      <c r="Z33" s="10"/>
      <c r="AA33" s="10"/>
    </row>
    <row r="34">
      <c r="A34" s="99">
        <v>45707.0</v>
      </c>
      <c r="B34" s="12" t="s">
        <v>46</v>
      </c>
      <c r="C34" s="12" t="s">
        <v>11</v>
      </c>
      <c r="D34" s="51">
        <v>42.14</v>
      </c>
      <c r="E34" s="51" t="s">
        <v>4</v>
      </c>
      <c r="F34" s="10">
        <f t="shared" si="1"/>
        <v>14.04666667</v>
      </c>
      <c r="G34" s="10">
        <f t="shared" si="2"/>
        <v>14.04666667</v>
      </c>
      <c r="H34" s="52">
        <v>1.0</v>
      </c>
      <c r="I34" s="54">
        <v>1.0</v>
      </c>
      <c r="J34" s="52"/>
      <c r="K34" s="54"/>
      <c r="L34" s="54"/>
      <c r="M34" s="54"/>
      <c r="N34" s="54">
        <v>1.0</v>
      </c>
      <c r="Z34" s="10"/>
      <c r="AA34" s="10"/>
    </row>
    <row r="35">
      <c r="A35" s="55"/>
      <c r="B35" s="51" t="s">
        <v>102</v>
      </c>
      <c r="C35" s="12"/>
      <c r="D35" s="51">
        <v>27.0</v>
      </c>
      <c r="E35" s="51" t="s">
        <v>4</v>
      </c>
      <c r="F35" s="10" t="str">
        <f t="shared" si="1"/>
        <v>#DIV/0!</v>
      </c>
      <c r="G35" s="10" t="str">
        <f t="shared" si="2"/>
        <v>#DIV/0!</v>
      </c>
      <c r="H35" s="52"/>
      <c r="I35" s="54"/>
      <c r="J35" s="54"/>
      <c r="K35" s="54"/>
      <c r="L35" s="53"/>
      <c r="M35" s="54"/>
      <c r="N35" s="54"/>
      <c r="Z35" s="10"/>
      <c r="AA35" s="10"/>
    </row>
    <row r="36">
      <c r="A36" s="59"/>
      <c r="B36" s="12"/>
      <c r="C36" s="12"/>
      <c r="D36" s="12"/>
      <c r="E36" s="12"/>
      <c r="F36" s="10" t="str">
        <f t="shared" si="1"/>
        <v>#DIV/0!</v>
      </c>
      <c r="G36" s="10" t="str">
        <f t="shared" si="2"/>
        <v>#DIV/0!</v>
      </c>
      <c r="Z36" s="10"/>
      <c r="AA36" s="10"/>
    </row>
    <row r="37">
      <c r="A37" s="55"/>
      <c r="B37" s="12"/>
      <c r="C37" s="12"/>
      <c r="D37" s="12"/>
      <c r="E37" s="51"/>
      <c r="F37" s="10" t="str">
        <f t="shared" si="1"/>
        <v>#DIV/0!</v>
      </c>
      <c r="G37" s="10" t="str">
        <f t="shared" si="2"/>
        <v>#DIV/0!</v>
      </c>
      <c r="Z37" s="10"/>
      <c r="AA37" s="10"/>
    </row>
    <row r="38">
      <c r="A38" s="60"/>
      <c r="C38" s="12"/>
      <c r="D38" s="51"/>
      <c r="E38" s="51"/>
      <c r="F38" s="10" t="str">
        <f t="shared" si="1"/>
        <v>#DIV/0!</v>
      </c>
      <c r="G38" s="10" t="str">
        <f t="shared" si="2"/>
        <v>#DIV/0!</v>
      </c>
      <c r="H38" s="52"/>
      <c r="I38" s="52"/>
      <c r="J38" s="52"/>
      <c r="K38" s="52"/>
      <c r="L38" s="54"/>
      <c r="M38" s="54"/>
      <c r="N38" s="52"/>
      <c r="R38" s="1"/>
      <c r="Z38" s="10"/>
      <c r="AA38" s="10"/>
    </row>
    <row r="39">
      <c r="A39" s="61"/>
      <c r="B39" s="51"/>
      <c r="C39" s="12"/>
      <c r="D39" s="51"/>
      <c r="E39" s="51"/>
      <c r="F39" s="10" t="str">
        <f t="shared" si="1"/>
        <v>#DIV/0!</v>
      </c>
      <c r="G39" s="10" t="str">
        <f t="shared" si="2"/>
        <v>#DIV/0!</v>
      </c>
      <c r="H39" s="52"/>
      <c r="I39" s="52"/>
      <c r="J39" s="52"/>
      <c r="K39" s="52"/>
      <c r="L39" s="54"/>
      <c r="M39" s="54"/>
      <c r="N39" s="52"/>
      <c r="Z39" s="10"/>
      <c r="AA39" s="10"/>
    </row>
    <row r="40">
      <c r="A40" s="50"/>
      <c r="B40" s="51"/>
      <c r="C40" s="12"/>
      <c r="D40" s="51"/>
      <c r="E40" s="51"/>
      <c r="F40" s="10" t="str">
        <f t="shared" si="1"/>
        <v>#DIV/0!</v>
      </c>
      <c r="G40" s="10" t="str">
        <f t="shared" si="2"/>
        <v>#DIV/0!</v>
      </c>
      <c r="Z40" s="10"/>
      <c r="AA40" s="10"/>
    </row>
    <row r="41">
      <c r="A41" s="50"/>
      <c r="B41" s="51"/>
      <c r="C41" s="12"/>
      <c r="D41" s="12"/>
      <c r="E41" s="51"/>
      <c r="F41" s="10" t="str">
        <f t="shared" si="1"/>
        <v>#DIV/0!</v>
      </c>
      <c r="G41" s="10" t="str">
        <f t="shared" si="2"/>
        <v>#DIV/0!</v>
      </c>
      <c r="Z41" s="10"/>
      <c r="AA41" s="10"/>
    </row>
    <row r="42">
      <c r="A42" s="50"/>
      <c r="B42" s="51"/>
      <c r="C42" s="12"/>
      <c r="D42" s="51"/>
      <c r="E42" s="51"/>
      <c r="F42" s="10" t="str">
        <f t="shared" si="1"/>
        <v>#DIV/0!</v>
      </c>
      <c r="G42" s="10" t="str">
        <f t="shared" si="2"/>
        <v>#DIV/0!</v>
      </c>
      <c r="Q42" s="62"/>
      <c r="Z42" s="10"/>
      <c r="AA42" s="10"/>
    </row>
    <row r="43">
      <c r="A43" s="50"/>
      <c r="B43" s="51"/>
      <c r="C43" s="12"/>
      <c r="D43" s="51"/>
      <c r="E43" s="51"/>
      <c r="F43" s="10" t="str">
        <f t="shared" si="1"/>
        <v>#DIV/0!</v>
      </c>
      <c r="G43" s="10" t="str">
        <f t="shared" si="2"/>
        <v>#DIV/0!</v>
      </c>
      <c r="H43" s="52"/>
      <c r="I43" s="52"/>
      <c r="J43" s="52"/>
      <c r="K43" s="52"/>
      <c r="L43" s="54"/>
      <c r="M43" s="54"/>
      <c r="N43" s="52"/>
      <c r="Z43" s="10"/>
      <c r="AA43" s="10"/>
    </row>
    <row r="44">
      <c r="A44" s="50"/>
      <c r="B44" s="51"/>
      <c r="C44" s="12"/>
      <c r="D44" s="51"/>
      <c r="E44" s="51"/>
      <c r="F44" s="10" t="str">
        <f t="shared" si="1"/>
        <v>#DIV/0!</v>
      </c>
      <c r="G44" s="10" t="str">
        <f t="shared" si="2"/>
        <v>#DIV/0!</v>
      </c>
      <c r="H44" s="52"/>
      <c r="I44" s="52"/>
      <c r="J44" s="52"/>
      <c r="K44" s="52"/>
      <c r="L44" s="54"/>
      <c r="M44" s="54"/>
      <c r="N44" s="52"/>
      <c r="Z44" s="10"/>
      <c r="AA44" s="10"/>
    </row>
    <row r="45">
      <c r="A45" s="50"/>
      <c r="B45" s="12"/>
      <c r="C45" s="12"/>
      <c r="D45" s="12"/>
      <c r="E45" s="51"/>
      <c r="F45" s="10" t="str">
        <f t="shared" si="1"/>
        <v>#DIV/0!</v>
      </c>
      <c r="G45" s="10" t="str">
        <f t="shared" si="2"/>
        <v>#DIV/0!</v>
      </c>
      <c r="Z45" s="10"/>
      <c r="AA45" s="10"/>
    </row>
    <row r="46">
      <c r="A46" s="61"/>
      <c r="B46" s="51"/>
      <c r="C46" s="12"/>
      <c r="D46" s="51"/>
      <c r="E46" s="51"/>
      <c r="F46" s="10" t="str">
        <f t="shared" si="1"/>
        <v>#DIV/0!</v>
      </c>
      <c r="G46" s="10" t="str">
        <f t="shared" si="2"/>
        <v>#DIV/0!</v>
      </c>
      <c r="H46" s="52"/>
      <c r="I46" s="52"/>
      <c r="J46" s="52"/>
      <c r="K46" s="52"/>
      <c r="L46" s="54"/>
      <c r="M46" s="54"/>
      <c r="N46" s="52"/>
      <c r="Z46" s="10"/>
      <c r="AA46" s="10"/>
    </row>
    <row r="47">
      <c r="A47" s="55"/>
      <c r="B47" s="12"/>
      <c r="C47" s="12"/>
      <c r="D47" s="12"/>
      <c r="E47" s="51"/>
      <c r="F47" s="10" t="str">
        <f t="shared" si="1"/>
        <v>#DIV/0!</v>
      </c>
      <c r="G47" s="10" t="str">
        <f t="shared" si="2"/>
        <v>#DIV/0!</v>
      </c>
      <c r="Z47" s="10"/>
      <c r="AA47" s="10"/>
    </row>
    <row r="48">
      <c r="A48" s="55"/>
      <c r="B48" s="12"/>
      <c r="C48" s="12"/>
      <c r="D48" s="12"/>
      <c r="E48" s="51"/>
      <c r="F48" s="10" t="str">
        <f t="shared" si="1"/>
        <v>#DIV/0!</v>
      </c>
      <c r="G48" s="10" t="str">
        <f t="shared" si="2"/>
        <v>#DIV/0!</v>
      </c>
      <c r="Z48" s="10"/>
      <c r="AA48" s="10"/>
    </row>
    <row r="49">
      <c r="A49" s="61"/>
      <c r="B49" s="51"/>
      <c r="C49" s="12"/>
      <c r="D49" s="12"/>
      <c r="E49" s="51"/>
      <c r="F49" s="10" t="str">
        <f t="shared" si="1"/>
        <v>#DIV/0!</v>
      </c>
      <c r="G49" s="10" t="str">
        <f t="shared" si="2"/>
        <v>#DIV/0!</v>
      </c>
      <c r="Z49" s="10"/>
      <c r="AA49" s="10"/>
    </row>
    <row r="50">
      <c r="A50" s="50"/>
      <c r="B50" s="51"/>
      <c r="C50" s="12"/>
      <c r="D50" s="51"/>
      <c r="E50" s="51"/>
      <c r="F50" s="10" t="str">
        <f t="shared" si="1"/>
        <v>#DIV/0!</v>
      </c>
      <c r="G50" s="10" t="str">
        <f t="shared" si="2"/>
        <v>#DIV/0!</v>
      </c>
      <c r="H50" s="52"/>
      <c r="I50" s="52"/>
      <c r="J50" s="52"/>
      <c r="K50" s="52"/>
      <c r="L50" s="54"/>
      <c r="M50" s="54"/>
      <c r="N50" s="52"/>
      <c r="Z50" s="10"/>
      <c r="AA50" s="10"/>
    </row>
    <row r="51">
      <c r="A51" s="55"/>
      <c r="B51" s="12"/>
      <c r="C51" s="12"/>
      <c r="D51" s="12"/>
      <c r="E51" s="51"/>
      <c r="F51" s="10" t="str">
        <f t="shared" si="1"/>
        <v>#DIV/0!</v>
      </c>
      <c r="G51" s="10" t="str">
        <f t="shared" si="2"/>
        <v>#DIV/0!</v>
      </c>
      <c r="Z51" s="10"/>
      <c r="AA51" s="10"/>
    </row>
    <row r="52">
      <c r="A52" s="55"/>
      <c r="B52" s="51"/>
      <c r="C52" s="12"/>
      <c r="D52" s="51"/>
      <c r="E52" s="51"/>
      <c r="F52" s="10" t="str">
        <f t="shared" si="1"/>
        <v>#DIV/0!</v>
      </c>
      <c r="G52" s="10" t="str">
        <f t="shared" si="2"/>
        <v>#DIV/0!</v>
      </c>
      <c r="H52" s="54"/>
      <c r="I52" s="54"/>
      <c r="J52" s="54"/>
      <c r="K52" s="54"/>
      <c r="L52" s="54"/>
      <c r="M52" s="54"/>
      <c r="N52" s="54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>
      <c r="A53" s="61"/>
      <c r="B53" s="51"/>
      <c r="C53" s="12"/>
      <c r="D53" s="51"/>
      <c r="E53" s="51"/>
      <c r="F53" s="10" t="str">
        <f t="shared" si="1"/>
        <v>#DIV/0!</v>
      </c>
      <c r="G53" s="10" t="str">
        <f t="shared" si="2"/>
        <v>#DIV/0!</v>
      </c>
      <c r="H53" s="52"/>
      <c r="I53" s="52"/>
      <c r="J53" s="52"/>
      <c r="K53" s="52"/>
      <c r="L53" s="54"/>
      <c r="M53" s="52"/>
      <c r="N53" s="52"/>
      <c r="Z53" s="10"/>
      <c r="AA53" s="10"/>
    </row>
    <row r="54">
      <c r="A54" s="55"/>
      <c r="B54" s="12"/>
      <c r="C54" s="12"/>
      <c r="D54" s="12"/>
      <c r="E54" s="12"/>
      <c r="F54" s="10" t="str">
        <f t="shared" si="1"/>
        <v>#DIV/0!</v>
      </c>
      <c r="G54" s="10" t="str">
        <f t="shared" si="2"/>
        <v>#DIV/0!</v>
      </c>
      <c r="Z54" s="10"/>
      <c r="AA54" s="10"/>
    </row>
    <row r="55">
      <c r="A55" s="61"/>
      <c r="B55" s="51"/>
      <c r="C55" s="12"/>
      <c r="D55" s="12"/>
      <c r="E55" s="51"/>
      <c r="F55" s="10" t="str">
        <f t="shared" si="1"/>
        <v>#DIV/0!</v>
      </c>
      <c r="G55" s="10" t="str">
        <f t="shared" si="2"/>
        <v>#DIV/0!</v>
      </c>
      <c r="Z55" s="10"/>
      <c r="AA55" s="10"/>
    </row>
    <row r="56">
      <c r="A56" s="61"/>
      <c r="B56" s="51"/>
      <c r="C56" s="12"/>
      <c r="D56" s="51"/>
      <c r="E56" s="51"/>
      <c r="F56" s="10" t="str">
        <f t="shared" si="1"/>
        <v>#DIV/0!</v>
      </c>
      <c r="G56" s="10" t="str">
        <f t="shared" si="2"/>
        <v>#DIV/0!</v>
      </c>
      <c r="H56" s="52"/>
      <c r="I56" s="52"/>
      <c r="J56" s="52"/>
      <c r="K56" s="52"/>
      <c r="L56" s="54"/>
      <c r="M56" s="54"/>
      <c r="N56" s="52"/>
      <c r="Z56" s="10"/>
      <c r="AA56" s="10"/>
    </row>
    <row r="57">
      <c r="A57" s="55"/>
      <c r="B57" s="12"/>
      <c r="C57" s="12"/>
      <c r="D57" s="12"/>
      <c r="E57" s="12"/>
      <c r="F57" s="10" t="str">
        <f t="shared" si="1"/>
        <v>#DIV/0!</v>
      </c>
      <c r="G57" s="10" t="str">
        <f t="shared" si="2"/>
        <v>#DIV/0!</v>
      </c>
      <c r="Z57" s="10"/>
      <c r="AA57" s="10"/>
    </row>
    <row r="58">
      <c r="A58" s="59"/>
      <c r="B58" s="12"/>
      <c r="C58" s="12"/>
      <c r="D58" s="12"/>
      <c r="E58" s="12"/>
      <c r="F58" s="10" t="str">
        <f t="shared" si="1"/>
        <v>#DIV/0!</v>
      </c>
      <c r="G58" s="10" t="str">
        <f t="shared" si="2"/>
        <v>#DIV/0!</v>
      </c>
      <c r="Z58" s="10"/>
      <c r="AA58" s="10"/>
    </row>
    <row r="59">
      <c r="A59" s="59"/>
      <c r="B59" s="12"/>
      <c r="C59" s="12"/>
      <c r="D59" s="12"/>
      <c r="E59" s="12"/>
      <c r="F59" s="10" t="str">
        <f t="shared" si="1"/>
        <v>#DIV/0!</v>
      </c>
      <c r="G59" s="10" t="str">
        <f t="shared" si="2"/>
        <v>#DIV/0!</v>
      </c>
      <c r="Z59" s="10"/>
      <c r="AA59" s="10"/>
    </row>
    <row r="60">
      <c r="A60" s="61"/>
      <c r="B60" s="51"/>
      <c r="C60" s="12"/>
      <c r="D60" s="63"/>
      <c r="E60" s="51"/>
      <c r="F60" s="10" t="str">
        <f t="shared" si="1"/>
        <v>#DIV/0!</v>
      </c>
      <c r="G60" s="10" t="str">
        <f t="shared" si="2"/>
        <v>#DIV/0!</v>
      </c>
      <c r="H60" s="52"/>
      <c r="I60" s="52"/>
      <c r="J60" s="52"/>
      <c r="K60" s="52"/>
      <c r="L60" s="54"/>
      <c r="M60" s="54"/>
      <c r="N60" s="52"/>
      <c r="Z60" s="10"/>
      <c r="AA60" s="10"/>
    </row>
    <row r="61">
      <c r="A61" s="59"/>
      <c r="B61" s="12"/>
      <c r="C61" s="12"/>
      <c r="D61" s="12"/>
      <c r="E61" s="12"/>
      <c r="F61" s="10" t="str">
        <f t="shared" si="1"/>
        <v>#DIV/0!</v>
      </c>
      <c r="G61" s="10" t="str">
        <f t="shared" si="2"/>
        <v>#DIV/0!</v>
      </c>
      <c r="Z61" s="10"/>
      <c r="AA61" s="10"/>
    </row>
    <row r="62">
      <c r="A62" s="59"/>
      <c r="B62" s="12"/>
      <c r="C62" s="12"/>
      <c r="D62" s="12"/>
      <c r="E62" s="12"/>
      <c r="F62" s="10" t="str">
        <f t="shared" si="1"/>
        <v>#DIV/0!</v>
      </c>
      <c r="G62" s="10" t="str">
        <f t="shared" si="2"/>
        <v>#DIV/0!</v>
      </c>
      <c r="Z62" s="10"/>
      <c r="AA62" s="10"/>
    </row>
    <row r="63">
      <c r="A63" s="50"/>
      <c r="B63" s="51"/>
      <c r="C63" s="12"/>
      <c r="D63" s="51"/>
      <c r="E63" s="51"/>
      <c r="F63" s="10" t="str">
        <f t="shared" si="1"/>
        <v>#DIV/0!</v>
      </c>
      <c r="G63" s="10" t="str">
        <f t="shared" si="2"/>
        <v>#DIV/0!</v>
      </c>
      <c r="H63" s="52"/>
      <c r="I63" s="52"/>
      <c r="J63" s="52"/>
      <c r="K63" s="52"/>
      <c r="L63" s="54"/>
      <c r="M63" s="54"/>
      <c r="N63" s="52"/>
      <c r="Z63" s="10"/>
      <c r="AA63" s="10"/>
    </row>
    <row r="64">
      <c r="A64" s="61"/>
      <c r="B64" s="51"/>
      <c r="C64" s="12"/>
      <c r="D64" s="12"/>
      <c r="E64" s="51"/>
      <c r="F64" s="10" t="str">
        <f t="shared" si="1"/>
        <v>#DIV/0!</v>
      </c>
      <c r="G64" s="10" t="str">
        <f t="shared" si="2"/>
        <v>#DIV/0!</v>
      </c>
      <c r="Z64" s="10"/>
      <c r="AA64" s="10"/>
    </row>
    <row r="65">
      <c r="A65" s="55"/>
      <c r="B65" s="12"/>
      <c r="C65" s="12"/>
      <c r="D65" s="12"/>
      <c r="E65" s="51"/>
      <c r="F65" s="10" t="str">
        <f t="shared" si="1"/>
        <v>#DIV/0!</v>
      </c>
      <c r="G65" s="10" t="str">
        <f t="shared" si="2"/>
        <v>#DIV/0!</v>
      </c>
      <c r="Z65" s="10"/>
      <c r="AA65" s="10"/>
    </row>
    <row r="66">
      <c r="A66" s="55"/>
      <c r="B66" s="12"/>
      <c r="C66" s="12"/>
      <c r="D66" s="12"/>
      <c r="E66" s="12"/>
      <c r="F66" s="10" t="str">
        <f t="shared" si="1"/>
        <v>#DIV/0!</v>
      </c>
      <c r="G66" s="10" t="str">
        <f t="shared" si="2"/>
        <v>#DIV/0!</v>
      </c>
      <c r="Z66" s="10"/>
      <c r="AA66" s="10"/>
    </row>
    <row r="67">
      <c r="A67" s="61"/>
      <c r="B67" s="51"/>
      <c r="C67" s="12"/>
      <c r="D67" s="63"/>
      <c r="E67" s="51"/>
      <c r="F67" s="10" t="str">
        <f t="shared" si="1"/>
        <v>#DIV/0!</v>
      </c>
      <c r="G67" s="10" t="str">
        <f t="shared" si="2"/>
        <v>#DIV/0!</v>
      </c>
      <c r="H67" s="52"/>
      <c r="I67" s="52"/>
      <c r="J67" s="52"/>
      <c r="K67" s="52"/>
      <c r="L67" s="53"/>
      <c r="M67" s="53"/>
      <c r="N67" s="52"/>
      <c r="Z67" s="10"/>
      <c r="AA67" s="10"/>
    </row>
    <row r="68">
      <c r="A68" s="61"/>
      <c r="B68" s="51"/>
      <c r="C68" s="12"/>
      <c r="D68" s="63"/>
      <c r="E68" s="51"/>
      <c r="F68" s="10" t="str">
        <f t="shared" si="1"/>
        <v>#DIV/0!</v>
      </c>
      <c r="G68" s="10" t="str">
        <f t="shared" si="2"/>
        <v>#DIV/0!</v>
      </c>
      <c r="H68" s="52"/>
      <c r="I68" s="52"/>
      <c r="J68" s="52"/>
      <c r="K68" s="52"/>
      <c r="L68" s="53"/>
      <c r="M68" s="53"/>
      <c r="N68" s="52"/>
      <c r="Z68" s="10"/>
      <c r="AA68" s="10"/>
    </row>
    <row r="69">
      <c r="A69" s="59"/>
      <c r="B69" s="12"/>
      <c r="C69" s="12"/>
      <c r="D69" s="12"/>
      <c r="E69" s="51"/>
      <c r="F69" s="10" t="str">
        <f t="shared" si="1"/>
        <v>#DIV/0!</v>
      </c>
      <c r="G69" s="10" t="str">
        <f t="shared" si="2"/>
        <v>#DIV/0!</v>
      </c>
      <c r="Z69" s="10"/>
      <c r="AA69" s="10"/>
    </row>
    <row r="70">
      <c r="A70" s="55"/>
      <c r="B70" s="12"/>
      <c r="C70" s="12"/>
      <c r="D70" s="12"/>
      <c r="E70" s="51"/>
      <c r="F70" s="10" t="str">
        <f t="shared" si="1"/>
        <v>#DIV/0!</v>
      </c>
      <c r="G70" s="10" t="str">
        <f t="shared" si="2"/>
        <v>#DIV/0!</v>
      </c>
      <c r="Z70" s="10"/>
      <c r="AA70" s="10"/>
    </row>
    <row r="71">
      <c r="A71" s="55"/>
      <c r="B71" s="12"/>
      <c r="C71" s="12"/>
      <c r="D71" s="12"/>
      <c r="E71" s="12"/>
      <c r="F71" s="10" t="str">
        <f t="shared" si="1"/>
        <v>#DIV/0!</v>
      </c>
      <c r="G71" s="10" t="str">
        <f t="shared" si="2"/>
        <v>#DIV/0!</v>
      </c>
      <c r="Z71" s="10"/>
      <c r="AA71" s="10"/>
    </row>
    <row r="72">
      <c r="A72" s="59"/>
      <c r="B72" s="12"/>
      <c r="C72" s="12"/>
      <c r="D72" s="12"/>
      <c r="E72" s="12"/>
      <c r="F72" s="10" t="str">
        <f t="shared" si="1"/>
        <v>#DIV/0!</v>
      </c>
      <c r="G72" s="10" t="str">
        <f t="shared" si="2"/>
        <v>#DIV/0!</v>
      </c>
      <c r="T72" s="18"/>
      <c r="U72" s="18"/>
      <c r="V72" s="18"/>
      <c r="W72" s="18"/>
      <c r="Z72" s="10"/>
      <c r="AA72" s="10"/>
    </row>
    <row r="73">
      <c r="A73" s="55"/>
      <c r="B73" s="12"/>
      <c r="C73" s="12"/>
      <c r="D73" s="12"/>
      <c r="E73" s="12"/>
      <c r="F73" s="10" t="str">
        <f t="shared" si="1"/>
        <v>#DIV/0!</v>
      </c>
      <c r="G73" s="10" t="str">
        <f t="shared" si="2"/>
        <v>#DIV/0!</v>
      </c>
      <c r="Z73" s="10"/>
      <c r="AA73" s="10"/>
    </row>
    <row r="74">
      <c r="A74" s="55"/>
      <c r="B74" s="12"/>
      <c r="C74" s="12"/>
      <c r="D74" s="12"/>
      <c r="E74" s="12"/>
      <c r="F74" s="10" t="str">
        <f t="shared" si="1"/>
        <v>#DIV/0!</v>
      </c>
      <c r="G74" s="10" t="str">
        <f t="shared" si="2"/>
        <v>#DIV/0!</v>
      </c>
      <c r="Z74" s="10"/>
      <c r="AA74" s="10"/>
    </row>
    <row r="75">
      <c r="A75" s="59"/>
      <c r="B75" s="12"/>
      <c r="C75" s="12"/>
      <c r="D75" s="12"/>
      <c r="E75" s="12"/>
      <c r="F75" s="10" t="str">
        <f t="shared" si="1"/>
        <v>#DIV/0!</v>
      </c>
      <c r="G75" s="10" t="str">
        <f t="shared" si="2"/>
        <v>#DIV/0!</v>
      </c>
      <c r="Z75" s="64"/>
      <c r="AA75" s="64"/>
    </row>
    <row r="76">
      <c r="A76" s="50"/>
      <c r="B76" s="51"/>
      <c r="C76" s="12"/>
      <c r="D76" s="51"/>
      <c r="E76" s="51"/>
      <c r="F76" s="10" t="str">
        <f t="shared" si="1"/>
        <v>#DIV/0!</v>
      </c>
      <c r="G76" s="10" t="str">
        <f t="shared" si="2"/>
        <v>#DIV/0!</v>
      </c>
      <c r="H76" s="52"/>
      <c r="I76" s="52"/>
      <c r="J76" s="52"/>
      <c r="K76" s="52"/>
      <c r="L76" s="54"/>
      <c r="M76" s="54"/>
      <c r="N76" s="52"/>
      <c r="Z76" s="10"/>
      <c r="AA76" s="10"/>
    </row>
    <row r="77">
      <c r="A77" s="50"/>
      <c r="B77" s="51"/>
      <c r="C77" s="12"/>
      <c r="D77" s="51"/>
      <c r="E77" s="51"/>
      <c r="F77" s="10" t="str">
        <f t="shared" si="1"/>
        <v>#DIV/0!</v>
      </c>
      <c r="G77" s="10" t="str">
        <f t="shared" si="2"/>
        <v>#DIV/0!</v>
      </c>
      <c r="H77" s="54"/>
      <c r="I77" s="54"/>
      <c r="J77" s="54"/>
      <c r="K77" s="54"/>
      <c r="L77" s="54"/>
      <c r="M77" s="54"/>
      <c r="N77" s="54"/>
      <c r="O77" s="54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>
      <c r="A78" s="50"/>
      <c r="B78" s="51"/>
      <c r="C78" s="12"/>
      <c r="D78" s="51"/>
      <c r="E78" s="51"/>
      <c r="F78" s="65" t="str">
        <f t="shared" si="1"/>
        <v>#DIV/0!</v>
      </c>
      <c r="G78" s="65" t="str">
        <f t="shared" si="2"/>
        <v>#DIV/0!</v>
      </c>
      <c r="H78" s="54"/>
      <c r="I78" s="54"/>
      <c r="J78" s="54"/>
      <c r="K78" s="54"/>
      <c r="L78" s="54"/>
      <c r="M78" s="54"/>
      <c r="N78" s="54"/>
      <c r="O78" s="54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>
      <c r="A79" s="50"/>
      <c r="B79" s="51"/>
      <c r="C79" s="12"/>
      <c r="D79" s="63"/>
      <c r="E79" s="51"/>
      <c r="F79" s="10" t="str">
        <f t="shared" si="1"/>
        <v>#DIV/0!</v>
      </c>
      <c r="G79" s="10" t="str">
        <f t="shared" si="2"/>
        <v>#DIV/0!</v>
      </c>
      <c r="H79" s="52"/>
      <c r="I79" s="52"/>
      <c r="J79" s="52"/>
      <c r="K79" s="52"/>
      <c r="L79" s="53"/>
      <c r="M79" s="54"/>
      <c r="N79" s="52"/>
      <c r="Z79" s="10"/>
      <c r="AA79" s="10"/>
    </row>
    <row r="80">
      <c r="A80" s="59"/>
      <c r="B80" s="12"/>
      <c r="C80" s="12"/>
      <c r="D80" s="12"/>
      <c r="E80" s="51"/>
      <c r="F80" s="10" t="str">
        <f t="shared" si="1"/>
        <v>#DIV/0!</v>
      </c>
      <c r="G80" s="10" t="str">
        <f t="shared" si="2"/>
        <v>#DIV/0!</v>
      </c>
      <c r="Z80" s="10"/>
      <c r="AA80" s="10"/>
    </row>
    <row r="81">
      <c r="A81" s="59"/>
      <c r="B81" s="12"/>
      <c r="C81" s="12"/>
      <c r="D81" s="12"/>
      <c r="E81" s="51"/>
      <c r="F81" s="10" t="str">
        <f t="shared" si="1"/>
        <v>#DIV/0!</v>
      </c>
      <c r="G81" s="10" t="str">
        <f t="shared" si="2"/>
        <v>#DIV/0!</v>
      </c>
      <c r="Z81" s="10"/>
      <c r="AA81" s="10"/>
    </row>
    <row r="82">
      <c r="A82" s="50"/>
      <c r="B82" s="51"/>
      <c r="C82" s="12"/>
      <c r="D82" s="51"/>
      <c r="E82" s="51"/>
      <c r="F82" s="10" t="str">
        <f t="shared" si="1"/>
        <v>#DIV/0!</v>
      </c>
      <c r="G82" s="10" t="str">
        <f t="shared" si="2"/>
        <v>#DIV/0!</v>
      </c>
      <c r="H82" s="52"/>
      <c r="I82" s="52"/>
      <c r="J82" s="52"/>
      <c r="K82" s="52"/>
      <c r="L82" s="54"/>
      <c r="M82" s="54"/>
      <c r="N82" s="52"/>
      <c r="Z82" s="10"/>
      <c r="AA82" s="10"/>
    </row>
    <row r="83">
      <c r="A83" s="61"/>
      <c r="B83" s="51"/>
      <c r="C83" s="12"/>
      <c r="D83" s="12"/>
      <c r="E83" s="51"/>
      <c r="F83" s="10" t="str">
        <f t="shared" si="1"/>
        <v>#DIV/0!</v>
      </c>
      <c r="G83" s="10" t="str">
        <f t="shared" si="2"/>
        <v>#DIV/0!</v>
      </c>
      <c r="Z83" s="10"/>
      <c r="AA83" s="10"/>
    </row>
    <row r="84">
      <c r="A84" s="61"/>
      <c r="B84" s="12"/>
      <c r="C84" s="12"/>
      <c r="D84" s="12"/>
      <c r="E84" s="12"/>
      <c r="F84" s="10" t="str">
        <f t="shared" si="1"/>
        <v>#DIV/0!</v>
      </c>
      <c r="G84" s="10" t="str">
        <f t="shared" si="2"/>
        <v>#DIV/0!</v>
      </c>
      <c r="Z84" s="10"/>
      <c r="AA84" s="10"/>
    </row>
    <row r="85">
      <c r="A85" s="55"/>
      <c r="B85" s="12"/>
      <c r="C85" s="12"/>
      <c r="D85" s="12"/>
      <c r="E85" s="51"/>
      <c r="F85" s="10" t="str">
        <f t="shared" si="1"/>
        <v>#DIV/0!</v>
      </c>
      <c r="G85" s="10" t="str">
        <f t="shared" si="2"/>
        <v>#DIV/0!</v>
      </c>
      <c r="Z85" s="10"/>
      <c r="AA85" s="10"/>
    </row>
    <row r="86">
      <c r="A86" s="59"/>
      <c r="B86" s="12"/>
      <c r="C86" s="12"/>
      <c r="D86" s="12"/>
      <c r="E86" s="12"/>
      <c r="F86" s="10" t="str">
        <f t="shared" si="1"/>
        <v>#DIV/0!</v>
      </c>
      <c r="G86" s="10" t="str">
        <f t="shared" si="2"/>
        <v>#DIV/0!</v>
      </c>
      <c r="Z86" s="10"/>
      <c r="AA86" s="10"/>
    </row>
    <row r="87">
      <c r="A87" s="59"/>
      <c r="B87" s="12"/>
      <c r="C87" s="51"/>
      <c r="D87" s="12"/>
      <c r="E87" s="12"/>
      <c r="F87" s="10" t="str">
        <f t="shared" si="1"/>
        <v>#DIV/0!</v>
      </c>
      <c r="G87" s="10" t="str">
        <f t="shared" si="2"/>
        <v>#DIV/0!</v>
      </c>
      <c r="Z87" s="64"/>
      <c r="AA87" s="64"/>
    </row>
    <row r="88">
      <c r="A88" s="59"/>
      <c r="B88" s="12"/>
      <c r="C88" s="51"/>
      <c r="D88" s="12"/>
      <c r="E88" s="12"/>
      <c r="F88" s="10" t="str">
        <f t="shared" si="1"/>
        <v>#DIV/0!</v>
      </c>
      <c r="G88" s="10" t="str">
        <f t="shared" si="2"/>
        <v>#DIV/0!</v>
      </c>
      <c r="Z88" s="64"/>
      <c r="AA88" s="64"/>
    </row>
    <row r="89">
      <c r="A89" s="59"/>
      <c r="B89" s="12"/>
      <c r="C89" s="51"/>
      <c r="D89" s="12"/>
      <c r="E89" s="12"/>
      <c r="F89" s="10" t="str">
        <f t="shared" si="1"/>
        <v>#DIV/0!</v>
      </c>
      <c r="G89" s="10" t="str">
        <f t="shared" si="2"/>
        <v>#DIV/0!</v>
      </c>
      <c r="Z89" s="64"/>
      <c r="AA89" s="64"/>
    </row>
    <row r="90">
      <c r="A90" s="55"/>
      <c r="B90" s="12"/>
      <c r="C90" s="12"/>
      <c r="D90" s="12"/>
      <c r="E90" s="12"/>
      <c r="F90" s="10" t="str">
        <f t="shared" si="1"/>
        <v>#DIV/0!</v>
      </c>
      <c r="G90" s="10" t="str">
        <f t="shared" si="2"/>
        <v>#DIV/0!</v>
      </c>
      <c r="Z90" s="10"/>
      <c r="AA90" s="10"/>
    </row>
    <row r="91">
      <c r="A91" s="59"/>
      <c r="B91" s="12"/>
      <c r="C91" s="12"/>
      <c r="D91" s="12"/>
      <c r="E91" s="12"/>
      <c r="F91" s="10" t="str">
        <f t="shared" si="1"/>
        <v>#DIV/0!</v>
      </c>
      <c r="G91" s="10" t="str">
        <f t="shared" si="2"/>
        <v>#DIV/0!</v>
      </c>
      <c r="Z91" s="10"/>
      <c r="AA91" s="10"/>
    </row>
    <row r="92">
      <c r="A92" s="59"/>
      <c r="B92" s="12"/>
      <c r="C92" s="12"/>
      <c r="D92" s="12"/>
      <c r="E92" s="12"/>
      <c r="F92" s="10" t="str">
        <f t="shared" si="1"/>
        <v>#DIV/0!</v>
      </c>
      <c r="G92" s="10" t="str">
        <f t="shared" si="2"/>
        <v>#DIV/0!</v>
      </c>
      <c r="Z92" s="10"/>
      <c r="AA92" s="10"/>
    </row>
    <row r="93">
      <c r="A93" s="59"/>
      <c r="B93" s="12"/>
      <c r="C93" s="12"/>
      <c r="D93" s="12"/>
      <c r="E93" s="12"/>
      <c r="F93" s="10" t="str">
        <f t="shared" si="1"/>
        <v>#DIV/0!</v>
      </c>
      <c r="G93" s="10" t="str">
        <f t="shared" si="2"/>
        <v>#DIV/0!</v>
      </c>
      <c r="Z93" s="10"/>
      <c r="AA93" s="10"/>
    </row>
    <row r="94">
      <c r="A94" s="55"/>
      <c r="B94" s="12"/>
      <c r="C94" s="12"/>
      <c r="D94" s="12"/>
      <c r="E94" s="12"/>
      <c r="F94" s="10" t="str">
        <f t="shared" si="1"/>
        <v>#DIV/0!</v>
      </c>
      <c r="G94" s="10" t="str">
        <f t="shared" si="2"/>
        <v>#DIV/0!</v>
      </c>
      <c r="Z94" s="10"/>
      <c r="AA94" s="10"/>
    </row>
    <row r="95">
      <c r="A95" s="55"/>
      <c r="B95" s="51"/>
      <c r="C95" s="51"/>
      <c r="D95" s="51"/>
      <c r="E95" s="12"/>
      <c r="F95" s="10" t="str">
        <f t="shared" si="1"/>
        <v>#DIV/0!</v>
      </c>
      <c r="G95" s="10" t="str">
        <f t="shared" si="2"/>
        <v>#DIV/0!</v>
      </c>
      <c r="H95" s="52"/>
      <c r="I95" s="52"/>
      <c r="J95" s="52"/>
      <c r="K95" s="52"/>
      <c r="L95" s="53"/>
      <c r="M95" s="54"/>
      <c r="N95" s="52"/>
      <c r="O95" s="54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>
      <c r="A96" s="55"/>
      <c r="B96" s="12"/>
      <c r="C96" s="12"/>
      <c r="D96" s="12"/>
      <c r="E96" s="12"/>
      <c r="F96" s="10" t="str">
        <f t="shared" si="1"/>
        <v>#DIV/0!</v>
      </c>
      <c r="G96" s="10" t="str">
        <f t="shared" si="2"/>
        <v>#DIV/0!</v>
      </c>
      <c r="Z96" s="10"/>
      <c r="AA96" s="10"/>
    </row>
    <row r="97">
      <c r="A97" s="59"/>
      <c r="B97" s="12"/>
      <c r="C97" s="12"/>
      <c r="D97" s="12"/>
      <c r="E97" s="12"/>
      <c r="F97" s="10" t="str">
        <f t="shared" si="1"/>
        <v>#DIV/0!</v>
      </c>
      <c r="G97" s="10" t="str">
        <f t="shared" si="2"/>
        <v>#DIV/0!</v>
      </c>
      <c r="Z97" s="10"/>
      <c r="AA97" s="10"/>
    </row>
    <row r="98">
      <c r="A98" s="61"/>
      <c r="B98" s="12"/>
      <c r="C98" s="12"/>
      <c r="D98" s="12"/>
      <c r="E98" s="12"/>
      <c r="F98" s="10" t="str">
        <f t="shared" si="1"/>
        <v>#DIV/0!</v>
      </c>
      <c r="G98" s="10" t="str">
        <f t="shared" si="2"/>
        <v>#DIV/0!</v>
      </c>
      <c r="Z98" s="10"/>
      <c r="AA98" s="10"/>
    </row>
    <row r="99">
      <c r="A99" s="61"/>
      <c r="B99" s="12"/>
      <c r="C99" s="12"/>
      <c r="D99" s="12"/>
      <c r="E99" s="12"/>
      <c r="F99" s="10" t="str">
        <f t="shared" si="1"/>
        <v>#DIV/0!</v>
      </c>
      <c r="G99" s="10" t="str">
        <f t="shared" si="2"/>
        <v>#DIV/0!</v>
      </c>
      <c r="Z99" s="10"/>
      <c r="AA99" s="10"/>
    </row>
    <row r="100">
      <c r="A100" s="59"/>
      <c r="B100" s="12"/>
      <c r="C100" s="12"/>
      <c r="D100" s="12"/>
      <c r="E100" s="12"/>
      <c r="F100" s="10" t="str">
        <f t="shared" si="1"/>
        <v>#DIV/0!</v>
      </c>
      <c r="G100" s="10" t="str">
        <f t="shared" si="2"/>
        <v>#DIV/0!</v>
      </c>
      <c r="Z100" s="10"/>
      <c r="AA100" s="10"/>
    </row>
    <row r="101">
      <c r="A101" s="59"/>
      <c r="B101" s="12"/>
      <c r="C101" s="12"/>
      <c r="D101" s="12"/>
      <c r="E101" s="12"/>
      <c r="F101" s="10" t="str">
        <f t="shared" si="1"/>
        <v>#DIV/0!</v>
      </c>
      <c r="G101" s="10" t="str">
        <f t="shared" si="2"/>
        <v>#DIV/0!</v>
      </c>
      <c r="Z101" s="10"/>
      <c r="AA101" s="10"/>
    </row>
    <row r="102">
      <c r="A102" s="59"/>
      <c r="B102" s="12"/>
      <c r="C102" s="12"/>
      <c r="D102" s="12"/>
      <c r="E102" s="12"/>
      <c r="F102" s="10" t="str">
        <f t="shared" si="1"/>
        <v>#DIV/0!</v>
      </c>
      <c r="G102" s="10" t="str">
        <f t="shared" si="2"/>
        <v>#DIV/0!</v>
      </c>
      <c r="Z102" s="10"/>
      <c r="AA102" s="10"/>
    </row>
    <row r="103">
      <c r="A103" s="59"/>
      <c r="B103" s="12"/>
      <c r="C103" s="12"/>
      <c r="D103" s="12"/>
      <c r="E103" s="12"/>
      <c r="F103" s="10" t="str">
        <f t="shared" si="1"/>
        <v>#DIV/0!</v>
      </c>
      <c r="G103" s="10" t="str">
        <f t="shared" si="2"/>
        <v>#DIV/0!</v>
      </c>
      <c r="Z103" s="10"/>
      <c r="AA103" s="10"/>
    </row>
    <row r="104">
      <c r="A104" s="12"/>
      <c r="B104" s="12"/>
      <c r="C104" s="12"/>
      <c r="D104" s="12"/>
      <c r="E104" s="12"/>
      <c r="F104" s="10" t="str">
        <f t="shared" si="1"/>
        <v>#DIV/0!</v>
      </c>
      <c r="G104" s="10" t="str">
        <f t="shared" si="2"/>
        <v>#DIV/0!</v>
      </c>
      <c r="Z104" s="10"/>
      <c r="AA104" s="10"/>
    </row>
    <row r="105">
      <c r="A105" s="61"/>
      <c r="B105" s="51"/>
      <c r="C105" s="51"/>
      <c r="D105" s="51"/>
      <c r="E105" s="51"/>
      <c r="F105" s="10" t="str">
        <f t="shared" si="1"/>
        <v>#DIV/0!</v>
      </c>
      <c r="G105" s="10" t="str">
        <f t="shared" si="2"/>
        <v>#DIV/0!</v>
      </c>
      <c r="H105" s="52"/>
      <c r="I105" s="52"/>
      <c r="J105" s="52"/>
      <c r="K105" s="52"/>
      <c r="L105" s="53"/>
      <c r="M105" s="53"/>
      <c r="N105" s="52"/>
      <c r="Z105" s="10"/>
      <c r="AA105" s="10"/>
    </row>
    <row r="106">
      <c r="A106" s="59"/>
      <c r="B106" s="12"/>
      <c r="C106" s="12"/>
      <c r="D106" s="12"/>
      <c r="E106" s="12"/>
      <c r="F106" s="10" t="str">
        <f t="shared" si="1"/>
        <v>#DIV/0!</v>
      </c>
      <c r="G106" s="10" t="str">
        <f t="shared" si="2"/>
        <v>#DIV/0!</v>
      </c>
      <c r="Z106" s="10"/>
      <c r="AA106" s="10"/>
    </row>
    <row r="107">
      <c r="A107" s="61"/>
      <c r="B107" s="51"/>
      <c r="C107" s="51"/>
      <c r="D107" s="63"/>
      <c r="E107" s="51"/>
      <c r="F107" s="10" t="str">
        <f t="shared" si="1"/>
        <v>#DIV/0!</v>
      </c>
      <c r="G107" s="10" t="str">
        <f t="shared" si="2"/>
        <v>#DIV/0!</v>
      </c>
      <c r="H107" s="54"/>
      <c r="I107" s="54"/>
      <c r="J107" s="54"/>
      <c r="K107" s="54"/>
      <c r="L107" s="52"/>
      <c r="M107" s="54"/>
      <c r="N107" s="54"/>
      <c r="Z107" s="10"/>
      <c r="AA107" s="10"/>
    </row>
    <row r="108">
      <c r="A108" s="61"/>
      <c r="B108" s="51"/>
      <c r="C108" s="51"/>
      <c r="D108" s="51"/>
      <c r="E108" s="51"/>
      <c r="F108" s="10" t="str">
        <f t="shared" si="1"/>
        <v>#DIV/0!</v>
      </c>
      <c r="G108" s="10" t="str">
        <f t="shared" si="2"/>
        <v>#DIV/0!</v>
      </c>
      <c r="H108" s="52"/>
      <c r="I108" s="52"/>
      <c r="J108" s="52"/>
      <c r="K108" s="52"/>
      <c r="L108" s="53"/>
      <c r="M108" s="54"/>
      <c r="N108" s="52"/>
      <c r="Z108" s="10"/>
      <c r="AA108" s="10"/>
    </row>
    <row r="109">
      <c r="A109" s="59"/>
      <c r="B109" s="12"/>
      <c r="C109" s="12"/>
      <c r="D109" s="12"/>
      <c r="E109" s="12"/>
      <c r="F109" s="10" t="str">
        <f t="shared" si="1"/>
        <v>#DIV/0!</v>
      </c>
      <c r="G109" s="10" t="str">
        <f t="shared" si="2"/>
        <v>#DIV/0!</v>
      </c>
      <c r="Z109" s="10"/>
      <c r="AA109" s="10"/>
    </row>
    <row r="110">
      <c r="A110" s="61"/>
      <c r="B110" s="51"/>
      <c r="C110" s="51"/>
      <c r="D110" s="51"/>
      <c r="E110" s="51"/>
      <c r="F110" s="10" t="str">
        <f t="shared" si="1"/>
        <v>#DIV/0!</v>
      </c>
      <c r="G110" s="10" t="str">
        <f t="shared" si="2"/>
        <v>#DIV/0!</v>
      </c>
      <c r="H110" s="52"/>
      <c r="I110" s="52"/>
      <c r="J110" s="52"/>
      <c r="K110" s="52"/>
      <c r="L110" s="53"/>
      <c r="M110" s="54"/>
      <c r="N110" s="52"/>
      <c r="Z110" s="10"/>
      <c r="AA110" s="10"/>
    </row>
    <row r="111">
      <c r="A111" s="61"/>
      <c r="B111" s="51"/>
      <c r="C111" s="51"/>
      <c r="D111" s="51"/>
      <c r="E111" s="51"/>
      <c r="F111" s="10" t="str">
        <f t="shared" si="1"/>
        <v>#DIV/0!</v>
      </c>
      <c r="G111" s="10" t="str">
        <f t="shared" si="2"/>
        <v>#DIV/0!</v>
      </c>
      <c r="H111" s="52"/>
      <c r="I111" s="52"/>
      <c r="J111" s="52"/>
      <c r="K111" s="52"/>
      <c r="L111" s="54"/>
      <c r="M111" s="54"/>
      <c r="N111" s="52"/>
      <c r="Z111" s="10"/>
      <c r="AA111" s="10"/>
    </row>
    <row r="112">
      <c r="A112" s="61"/>
      <c r="B112" s="51"/>
      <c r="C112" s="51"/>
      <c r="D112" s="51"/>
      <c r="E112" s="51"/>
      <c r="F112" s="10" t="str">
        <f t="shared" si="1"/>
        <v>#DIV/0!</v>
      </c>
      <c r="G112" s="10" t="str">
        <f t="shared" si="2"/>
        <v>#DIV/0!</v>
      </c>
      <c r="H112" s="66"/>
      <c r="I112" s="66"/>
      <c r="J112" s="52"/>
      <c r="K112" s="66"/>
      <c r="L112" s="54"/>
      <c r="M112" s="53"/>
      <c r="N112" s="66"/>
      <c r="Z112" s="10"/>
      <c r="AA112" s="10"/>
    </row>
    <row r="113">
      <c r="A113" s="61"/>
      <c r="B113" s="51"/>
      <c r="C113" s="51"/>
      <c r="D113" s="63"/>
      <c r="E113" s="51"/>
      <c r="F113" s="10" t="str">
        <f t="shared" si="1"/>
        <v>#DIV/0!</v>
      </c>
      <c r="G113" s="10" t="str">
        <f t="shared" si="2"/>
        <v>#DIV/0!</v>
      </c>
      <c r="H113" s="52"/>
      <c r="I113" s="54"/>
      <c r="J113" s="54"/>
      <c r="K113" s="54"/>
      <c r="L113" s="54"/>
      <c r="M113" s="54"/>
      <c r="N113" s="54"/>
      <c r="Z113" s="10"/>
      <c r="AA113" s="10"/>
    </row>
    <row r="114">
      <c r="A114" s="61"/>
      <c r="B114" s="51"/>
      <c r="C114" s="51"/>
      <c r="D114" s="51"/>
      <c r="E114" s="51"/>
      <c r="F114" s="10" t="str">
        <f t="shared" si="1"/>
        <v>#DIV/0!</v>
      </c>
      <c r="G114" s="10" t="str">
        <f t="shared" si="2"/>
        <v>#DIV/0!</v>
      </c>
      <c r="H114" s="52"/>
      <c r="I114" s="54"/>
      <c r="J114" s="54"/>
      <c r="K114" s="54"/>
      <c r="L114" s="53"/>
      <c r="M114" s="54"/>
      <c r="N114" s="54"/>
      <c r="Z114" s="10"/>
      <c r="AA114" s="10"/>
    </row>
    <row r="115">
      <c r="A115" s="61"/>
      <c r="B115" s="51"/>
      <c r="C115" s="51"/>
      <c r="D115" s="63"/>
      <c r="E115" s="51"/>
      <c r="F115" s="10" t="str">
        <f t="shared" si="1"/>
        <v>#DIV/0!</v>
      </c>
      <c r="G115" s="10" t="str">
        <f t="shared" si="2"/>
        <v>#DIV/0!</v>
      </c>
      <c r="H115" s="52"/>
      <c r="I115" s="54"/>
      <c r="J115" s="52"/>
      <c r="K115" s="54"/>
      <c r="L115" s="53"/>
      <c r="M115" s="53"/>
      <c r="N115" s="54"/>
      <c r="Z115" s="10"/>
      <c r="AA115" s="10"/>
    </row>
    <row r="116">
      <c r="C116" s="12"/>
      <c r="D116" s="12"/>
      <c r="E116" s="12"/>
      <c r="F116" s="10" t="str">
        <f t="shared" si="1"/>
        <v>#DIV/0!</v>
      </c>
      <c r="G116" s="10" t="str">
        <f t="shared" si="2"/>
        <v>#DIV/0!</v>
      </c>
      <c r="Z116" s="10"/>
      <c r="AA116" s="10"/>
    </row>
    <row r="117">
      <c r="A117" s="61"/>
      <c r="B117" s="12"/>
      <c r="C117" s="12"/>
      <c r="D117" s="12"/>
      <c r="E117" s="12"/>
      <c r="F117" s="67" t="str">
        <f t="shared" si="1"/>
        <v>#DIV/0!</v>
      </c>
      <c r="G117" s="10" t="str">
        <f t="shared" si="2"/>
        <v>#DIV/0!</v>
      </c>
      <c r="Z117" s="10"/>
      <c r="AA117" s="10"/>
    </row>
    <row r="118">
      <c r="A118" s="59"/>
      <c r="B118" s="12"/>
      <c r="C118" s="12"/>
      <c r="D118" s="12"/>
      <c r="E118" s="12"/>
      <c r="F118" s="67" t="str">
        <f t="shared" si="1"/>
        <v>#DIV/0!</v>
      </c>
      <c r="G118" s="10" t="str">
        <f t="shared" si="2"/>
        <v>#DIV/0!</v>
      </c>
      <c r="Z118" s="10"/>
      <c r="AA118" s="10"/>
    </row>
    <row r="119">
      <c r="A119" s="59"/>
      <c r="B119" s="12"/>
      <c r="C119" s="12"/>
      <c r="D119" s="12"/>
      <c r="E119" s="12"/>
      <c r="F119" s="67" t="str">
        <f t="shared" si="1"/>
        <v>#DIV/0!</v>
      </c>
      <c r="G119" s="10" t="str">
        <f t="shared" si="2"/>
        <v>#DIV/0!</v>
      </c>
      <c r="Z119" s="10"/>
      <c r="AA119" s="10"/>
    </row>
    <row r="120">
      <c r="A120" s="59"/>
      <c r="B120" s="12"/>
      <c r="C120" s="12"/>
      <c r="D120" s="12"/>
      <c r="E120" s="12"/>
      <c r="F120" s="67"/>
      <c r="G120" s="10"/>
      <c r="Z120" s="10"/>
      <c r="AA120" s="10"/>
    </row>
    <row r="121">
      <c r="A121" s="59"/>
      <c r="B121" s="12"/>
      <c r="C121" s="12"/>
      <c r="D121" s="12"/>
      <c r="E121" s="12"/>
      <c r="F121" s="67"/>
      <c r="G121" s="10"/>
      <c r="Z121" s="10"/>
      <c r="AA121" s="10"/>
    </row>
    <row r="122">
      <c r="A122" s="59"/>
      <c r="B122" s="12"/>
      <c r="C122" s="12"/>
      <c r="D122" s="12"/>
      <c r="E122" s="12"/>
      <c r="F122" s="67"/>
      <c r="G122" s="10"/>
      <c r="Z122" s="10"/>
      <c r="AA122" s="10"/>
    </row>
    <row r="123">
      <c r="A123" s="59"/>
      <c r="B123" s="12"/>
      <c r="C123" s="12"/>
      <c r="D123" s="12"/>
      <c r="E123" s="12"/>
      <c r="F123" s="67"/>
      <c r="G123" s="10"/>
      <c r="Z123" s="10"/>
      <c r="AA123" s="10"/>
    </row>
    <row r="124">
      <c r="A124" s="59"/>
      <c r="B124" s="12"/>
      <c r="C124" s="12"/>
      <c r="D124" s="12"/>
      <c r="E124" s="12"/>
      <c r="F124" s="67"/>
      <c r="G124" s="10"/>
      <c r="Z124" s="10"/>
      <c r="AA124" s="10"/>
    </row>
    <row r="125">
      <c r="A125" s="59"/>
      <c r="B125" s="12"/>
      <c r="C125" s="12"/>
      <c r="D125" s="12"/>
      <c r="E125" s="12"/>
      <c r="F125" s="67"/>
      <c r="G125" s="10"/>
      <c r="Z125" s="10"/>
      <c r="AA125" s="10"/>
    </row>
    <row r="126">
      <c r="A126" s="59"/>
      <c r="B126" s="12"/>
      <c r="C126" s="12"/>
      <c r="D126" s="12"/>
      <c r="E126" s="12"/>
      <c r="F126" s="67"/>
      <c r="G126" s="10"/>
      <c r="Z126" s="10"/>
      <c r="AA126" s="10"/>
    </row>
    <row r="127">
      <c r="A127" s="59"/>
      <c r="B127" s="12"/>
      <c r="C127" s="12"/>
      <c r="D127" s="12"/>
      <c r="E127" s="12"/>
      <c r="F127" s="67"/>
      <c r="G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 t="str">
        <f t="shared" ref="F153:F156" si="3">D153/sum(H153:O153)</f>
        <v>#DIV/0!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 t="str">
        <f t="shared" si="3"/>
        <v>#DIV/0!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 t="str">
        <f t="shared" si="3"/>
        <v>#DIV/0!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 t="str">
        <f t="shared" si="3"/>
        <v>#DIV/0!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59"/>
      <c r="B158" s="12"/>
      <c r="C158" s="12"/>
      <c r="D158" s="12"/>
      <c r="E158" s="12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59"/>
      <c r="B159" s="12"/>
      <c r="C159" s="10"/>
      <c r="D159" s="12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59"/>
      <c r="B160" s="12"/>
      <c r="C160" s="10"/>
      <c r="D160" s="12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67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67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67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67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67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67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>
      <c r="A968" s="55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</sheetData>
  <autoFilter ref="$A$12:$AA$100">
    <sortState ref="A12:AA100">
      <sortCondition ref="A12:A100"/>
    </sortState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31">
      <formula1>"食物,飲品,衣服,居家,電子產品,娛樂,醫藥,交通,其他"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1" max="1" width="15.75"/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P2" s="1" t="s">
        <v>17</v>
      </c>
      <c r="Q2" s="1" t="s">
        <v>18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SUMIFS($G$13:$G968, $E$13:$E968, "Rachel", $H$13:$H968, 1)-SUMIFS($G$13:$G968, $E$13:$E968, "Timothy", $I$13:$I968, 1)</f>
        <v>54.48471667</v>
      </c>
      <c r="J3" s="21">
        <f>SUMIFS($G$13:$G968, $E$13:$E968, "BL", $H$13:$H968, 1)-SUMIFS($G$13:$G968, $E$13:$E968, "Timothy", $J$13:$J968, 1)</f>
        <v>68.81191667</v>
      </c>
      <c r="K3" s="21">
        <f>SUMIFS($G$13:$G968, $E$13:$E968, "Pigskin", $H$13:$H968, 1)-SUMIFS($G$13:$G968, $E$13:$E968, "Timothy", $K$13:$K968, 1)</f>
        <v>420.7774567</v>
      </c>
      <c r="L3" s="21">
        <f>SUMIFS($G$13:$G968, $E$13:$E968, "Angel", $H$13:$H968, 1)-SUMIFS($G$13:$G968, $E$13:$E968, "Timothy", $L$13:$L968, 1)</f>
        <v>0</v>
      </c>
      <c r="M3" s="21">
        <f>SUMIFS($G$13:$G968, $E$13:$E968, "Ivan", $H$13:$H968, 1)-SUMIFS($G$13:$G968, $E$13:$E968, "Timothy", $M$13:$M968, 1)</f>
        <v>-19.09286429</v>
      </c>
      <c r="N3" s="21">
        <f>SUMIFS($G$13:$G968, $E$13:$E968, "Esther", $H$13:$H968, 1)-SUMIFS($G$13:$G968, $E$13:$E968, "Timothy", $N$13:$N968, 1)</f>
        <v>-28.59978333</v>
      </c>
      <c r="O3" s="22">
        <f>SUMIFS($G$13:$G968, $E$13:$E968, "Ken9", $H$13:$H968, 1)-SUMIFS($G$13:$G968, $E$13:$E968, "Timothy", $O$13:$O968,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SUMIFS($G$13:$G968, $E$13:$E968, "Timothy", $I$13:$I968, 1)-SUMIFS($G$13:$G968, $E$13:$E968, "Rachel", $H$13:$H968, 1)</f>
        <v>-54.48471667</v>
      </c>
      <c r="I4" s="20"/>
      <c r="J4" s="25">
        <f>SUMIFS($G$13:$G968, $E$13:$E968, "BL", $I$13:$I968, 1)-SUMIFS($G$13:$G968, $E$13:$E968, "Rachel", $J$13:$J968, 1)</f>
        <v>-29.08483333</v>
      </c>
      <c r="K4" s="25">
        <f>SUMIFS($G$13:$G968, $E$13:$E968, "Pigskin", $I$13:$I968, 1)-SUMIFS($G$13:$G968, $E$13:$E968, "Rachel", $K$13:$K968, 1)</f>
        <v>365.8835733</v>
      </c>
      <c r="L4" s="25">
        <f>SUMIFS($G$13:$G968, $E$13:$E968, "Angel", $I$13:$I968, 1)-SUMIFS($G$13:$G968, $E$13:$E968, "Rachel", $L$13:$L968, 1)</f>
        <v>0</v>
      </c>
      <c r="M4" s="25">
        <f>SUMIFS($G$13:$G968, $E$13:$E968, "Ivan", $I$13:$I968, 1)-SUMIFS($G$13:$G968, $E$13:$E968, "Rachel", $M$13:$M968, 1)</f>
        <v>-2.358214286</v>
      </c>
      <c r="N4" s="25">
        <f>SUMIFS($G$13:$G968, $E$13:$E968, "Esther", $I$13:$I968, 1)-SUMIFS($G$13:$G968, $E$13:$E968, "Rachel", $N$13:$N968, 1)</f>
        <v>-77.79733333</v>
      </c>
      <c r="O4" s="26">
        <f>SUMIFS($G$13:$G968, $E$13:$E968, "Ken9", $I$13:$I968, 1)-SUMIFS($G$13:$G968, $E$13:$E968, "Rachel", $O$13:$O968,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SUMIFS($G$13:$G968, $E$13:$E968, "Timothy", $J$13:$J968, 1)-SUMIFS($G$13:$G968, $E$13:$E968, "BL", $H$13:$H968, 1)</f>
        <v>-68.81191667</v>
      </c>
      <c r="I5" s="28">
        <f>SUMIFS($G$13:$G968, $E$13:$E968, "Rachel", $J$13:$J968, 1)-SUMIFS($G$13:$G968, $E$13:$E968, "BL", $I$13:$I968, 1)</f>
        <v>29.08483333</v>
      </c>
      <c r="J5" s="20"/>
      <c r="K5" s="25">
        <f>SUMIFS($G$13:$G968, $E$13:$E968, "Pigskin", $J$13:$J968, 1)-SUMIFS($G$13:$G968, $E$13:$E968, "BL", $K$13:$K968, 1)</f>
        <v>418.10489</v>
      </c>
      <c r="L5" s="28">
        <f>SUMIFS($G$13:$G968, $E$13:$E968, "Angel", $J$13:$J968, 1)-SUMIFS($G$13:$G968, $E$13:$E968, "BL", $L$13:$L968, 1)</f>
        <v>0</v>
      </c>
      <c r="M5" s="25">
        <f>SUMIFS($G$13:$G968, $E$13:$E968, "Ivan", $J$13:$J968, 1)-SUMIFS($G$13:$G968, $E$13:$E968, "BL", $M$13:$M968, 1)</f>
        <v>-31.77904762</v>
      </c>
      <c r="N5" s="28">
        <f>SUMIFS($G$13:$G968, $E$13:$E968, "Esther", $J$13:$J968, 1)-SUMIFS($G$13:$G968, $E$13:$E968, "BL", $N$13:$N968, 1)</f>
        <v>-78.19166667</v>
      </c>
      <c r="O5" s="26">
        <f>SUMIFS($G$13:$G968, $E$13:$E968, "Ken9", $J$13:$J968, 1)-SUMIFS($G$13:$G968, $E$13:$E968, "BL", $O$13:$O968,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SUMIFS($G$13:$G968, $E$13:$E968, "Timothy", $K$13:$K968, 1)-SUMIFS($G$13:$G968, $E$13:$E968, "Pigskin", $H$13:$H968, 1)</f>
        <v>-420.7774567</v>
      </c>
      <c r="I6" s="28">
        <f>SUMIFS($G$13:$G968, $E$13:$E968, "Rachel", $K$13:$K968, 1)-SUMIFS($G$13:$G968, $E$13:$E968, "Pigskin", $I$13:$I968, 1)</f>
        <v>-365.8835733</v>
      </c>
      <c r="J6" s="28">
        <f>SUMIFS($G$13:$G968, $E$13:$E968, "BL", $K$13:$K968, 1)-SUMIFS($G$13:$G968, $E$13:$E968, "Pigskin", $J$13:$J968, 1)</f>
        <v>-418.10489</v>
      </c>
      <c r="K6" s="20"/>
      <c r="L6" s="25">
        <f>SUMIFS($G$13:$G968, $E$13:$E968, "Angel", $K$13:$K968, 1)-SUMIFS($G$13:$G968, $E$13:$E968, "Pigskin", $L$13:$L968, 1)</f>
        <v>-148.1383333</v>
      </c>
      <c r="M6" s="28">
        <f>SUMIFS($G$13:$G968, $E$13:$E968, "Ivan", $K$13:$K968, 1)-SUMIFS($G$13:$G968, $E$13:$E968, "Pigskin", $M$13:$M968, 1)</f>
        <v>-268.059381</v>
      </c>
      <c r="N6" s="28">
        <f>SUMIFS($G$13:$G968, $E$13:$E968, "Esther", $K$13:$K968, 1)-SUMIFS($G$13:$G968, $E$13:$E968, "Pigskin", $N$13:$N968, 1)</f>
        <v>-351.87474</v>
      </c>
      <c r="O6" s="26">
        <f>SUMIFS($G$13:$G968, $E$13:$E968, "Ken9", $K$13:$K968, 1)-SUMIFS($G$13:$G968, $E$13:$E968, "Pigskin", $O$13:$O968,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SUMIFS($G$13:$G968, $E$13:$E968, "Timothy", $L$13:$L968, 1)-SUMIFS($G$13:$G968, $E$13:$E968, "Angel", $H$13:$H968, 1)</f>
        <v>0</v>
      </c>
      <c r="I7" s="25">
        <f>SUMIFS($G$13:$G968, $E$13:$E968, "Rachel", $L$13:$L968, 1)-SUMIFS($G$13:$G968, $E$13:$E968, "Angel", $I$13:$I968, 1)</f>
        <v>0</v>
      </c>
      <c r="J7" s="25">
        <f>SUMIFS($G$13:$G968, $E$13:$E968, "BL", $L$13:$L968, 1)-SUMIFS($G$13:$G968, $E$13:$E968, "Angel", $J$13:$J968, 1)</f>
        <v>0</v>
      </c>
      <c r="K7" s="25">
        <f>SUMIFS($G$13:$G968, $E$13:$E968, "Pigskin", $L$13:$L968, 1)-SUMIFS($G$13:$G968, $E$13:$E968, "Angel", $K$13:$K968, 1)</f>
        <v>148.1383333</v>
      </c>
      <c r="L7" s="20"/>
      <c r="M7" s="25">
        <f>SUMIFS($G$13:$G968, $E$13:$E968, "Ivan", $L$13:$L968, 1)-SUMIFS($G$13:$G968, $E$13:$E968, "Angel", $M$13:$M968, 1)</f>
        <v>15.82428571</v>
      </c>
      <c r="N7" s="28">
        <f>SUMIFS($G$13:$G968, $E$13:$E968, "Esther", $L$13:$L968, 1)-SUMIFS($G$13:$G968, $E$13:$E968, "Angel", $N$13:$N968, 1)</f>
        <v>0</v>
      </c>
      <c r="O7" s="31">
        <f>SUMIFS($G$13:$G968, $E$13:$E968, "Ken9", $L$13:$L968, 1)-SUMIFS($G$13:$G968, $E$13:$E968, "Angel", $O$13:$O968,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SUMIFS($G$13:$G968, $E$13:$E968, "Timothy", $M$13:$M968, 1)-SUMIFS($G$13:$G968, $E$13:$E968, "Ivan", $H$13:$H968, 1)</f>
        <v>19.09286429</v>
      </c>
      <c r="I8" s="28">
        <f>SUMIFS($G$13:$G968, $E$13:$E968, "Rachel", $M$13:$M968, 1)-SUMIFS($G$13:$G968, $E$13:$E968, "Ivan", $I$13:$I968, 1)</f>
        <v>2.358214286</v>
      </c>
      <c r="J8" s="25">
        <f>SUMIFS($G$13:$G968, $E$13:$E968, "BL", $M$13:$M968, 1)-SUMIFS($G$13:$G968, $E$13:$E968, "Ivan", $J$13:$J968, 1)</f>
        <v>31.77904762</v>
      </c>
      <c r="K8" s="25">
        <f>SUMIFS($G$13:$G968, $E$13:$E968, "Pigskin", $M$13:$M968, 1)-SUMIFS($G$13:$G968, $E$13:$E968, "Ivan", $K$13:$K968, 1)</f>
        <v>268.059381</v>
      </c>
      <c r="L8" s="25">
        <f>SUMIFS($G$13:$G968, $E$13:$E968, "Angel", $M$13:$M968, 1)-SUMIFS($G$13:$G968, $E$13:$E968, "Ivan", $L$13:$L968, 1)</f>
        <v>-15.82428571</v>
      </c>
      <c r="M8" s="20"/>
      <c r="N8" s="28">
        <f>SUMIFS($G$13:$G968, $E$13:$E968, "Esther", $M$13:$M968, 1)-SUMIFS($G$13:$G968, $E$13:$E968, "Ivan", $N$13:$N968, 1)</f>
        <v>-21.40761905</v>
      </c>
      <c r="O8" s="31">
        <f>SUMIFS($G$13:$G968, $E$13:$E968, "Ken9", $M$13:$M968, 1)-SUMIFS($G$13:$G968, $E$13:$E968, "Ivan", $O$13:$O968,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SUMIFS($G$13:$G968, $E$13:$E968, "Timothy", $N$13:$N968, 1)-SUMIFS($G$13:$G968, $E$13:$E968, "Esther", $H$13:$H968, 1)</f>
        <v>28.59978333</v>
      </c>
      <c r="I9" s="25">
        <f>SUMIFS($G$13:$G968, $E$13:$E968, "Rachel", $N$13:$N968, 1)-SUMIFS($G$13:$G968, $E$13:$E968, "Esther", $I$13:$I968, 1)</f>
        <v>77.79733333</v>
      </c>
      <c r="J9" s="25">
        <f>SUMIFS($G$13:$G968, $E$13:$E968, "BL", $N$13:$N968, 1)-SUMIFS($G$13:$G968, $E$13:$E968, "Esther", $J$13:$J968, 1)</f>
        <v>78.19166667</v>
      </c>
      <c r="K9" s="25">
        <f>SUMIFS($G$13:$G968, $E$13:$E968, "Pigskin", $N$13:$N968, 1)-SUMIFS($G$13:$G968, $E$13:$E968, "Esther", $K$13:$K968, 1)</f>
        <v>351.87474</v>
      </c>
      <c r="L9" s="25">
        <f>SUMIFS($G$13:$G968, $E$13:$E968, "Angel", $N$13:$N968, 1)-SUMIFS($G$13:$G968, $E$13:$E968, "Esther", $L$13:$L968, 1)</f>
        <v>0</v>
      </c>
      <c r="M9" s="25">
        <f>SUMIFS($G$13:$G968, $E$13:$E968, "Ivan", $N$13:$N968, 1)-SUMIFS($G$13:$G968, $E$13:$E968, "Esther", $M$13:$M968, 1)</f>
        <v>21.40761905</v>
      </c>
      <c r="N9" s="20"/>
      <c r="O9" s="31">
        <f>SUMIFS($G$13:$G968, $E$13:$E968, "Ken9", $N$13:$N968, 1)-SUMIFS($G$13:$G968, $E$13:$E968, "Esther", $O$13:$O968,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SUMIFS($G$13:$G968, $E$13:$E968, "Timothy", $O$13:$O968, 1)-SUMIFS($G$13:$G968, $E$13:$E968, "Ken9", $H$13:$H968, 1)</f>
        <v>0</v>
      </c>
      <c r="I10" s="40">
        <f>SUMIFS($G$13:$G968, $E$13:$E968, "Rachel", $O$13:$O968, 1)-SUMIFS($G$13:$G968, $E$13:$E968, "Ken9", $I$13:$I968, 1)</f>
        <v>0</v>
      </c>
      <c r="J10" s="40">
        <f>SUMIFS($G$13:$G968, $E$13:$E968, "BL", $O$13:$O968, 1)-SUMIFS($G$13:$G968, $E$13:$E968, "Ken9", $J$13:$J968, 1)</f>
        <v>0</v>
      </c>
      <c r="K10" s="40">
        <f>SUMIFS($G$13:$G968, $E$13:$E968, "Pigskin", $O$13:$O968, 1)-SUMIFS($G$13:$G968, $E$13:$E968, "Ken9", $K$13:$K968, 1)</f>
        <v>0</v>
      </c>
      <c r="L10" s="40">
        <f>SUMIFS($G$13:$G968, $E$13:$E968, "Angel", $O$13:$O968, 1)-SUMIFS($G$13:$G968, $E$13:$E968, "Ken9", $L$13:$L968, 1)</f>
        <v>0</v>
      </c>
      <c r="M10" s="40">
        <f>SUMIFS($G$13:$G968, $E$13:$E968, "Ivan", $O$13:$O968, 1)-SUMIFS($G$13:$G968, $E$13:$E968, "Ken9", $M$13:$M968, 1)</f>
        <v>0</v>
      </c>
      <c r="N10" s="40">
        <f>SUMIFS($G$13:$G968, $E$13:$E968, "Esther", $O$13:$O968, 1)-SUMIFS($G$13:$G968, $E$13:$E968, "Ken9", $N$13:$N968,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0">
        <v>45658.0</v>
      </c>
      <c r="B13" s="12" t="s">
        <v>98</v>
      </c>
      <c r="C13" s="12" t="s">
        <v>11</v>
      </c>
      <c r="D13" s="12">
        <v>67.8</v>
      </c>
      <c r="E13" s="51" t="s">
        <v>14</v>
      </c>
      <c r="F13" s="10">
        <f t="shared" ref="F13:F24" si="1">D13/sum(H13:Q13)</f>
        <v>16.95</v>
      </c>
      <c r="G13" s="10">
        <f t="shared" ref="G13:G119" si="2">D13/sum(H13:Q13)</f>
        <v>16.95</v>
      </c>
      <c r="H13" s="1">
        <v>1.0</v>
      </c>
      <c r="J13" s="1">
        <v>1.0</v>
      </c>
      <c r="K13" s="1">
        <v>1.0</v>
      </c>
      <c r="M13" s="1">
        <v>1.0</v>
      </c>
      <c r="Z13" s="10"/>
      <c r="AA13" s="10"/>
    </row>
    <row r="14">
      <c r="A14" s="50">
        <v>45659.0</v>
      </c>
      <c r="B14" s="12" t="s">
        <v>46</v>
      </c>
      <c r="C14" s="12" t="s">
        <v>11</v>
      </c>
      <c r="D14" s="12">
        <v>16.49</v>
      </c>
      <c r="E14" s="12" t="s">
        <v>14</v>
      </c>
      <c r="F14" s="10">
        <f t="shared" si="1"/>
        <v>3.298</v>
      </c>
      <c r="G14" s="10">
        <f t="shared" si="2"/>
        <v>3.298</v>
      </c>
      <c r="H14" s="1">
        <v>1.0</v>
      </c>
      <c r="I14" s="1">
        <v>1.0</v>
      </c>
      <c r="J14" s="1">
        <v>1.0</v>
      </c>
      <c r="K14" s="1">
        <v>1.0</v>
      </c>
      <c r="M14" s="1">
        <v>1.0</v>
      </c>
      <c r="Z14" s="10"/>
      <c r="AA14" s="10"/>
    </row>
    <row r="15">
      <c r="A15" s="55">
        <v>45659.0</v>
      </c>
      <c r="B15" s="51" t="s">
        <v>47</v>
      </c>
      <c r="C15" s="12" t="s">
        <v>11</v>
      </c>
      <c r="D15" s="12">
        <v>42.49</v>
      </c>
      <c r="E15" s="51" t="s">
        <v>14</v>
      </c>
      <c r="F15" s="67">
        <f t="shared" si="1"/>
        <v>8.498</v>
      </c>
      <c r="G15" s="10">
        <f t="shared" si="2"/>
        <v>8.498</v>
      </c>
      <c r="H15" s="1">
        <v>1.0</v>
      </c>
      <c r="I15" s="1">
        <v>1.0</v>
      </c>
      <c r="J15" s="1">
        <v>1.0</v>
      </c>
      <c r="K15" s="1">
        <v>1.0</v>
      </c>
      <c r="M15" s="1">
        <v>1.0</v>
      </c>
      <c r="Z15" s="10"/>
      <c r="AA15" s="10"/>
    </row>
    <row r="16">
      <c r="A16" s="55">
        <v>45660.0</v>
      </c>
      <c r="B16" s="12" t="s">
        <v>103</v>
      </c>
      <c r="C16" s="12" t="s">
        <v>11</v>
      </c>
      <c r="D16" s="12">
        <v>67.25</v>
      </c>
      <c r="E16" s="51" t="s">
        <v>4</v>
      </c>
      <c r="F16" s="10">
        <f t="shared" si="1"/>
        <v>16.8125</v>
      </c>
      <c r="G16" s="10">
        <f t="shared" si="2"/>
        <v>16.8125</v>
      </c>
      <c r="H16" s="1">
        <v>1.0</v>
      </c>
      <c r="I16" s="1">
        <v>1.0</v>
      </c>
      <c r="J16" s="1">
        <v>1.0</v>
      </c>
      <c r="M16" s="1">
        <v>1.0</v>
      </c>
      <c r="Z16" s="10"/>
      <c r="AA16" s="10"/>
    </row>
    <row r="17">
      <c r="A17" s="59">
        <v>45660.0</v>
      </c>
      <c r="B17" s="12" t="s">
        <v>104</v>
      </c>
      <c r="C17" s="12" t="s">
        <v>11</v>
      </c>
      <c r="D17" s="12">
        <v>84.02</v>
      </c>
      <c r="E17" s="12" t="s">
        <v>4</v>
      </c>
      <c r="F17" s="10">
        <f t="shared" si="1"/>
        <v>16.804</v>
      </c>
      <c r="G17" s="10">
        <f t="shared" si="2"/>
        <v>16.804</v>
      </c>
      <c r="H17" s="1">
        <v>1.0</v>
      </c>
      <c r="I17" s="1">
        <v>1.0</v>
      </c>
      <c r="J17" s="1">
        <v>1.0</v>
      </c>
      <c r="K17" s="1">
        <v>1.0</v>
      </c>
      <c r="N17" s="1">
        <v>1.0</v>
      </c>
      <c r="Z17" s="10"/>
      <c r="AA17" s="10"/>
    </row>
    <row r="18">
      <c r="A18" s="50">
        <v>45660.0</v>
      </c>
      <c r="B18" s="51" t="s">
        <v>105</v>
      </c>
      <c r="C18" s="51"/>
      <c r="D18" s="51">
        <f>14.99*1.13</f>
        <v>16.9387</v>
      </c>
      <c r="E18" s="51" t="s">
        <v>13</v>
      </c>
      <c r="F18" s="67">
        <f t="shared" si="1"/>
        <v>16.9387</v>
      </c>
      <c r="G18" s="10">
        <f t="shared" si="2"/>
        <v>16.9387</v>
      </c>
      <c r="H18" s="52">
        <v>1.0</v>
      </c>
      <c r="I18" s="52"/>
      <c r="J18" s="52"/>
      <c r="K18" s="52"/>
      <c r="L18" s="54"/>
      <c r="M18" s="54"/>
      <c r="N18" s="52"/>
      <c r="Z18" s="10"/>
      <c r="AA18" s="10"/>
    </row>
    <row r="19">
      <c r="A19" s="50">
        <v>45660.0</v>
      </c>
      <c r="B19" s="51" t="s">
        <v>106</v>
      </c>
      <c r="C19" s="51"/>
      <c r="D19" s="51">
        <v>4.29</v>
      </c>
      <c r="E19" s="51" t="s">
        <v>13</v>
      </c>
      <c r="F19" s="10">
        <f t="shared" si="1"/>
        <v>4.29</v>
      </c>
      <c r="G19" s="10">
        <f t="shared" si="2"/>
        <v>4.29</v>
      </c>
      <c r="H19" s="52"/>
      <c r="I19" s="54"/>
      <c r="J19" s="54"/>
      <c r="K19" s="54"/>
      <c r="L19" s="53"/>
      <c r="M19" s="54">
        <v>1.0</v>
      </c>
      <c r="N19" s="54"/>
      <c r="Z19" s="10"/>
      <c r="AA19" s="10"/>
    </row>
    <row r="20">
      <c r="A20" s="50">
        <v>45660.0</v>
      </c>
      <c r="B20" s="51" t="s">
        <v>107</v>
      </c>
      <c r="C20" s="51"/>
      <c r="D20" s="51">
        <v>8.99</v>
      </c>
      <c r="E20" s="51" t="s">
        <v>13</v>
      </c>
      <c r="F20" s="10">
        <f t="shared" si="1"/>
        <v>4.495</v>
      </c>
      <c r="G20" s="10">
        <f t="shared" si="2"/>
        <v>4.495</v>
      </c>
      <c r="H20" s="52"/>
      <c r="I20" s="52"/>
      <c r="J20" s="52">
        <v>1.0</v>
      </c>
      <c r="K20" s="52"/>
      <c r="L20" s="54"/>
      <c r="M20" s="54">
        <v>1.0</v>
      </c>
      <c r="N20" s="52"/>
      <c r="Z20" s="10"/>
      <c r="AA20" s="10"/>
    </row>
    <row r="21">
      <c r="A21" s="50">
        <v>45660.0</v>
      </c>
      <c r="B21" s="51" t="s">
        <v>108</v>
      </c>
      <c r="C21" s="51"/>
      <c r="D21" s="51">
        <v>21.99</v>
      </c>
      <c r="E21" s="51" t="s">
        <v>13</v>
      </c>
      <c r="F21" s="10">
        <f t="shared" si="1"/>
        <v>3.665</v>
      </c>
      <c r="G21" s="10">
        <f t="shared" si="2"/>
        <v>3.665</v>
      </c>
      <c r="H21" s="1">
        <v>1.0</v>
      </c>
      <c r="I21" s="1">
        <v>1.0</v>
      </c>
      <c r="J21" s="1">
        <v>1.0</v>
      </c>
      <c r="K21" s="1">
        <v>1.0</v>
      </c>
      <c r="M21" s="1">
        <v>1.0</v>
      </c>
      <c r="N21" s="1">
        <v>1.0</v>
      </c>
      <c r="Z21" s="10"/>
      <c r="AA21" s="10"/>
    </row>
    <row r="22">
      <c r="A22" s="50">
        <v>45660.0</v>
      </c>
      <c r="B22" s="51" t="s">
        <v>109</v>
      </c>
      <c r="C22" s="51"/>
      <c r="D22" s="51">
        <f>9.99*1.13</f>
        <v>11.2887</v>
      </c>
      <c r="E22" s="51" t="s">
        <v>13</v>
      </c>
      <c r="F22" s="10" t="str">
        <f t="shared" si="1"/>
        <v>#DIV/0!</v>
      </c>
      <c r="G22" s="10" t="str">
        <f t="shared" si="2"/>
        <v>#DIV/0!</v>
      </c>
      <c r="Z22" s="10"/>
      <c r="AA22" s="10"/>
    </row>
    <row r="23">
      <c r="A23" s="50">
        <v>45660.0</v>
      </c>
      <c r="B23" s="51" t="s">
        <v>110</v>
      </c>
      <c r="C23" s="51"/>
      <c r="D23" s="12">
        <f>5.29*2</f>
        <v>10.58</v>
      </c>
      <c r="E23" s="51" t="s">
        <v>13</v>
      </c>
      <c r="F23" s="67">
        <f t="shared" si="1"/>
        <v>1.763333333</v>
      </c>
      <c r="G23" s="10">
        <f t="shared" si="2"/>
        <v>1.763333333</v>
      </c>
      <c r="H23" s="1">
        <v>1.0</v>
      </c>
      <c r="I23" s="1">
        <v>1.0</v>
      </c>
      <c r="J23" s="1">
        <v>1.0</v>
      </c>
      <c r="K23" s="1">
        <v>1.0</v>
      </c>
      <c r="M23" s="1">
        <v>1.0</v>
      </c>
      <c r="N23" s="1">
        <v>1.0</v>
      </c>
      <c r="Z23" s="57"/>
      <c r="AA23" s="57"/>
    </row>
    <row r="24">
      <c r="A24" s="50">
        <v>45660.0</v>
      </c>
      <c r="B24" s="51" t="s">
        <v>111</v>
      </c>
      <c r="C24" s="12"/>
      <c r="D24" s="12">
        <f>19.99*1.13</f>
        <v>22.5887</v>
      </c>
      <c r="E24" s="51" t="s">
        <v>13</v>
      </c>
      <c r="F24" s="10">
        <f t="shared" si="1"/>
        <v>11.29435</v>
      </c>
      <c r="G24" s="10">
        <f t="shared" si="2"/>
        <v>11.29435</v>
      </c>
      <c r="J24" s="1">
        <v>1.0</v>
      </c>
      <c r="K24" s="1">
        <v>1.0</v>
      </c>
      <c r="Z24" s="10"/>
      <c r="AA24" s="10"/>
    </row>
    <row r="25">
      <c r="A25" s="50">
        <v>45660.0</v>
      </c>
      <c r="B25" s="51" t="s">
        <v>112</v>
      </c>
      <c r="C25" s="51"/>
      <c r="D25" s="51">
        <v>2.89</v>
      </c>
      <c r="E25" s="51" t="s">
        <v>13</v>
      </c>
      <c r="F25" s="12">
        <v>18.0</v>
      </c>
      <c r="G25" s="10">
        <f t="shared" si="2"/>
        <v>0.4816666667</v>
      </c>
      <c r="H25" s="52">
        <v>1.0</v>
      </c>
      <c r="I25" s="52">
        <v>1.0</v>
      </c>
      <c r="J25" s="52">
        <v>1.0</v>
      </c>
      <c r="K25" s="52">
        <v>1.0</v>
      </c>
      <c r="L25" s="54"/>
      <c r="M25" s="54">
        <v>1.0</v>
      </c>
      <c r="N25" s="52">
        <v>1.0</v>
      </c>
      <c r="Z25" s="10"/>
      <c r="AA25" s="10"/>
    </row>
    <row r="26">
      <c r="A26" s="50">
        <v>45660.0</v>
      </c>
      <c r="B26" s="12" t="s">
        <v>113</v>
      </c>
      <c r="C26" s="12"/>
      <c r="D26" s="12">
        <v>25.99</v>
      </c>
      <c r="E26" s="51" t="s">
        <v>13</v>
      </c>
      <c r="F26" s="10">
        <f t="shared" ref="F26:F119" si="3">D26/sum(H26:Q26)</f>
        <v>4.331666667</v>
      </c>
      <c r="G26" s="10">
        <f t="shared" si="2"/>
        <v>4.331666667</v>
      </c>
      <c r="H26" s="1">
        <v>1.0</v>
      </c>
      <c r="I26" s="1">
        <v>1.0</v>
      </c>
      <c r="J26" s="1">
        <v>1.0</v>
      </c>
      <c r="K26" s="1">
        <v>1.0</v>
      </c>
      <c r="M26" s="1">
        <v>1.0</v>
      </c>
      <c r="N26" s="1">
        <v>1.0</v>
      </c>
      <c r="Z26" s="10"/>
      <c r="AA26" s="10"/>
    </row>
    <row r="27">
      <c r="A27" s="50">
        <v>45660.0</v>
      </c>
      <c r="B27" s="51" t="s">
        <v>114</v>
      </c>
      <c r="C27" s="51"/>
      <c r="D27" s="51">
        <v>8.99</v>
      </c>
      <c r="E27" s="51" t="s">
        <v>13</v>
      </c>
      <c r="F27" s="10">
        <f t="shared" si="3"/>
        <v>1.498333333</v>
      </c>
      <c r="G27" s="10">
        <f t="shared" si="2"/>
        <v>1.498333333</v>
      </c>
      <c r="H27" s="52">
        <v>1.0</v>
      </c>
      <c r="I27" s="52">
        <v>1.0</v>
      </c>
      <c r="J27" s="52">
        <v>1.0</v>
      </c>
      <c r="K27" s="52">
        <v>1.0</v>
      </c>
      <c r="L27" s="54"/>
      <c r="M27" s="54">
        <v>1.0</v>
      </c>
      <c r="N27" s="52">
        <v>1.0</v>
      </c>
      <c r="Z27" s="10"/>
      <c r="AA27" s="10"/>
    </row>
    <row r="28">
      <c r="A28" s="50">
        <v>45660.0</v>
      </c>
      <c r="B28" s="12" t="s">
        <v>115</v>
      </c>
      <c r="C28" s="12"/>
      <c r="D28" s="12">
        <f>14.99*1.13</f>
        <v>16.9387</v>
      </c>
      <c r="E28" s="51" t="s">
        <v>13</v>
      </c>
      <c r="F28" s="10">
        <f t="shared" si="3"/>
        <v>16.9387</v>
      </c>
      <c r="G28" s="10">
        <f t="shared" si="2"/>
        <v>16.9387</v>
      </c>
      <c r="J28" s="1">
        <v>1.0</v>
      </c>
      <c r="Z28" s="10"/>
      <c r="AA28" s="10"/>
    </row>
    <row r="29">
      <c r="A29" s="50">
        <v>45661.0</v>
      </c>
      <c r="B29" s="12" t="s">
        <v>46</v>
      </c>
      <c r="C29" s="12" t="s">
        <v>11</v>
      </c>
      <c r="D29" s="12">
        <v>25.38</v>
      </c>
      <c r="E29" s="12" t="s">
        <v>14</v>
      </c>
      <c r="F29" s="10">
        <f t="shared" si="3"/>
        <v>5.076</v>
      </c>
      <c r="G29" s="10">
        <f t="shared" si="2"/>
        <v>5.076</v>
      </c>
      <c r="H29" s="1">
        <v>1.0</v>
      </c>
      <c r="I29" s="1">
        <v>1.0</v>
      </c>
      <c r="J29" s="1">
        <v>1.0</v>
      </c>
      <c r="K29" s="1">
        <v>1.0</v>
      </c>
      <c r="M29" s="1">
        <v>1.0</v>
      </c>
      <c r="Z29" s="10"/>
      <c r="AA29" s="10"/>
    </row>
    <row r="30">
      <c r="A30" s="50">
        <v>45662.0</v>
      </c>
      <c r="B30" s="51" t="s">
        <v>116</v>
      </c>
      <c r="C30" s="51" t="s">
        <v>11</v>
      </c>
      <c r="D30" s="51">
        <v>102.52</v>
      </c>
      <c r="E30" s="51" t="s">
        <v>14</v>
      </c>
      <c r="F30" s="10">
        <f t="shared" si="3"/>
        <v>17.08666667</v>
      </c>
      <c r="G30" s="10">
        <f t="shared" si="2"/>
        <v>17.08666667</v>
      </c>
      <c r="H30" s="52">
        <v>1.0</v>
      </c>
      <c r="I30" s="54">
        <v>1.0</v>
      </c>
      <c r="J30" s="52">
        <v>1.0</v>
      </c>
      <c r="K30" s="54">
        <v>1.0</v>
      </c>
      <c r="L30" s="54"/>
      <c r="M30" s="54">
        <v>1.0</v>
      </c>
      <c r="N30" s="54">
        <v>1.0</v>
      </c>
      <c r="Z30" s="10"/>
      <c r="AA30" s="10"/>
    </row>
    <row r="31">
      <c r="A31" s="55">
        <v>45663.0</v>
      </c>
      <c r="B31" s="12" t="s">
        <v>47</v>
      </c>
      <c r="C31" s="12" t="s">
        <v>11</v>
      </c>
      <c r="D31" s="12">
        <v>33.91</v>
      </c>
      <c r="E31" s="51" t="s">
        <v>14</v>
      </c>
      <c r="F31" s="10">
        <f t="shared" si="3"/>
        <v>5.651666667</v>
      </c>
      <c r="G31" s="10">
        <f t="shared" si="2"/>
        <v>5.651666667</v>
      </c>
      <c r="H31" s="1">
        <v>1.0</v>
      </c>
      <c r="I31" s="1">
        <v>1.0</v>
      </c>
      <c r="J31" s="1">
        <v>1.0</v>
      </c>
      <c r="K31" s="1">
        <v>1.0</v>
      </c>
      <c r="M31" s="1">
        <v>1.0</v>
      </c>
      <c r="N31" s="1">
        <v>1.0</v>
      </c>
      <c r="Z31" s="10"/>
      <c r="AA31" s="10"/>
    </row>
    <row r="32">
      <c r="A32" s="50">
        <v>45663.0</v>
      </c>
      <c r="B32" s="12" t="s">
        <v>117</v>
      </c>
      <c r="C32" s="51" t="s">
        <v>11</v>
      </c>
      <c r="D32" s="12">
        <v>119.96</v>
      </c>
      <c r="E32" s="51" t="s">
        <v>4</v>
      </c>
      <c r="F32" s="10">
        <f t="shared" si="3"/>
        <v>19.99333333</v>
      </c>
      <c r="G32" s="10">
        <f t="shared" si="2"/>
        <v>19.99333333</v>
      </c>
      <c r="H32" s="52">
        <v>1.0</v>
      </c>
      <c r="I32" s="52">
        <v>1.0</v>
      </c>
      <c r="J32" s="52">
        <v>1.0</v>
      </c>
      <c r="K32" s="52">
        <v>1.0</v>
      </c>
      <c r="L32" s="53"/>
      <c r="M32" s="54">
        <v>1.0</v>
      </c>
      <c r="N32" s="52">
        <v>1.0</v>
      </c>
      <c r="Z32" s="10"/>
      <c r="AA32" s="10"/>
    </row>
    <row r="33">
      <c r="A33" s="55">
        <v>45663.0</v>
      </c>
      <c r="B33" s="12" t="s">
        <v>118</v>
      </c>
      <c r="C33" s="12" t="s">
        <v>27</v>
      </c>
      <c r="D33" s="12">
        <v>277.98</v>
      </c>
      <c r="E33" s="12" t="s">
        <v>13</v>
      </c>
      <c r="F33" s="67">
        <f t="shared" si="3"/>
        <v>46.33</v>
      </c>
      <c r="G33" s="10">
        <f t="shared" si="2"/>
        <v>46.33</v>
      </c>
      <c r="H33" s="1">
        <v>1.0</v>
      </c>
      <c r="I33" s="1">
        <v>1.0</v>
      </c>
      <c r="J33" s="1">
        <v>1.0</v>
      </c>
      <c r="K33" s="1">
        <v>1.0</v>
      </c>
      <c r="M33" s="1">
        <v>1.0</v>
      </c>
      <c r="N33" s="1">
        <v>1.0</v>
      </c>
      <c r="Z33" s="10"/>
      <c r="AA33" s="10"/>
    </row>
    <row r="34">
      <c r="A34" s="50">
        <v>45664.0</v>
      </c>
      <c r="B34" s="12" t="s">
        <v>119</v>
      </c>
      <c r="C34" s="51" t="s">
        <v>27</v>
      </c>
      <c r="D34" s="51">
        <f>828.6+138.1</f>
        <v>966.7</v>
      </c>
      <c r="E34" s="51" t="s">
        <v>14</v>
      </c>
      <c r="F34" s="10">
        <f t="shared" si="3"/>
        <v>138.1</v>
      </c>
      <c r="G34" s="10">
        <f t="shared" si="2"/>
        <v>138.1</v>
      </c>
      <c r="H34" s="52">
        <v>1.0</v>
      </c>
      <c r="I34" s="54">
        <v>1.0</v>
      </c>
      <c r="J34" s="52">
        <v>1.0</v>
      </c>
      <c r="K34" s="54">
        <v>1.0</v>
      </c>
      <c r="L34" s="54">
        <v>1.0</v>
      </c>
      <c r="M34" s="54">
        <v>1.0</v>
      </c>
      <c r="N34" s="54">
        <v>1.0</v>
      </c>
      <c r="Z34" s="10"/>
      <c r="AA34" s="10"/>
    </row>
    <row r="35">
      <c r="A35" s="55">
        <v>45665.0</v>
      </c>
      <c r="B35" s="51" t="s">
        <v>120</v>
      </c>
      <c r="C35" s="51" t="s">
        <v>11</v>
      </c>
      <c r="D35" s="51">
        <v>53.65</v>
      </c>
      <c r="E35" s="51" t="s">
        <v>14</v>
      </c>
      <c r="F35" s="10">
        <f t="shared" si="3"/>
        <v>8.941666667</v>
      </c>
      <c r="G35" s="10">
        <f t="shared" si="2"/>
        <v>8.941666667</v>
      </c>
      <c r="H35" s="52">
        <v>1.0</v>
      </c>
      <c r="I35" s="54">
        <v>1.0</v>
      </c>
      <c r="J35" s="54">
        <v>1.0</v>
      </c>
      <c r="K35" s="54">
        <v>1.0</v>
      </c>
      <c r="L35" s="53"/>
      <c r="M35" s="54">
        <v>1.0</v>
      </c>
      <c r="N35" s="54">
        <v>1.0</v>
      </c>
      <c r="Z35" s="10"/>
      <c r="AA35" s="10"/>
    </row>
    <row r="36">
      <c r="A36" s="59">
        <v>45666.0</v>
      </c>
      <c r="B36" s="12" t="s">
        <v>121</v>
      </c>
      <c r="C36" s="12" t="s">
        <v>11</v>
      </c>
      <c r="D36" s="12">
        <v>64.95</v>
      </c>
      <c r="E36" s="12" t="s">
        <v>14</v>
      </c>
      <c r="F36" s="10">
        <f t="shared" si="3"/>
        <v>12.99</v>
      </c>
      <c r="G36" s="10">
        <f t="shared" si="2"/>
        <v>12.99</v>
      </c>
      <c r="H36" s="1">
        <v>1.0</v>
      </c>
      <c r="I36" s="1">
        <v>1.0</v>
      </c>
      <c r="J36" s="1">
        <v>1.0</v>
      </c>
      <c r="K36" s="1">
        <v>1.0</v>
      </c>
      <c r="M36" s="1">
        <v>1.0</v>
      </c>
      <c r="Z36" s="10"/>
      <c r="AA36" s="10"/>
    </row>
    <row r="37">
      <c r="A37" s="55">
        <v>45667.0</v>
      </c>
      <c r="B37" s="12" t="s">
        <v>47</v>
      </c>
      <c r="C37" s="12" t="s">
        <v>11</v>
      </c>
      <c r="D37" s="12">
        <v>34.76</v>
      </c>
      <c r="E37" s="51" t="s">
        <v>2</v>
      </c>
      <c r="F37" s="10">
        <f t="shared" si="3"/>
        <v>8.69</v>
      </c>
      <c r="G37" s="10">
        <f t="shared" si="2"/>
        <v>8.69</v>
      </c>
      <c r="H37" s="1">
        <v>1.0</v>
      </c>
      <c r="I37" s="1">
        <v>1.0</v>
      </c>
      <c r="K37" s="1">
        <v>1.0</v>
      </c>
      <c r="N37" s="1">
        <v>1.0</v>
      </c>
      <c r="Z37" s="10"/>
      <c r="AA37" s="10"/>
    </row>
    <row r="38">
      <c r="A38" s="60">
        <v>45668.0</v>
      </c>
      <c r="B38" s="1" t="s">
        <v>122</v>
      </c>
      <c r="C38" s="12" t="s">
        <v>11</v>
      </c>
      <c r="D38" s="51">
        <v>11.99</v>
      </c>
      <c r="E38" s="51" t="s">
        <v>2</v>
      </c>
      <c r="F38" s="10">
        <f t="shared" si="3"/>
        <v>1.998333333</v>
      </c>
      <c r="G38" s="10">
        <f t="shared" si="2"/>
        <v>1.998333333</v>
      </c>
      <c r="H38" s="52">
        <v>1.0</v>
      </c>
      <c r="I38" s="52">
        <v>1.0</v>
      </c>
      <c r="J38" s="52">
        <v>1.0</v>
      </c>
      <c r="K38" s="52">
        <v>1.0</v>
      </c>
      <c r="L38" s="54"/>
      <c r="M38" s="54">
        <v>1.0</v>
      </c>
      <c r="N38" s="52">
        <v>1.0</v>
      </c>
      <c r="R38" s="1"/>
      <c r="Z38" s="10"/>
      <c r="AA38" s="10"/>
    </row>
    <row r="39">
      <c r="A39" s="61">
        <v>45668.0</v>
      </c>
      <c r="B39" s="51" t="s">
        <v>123</v>
      </c>
      <c r="C39" s="51" t="s">
        <v>11</v>
      </c>
      <c r="D39" s="51">
        <v>7.99</v>
      </c>
      <c r="E39" s="51" t="s">
        <v>2</v>
      </c>
      <c r="F39" s="67">
        <f t="shared" si="3"/>
        <v>1.598</v>
      </c>
      <c r="G39" s="10">
        <f t="shared" si="2"/>
        <v>1.598</v>
      </c>
      <c r="H39" s="52">
        <v>1.0</v>
      </c>
      <c r="I39" s="52">
        <v>1.0</v>
      </c>
      <c r="J39" s="52">
        <v>1.0</v>
      </c>
      <c r="K39" s="52">
        <v>1.0</v>
      </c>
      <c r="L39" s="54"/>
      <c r="M39" s="54">
        <v>1.0</v>
      </c>
      <c r="N39" s="52"/>
      <c r="Z39" s="10"/>
      <c r="AA39" s="10"/>
    </row>
    <row r="40">
      <c r="A40" s="50">
        <v>45668.0</v>
      </c>
      <c r="B40" s="51" t="s">
        <v>124</v>
      </c>
      <c r="C40" s="51" t="s">
        <v>19</v>
      </c>
      <c r="D40" s="51">
        <v>4.95</v>
      </c>
      <c r="E40" s="51" t="s">
        <v>2</v>
      </c>
      <c r="F40" s="10">
        <f t="shared" si="3"/>
        <v>0.825</v>
      </c>
      <c r="G40" s="10">
        <f t="shared" si="2"/>
        <v>0.825</v>
      </c>
      <c r="H40" s="1">
        <v>1.0</v>
      </c>
      <c r="I40" s="1">
        <v>1.0</v>
      </c>
      <c r="J40" s="1">
        <v>1.0</v>
      </c>
      <c r="K40" s="1">
        <v>1.0</v>
      </c>
      <c r="M40" s="1">
        <v>1.0</v>
      </c>
      <c r="N40" s="1">
        <v>1.0</v>
      </c>
      <c r="Z40" s="10"/>
      <c r="AA40" s="10"/>
    </row>
    <row r="41">
      <c r="A41" s="50">
        <v>45668.0</v>
      </c>
      <c r="B41" s="51" t="s">
        <v>125</v>
      </c>
      <c r="C41" s="12" t="s">
        <v>11</v>
      </c>
      <c r="D41" s="12">
        <v>6.29</v>
      </c>
      <c r="E41" s="51" t="s">
        <v>2</v>
      </c>
      <c r="F41" s="10">
        <f t="shared" si="3"/>
        <v>1.258</v>
      </c>
      <c r="G41" s="10">
        <f t="shared" si="2"/>
        <v>1.258</v>
      </c>
      <c r="H41" s="1">
        <v>1.0</v>
      </c>
      <c r="I41" s="1">
        <v>1.0</v>
      </c>
      <c r="J41" s="1">
        <v>1.0</v>
      </c>
      <c r="K41" s="1">
        <v>1.0</v>
      </c>
      <c r="M41" s="1">
        <v>1.0</v>
      </c>
      <c r="Z41" s="10"/>
      <c r="AA41" s="10"/>
    </row>
    <row r="42">
      <c r="A42" s="50">
        <v>45668.0</v>
      </c>
      <c r="B42" s="51" t="s">
        <v>126</v>
      </c>
      <c r="C42" s="51" t="s">
        <v>11</v>
      </c>
      <c r="D42" s="51">
        <v>25.92</v>
      </c>
      <c r="E42" s="51" t="s">
        <v>2</v>
      </c>
      <c r="F42" s="10">
        <f t="shared" si="3"/>
        <v>4.32</v>
      </c>
      <c r="G42" s="10">
        <f t="shared" si="2"/>
        <v>4.32</v>
      </c>
      <c r="H42" s="1">
        <v>1.0</v>
      </c>
      <c r="I42" s="1">
        <v>1.0</v>
      </c>
      <c r="J42" s="1">
        <v>1.0</v>
      </c>
      <c r="K42" s="1">
        <v>1.0</v>
      </c>
      <c r="M42" s="1">
        <v>1.0</v>
      </c>
      <c r="N42" s="1">
        <v>1.0</v>
      </c>
      <c r="Q42" s="62"/>
      <c r="Z42" s="10"/>
      <c r="AA42" s="10"/>
    </row>
    <row r="43">
      <c r="A43" s="50">
        <v>45668.0</v>
      </c>
      <c r="B43" s="51" t="s">
        <v>127</v>
      </c>
      <c r="C43" s="51" t="s">
        <v>11</v>
      </c>
      <c r="D43" s="51">
        <v>54.79</v>
      </c>
      <c r="E43" s="51" t="s">
        <v>2</v>
      </c>
      <c r="F43" s="67">
        <f t="shared" si="3"/>
        <v>10.958</v>
      </c>
      <c r="G43" s="10">
        <f t="shared" si="2"/>
        <v>10.958</v>
      </c>
      <c r="H43" s="52">
        <v>1.0</v>
      </c>
      <c r="I43" s="52">
        <v>1.0</v>
      </c>
      <c r="J43" s="52">
        <v>1.0</v>
      </c>
      <c r="K43" s="52">
        <v>1.0</v>
      </c>
      <c r="L43" s="54"/>
      <c r="M43" s="54">
        <v>1.0</v>
      </c>
      <c r="N43" s="52"/>
      <c r="Z43" s="10"/>
      <c r="AA43" s="10"/>
    </row>
    <row r="44">
      <c r="A44" s="50">
        <v>45668.0</v>
      </c>
      <c r="B44" s="51" t="s">
        <v>128</v>
      </c>
      <c r="C44" s="51" t="s">
        <v>23</v>
      </c>
      <c r="D44" s="51">
        <f>18.99*1.13</f>
        <v>21.4587</v>
      </c>
      <c r="E44" s="51" t="s">
        <v>2</v>
      </c>
      <c r="F44" s="67">
        <f t="shared" si="3"/>
        <v>3.57645</v>
      </c>
      <c r="G44" s="10">
        <f t="shared" si="2"/>
        <v>3.57645</v>
      </c>
      <c r="H44" s="52">
        <v>1.0</v>
      </c>
      <c r="I44" s="52">
        <v>1.0</v>
      </c>
      <c r="J44" s="52">
        <v>1.0</v>
      </c>
      <c r="K44" s="52">
        <v>1.0</v>
      </c>
      <c r="L44" s="54"/>
      <c r="M44" s="54">
        <v>1.0</v>
      </c>
      <c r="N44" s="52">
        <v>1.0</v>
      </c>
      <c r="Z44" s="10"/>
      <c r="AA44" s="10"/>
    </row>
    <row r="45">
      <c r="A45" s="50">
        <v>45668.0</v>
      </c>
      <c r="B45" s="12" t="s">
        <v>129</v>
      </c>
      <c r="C45" s="12" t="s">
        <v>11</v>
      </c>
      <c r="D45" s="12">
        <v>9.49</v>
      </c>
      <c r="E45" s="51" t="s">
        <v>2</v>
      </c>
      <c r="F45" s="10">
        <f t="shared" si="3"/>
        <v>1.898</v>
      </c>
      <c r="G45" s="10">
        <f t="shared" si="2"/>
        <v>1.898</v>
      </c>
      <c r="H45" s="1">
        <v>1.0</v>
      </c>
      <c r="I45" s="1">
        <v>1.0</v>
      </c>
      <c r="J45" s="1">
        <v>1.0</v>
      </c>
      <c r="K45" s="1">
        <v>1.0</v>
      </c>
      <c r="M45" s="1">
        <v>1.0</v>
      </c>
      <c r="Z45" s="10"/>
      <c r="AA45" s="10"/>
    </row>
    <row r="46">
      <c r="A46" s="61">
        <v>45669.0</v>
      </c>
      <c r="B46" s="51" t="s">
        <v>130</v>
      </c>
      <c r="C46" s="51" t="s">
        <v>11</v>
      </c>
      <c r="D46" s="51">
        <v>53.35</v>
      </c>
      <c r="E46" s="51" t="s">
        <v>13</v>
      </c>
      <c r="F46" s="10">
        <f t="shared" si="3"/>
        <v>17.78333333</v>
      </c>
      <c r="G46" s="10">
        <f t="shared" si="2"/>
        <v>17.78333333</v>
      </c>
      <c r="H46" s="52">
        <v>1.0</v>
      </c>
      <c r="I46" s="52"/>
      <c r="J46" s="52">
        <v>1.0</v>
      </c>
      <c r="K46" s="52">
        <v>1.0</v>
      </c>
      <c r="L46" s="54"/>
      <c r="M46" s="54"/>
      <c r="N46" s="52"/>
      <c r="Z46" s="10"/>
      <c r="AA46" s="10"/>
    </row>
    <row r="47">
      <c r="A47" s="55">
        <v>45670.0</v>
      </c>
      <c r="B47" s="12" t="s">
        <v>46</v>
      </c>
      <c r="C47" s="12" t="s">
        <v>11</v>
      </c>
      <c r="D47" s="12">
        <v>33.5</v>
      </c>
      <c r="E47" s="51" t="s">
        <v>8</v>
      </c>
      <c r="F47" s="10">
        <f t="shared" si="3"/>
        <v>5.583333333</v>
      </c>
      <c r="G47" s="10">
        <f t="shared" si="2"/>
        <v>5.583333333</v>
      </c>
      <c r="H47" s="1">
        <v>1.0</v>
      </c>
      <c r="I47" s="1">
        <v>1.0</v>
      </c>
      <c r="J47" s="1">
        <v>1.0</v>
      </c>
      <c r="K47" s="1">
        <v>1.0</v>
      </c>
      <c r="M47" s="1">
        <v>1.0</v>
      </c>
      <c r="N47" s="1">
        <v>1.0</v>
      </c>
      <c r="Z47" s="10"/>
      <c r="AA47" s="10"/>
    </row>
    <row r="48">
      <c r="A48" s="55">
        <v>45671.0</v>
      </c>
      <c r="B48" s="12" t="s">
        <v>131</v>
      </c>
      <c r="C48" s="12" t="s">
        <v>11</v>
      </c>
      <c r="D48" s="12">
        <v>65.2</v>
      </c>
      <c r="E48" s="51" t="s">
        <v>8</v>
      </c>
      <c r="F48" s="10">
        <f t="shared" si="3"/>
        <v>13.04</v>
      </c>
      <c r="G48" s="10">
        <f t="shared" si="2"/>
        <v>13.04</v>
      </c>
      <c r="H48" s="1">
        <v>1.0</v>
      </c>
      <c r="I48" s="1">
        <v>1.0</v>
      </c>
      <c r="J48" s="1">
        <v>1.0</v>
      </c>
      <c r="K48" s="1">
        <v>1.0</v>
      </c>
      <c r="M48" s="1">
        <v>1.0</v>
      </c>
      <c r="Z48" s="10"/>
      <c r="AA48" s="10"/>
    </row>
    <row r="49">
      <c r="A49" s="61">
        <v>45672.0</v>
      </c>
      <c r="B49" s="51" t="s">
        <v>120</v>
      </c>
      <c r="C49" s="12" t="s">
        <v>11</v>
      </c>
      <c r="D49" s="12">
        <v>30.98</v>
      </c>
      <c r="E49" s="51" t="s">
        <v>14</v>
      </c>
      <c r="F49" s="67">
        <f t="shared" si="3"/>
        <v>6.196</v>
      </c>
      <c r="G49" s="10">
        <f t="shared" si="2"/>
        <v>6.196</v>
      </c>
      <c r="H49" s="1">
        <v>1.0</v>
      </c>
      <c r="I49" s="1">
        <v>1.0</v>
      </c>
      <c r="J49" s="1">
        <v>1.0</v>
      </c>
      <c r="K49" s="1">
        <v>1.0</v>
      </c>
      <c r="N49" s="1">
        <v>1.0</v>
      </c>
      <c r="Z49" s="10"/>
      <c r="AA49" s="10"/>
    </row>
    <row r="50">
      <c r="A50" s="50">
        <v>45673.0</v>
      </c>
      <c r="B50" s="51" t="s">
        <v>120</v>
      </c>
      <c r="C50" s="51" t="s">
        <v>11</v>
      </c>
      <c r="D50" s="51">
        <v>59.4</v>
      </c>
      <c r="E50" s="51" t="s">
        <v>14</v>
      </c>
      <c r="F50" s="10">
        <f t="shared" si="3"/>
        <v>11.88</v>
      </c>
      <c r="G50" s="10">
        <f t="shared" si="2"/>
        <v>11.88</v>
      </c>
      <c r="H50" s="52">
        <v>1.0</v>
      </c>
      <c r="I50" s="52">
        <v>1.0</v>
      </c>
      <c r="J50" s="52">
        <v>1.0</v>
      </c>
      <c r="K50" s="52">
        <v>1.0</v>
      </c>
      <c r="L50" s="54"/>
      <c r="M50" s="54"/>
      <c r="N50" s="52">
        <v>1.0</v>
      </c>
      <c r="Z50" s="10"/>
      <c r="AA50" s="10"/>
    </row>
    <row r="51">
      <c r="A51" s="55">
        <v>45674.0</v>
      </c>
      <c r="B51" s="12" t="s">
        <v>132</v>
      </c>
      <c r="C51" s="12" t="s">
        <v>11</v>
      </c>
      <c r="D51" s="12">
        <v>4.25</v>
      </c>
      <c r="E51" s="51" t="s">
        <v>8</v>
      </c>
      <c r="F51" s="10">
        <f t="shared" si="3"/>
        <v>4.25</v>
      </c>
      <c r="G51" s="10">
        <f t="shared" si="2"/>
        <v>4.25</v>
      </c>
      <c r="J51" s="1">
        <v>1.0</v>
      </c>
      <c r="Z51" s="10"/>
      <c r="AA51" s="10"/>
    </row>
    <row r="52">
      <c r="A52" s="55">
        <v>45674.0</v>
      </c>
      <c r="B52" s="51" t="s">
        <v>133</v>
      </c>
      <c r="C52" s="51" t="s">
        <v>11</v>
      </c>
      <c r="D52" s="51">
        <v>16.5</v>
      </c>
      <c r="E52" s="51" t="s">
        <v>8</v>
      </c>
      <c r="F52" s="10">
        <f t="shared" si="3"/>
        <v>16.5</v>
      </c>
      <c r="G52" s="10">
        <f t="shared" si="2"/>
        <v>16.5</v>
      </c>
      <c r="H52" s="54"/>
      <c r="I52" s="54"/>
      <c r="J52" s="54">
        <v>1.0</v>
      </c>
      <c r="K52" s="54"/>
      <c r="L52" s="54"/>
      <c r="M52" s="54"/>
      <c r="N52" s="54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</row>
    <row r="53">
      <c r="A53" s="61">
        <v>45674.0</v>
      </c>
      <c r="B53" s="51" t="s">
        <v>134</v>
      </c>
      <c r="C53" s="51" t="s">
        <v>11</v>
      </c>
      <c r="D53" s="51">
        <v>70.95</v>
      </c>
      <c r="E53" s="51" t="s">
        <v>14</v>
      </c>
      <c r="F53" s="10">
        <f t="shared" si="3"/>
        <v>11.825</v>
      </c>
      <c r="G53" s="10">
        <f t="shared" si="2"/>
        <v>11.825</v>
      </c>
      <c r="H53" s="52">
        <v>1.0</v>
      </c>
      <c r="I53" s="52">
        <v>1.0</v>
      </c>
      <c r="J53" s="52">
        <v>1.0</v>
      </c>
      <c r="K53" s="52">
        <v>1.0</v>
      </c>
      <c r="L53" s="54"/>
      <c r="M53" s="52">
        <v>1.0</v>
      </c>
      <c r="N53" s="52">
        <v>1.0</v>
      </c>
      <c r="Z53" s="10"/>
      <c r="AA53" s="10"/>
    </row>
    <row r="54">
      <c r="A54" s="55">
        <v>45674.0</v>
      </c>
      <c r="B54" s="12" t="s">
        <v>135</v>
      </c>
      <c r="C54" s="12" t="s">
        <v>11</v>
      </c>
      <c r="D54" s="12">
        <f>37</f>
        <v>37</v>
      </c>
      <c r="E54" s="12" t="s">
        <v>14</v>
      </c>
      <c r="F54" s="67">
        <f t="shared" si="3"/>
        <v>9.25</v>
      </c>
      <c r="G54" s="10">
        <f t="shared" si="2"/>
        <v>9.25</v>
      </c>
      <c r="H54" s="1">
        <v>1.0</v>
      </c>
      <c r="J54" s="1">
        <v>1.0</v>
      </c>
      <c r="K54" s="1">
        <v>1.0</v>
      </c>
      <c r="N54" s="1">
        <v>1.0</v>
      </c>
      <c r="Z54" s="10"/>
      <c r="AA54" s="10"/>
    </row>
    <row r="55">
      <c r="A55" s="61">
        <v>45675.0</v>
      </c>
      <c r="B55" s="51" t="s">
        <v>136</v>
      </c>
      <c r="C55" s="12" t="s">
        <v>11</v>
      </c>
      <c r="D55" s="12">
        <v>294.31</v>
      </c>
      <c r="E55" s="51" t="s">
        <v>14</v>
      </c>
      <c r="F55" s="10">
        <f t="shared" si="3"/>
        <v>49.05166667</v>
      </c>
      <c r="G55" s="10">
        <f t="shared" si="2"/>
        <v>49.05166667</v>
      </c>
      <c r="H55" s="1">
        <v>1.0</v>
      </c>
      <c r="I55" s="1">
        <v>1.0</v>
      </c>
      <c r="J55" s="1">
        <v>1.0</v>
      </c>
      <c r="K55" s="1">
        <v>1.0</v>
      </c>
      <c r="M55" s="1">
        <v>1.0</v>
      </c>
      <c r="N55" s="1">
        <v>1.0</v>
      </c>
      <c r="Z55" s="10"/>
      <c r="AA55" s="10"/>
    </row>
    <row r="56">
      <c r="A56" s="61">
        <v>45675.0</v>
      </c>
      <c r="B56" s="51" t="s">
        <v>137</v>
      </c>
      <c r="C56" s="51" t="s">
        <v>29</v>
      </c>
      <c r="D56" s="51">
        <v>110.77</v>
      </c>
      <c r="E56" s="51" t="s">
        <v>8</v>
      </c>
      <c r="F56" s="10">
        <f t="shared" si="3"/>
        <v>15.82428571</v>
      </c>
      <c r="G56" s="10">
        <f t="shared" si="2"/>
        <v>15.82428571</v>
      </c>
      <c r="H56" s="52">
        <v>1.0</v>
      </c>
      <c r="I56" s="52">
        <v>1.0</v>
      </c>
      <c r="J56" s="52">
        <v>1.0</v>
      </c>
      <c r="K56" s="52">
        <v>1.0</v>
      </c>
      <c r="L56" s="54">
        <v>1.0</v>
      </c>
      <c r="M56" s="54">
        <v>1.0</v>
      </c>
      <c r="N56" s="52">
        <v>1.0</v>
      </c>
      <c r="Z56" s="10"/>
      <c r="AA56" s="10"/>
    </row>
    <row r="57">
      <c r="A57" s="55">
        <v>45675.0</v>
      </c>
      <c r="B57" s="12" t="s">
        <v>138</v>
      </c>
      <c r="C57" s="12" t="s">
        <v>139</v>
      </c>
      <c r="D57" s="12">
        <f>23.99*1.13</f>
        <v>27.1087</v>
      </c>
      <c r="E57" s="12" t="s">
        <v>2</v>
      </c>
      <c r="F57" s="10">
        <f t="shared" si="3"/>
        <v>27.1087</v>
      </c>
      <c r="G57" s="10">
        <f t="shared" si="2"/>
        <v>27.1087</v>
      </c>
      <c r="M57" s="1">
        <v>1.0</v>
      </c>
      <c r="Z57" s="10"/>
      <c r="AA57" s="10"/>
    </row>
    <row r="58">
      <c r="A58" s="59">
        <v>45675.0</v>
      </c>
      <c r="B58" s="12" t="s">
        <v>140</v>
      </c>
      <c r="C58" s="12" t="s">
        <v>11</v>
      </c>
      <c r="D58" s="12">
        <v>11.38</v>
      </c>
      <c r="E58" s="12" t="s">
        <v>14</v>
      </c>
      <c r="F58" s="10">
        <f t="shared" si="3"/>
        <v>5.69</v>
      </c>
      <c r="G58" s="10">
        <f t="shared" si="2"/>
        <v>5.69</v>
      </c>
      <c r="H58" s="1">
        <v>1.0</v>
      </c>
      <c r="I58" s="1">
        <v>1.0</v>
      </c>
      <c r="Z58" s="10"/>
      <c r="AA58" s="10"/>
    </row>
    <row r="59">
      <c r="A59" s="59">
        <v>45675.0</v>
      </c>
      <c r="B59" s="12" t="s">
        <v>140</v>
      </c>
      <c r="C59" s="12" t="s">
        <v>11</v>
      </c>
      <c r="D59" s="12">
        <v>11.38</v>
      </c>
      <c r="E59" s="12" t="s">
        <v>14</v>
      </c>
      <c r="F59" s="10">
        <f t="shared" si="3"/>
        <v>5.69</v>
      </c>
      <c r="G59" s="10">
        <f t="shared" si="2"/>
        <v>5.69</v>
      </c>
      <c r="J59" s="1">
        <v>1.0</v>
      </c>
      <c r="K59" s="1">
        <v>1.0</v>
      </c>
      <c r="Z59" s="10"/>
      <c r="AA59" s="10"/>
    </row>
    <row r="60">
      <c r="A60" s="61">
        <v>45676.0</v>
      </c>
      <c r="B60" s="51" t="s">
        <v>141</v>
      </c>
      <c r="C60" s="51" t="s">
        <v>11</v>
      </c>
      <c r="D60" s="63">
        <v>120.73</v>
      </c>
      <c r="E60" s="51" t="s">
        <v>13</v>
      </c>
      <c r="F60" s="10">
        <f t="shared" si="3"/>
        <v>20.12166667</v>
      </c>
      <c r="G60" s="10">
        <f t="shared" si="2"/>
        <v>20.12166667</v>
      </c>
      <c r="H60" s="52">
        <v>1.0</v>
      </c>
      <c r="I60" s="52">
        <v>1.0</v>
      </c>
      <c r="J60" s="52">
        <v>1.0</v>
      </c>
      <c r="K60" s="52">
        <v>1.0</v>
      </c>
      <c r="L60" s="54"/>
      <c r="M60" s="54">
        <v>1.0</v>
      </c>
      <c r="N60" s="52">
        <v>1.0</v>
      </c>
      <c r="Z60" s="10"/>
      <c r="AA60" s="10"/>
    </row>
    <row r="61">
      <c r="A61" s="59">
        <v>45676.0</v>
      </c>
      <c r="B61" s="12" t="s">
        <v>142</v>
      </c>
      <c r="C61" s="12" t="s">
        <v>11</v>
      </c>
      <c r="D61" s="12">
        <v>75.0</v>
      </c>
      <c r="E61" s="12" t="s">
        <v>14</v>
      </c>
      <c r="F61" s="10">
        <f t="shared" si="3"/>
        <v>15</v>
      </c>
      <c r="G61" s="10">
        <f t="shared" si="2"/>
        <v>15</v>
      </c>
      <c r="H61" s="1">
        <v>1.0</v>
      </c>
      <c r="I61" s="1">
        <v>1.0</v>
      </c>
      <c r="J61" s="1">
        <v>1.0</v>
      </c>
      <c r="K61" s="1">
        <v>1.0</v>
      </c>
      <c r="M61" s="1">
        <v>1.0</v>
      </c>
      <c r="Z61" s="10"/>
      <c r="AA61" s="10"/>
    </row>
    <row r="62">
      <c r="A62" s="59">
        <v>45677.0</v>
      </c>
      <c r="B62" s="12" t="s">
        <v>120</v>
      </c>
      <c r="C62" s="12" t="s">
        <v>11</v>
      </c>
      <c r="D62" s="12">
        <v>17.07</v>
      </c>
      <c r="E62" s="12" t="s">
        <v>14</v>
      </c>
      <c r="F62" s="10">
        <f t="shared" si="3"/>
        <v>3.414</v>
      </c>
      <c r="G62" s="10">
        <f t="shared" si="2"/>
        <v>3.414</v>
      </c>
      <c r="H62" s="1">
        <v>1.0</v>
      </c>
      <c r="I62" s="1">
        <v>1.0</v>
      </c>
      <c r="J62" s="1">
        <v>1.0</v>
      </c>
      <c r="K62" s="1">
        <v>1.0</v>
      </c>
      <c r="N62" s="1">
        <v>1.0</v>
      </c>
      <c r="Z62" s="10"/>
      <c r="AA62" s="10"/>
    </row>
    <row r="63">
      <c r="A63" s="50">
        <v>45678.0</v>
      </c>
      <c r="B63" s="51" t="s">
        <v>120</v>
      </c>
      <c r="C63" s="51" t="s">
        <v>11</v>
      </c>
      <c r="D63" s="51">
        <v>20.91</v>
      </c>
      <c r="E63" s="51" t="s">
        <v>14</v>
      </c>
      <c r="F63" s="67">
        <f t="shared" si="3"/>
        <v>4.182</v>
      </c>
      <c r="G63" s="10">
        <f t="shared" si="2"/>
        <v>4.182</v>
      </c>
      <c r="H63" s="52">
        <v>1.0</v>
      </c>
      <c r="I63" s="52">
        <v>1.0</v>
      </c>
      <c r="J63" s="52">
        <v>1.0</v>
      </c>
      <c r="K63" s="52">
        <v>1.0</v>
      </c>
      <c r="L63" s="54"/>
      <c r="M63" s="54"/>
      <c r="N63" s="52">
        <v>1.0</v>
      </c>
      <c r="Z63" s="10"/>
      <c r="AA63" s="10"/>
    </row>
    <row r="64">
      <c r="A64" s="61">
        <v>45678.0</v>
      </c>
      <c r="B64" s="51" t="s">
        <v>47</v>
      </c>
      <c r="C64" s="12" t="s">
        <v>11</v>
      </c>
      <c r="D64" s="12">
        <v>36.7</v>
      </c>
      <c r="E64" s="51" t="s">
        <v>14</v>
      </c>
      <c r="F64" s="10">
        <f t="shared" si="3"/>
        <v>7.34</v>
      </c>
      <c r="G64" s="10">
        <f t="shared" si="2"/>
        <v>7.34</v>
      </c>
      <c r="H64" s="1">
        <v>1.0</v>
      </c>
      <c r="I64" s="1">
        <v>1.0</v>
      </c>
      <c r="J64" s="1">
        <v>1.0</v>
      </c>
      <c r="K64" s="1">
        <v>1.0</v>
      </c>
      <c r="N64" s="1">
        <v>1.0</v>
      </c>
      <c r="Z64" s="10"/>
      <c r="AA64" s="10"/>
    </row>
    <row r="65">
      <c r="A65" s="55">
        <v>45679.0</v>
      </c>
      <c r="B65" s="12" t="s">
        <v>120</v>
      </c>
      <c r="C65" s="12" t="s">
        <v>11</v>
      </c>
      <c r="D65" s="12">
        <v>17.51</v>
      </c>
      <c r="E65" s="51" t="s">
        <v>14</v>
      </c>
      <c r="F65" s="10">
        <f t="shared" si="3"/>
        <v>3.502</v>
      </c>
      <c r="G65" s="10">
        <f t="shared" si="2"/>
        <v>3.502</v>
      </c>
      <c r="H65" s="1">
        <v>1.0</v>
      </c>
      <c r="I65" s="1">
        <v>1.0</v>
      </c>
      <c r="J65" s="1">
        <v>1.0</v>
      </c>
      <c r="K65" s="1">
        <v>1.0</v>
      </c>
      <c r="N65" s="1">
        <v>1.0</v>
      </c>
      <c r="Z65" s="10"/>
      <c r="AA65" s="10"/>
    </row>
    <row r="66">
      <c r="A66" s="55">
        <v>45679.0</v>
      </c>
      <c r="B66" s="12" t="s">
        <v>143</v>
      </c>
      <c r="C66" s="12" t="s">
        <v>11</v>
      </c>
      <c r="D66" s="12">
        <v>6.97</v>
      </c>
      <c r="E66" s="12" t="s">
        <v>14</v>
      </c>
      <c r="F66" s="10">
        <f t="shared" si="3"/>
        <v>1.394</v>
      </c>
      <c r="G66" s="10">
        <f t="shared" si="2"/>
        <v>1.394</v>
      </c>
      <c r="H66" s="1">
        <v>1.0</v>
      </c>
      <c r="I66" s="1">
        <v>1.0</v>
      </c>
      <c r="J66" s="1">
        <v>1.0</v>
      </c>
      <c r="K66" s="1">
        <v>1.0</v>
      </c>
      <c r="N66" s="1">
        <v>1.0</v>
      </c>
      <c r="Z66" s="10"/>
      <c r="AA66" s="10"/>
    </row>
    <row r="67">
      <c r="A67" s="61">
        <v>45680.0</v>
      </c>
      <c r="B67" s="51" t="s">
        <v>144</v>
      </c>
      <c r="C67" s="51" t="s">
        <v>11</v>
      </c>
      <c r="D67" s="63">
        <v>205.0</v>
      </c>
      <c r="E67" s="51" t="s">
        <v>4</v>
      </c>
      <c r="F67" s="10">
        <f t="shared" si="3"/>
        <v>41</v>
      </c>
      <c r="G67" s="10">
        <f t="shared" si="2"/>
        <v>41</v>
      </c>
      <c r="H67" s="52">
        <v>1.0</v>
      </c>
      <c r="I67" s="52">
        <v>1.0</v>
      </c>
      <c r="J67" s="52">
        <v>1.0</v>
      </c>
      <c r="K67" s="52">
        <v>1.0</v>
      </c>
      <c r="L67" s="53"/>
      <c r="M67" s="53"/>
      <c r="N67" s="52">
        <v>1.0</v>
      </c>
      <c r="Z67" s="10"/>
      <c r="AA67" s="10"/>
    </row>
    <row r="68">
      <c r="A68" s="61">
        <v>45680.0</v>
      </c>
      <c r="B68" s="51" t="s">
        <v>144</v>
      </c>
      <c r="C68" s="51" t="s">
        <v>11</v>
      </c>
      <c r="D68" s="63">
        <v>10.0</v>
      </c>
      <c r="E68" s="51" t="s">
        <v>14</v>
      </c>
      <c r="F68" s="10">
        <f t="shared" si="3"/>
        <v>2</v>
      </c>
      <c r="G68" s="10">
        <f t="shared" si="2"/>
        <v>2</v>
      </c>
      <c r="H68" s="52">
        <v>1.0</v>
      </c>
      <c r="I68" s="52">
        <v>1.0</v>
      </c>
      <c r="J68" s="52">
        <v>1.0</v>
      </c>
      <c r="K68" s="52">
        <v>1.0</v>
      </c>
      <c r="L68" s="53"/>
      <c r="M68" s="53"/>
      <c r="N68" s="52">
        <v>1.0</v>
      </c>
      <c r="Z68" s="10"/>
      <c r="AA68" s="10"/>
    </row>
    <row r="69">
      <c r="A69" s="59">
        <v>45681.0</v>
      </c>
      <c r="B69" s="12" t="s">
        <v>120</v>
      </c>
      <c r="C69" s="12" t="s">
        <v>11</v>
      </c>
      <c r="D69" s="12">
        <v>30.96</v>
      </c>
      <c r="E69" s="51" t="s">
        <v>14</v>
      </c>
      <c r="F69" s="10">
        <f t="shared" si="3"/>
        <v>10.32</v>
      </c>
      <c r="G69" s="10">
        <f t="shared" si="2"/>
        <v>10.32</v>
      </c>
      <c r="J69" s="1">
        <v>1.0</v>
      </c>
      <c r="K69" s="1">
        <v>1.0</v>
      </c>
      <c r="N69" s="1">
        <v>1.0</v>
      </c>
      <c r="Z69" s="10"/>
      <c r="AA69" s="10"/>
    </row>
    <row r="70">
      <c r="A70" s="55">
        <v>45682.0</v>
      </c>
      <c r="B70" s="12" t="s">
        <v>120</v>
      </c>
      <c r="C70" s="12" t="s">
        <v>11</v>
      </c>
      <c r="D70" s="12">
        <v>33.92</v>
      </c>
      <c r="E70" s="51" t="s">
        <v>2</v>
      </c>
      <c r="F70" s="10">
        <f t="shared" si="3"/>
        <v>8.48</v>
      </c>
      <c r="G70" s="10">
        <f t="shared" si="2"/>
        <v>8.48</v>
      </c>
      <c r="H70" s="1">
        <v>1.0</v>
      </c>
      <c r="I70" s="1">
        <v>1.0</v>
      </c>
      <c r="J70" s="1">
        <v>1.0</v>
      </c>
      <c r="K70" s="1">
        <v>1.0</v>
      </c>
      <c r="Z70" s="10"/>
      <c r="AA70" s="10"/>
    </row>
    <row r="71">
      <c r="A71" s="55">
        <v>45683.0</v>
      </c>
      <c r="B71" s="12" t="s">
        <v>90</v>
      </c>
      <c r="C71" s="12" t="s">
        <v>11</v>
      </c>
      <c r="D71" s="12">
        <v>102.65</v>
      </c>
      <c r="E71" s="12" t="s">
        <v>14</v>
      </c>
      <c r="F71" s="10">
        <f t="shared" si="3"/>
        <v>25.6625</v>
      </c>
      <c r="G71" s="10">
        <f t="shared" si="2"/>
        <v>25.6625</v>
      </c>
      <c r="H71" s="1">
        <v>1.0</v>
      </c>
      <c r="I71" s="1">
        <v>1.0</v>
      </c>
      <c r="J71" s="1">
        <v>1.0</v>
      </c>
      <c r="K71" s="1">
        <v>1.0</v>
      </c>
      <c r="Z71" s="10"/>
      <c r="AA71" s="10"/>
    </row>
    <row r="72">
      <c r="A72" s="59">
        <v>45683.0</v>
      </c>
      <c r="B72" s="12" t="s">
        <v>145</v>
      </c>
      <c r="C72" s="12" t="s">
        <v>11</v>
      </c>
      <c r="D72" s="12">
        <v>38.0</v>
      </c>
      <c r="E72" s="12" t="s">
        <v>4</v>
      </c>
      <c r="F72" s="10">
        <f t="shared" si="3"/>
        <v>12.66666667</v>
      </c>
      <c r="G72" s="10">
        <f t="shared" si="2"/>
        <v>12.66666667</v>
      </c>
      <c r="H72" s="1">
        <v>1.0</v>
      </c>
      <c r="I72" s="1">
        <v>1.0</v>
      </c>
      <c r="J72" s="1">
        <v>1.0</v>
      </c>
      <c r="T72" s="18"/>
      <c r="U72" s="18"/>
      <c r="V72" s="18"/>
      <c r="W72" s="18"/>
      <c r="Z72" s="10"/>
      <c r="AA72" s="10"/>
    </row>
    <row r="73">
      <c r="A73" s="55">
        <v>45683.0</v>
      </c>
      <c r="B73" s="12" t="s">
        <v>146</v>
      </c>
      <c r="C73" s="12" t="s">
        <v>27</v>
      </c>
      <c r="D73" s="12">
        <v>180.8</v>
      </c>
      <c r="E73" s="12" t="s">
        <v>14</v>
      </c>
      <c r="F73" s="67">
        <f t="shared" si="3"/>
        <v>45.2</v>
      </c>
      <c r="G73" s="10">
        <f t="shared" si="2"/>
        <v>45.2</v>
      </c>
      <c r="H73" s="1">
        <v>1.0</v>
      </c>
      <c r="I73" s="1">
        <v>1.0</v>
      </c>
      <c r="J73" s="1">
        <v>1.0</v>
      </c>
      <c r="K73" s="1">
        <v>1.0</v>
      </c>
      <c r="Z73" s="10"/>
      <c r="AA73" s="10"/>
    </row>
    <row r="74">
      <c r="A74" s="55">
        <v>45684.0</v>
      </c>
      <c r="B74" s="12" t="s">
        <v>120</v>
      </c>
      <c r="C74" s="12" t="s">
        <v>11</v>
      </c>
      <c r="D74" s="12">
        <v>27.33</v>
      </c>
      <c r="E74" s="12" t="s">
        <v>14</v>
      </c>
      <c r="F74" s="10">
        <f t="shared" si="3"/>
        <v>5.466</v>
      </c>
      <c r="G74" s="10">
        <f t="shared" si="2"/>
        <v>5.466</v>
      </c>
      <c r="H74" s="1">
        <v>1.0</v>
      </c>
      <c r="I74" s="1">
        <v>1.0</v>
      </c>
      <c r="J74" s="1">
        <v>1.0</v>
      </c>
      <c r="K74" s="1">
        <v>1.0</v>
      </c>
      <c r="N74" s="1">
        <v>1.0</v>
      </c>
      <c r="Z74" s="10"/>
      <c r="AA74" s="10"/>
    </row>
    <row r="75">
      <c r="A75" s="59">
        <v>45684.0</v>
      </c>
      <c r="B75" s="12" t="s">
        <v>147</v>
      </c>
      <c r="C75" s="51" t="s">
        <v>11</v>
      </c>
      <c r="D75" s="12">
        <v>27.0</v>
      </c>
      <c r="E75" s="12" t="s">
        <v>14</v>
      </c>
      <c r="F75" s="67">
        <f t="shared" si="3"/>
        <v>5.4</v>
      </c>
      <c r="G75" s="10">
        <f t="shared" si="2"/>
        <v>5.4</v>
      </c>
      <c r="H75" s="1">
        <v>1.0</v>
      </c>
      <c r="I75" s="1">
        <v>1.0</v>
      </c>
      <c r="J75" s="1">
        <v>1.0</v>
      </c>
      <c r="K75" s="1">
        <v>1.0</v>
      </c>
      <c r="N75" s="1">
        <v>1.0</v>
      </c>
      <c r="Z75" s="64"/>
      <c r="AA75" s="64"/>
    </row>
    <row r="76">
      <c r="A76" s="50">
        <v>45685.0</v>
      </c>
      <c r="B76" s="51" t="s">
        <v>148</v>
      </c>
      <c r="C76" s="51" t="s">
        <v>11</v>
      </c>
      <c r="D76" s="51">
        <v>19.05</v>
      </c>
      <c r="E76" s="51" t="s">
        <v>14</v>
      </c>
      <c r="F76" s="67">
        <f t="shared" si="3"/>
        <v>6.35</v>
      </c>
      <c r="G76" s="10">
        <f t="shared" si="2"/>
        <v>6.35</v>
      </c>
      <c r="H76" s="52"/>
      <c r="I76" s="52">
        <v>1.0</v>
      </c>
      <c r="J76" s="52"/>
      <c r="K76" s="52">
        <v>1.0</v>
      </c>
      <c r="L76" s="54"/>
      <c r="M76" s="54"/>
      <c r="N76" s="52">
        <v>1.0</v>
      </c>
      <c r="Z76" s="10"/>
      <c r="AA76" s="10"/>
    </row>
    <row r="77">
      <c r="A77" s="50">
        <v>45686.0</v>
      </c>
      <c r="B77" s="51" t="s">
        <v>149</v>
      </c>
      <c r="C77" s="51" t="s">
        <v>11</v>
      </c>
      <c r="D77" s="51">
        <v>14.84</v>
      </c>
      <c r="E77" s="51" t="s">
        <v>14</v>
      </c>
      <c r="F77" s="10">
        <f t="shared" si="3"/>
        <v>2.968</v>
      </c>
      <c r="G77" s="10">
        <f t="shared" si="2"/>
        <v>2.968</v>
      </c>
      <c r="H77" s="54">
        <v>1.0</v>
      </c>
      <c r="I77" s="54">
        <v>1.0</v>
      </c>
      <c r="J77" s="54">
        <v>1.0</v>
      </c>
      <c r="K77" s="54">
        <v>1.0</v>
      </c>
      <c r="L77" s="54"/>
      <c r="M77" s="54"/>
      <c r="N77" s="54">
        <v>1.0</v>
      </c>
      <c r="O77" s="54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</row>
    <row r="78">
      <c r="A78" s="50">
        <v>45686.0</v>
      </c>
      <c r="B78" s="51" t="s">
        <v>150</v>
      </c>
      <c r="C78" s="51" t="s">
        <v>11</v>
      </c>
      <c r="D78" s="51">
        <v>25.99</v>
      </c>
      <c r="E78" s="51" t="s">
        <v>14</v>
      </c>
      <c r="F78" s="65">
        <f t="shared" si="3"/>
        <v>5.198</v>
      </c>
      <c r="G78" s="65">
        <f t="shared" si="2"/>
        <v>5.198</v>
      </c>
      <c r="H78" s="54">
        <v>1.0</v>
      </c>
      <c r="I78" s="54">
        <v>1.0</v>
      </c>
      <c r="J78" s="54">
        <v>1.0</v>
      </c>
      <c r="K78" s="54">
        <v>1.0</v>
      </c>
      <c r="L78" s="54"/>
      <c r="M78" s="54"/>
      <c r="N78" s="54">
        <v>1.0</v>
      </c>
      <c r="O78" s="54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</row>
    <row r="79">
      <c r="A79" s="50">
        <v>45686.0</v>
      </c>
      <c r="B79" s="51" t="s">
        <v>151</v>
      </c>
      <c r="C79" s="51" t="s">
        <v>23</v>
      </c>
      <c r="D79" s="63">
        <f>23.99*1.13</f>
        <v>27.1087</v>
      </c>
      <c r="E79" s="51" t="s">
        <v>14</v>
      </c>
      <c r="F79" s="10">
        <f t="shared" si="3"/>
        <v>5.42174</v>
      </c>
      <c r="G79" s="10">
        <f t="shared" si="2"/>
        <v>5.42174</v>
      </c>
      <c r="H79" s="52">
        <v>1.0</v>
      </c>
      <c r="I79" s="52">
        <v>1.0</v>
      </c>
      <c r="J79" s="52">
        <v>1.0</v>
      </c>
      <c r="K79" s="52">
        <v>1.0</v>
      </c>
      <c r="L79" s="53"/>
      <c r="M79" s="54"/>
      <c r="N79" s="52">
        <v>1.0</v>
      </c>
      <c r="Z79" s="10"/>
      <c r="AA79" s="10"/>
    </row>
    <row r="80">
      <c r="A80" s="59">
        <v>45686.0</v>
      </c>
      <c r="B80" s="12" t="s">
        <v>152</v>
      </c>
      <c r="C80" s="12" t="s">
        <v>11</v>
      </c>
      <c r="D80" s="12">
        <v>24.99</v>
      </c>
      <c r="E80" s="51" t="s">
        <v>14</v>
      </c>
      <c r="F80" s="10">
        <f t="shared" si="3"/>
        <v>12.495</v>
      </c>
      <c r="G80" s="10">
        <f t="shared" si="2"/>
        <v>12.495</v>
      </c>
      <c r="J80" s="1">
        <v>1.0</v>
      </c>
      <c r="K80" s="1">
        <v>1.0</v>
      </c>
      <c r="Z80" s="10"/>
      <c r="AA80" s="10"/>
    </row>
    <row r="81">
      <c r="A81" s="59">
        <v>45686.0</v>
      </c>
      <c r="B81" s="12" t="s">
        <v>153</v>
      </c>
      <c r="C81" s="12" t="s">
        <v>11</v>
      </c>
      <c r="D81" s="12">
        <v>28.99</v>
      </c>
      <c r="E81" s="51" t="s">
        <v>14</v>
      </c>
      <c r="F81" s="10">
        <f t="shared" si="3"/>
        <v>28.99</v>
      </c>
      <c r="G81" s="10">
        <f t="shared" si="2"/>
        <v>28.99</v>
      </c>
      <c r="J81" s="1">
        <v>1.0</v>
      </c>
      <c r="Z81" s="10"/>
      <c r="AA81" s="10"/>
    </row>
    <row r="82">
      <c r="A82" s="50">
        <v>45686.0</v>
      </c>
      <c r="B82" s="51" t="s">
        <v>154</v>
      </c>
      <c r="C82" s="51" t="s">
        <v>11</v>
      </c>
      <c r="D82" s="51">
        <v>11.49</v>
      </c>
      <c r="E82" s="51" t="s">
        <v>14</v>
      </c>
      <c r="F82" s="67">
        <f t="shared" si="3"/>
        <v>2.298</v>
      </c>
      <c r="G82" s="10">
        <f t="shared" si="2"/>
        <v>2.298</v>
      </c>
      <c r="H82" s="52">
        <v>1.0</v>
      </c>
      <c r="I82" s="52">
        <v>1.0</v>
      </c>
      <c r="J82" s="52">
        <v>1.0</v>
      </c>
      <c r="K82" s="52">
        <v>1.0</v>
      </c>
      <c r="L82" s="54"/>
      <c r="M82" s="54"/>
      <c r="N82" s="52">
        <v>1.0</v>
      </c>
      <c r="Z82" s="10"/>
      <c r="AA82" s="10"/>
    </row>
    <row r="83">
      <c r="A83" s="61">
        <v>45686.0</v>
      </c>
      <c r="B83" s="51" t="s">
        <v>155</v>
      </c>
      <c r="C83" s="12" t="s">
        <v>11</v>
      </c>
      <c r="D83" s="12">
        <v>93.0</v>
      </c>
      <c r="E83" s="51" t="s">
        <v>14</v>
      </c>
      <c r="F83" s="10">
        <f t="shared" si="3"/>
        <v>18.6</v>
      </c>
      <c r="G83" s="10">
        <f t="shared" si="2"/>
        <v>18.6</v>
      </c>
      <c r="H83" s="1">
        <v>1.0</v>
      </c>
      <c r="I83" s="1">
        <v>1.0</v>
      </c>
      <c r="J83" s="1">
        <v>1.0</v>
      </c>
      <c r="K83" s="1">
        <v>1.0</v>
      </c>
      <c r="N83" s="1">
        <v>1.0</v>
      </c>
      <c r="Z83" s="10"/>
      <c r="AA83" s="10"/>
    </row>
    <row r="84">
      <c r="A84" s="61">
        <v>45686.0</v>
      </c>
      <c r="B84" s="12" t="s">
        <v>134</v>
      </c>
      <c r="C84" s="12" t="s">
        <v>11</v>
      </c>
      <c r="D84" s="12">
        <v>45.95</v>
      </c>
      <c r="E84" s="12" t="s">
        <v>2</v>
      </c>
      <c r="F84" s="67">
        <f t="shared" si="3"/>
        <v>9.19</v>
      </c>
      <c r="G84" s="10">
        <f t="shared" si="2"/>
        <v>9.19</v>
      </c>
      <c r="H84" s="1">
        <v>1.0</v>
      </c>
      <c r="I84" s="1">
        <v>1.0</v>
      </c>
      <c r="J84" s="1">
        <v>1.0</v>
      </c>
      <c r="K84" s="1">
        <v>1.0</v>
      </c>
      <c r="N84" s="1">
        <v>1.0</v>
      </c>
      <c r="Z84" s="10"/>
      <c r="AA84" s="10"/>
    </row>
    <row r="85">
      <c r="A85" s="55">
        <v>45609.0</v>
      </c>
      <c r="B85" s="12" t="s">
        <v>156</v>
      </c>
      <c r="C85" s="12" t="s">
        <v>11</v>
      </c>
      <c r="D85" s="12">
        <v>60.23</v>
      </c>
      <c r="E85" s="51" t="s">
        <v>14</v>
      </c>
      <c r="F85" s="67">
        <f t="shared" si="3"/>
        <v>10.03833333</v>
      </c>
      <c r="G85" s="10">
        <f t="shared" si="2"/>
        <v>10.03833333</v>
      </c>
      <c r="H85" s="1">
        <v>1.0</v>
      </c>
      <c r="J85" s="1">
        <v>1.0</v>
      </c>
      <c r="K85" s="1">
        <v>1.0</v>
      </c>
      <c r="L85" s="1">
        <v>1.0</v>
      </c>
      <c r="M85" s="1">
        <v>1.0</v>
      </c>
      <c r="N85" s="1">
        <v>1.0</v>
      </c>
      <c r="Z85" s="10"/>
      <c r="AA85" s="10"/>
    </row>
    <row r="86">
      <c r="A86" s="59"/>
      <c r="B86" s="12"/>
      <c r="C86" s="12"/>
      <c r="D86" s="12"/>
      <c r="E86" s="12"/>
      <c r="F86" s="67" t="str">
        <f t="shared" si="3"/>
        <v>#DIV/0!</v>
      </c>
      <c r="G86" s="10" t="str">
        <f t="shared" si="2"/>
        <v>#DIV/0!</v>
      </c>
      <c r="Z86" s="10"/>
      <c r="AA86" s="10"/>
    </row>
    <row r="87">
      <c r="A87" s="59"/>
      <c r="B87" s="12"/>
      <c r="C87" s="51"/>
      <c r="D87" s="12"/>
      <c r="E87" s="12"/>
      <c r="F87" s="67" t="str">
        <f t="shared" si="3"/>
        <v>#DIV/0!</v>
      </c>
      <c r="G87" s="10" t="str">
        <f t="shared" si="2"/>
        <v>#DIV/0!</v>
      </c>
      <c r="Z87" s="64"/>
      <c r="AA87" s="64"/>
    </row>
    <row r="88">
      <c r="A88" s="59"/>
      <c r="B88" s="12"/>
      <c r="C88" s="51"/>
      <c r="D88" s="12"/>
      <c r="E88" s="12"/>
      <c r="F88" s="67" t="str">
        <f t="shared" si="3"/>
        <v>#DIV/0!</v>
      </c>
      <c r="G88" s="10" t="str">
        <f t="shared" si="2"/>
        <v>#DIV/0!</v>
      </c>
      <c r="Z88" s="64"/>
      <c r="AA88" s="64"/>
    </row>
    <row r="89">
      <c r="A89" s="59"/>
      <c r="B89" s="12"/>
      <c r="C89" s="51"/>
      <c r="D89" s="12"/>
      <c r="E89" s="12"/>
      <c r="F89" s="67" t="str">
        <f t="shared" si="3"/>
        <v>#DIV/0!</v>
      </c>
      <c r="G89" s="10" t="str">
        <f t="shared" si="2"/>
        <v>#DIV/0!</v>
      </c>
      <c r="Z89" s="64"/>
      <c r="AA89" s="64"/>
    </row>
    <row r="90">
      <c r="A90" s="55"/>
      <c r="B90" s="12"/>
      <c r="C90" s="12"/>
      <c r="D90" s="12"/>
      <c r="E90" s="12"/>
      <c r="F90" s="67" t="str">
        <f t="shared" si="3"/>
        <v>#DIV/0!</v>
      </c>
      <c r="G90" s="10" t="str">
        <f t="shared" si="2"/>
        <v>#DIV/0!</v>
      </c>
      <c r="Z90" s="10"/>
      <c r="AA90" s="10"/>
    </row>
    <row r="91">
      <c r="A91" s="59"/>
      <c r="B91" s="12"/>
      <c r="C91" s="12"/>
      <c r="D91" s="12"/>
      <c r="E91" s="12"/>
      <c r="F91" s="67" t="str">
        <f t="shared" si="3"/>
        <v>#DIV/0!</v>
      </c>
      <c r="G91" s="10" t="str">
        <f t="shared" si="2"/>
        <v>#DIV/0!</v>
      </c>
      <c r="Z91" s="10"/>
      <c r="AA91" s="10"/>
    </row>
    <row r="92">
      <c r="A92" s="59"/>
      <c r="B92" s="12"/>
      <c r="C92" s="12"/>
      <c r="D92" s="12"/>
      <c r="E92" s="12"/>
      <c r="F92" s="67" t="str">
        <f t="shared" si="3"/>
        <v>#DIV/0!</v>
      </c>
      <c r="G92" s="10" t="str">
        <f t="shared" si="2"/>
        <v>#DIV/0!</v>
      </c>
      <c r="Z92" s="10"/>
      <c r="AA92" s="10"/>
    </row>
    <row r="93">
      <c r="A93" s="59"/>
      <c r="B93" s="12"/>
      <c r="C93" s="12"/>
      <c r="D93" s="12"/>
      <c r="E93" s="12"/>
      <c r="F93" s="67" t="str">
        <f t="shared" si="3"/>
        <v>#DIV/0!</v>
      </c>
      <c r="G93" s="10" t="str">
        <f t="shared" si="2"/>
        <v>#DIV/0!</v>
      </c>
      <c r="Z93" s="10"/>
      <c r="AA93" s="10"/>
    </row>
    <row r="94">
      <c r="A94" s="55"/>
      <c r="B94" s="12"/>
      <c r="C94" s="12"/>
      <c r="D94" s="12"/>
      <c r="E94" s="12"/>
      <c r="F94" s="67" t="str">
        <f t="shared" si="3"/>
        <v>#DIV/0!</v>
      </c>
      <c r="G94" s="10" t="str">
        <f t="shared" si="2"/>
        <v>#DIV/0!</v>
      </c>
      <c r="Z94" s="10"/>
      <c r="AA94" s="10"/>
    </row>
    <row r="95">
      <c r="A95" s="55"/>
      <c r="B95" s="51"/>
      <c r="C95" s="51"/>
      <c r="D95" s="51"/>
      <c r="E95" s="12"/>
      <c r="F95" s="67" t="str">
        <f t="shared" si="3"/>
        <v>#DIV/0!</v>
      </c>
      <c r="G95" s="10" t="str">
        <f t="shared" si="2"/>
        <v>#DIV/0!</v>
      </c>
      <c r="H95" s="52"/>
      <c r="I95" s="52"/>
      <c r="J95" s="52"/>
      <c r="K95" s="52"/>
      <c r="L95" s="53"/>
      <c r="M95" s="54"/>
      <c r="N95" s="52"/>
      <c r="O95" s="54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</row>
    <row r="96">
      <c r="A96" s="55"/>
      <c r="B96" s="12"/>
      <c r="C96" s="12"/>
      <c r="D96" s="12"/>
      <c r="E96" s="12"/>
      <c r="F96" s="67" t="str">
        <f t="shared" si="3"/>
        <v>#DIV/0!</v>
      </c>
      <c r="G96" s="10" t="str">
        <f t="shared" si="2"/>
        <v>#DIV/0!</v>
      </c>
      <c r="Z96" s="10"/>
      <c r="AA96" s="10"/>
    </row>
    <row r="97">
      <c r="A97" s="59"/>
      <c r="B97" s="12"/>
      <c r="C97" s="12"/>
      <c r="D97" s="12"/>
      <c r="E97" s="12"/>
      <c r="F97" s="67" t="str">
        <f t="shared" si="3"/>
        <v>#DIV/0!</v>
      </c>
      <c r="G97" s="10" t="str">
        <f t="shared" si="2"/>
        <v>#DIV/0!</v>
      </c>
      <c r="Z97" s="10"/>
      <c r="AA97" s="10"/>
    </row>
    <row r="98">
      <c r="A98" s="61"/>
      <c r="B98" s="12"/>
      <c r="C98" s="12"/>
      <c r="D98" s="12"/>
      <c r="E98" s="12"/>
      <c r="F98" s="67" t="str">
        <f t="shared" si="3"/>
        <v>#DIV/0!</v>
      </c>
      <c r="G98" s="10" t="str">
        <f t="shared" si="2"/>
        <v>#DIV/0!</v>
      </c>
      <c r="Z98" s="10"/>
      <c r="AA98" s="10"/>
    </row>
    <row r="99">
      <c r="A99" s="61"/>
      <c r="B99" s="12"/>
      <c r="C99" s="12"/>
      <c r="D99" s="12"/>
      <c r="E99" s="12"/>
      <c r="F99" s="67" t="str">
        <f t="shared" si="3"/>
        <v>#DIV/0!</v>
      </c>
      <c r="G99" s="10" t="str">
        <f t="shared" si="2"/>
        <v>#DIV/0!</v>
      </c>
      <c r="Z99" s="10"/>
      <c r="AA99" s="10"/>
    </row>
    <row r="100">
      <c r="A100" s="59"/>
      <c r="B100" s="12"/>
      <c r="C100" s="12"/>
      <c r="D100" s="12"/>
      <c r="E100" s="12"/>
      <c r="F100" s="67" t="str">
        <f t="shared" si="3"/>
        <v>#DIV/0!</v>
      </c>
      <c r="G100" s="10" t="str">
        <f t="shared" si="2"/>
        <v>#DIV/0!</v>
      </c>
      <c r="Z100" s="10"/>
      <c r="AA100" s="10"/>
    </row>
    <row r="101">
      <c r="A101" s="59"/>
      <c r="B101" s="12"/>
      <c r="C101" s="12"/>
      <c r="D101" s="12"/>
      <c r="E101" s="12"/>
      <c r="F101" s="67" t="str">
        <f t="shared" si="3"/>
        <v>#DIV/0!</v>
      </c>
      <c r="G101" s="10" t="str">
        <f t="shared" si="2"/>
        <v>#DIV/0!</v>
      </c>
      <c r="Z101" s="10"/>
      <c r="AA101" s="10"/>
    </row>
    <row r="102">
      <c r="A102" s="59"/>
      <c r="B102" s="12"/>
      <c r="C102" s="12"/>
      <c r="D102" s="12"/>
      <c r="E102" s="12"/>
      <c r="F102" s="67" t="str">
        <f t="shared" si="3"/>
        <v>#DIV/0!</v>
      </c>
      <c r="G102" s="10" t="str">
        <f t="shared" si="2"/>
        <v>#DIV/0!</v>
      </c>
      <c r="Z102" s="10"/>
      <c r="AA102" s="10"/>
    </row>
    <row r="103">
      <c r="A103" s="59"/>
      <c r="B103" s="12"/>
      <c r="C103" s="12"/>
      <c r="D103" s="12"/>
      <c r="E103" s="12"/>
      <c r="F103" s="67" t="str">
        <f t="shared" si="3"/>
        <v>#DIV/0!</v>
      </c>
      <c r="G103" s="10" t="str">
        <f t="shared" si="2"/>
        <v>#DIV/0!</v>
      </c>
      <c r="Z103" s="10"/>
      <c r="AA103" s="10"/>
    </row>
    <row r="104">
      <c r="A104" s="12"/>
      <c r="B104" s="12"/>
      <c r="C104" s="12"/>
      <c r="D104" s="12"/>
      <c r="E104" s="12"/>
      <c r="F104" s="67" t="str">
        <f t="shared" si="3"/>
        <v>#DIV/0!</v>
      </c>
      <c r="G104" s="10" t="str">
        <f t="shared" si="2"/>
        <v>#DIV/0!</v>
      </c>
      <c r="Z104" s="10"/>
      <c r="AA104" s="10"/>
    </row>
    <row r="105">
      <c r="A105" s="61"/>
      <c r="B105" s="51"/>
      <c r="C105" s="51"/>
      <c r="D105" s="51"/>
      <c r="E105" s="51"/>
      <c r="F105" s="10" t="str">
        <f t="shared" si="3"/>
        <v>#DIV/0!</v>
      </c>
      <c r="G105" s="10" t="str">
        <f t="shared" si="2"/>
        <v>#DIV/0!</v>
      </c>
      <c r="H105" s="52"/>
      <c r="I105" s="52"/>
      <c r="J105" s="52"/>
      <c r="K105" s="52"/>
      <c r="L105" s="53"/>
      <c r="M105" s="53"/>
      <c r="N105" s="52"/>
      <c r="Z105" s="10"/>
      <c r="AA105" s="10"/>
    </row>
    <row r="106">
      <c r="A106" s="59"/>
      <c r="B106" s="12"/>
      <c r="C106" s="12"/>
      <c r="D106" s="12"/>
      <c r="E106" s="12"/>
      <c r="F106" s="10" t="str">
        <f t="shared" si="3"/>
        <v>#DIV/0!</v>
      </c>
      <c r="G106" s="10" t="str">
        <f t="shared" si="2"/>
        <v>#DIV/0!</v>
      </c>
      <c r="Z106" s="10"/>
      <c r="AA106" s="10"/>
    </row>
    <row r="107">
      <c r="A107" s="61"/>
      <c r="B107" s="51"/>
      <c r="C107" s="51"/>
      <c r="D107" s="63"/>
      <c r="E107" s="51"/>
      <c r="F107" s="10" t="str">
        <f t="shared" si="3"/>
        <v>#DIV/0!</v>
      </c>
      <c r="G107" s="10" t="str">
        <f t="shared" si="2"/>
        <v>#DIV/0!</v>
      </c>
      <c r="H107" s="54"/>
      <c r="I107" s="54"/>
      <c r="J107" s="54"/>
      <c r="K107" s="54"/>
      <c r="L107" s="52"/>
      <c r="M107" s="54"/>
      <c r="N107" s="54"/>
      <c r="Z107" s="10"/>
      <c r="AA107" s="10"/>
    </row>
    <row r="108">
      <c r="A108" s="61"/>
      <c r="B108" s="51"/>
      <c r="C108" s="51"/>
      <c r="D108" s="51"/>
      <c r="E108" s="51"/>
      <c r="F108" s="10" t="str">
        <f t="shared" si="3"/>
        <v>#DIV/0!</v>
      </c>
      <c r="G108" s="10" t="str">
        <f t="shared" si="2"/>
        <v>#DIV/0!</v>
      </c>
      <c r="H108" s="52"/>
      <c r="I108" s="52"/>
      <c r="J108" s="52"/>
      <c r="K108" s="52"/>
      <c r="L108" s="53"/>
      <c r="M108" s="54"/>
      <c r="N108" s="52"/>
      <c r="Z108" s="10"/>
      <c r="AA108" s="10"/>
    </row>
    <row r="109">
      <c r="A109" s="59"/>
      <c r="B109" s="12"/>
      <c r="C109" s="12"/>
      <c r="D109" s="12"/>
      <c r="E109" s="12"/>
      <c r="F109" s="10" t="str">
        <f t="shared" si="3"/>
        <v>#DIV/0!</v>
      </c>
      <c r="G109" s="10" t="str">
        <f t="shared" si="2"/>
        <v>#DIV/0!</v>
      </c>
      <c r="Z109" s="10"/>
      <c r="AA109" s="10"/>
    </row>
    <row r="110">
      <c r="A110" s="61"/>
      <c r="B110" s="51"/>
      <c r="C110" s="51"/>
      <c r="D110" s="51"/>
      <c r="E110" s="51"/>
      <c r="F110" s="10" t="str">
        <f t="shared" si="3"/>
        <v>#DIV/0!</v>
      </c>
      <c r="G110" s="10" t="str">
        <f t="shared" si="2"/>
        <v>#DIV/0!</v>
      </c>
      <c r="H110" s="52"/>
      <c r="I110" s="52"/>
      <c r="J110" s="52"/>
      <c r="K110" s="52"/>
      <c r="L110" s="53"/>
      <c r="M110" s="54"/>
      <c r="N110" s="52"/>
      <c r="Z110" s="10"/>
      <c r="AA110" s="10"/>
    </row>
    <row r="111">
      <c r="A111" s="61"/>
      <c r="B111" s="51"/>
      <c r="C111" s="51"/>
      <c r="D111" s="51"/>
      <c r="E111" s="51"/>
      <c r="F111" s="10" t="str">
        <f t="shared" si="3"/>
        <v>#DIV/0!</v>
      </c>
      <c r="G111" s="10" t="str">
        <f t="shared" si="2"/>
        <v>#DIV/0!</v>
      </c>
      <c r="H111" s="52"/>
      <c r="I111" s="52"/>
      <c r="J111" s="52"/>
      <c r="K111" s="52"/>
      <c r="L111" s="54"/>
      <c r="M111" s="54"/>
      <c r="N111" s="52"/>
      <c r="Z111" s="10"/>
      <c r="AA111" s="10"/>
    </row>
    <row r="112">
      <c r="A112" s="61"/>
      <c r="B112" s="51"/>
      <c r="C112" s="51"/>
      <c r="D112" s="51"/>
      <c r="E112" s="51"/>
      <c r="F112" s="10" t="str">
        <f t="shared" si="3"/>
        <v>#DIV/0!</v>
      </c>
      <c r="G112" s="10" t="str">
        <f t="shared" si="2"/>
        <v>#DIV/0!</v>
      </c>
      <c r="H112" s="66"/>
      <c r="I112" s="66"/>
      <c r="J112" s="52"/>
      <c r="K112" s="66"/>
      <c r="L112" s="54"/>
      <c r="M112" s="53"/>
      <c r="N112" s="66"/>
      <c r="Z112" s="10"/>
      <c r="AA112" s="10"/>
    </row>
    <row r="113">
      <c r="A113" s="61"/>
      <c r="B113" s="51"/>
      <c r="C113" s="51"/>
      <c r="D113" s="63"/>
      <c r="E113" s="51"/>
      <c r="F113" s="10" t="str">
        <f t="shared" si="3"/>
        <v>#DIV/0!</v>
      </c>
      <c r="G113" s="10" t="str">
        <f t="shared" si="2"/>
        <v>#DIV/0!</v>
      </c>
      <c r="H113" s="52"/>
      <c r="I113" s="54"/>
      <c r="J113" s="54"/>
      <c r="K113" s="54"/>
      <c r="L113" s="54"/>
      <c r="M113" s="54"/>
      <c r="N113" s="54"/>
      <c r="Z113" s="10"/>
      <c r="AA113" s="10"/>
    </row>
    <row r="114">
      <c r="A114" s="61"/>
      <c r="B114" s="51"/>
      <c r="C114" s="51"/>
      <c r="D114" s="51"/>
      <c r="E114" s="51"/>
      <c r="F114" s="10" t="str">
        <f t="shared" si="3"/>
        <v>#DIV/0!</v>
      </c>
      <c r="G114" s="10" t="str">
        <f t="shared" si="2"/>
        <v>#DIV/0!</v>
      </c>
      <c r="H114" s="52"/>
      <c r="I114" s="54"/>
      <c r="J114" s="54"/>
      <c r="K114" s="54"/>
      <c r="L114" s="53"/>
      <c r="M114" s="54"/>
      <c r="N114" s="54"/>
      <c r="Z114" s="10"/>
      <c r="AA114" s="10"/>
    </row>
    <row r="115">
      <c r="A115" s="61"/>
      <c r="B115" s="51"/>
      <c r="C115" s="51"/>
      <c r="D115" s="63"/>
      <c r="E115" s="51"/>
      <c r="F115" s="10" t="str">
        <f t="shared" si="3"/>
        <v>#DIV/0!</v>
      </c>
      <c r="G115" s="10" t="str">
        <f t="shared" si="2"/>
        <v>#DIV/0!</v>
      </c>
      <c r="H115" s="52"/>
      <c r="I115" s="54"/>
      <c r="J115" s="52"/>
      <c r="K115" s="54"/>
      <c r="L115" s="53"/>
      <c r="M115" s="53"/>
      <c r="N115" s="54"/>
      <c r="Z115" s="10"/>
      <c r="AA115" s="10"/>
    </row>
    <row r="116">
      <c r="C116" s="12"/>
      <c r="D116" s="12"/>
      <c r="E116" s="12"/>
      <c r="F116" s="10" t="str">
        <f t="shared" si="3"/>
        <v>#DIV/0!</v>
      </c>
      <c r="G116" s="10" t="str">
        <f t="shared" si="2"/>
        <v>#DIV/0!</v>
      </c>
      <c r="Z116" s="10"/>
      <c r="AA116" s="10"/>
    </row>
    <row r="117">
      <c r="A117" s="61"/>
      <c r="B117" s="12"/>
      <c r="C117" s="12"/>
      <c r="D117" s="12"/>
      <c r="E117" s="12"/>
      <c r="F117" s="67" t="str">
        <f t="shared" si="3"/>
        <v>#DIV/0!</v>
      </c>
      <c r="G117" s="10" t="str">
        <f t="shared" si="2"/>
        <v>#DIV/0!</v>
      </c>
      <c r="Z117" s="10"/>
      <c r="AA117" s="10"/>
    </row>
    <row r="118">
      <c r="A118" s="59"/>
      <c r="B118" s="12"/>
      <c r="C118" s="12"/>
      <c r="D118" s="12"/>
      <c r="E118" s="12"/>
      <c r="F118" s="67" t="str">
        <f t="shared" si="3"/>
        <v>#DIV/0!</v>
      </c>
      <c r="G118" s="10" t="str">
        <f t="shared" si="2"/>
        <v>#DIV/0!</v>
      </c>
      <c r="Z118" s="10"/>
      <c r="AA118" s="10"/>
    </row>
    <row r="119">
      <c r="A119" s="59"/>
      <c r="B119" s="12"/>
      <c r="C119" s="12"/>
      <c r="D119" s="12"/>
      <c r="E119" s="12"/>
      <c r="F119" s="67" t="str">
        <f t="shared" si="3"/>
        <v>#DIV/0!</v>
      </c>
      <c r="G119" s="10" t="str">
        <f t="shared" si="2"/>
        <v>#DIV/0!</v>
      </c>
      <c r="Z119" s="10"/>
      <c r="AA119" s="10"/>
    </row>
    <row r="120">
      <c r="A120" s="59"/>
      <c r="B120" s="12"/>
      <c r="C120" s="12"/>
      <c r="D120" s="12"/>
      <c r="E120" s="12"/>
      <c r="F120" s="67"/>
      <c r="G120" s="10"/>
      <c r="Z120" s="10"/>
      <c r="AA120" s="10"/>
    </row>
    <row r="121">
      <c r="A121" s="59"/>
      <c r="B121" s="12"/>
      <c r="C121" s="12"/>
      <c r="D121" s="12"/>
      <c r="E121" s="12"/>
      <c r="F121" s="67"/>
      <c r="G121" s="10"/>
      <c r="Z121" s="10"/>
      <c r="AA121" s="10"/>
    </row>
    <row r="122">
      <c r="A122" s="59"/>
      <c r="B122" s="12"/>
      <c r="C122" s="12"/>
      <c r="D122" s="12"/>
      <c r="E122" s="12"/>
      <c r="F122" s="67"/>
      <c r="G122" s="10"/>
      <c r="Z122" s="10"/>
      <c r="AA122" s="10"/>
    </row>
    <row r="123">
      <c r="A123" s="59"/>
      <c r="B123" s="12"/>
      <c r="C123" s="12"/>
      <c r="D123" s="12"/>
      <c r="E123" s="12"/>
      <c r="F123" s="67"/>
      <c r="G123" s="10"/>
      <c r="Z123" s="10"/>
      <c r="AA123" s="10"/>
    </row>
    <row r="124">
      <c r="A124" s="59"/>
      <c r="B124" s="12"/>
      <c r="C124" s="12"/>
      <c r="D124" s="12"/>
      <c r="E124" s="12"/>
      <c r="F124" s="67"/>
      <c r="G124" s="10"/>
      <c r="Z124" s="10"/>
      <c r="AA124" s="10"/>
    </row>
    <row r="125">
      <c r="A125" s="59"/>
      <c r="B125" s="12"/>
      <c r="C125" s="12"/>
      <c r="D125" s="12"/>
      <c r="E125" s="12"/>
      <c r="F125" s="67"/>
      <c r="G125" s="10"/>
      <c r="Z125" s="10"/>
      <c r="AA125" s="10"/>
    </row>
    <row r="126">
      <c r="A126" s="59"/>
      <c r="B126" s="12"/>
      <c r="C126" s="12"/>
      <c r="D126" s="12"/>
      <c r="E126" s="12"/>
      <c r="F126" s="67"/>
      <c r="G126" s="10"/>
      <c r="Z126" s="10"/>
      <c r="AA126" s="10"/>
    </row>
    <row r="127">
      <c r="A127" s="59"/>
      <c r="B127" s="12"/>
      <c r="C127" s="12"/>
      <c r="D127" s="12"/>
      <c r="E127" s="12"/>
      <c r="F127" s="67"/>
      <c r="G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 t="str">
        <f t="shared" ref="F153:F156" si="4">D153/sum(H153:O153)</f>
        <v>#DIV/0!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 t="str">
        <f t="shared" si="4"/>
        <v>#DIV/0!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 t="str">
        <f t="shared" si="4"/>
        <v>#DIV/0!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 t="str">
        <f t="shared" si="4"/>
        <v>#DIV/0!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59"/>
      <c r="B158" s="12"/>
      <c r="C158" s="12"/>
      <c r="D158" s="12"/>
      <c r="E158" s="12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59"/>
      <c r="B159" s="12"/>
      <c r="C159" s="10"/>
      <c r="D159" s="12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59"/>
      <c r="B160" s="12"/>
      <c r="C160" s="10"/>
      <c r="D160" s="12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67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67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67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67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67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67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>
      <c r="A968" s="55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</sheetData>
  <autoFilter ref="$A$12:$AA$100">
    <sortState ref="A12:AA100">
      <sortCondition ref="A12:A100"/>
    </sortState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31">
      <formula1>"食物,飲品,衣服,居家,電子產品,娛樂,醫藥,交通,其他"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1" max="1" width="15.75"/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P2" s="1" t="s">
        <v>17</v>
      </c>
      <c r="Q2" s="1" t="s">
        <v>18</v>
      </c>
      <c r="R2" s="1" t="s">
        <v>157</v>
      </c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SUMIFS($G$13:$G968, $E$13:$E968, "Rachel", $H$13:$H968, 1)-SUMIFS($G$13:$G968, $E$13:$E968, "Timothy", $I$13:$I968, 1)</f>
        <v>-118.1580403</v>
      </c>
      <c r="J3" s="21">
        <f>SUMIFS($G$13:$G968, $E$13:$E968, "BL", $H$13:$H968, 1)-SUMIFS($G$13:$G968, $E$13:$E968, "Timothy", $J$13:$J968, 1)</f>
        <v>216.0756921</v>
      </c>
      <c r="K3" s="21">
        <f>SUMIFS($G$13:$G968, $E$13:$E968, "Pigskin", $H$13:$H968, 1)-SUMIFS($G$13:$G968, $E$13:$E968, "Timothy", $K$13:$K968, 1)</f>
        <v>-6.408657937</v>
      </c>
      <c r="L3" s="21">
        <f>SUMIFS($G$13:$G968, $E$13:$E968, "Angel", $H$13:$H968, 1)-SUMIFS($G$13:$G968, $E$13:$E968, "Timothy", $L$13:$L968, 1)</f>
        <v>0</v>
      </c>
      <c r="M3" s="21">
        <f>SUMIFS($G$13:$G968, $E$13:$E968, "Ivan", $H$13:$H968, 1)-SUMIFS($G$13:$G968, $E$13:$E968, "Timothy", $M$13:$M968, 1)</f>
        <v>105.4550556</v>
      </c>
      <c r="N3" s="21">
        <f>SUMIFS($G$13:$G968, $E$13:$E968, "Esther", $H$13:$H968, 1)-SUMIFS($G$13:$G968, $E$13:$E968, "Timothy", $N$13:$N968, 1)</f>
        <v>-34.53645743</v>
      </c>
      <c r="O3" s="100">
        <f>SUMIFS($G$13:$G968, $E$13:$E968, "Ken9", $H$13:$H968, 1)-SUMIFS($G$13:$G968, $E$13:$E968, "Timothy", $O$13:$O968, 1)</f>
        <v>0</v>
      </c>
      <c r="P3" s="100">
        <f>SUMIFS($G$13:$G968, $E$13:$E968, "Devin", $H$13:$H968, 1)-SUMIFS($G$13:$G968, $E$13:$E968, "Timothy", $P$13:$P968, 1)</f>
        <v>0</v>
      </c>
      <c r="Q3" s="22">
        <f>SUMIFS($G$13:$G968, $E$13:$E968, "Oscar", $H$13:$H968, 1)-SUMIFS($G$13:$G968, $E$13:$E968, "Timothy", $Q$13:$Q968, 1)</f>
        <v>-9.327619048</v>
      </c>
      <c r="R3" s="22">
        <f>SUMIFS($G$13:$G968, $E$13:$E968, "Morris", $H$13:$H968, 1)-SUMIFS($G$13:$G968, $E$13:$E968, "Timothy", $R$13:$R968, 1)</f>
        <v>0</v>
      </c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SUMIFS($G$13:$G968, $E$13:$E968, "Timothy", $I$13:$I968, 1)-SUMIFS($G$13:$G968, $E$13:$E968, "Rachel", $H$13:$H968, 1)</f>
        <v>118.1580403</v>
      </c>
      <c r="I4" s="20"/>
      <c r="J4" s="25">
        <f>SUMIFS($G$13:$G968, $E$13:$E968, "BL", $I$13:$I968, 1)-SUMIFS($G$13:$G968, $E$13:$E968, "Rachel", $J$13:$J968, 1)</f>
        <v>174.2097323</v>
      </c>
      <c r="K4" s="25">
        <f>SUMIFS($G$13:$G968, $E$13:$E968, "Pigskin", $I$13:$I968, 1)-SUMIFS($G$13:$G968, $E$13:$E968, "Rachel", $K$13:$K968, 1)</f>
        <v>109.417749</v>
      </c>
      <c r="L4" s="25">
        <f>SUMIFS($G$13:$G968, $E$13:$E968, "Angel", $I$13:$I968, 1)-SUMIFS($G$13:$G968, $E$13:$E968, "Rachel", $L$13:$L968, 1)</f>
        <v>-4.502045455</v>
      </c>
      <c r="M4" s="25">
        <f>SUMIFS($G$13:$G968, $E$13:$E968, "Ivan", $I$13:$I968, 1)-SUMIFS($G$13:$G968, $E$13:$E968, "Rachel", $M$13:$M968, 1)</f>
        <v>122.4801291</v>
      </c>
      <c r="N4" s="25">
        <f>SUMIFS($G$13:$G968, $E$13:$E968, "Esther", $I$13:$I968, 1)-SUMIFS($G$13:$G968, $E$13:$E968, "Rachel", $N$13:$N968, 1)</f>
        <v>-1.296717172</v>
      </c>
      <c r="O4" s="101">
        <f>SUMIFS($G$13:$G968, $E$13:$E968, "Ken9", $I$13:$I968, 1)-SUMIFS($G$13:$G968, $E$13:$E968, "Rachel", $O$13:$O968, 1)</f>
        <v>-2.9575</v>
      </c>
      <c r="P4" s="100">
        <f>SUMIFS($G$13:$G968, $E$13:$E968, "Devin", $I$13:$I968, 1)-SUMIFS($G$13:$G968, $E$13:$E968, "Rachel", $P$13:$P968, 1)</f>
        <v>-1.544545455</v>
      </c>
      <c r="Q4" s="22">
        <f>SUMIFS($G$13:$G968, $E$13:$E968, "Oscar", $I$13:$I968, 1)-SUMIFS($G$13:$G968, $E$13:$E968, "Rachel", $Q$13:$Q968, 1)</f>
        <v>-27.33454545</v>
      </c>
      <c r="R4" s="22">
        <f>SUMIFS($G$13:$G968, $E$13:$E968, "Morris", $I$13:$I968, 1)-SUMIFS($G$13:$G968, $E$13:$E968, "Rachel", $R$13:$R968, 1)</f>
        <v>-1.544545455</v>
      </c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SUMIFS($G$13:$G968, $E$13:$E968, "Timothy", $J$13:$J968, 1)-SUMIFS($G$13:$G968, $E$13:$E968, "BL", $H$13:$H968, 1)</f>
        <v>-216.0756921</v>
      </c>
      <c r="I5" s="28">
        <f>SUMIFS($G$13:$G968, $E$13:$E968, "Rachel", $J$13:$J968, 1)-SUMIFS($G$13:$G968, $E$13:$E968, "BL", $I$13:$I968, 1)</f>
        <v>-174.2097323</v>
      </c>
      <c r="J5" s="20"/>
      <c r="K5" s="25">
        <f>SUMIFS($G$13:$G968, $E$13:$E968, "Pigskin", $J$13:$J968, 1)-SUMIFS($G$13:$G968, $E$13:$E968, "BL", $K$13:$K968, 1)</f>
        <v>-60.98331667</v>
      </c>
      <c r="L5" s="28">
        <f>SUMIFS($G$13:$G968, $E$13:$E968, "Angel", $J$13:$J968, 1)-SUMIFS($G$13:$G968, $E$13:$E968, "BL", $L$13:$L968, 1)</f>
        <v>-17.32361111</v>
      </c>
      <c r="M5" s="25">
        <f>SUMIFS($G$13:$G968, $E$13:$E968, "Ivan", $J$13:$J968, 1)-SUMIFS($G$13:$G968, $E$13:$E968, "BL", $M$13:$M968, 1)</f>
        <v>92.40956349</v>
      </c>
      <c r="N5" s="28">
        <f>SUMIFS($G$13:$G968, $E$13:$E968, "Esther", $J$13:$J968, 1)-SUMIFS($G$13:$G968, $E$13:$E968, "BL", $N$13:$N968, 1)</f>
        <v>-64.00061616</v>
      </c>
      <c r="O5" s="101">
        <f>SUMIFS($G$13:$G968, $E$13:$E968, "Ken9", $J$13:$J968, 1)-SUMIFS($G$13:$G968, $E$13:$E968, "BL", $O$13:$O968, 1)</f>
        <v>-7.9025</v>
      </c>
      <c r="P5" s="100">
        <f>SUMIFS($G$13:$G968, $E$13:$E968, "Devin", $J$13:$J968, 1)-SUMIFS($G$13:$G968, $E$13:$E968, "BL", $P$13:$P968, 1)</f>
        <v>-9.421111111</v>
      </c>
      <c r="Q5" s="22">
        <f>SUMIFS($G$13:$G968, $E$13:$E968, "Oscar", $J$13:$J968, 1)-SUMIFS($G$13:$G968, $E$13:$E968, "BL", $Q$13:$Q968, 1)</f>
        <v>-21.47694444</v>
      </c>
      <c r="R5" s="22">
        <f>SUMIFS($G$13:$G968, $E$13:$E968, "Morris", $J$13:$J968, 1)-SUMIFS($G$13:$G968, $E$13:$E968, "BL", $R$13:$R968, 1)</f>
        <v>0</v>
      </c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SUMIFS($G$13:$G968, $E$13:$E968, "Timothy", $K$13:$K968, 1)-SUMIFS($G$13:$G968, $E$13:$E968, "Pigskin", $H$13:$H968, 1)</f>
        <v>6.408657937</v>
      </c>
      <c r="I6" s="28">
        <f>SUMIFS($G$13:$G968, $E$13:$E968, "Rachel", $K$13:$K968, 1)-SUMIFS($G$13:$G968, $E$13:$E968, "Pigskin", $I$13:$I968, 1)</f>
        <v>-109.417749</v>
      </c>
      <c r="J6" s="28">
        <f>SUMIFS($G$13:$G968, $E$13:$E968, "BL", $K$13:$K968, 1)-SUMIFS($G$13:$G968, $E$13:$E968, "Pigskin", $J$13:$J968, 1)</f>
        <v>60.98331667</v>
      </c>
      <c r="K6" s="20"/>
      <c r="L6" s="25">
        <f>SUMIFS($G$13:$G968, $E$13:$E968, "Angel", $K$13:$K968, 1)-SUMIFS($G$13:$G968, $E$13:$E968, "Pigskin", $L$13:$L968, 1)</f>
        <v>-6.835277778</v>
      </c>
      <c r="M6" s="28">
        <f>SUMIFS($G$13:$G968, $E$13:$E968, "Ivan", $K$13:$K968, 1)-SUMIFS($G$13:$G968, $E$13:$E968, "Pigskin", $M$13:$M968, 1)</f>
        <v>74.22315794</v>
      </c>
      <c r="N6" s="28">
        <f>SUMIFS($G$13:$G968, $E$13:$E968, "Esther", $K$13:$K968, 1)-SUMIFS($G$13:$G968, $E$13:$E968, "Pigskin", $N$13:$N968, 1)</f>
        <v>-52.91846616</v>
      </c>
      <c r="O6" s="101">
        <f>SUMIFS($G$13:$G968, $E$13:$E968, "Ken9", $K$13:$K968, 1)-SUMIFS($G$13:$G968, $E$13:$E968, "Pigskin", $O$13:$O968, 1)</f>
        <v>-6.835277778</v>
      </c>
      <c r="P6" s="100">
        <f>SUMIFS($G$13:$G968, $E$13:$E968, "Devin", $K$13:$K968, 1)-SUMIFS($G$13:$G968, $E$13:$E968, "Pigskin", $P$13:$P968, 1)</f>
        <v>0</v>
      </c>
      <c r="Q6" s="22">
        <f>SUMIFS($G$13:$G968, $E$13:$E968, "Oscar", $K$13:$K968, 1)-SUMIFS($G$13:$G968, $E$13:$E968, "Pigskin", $Q$13:$Q968, 1)</f>
        <v>-22.052</v>
      </c>
      <c r="R6" s="22">
        <f>SUMIFS($G$13:$G968, $E$13:$E968, "Morris", $K$13:$K968, 1)-SUMIFS($G$13:$G968, $E$13:$E968, "Pigskin", $R$13:$R968, 1)</f>
        <v>0</v>
      </c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SUMIFS($G$13:$G968, $E$13:$E968, "Timothy", $L$13:$L968, 1)-SUMIFS($G$13:$G968, $E$13:$E968, "Angel", $H$13:$H968, 1)</f>
        <v>0</v>
      </c>
      <c r="I7" s="25">
        <f>SUMIFS($G$13:$G968, $E$13:$E968, "Rachel", $L$13:$L968, 1)-SUMIFS($G$13:$G968, $E$13:$E968, "Angel", $I$13:$I968, 1)</f>
        <v>4.502045455</v>
      </c>
      <c r="J7" s="25">
        <f>SUMIFS($G$13:$G968, $E$13:$E968, "BL", $L$13:$L968, 1)-SUMIFS($G$13:$G968, $E$13:$E968, "Angel", $J$13:$J968, 1)</f>
        <v>17.32361111</v>
      </c>
      <c r="K7" s="25">
        <f>SUMIFS($G$13:$G968, $E$13:$E968, "Pigskin", $L$13:$L968, 1)-SUMIFS($G$13:$G968, $E$13:$E968, "Angel", $K$13:$K968, 1)</f>
        <v>6.835277778</v>
      </c>
      <c r="L7" s="20"/>
      <c r="M7" s="25">
        <f>SUMIFS($G$13:$G968, $E$13:$E968, "Ivan", $L$13:$L968, 1)-SUMIFS($G$13:$G968, $E$13:$E968, "Angel", $M$13:$M968, 1)</f>
        <v>23.60555556</v>
      </c>
      <c r="N7" s="102">
        <f>SUMIFS($G$13:$G968, $E$13:$E968, "Esther", $L$13:$L968, 1)-SUMIFS($G$13:$G968, $E$13:$E968, "Angel", $N$13:$N968, 1)</f>
        <v>9.426767677</v>
      </c>
      <c r="O7" s="101">
        <f>SUMIFS($G$13:$G968, $E$13:$E968, "Ken9", $L$13:$L968, 1)-SUMIFS($G$13:$G968, $E$13:$E968, "Angel", $O$13:$O968, 1)</f>
        <v>0</v>
      </c>
      <c r="P7" s="100">
        <f>SUMIFS($G$13:$G968, $E$13:$E968, "Devin", $L$13:$L968, 1)-SUMIFS($G$13:$G968, $E$13:$E968, "Angel", $P$13:$P968, 1)</f>
        <v>0</v>
      </c>
      <c r="Q7" s="22">
        <f>SUMIFS($G$13:$G968, $E$13:$E968, "Oscar", $L$13:$L968, 1)-SUMIFS($G$13:$G968, $E$13:$E968, "Angel", $Q$13:$Q968, 1)</f>
        <v>0</v>
      </c>
      <c r="R7" s="22">
        <f>SUMIFS($G$13:$G968, $E$13:$E968, "Morris", $L$13:$L968, 1)-SUMIFS($G$13:$G968, $E$13:$E968, "Angel", $R$13:$R968, 1)</f>
        <v>0</v>
      </c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SUMIFS($G$13:$G968, $E$13:$E968, "Timothy", $M$13:$M968, 1)-SUMIFS($G$13:$G968, $E$13:$E968, "Ivan", $H$13:$H968, 1)</f>
        <v>-105.4550556</v>
      </c>
      <c r="I8" s="28">
        <f>SUMIFS($G$13:$G968, $E$13:$E968, "Rachel", $M$13:$M968, 1)-SUMIFS($G$13:$G968, $E$13:$E968, "Ivan", $I$13:$I968, 1)</f>
        <v>-122.4801291</v>
      </c>
      <c r="J8" s="25">
        <f>SUMIFS($G$13:$G968, $E$13:$E968, "BL", $M$13:$M968, 1)-SUMIFS($G$13:$G968, $E$13:$E968, "Ivan", $J$13:$J968, 1)</f>
        <v>-92.40956349</v>
      </c>
      <c r="K8" s="25">
        <f>SUMIFS($G$13:$G968, $E$13:$E968, "Pigskin", $M$13:$M968, 1)-SUMIFS($G$13:$G968, $E$13:$E968, "Ivan", $K$13:$K968, 1)</f>
        <v>-74.22315794</v>
      </c>
      <c r="L8" s="25">
        <f>SUMIFS($G$13:$G968, $E$13:$E968, "Angel", $M$13:$M968, 1)-SUMIFS($G$13:$G968, $E$13:$E968, "Ivan", $L$13:$L968, 1)</f>
        <v>-23.60555556</v>
      </c>
      <c r="M8" s="20"/>
      <c r="N8" s="28">
        <f>SUMIFS($G$13:$G968, $E$13:$E968, "Esther", $M$13:$M968, 1)-SUMIFS($G$13:$G968, $E$13:$E968, "Ivan", $N$13:$N968, 1)</f>
        <v>-218.8341558</v>
      </c>
      <c r="O8" s="101">
        <f>SUMIFS($G$13:$G968, $E$13:$E968, "Ken9", $M$13:$M968, 1)-SUMIFS($G$13:$G968, $E$13:$E968, "Ivan", $O$13:$O968, 1)</f>
        <v>-0.7128571429</v>
      </c>
      <c r="P8" s="100">
        <f>SUMIFS($G$13:$G968, $E$13:$E968, "Devin", $M$13:$M968, 1)-SUMIFS($G$13:$G968, $E$13:$E968, "Ivan", $P$13:$P968, 1)</f>
        <v>-8.655555556</v>
      </c>
      <c r="Q8" s="22">
        <f>SUMIFS($G$13:$G968, $E$13:$E968, "Oscar", $M$13:$M968, 1)-SUMIFS($G$13:$G968, $E$13:$E968, "Ivan", $Q$13:$Q968, 1)</f>
        <v>-103.6669841</v>
      </c>
      <c r="R8" s="22">
        <f>SUMIFS($G$13:$G968, $E$13:$E968, "Morris", $M$13:$M968, 1)-SUMIFS($G$13:$G968, $E$13:$E968, "Ivan", $R$13:$R968, 1)</f>
        <v>-8.655555556</v>
      </c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SUMIFS($G$13:$G968, $E$13:$E968, "Timothy", $N$13:$N968, 1)-SUMIFS($G$13:$G968, $E$13:$E968, "Esther", $H$13:$H968, 1)</f>
        <v>34.53645743</v>
      </c>
      <c r="I9" s="25">
        <f>SUMIFS($G$13:$G968, $E$13:$E968, "Rachel", $N$13:$N968, 1)-SUMIFS($G$13:$G968, $E$13:$E968, "Esther", $I$13:$I968, 1)</f>
        <v>1.296717172</v>
      </c>
      <c r="J9" s="25">
        <f>SUMIFS($G$13:$G968, $E$13:$E968, "BL", $N$13:$N968, 1)-SUMIFS($G$13:$G968, $E$13:$E968, "Esther", $J$13:$J968, 1)</f>
        <v>64.00061616</v>
      </c>
      <c r="K9" s="25">
        <f>SUMIFS($G$13:$G968, $E$13:$E968, "Pigskin", $N$13:$N968, 1)-SUMIFS($G$13:$G968, $E$13:$E968, "Esther", $K$13:$K968, 1)</f>
        <v>52.91846616</v>
      </c>
      <c r="L9" s="102">
        <f>SUMIFS($G$13:$G968, $E$13:$E968, "Angel", $N$13:$N968, 1)-SUMIFS($G$13:$G968, $E$13:$E968, "Esther", $L$13:$L968, 1)</f>
        <v>-9.426767677</v>
      </c>
      <c r="M9" s="25">
        <f>SUMIFS($G$13:$G968, $E$13:$E968, "Ivan", $N$13:$N968, 1)-SUMIFS($G$13:$G968, $E$13:$E968, "Esther", $M$13:$M968, 1)</f>
        <v>218.8341558</v>
      </c>
      <c r="N9" s="20"/>
      <c r="O9" s="101">
        <f>SUMIFS($G$13:$G968, $E$13:$E968, "Ken9", $N$13:$N968, 1)-SUMIFS($G$13:$G968, $E$13:$E968, "Esther", $O$13:$O968, 1)</f>
        <v>0</v>
      </c>
      <c r="P9" s="100">
        <f>SUMIFS($G$13:$G968, $E$13:$E968, "Devin", $N$13:$N968, 1)-SUMIFS($G$13:$G968, $E$13:$E968, "Esther", $P$13:$P968, 1)</f>
        <v>-9.426767677</v>
      </c>
      <c r="Q9" s="22">
        <f>SUMIFS($G$13:$G968, $E$13:$E968, "Oscar", $N$13:$N968, 1)-SUMIFS($G$13:$G968, $E$13:$E968, "Esther", $Q$13:$Q968, 1)</f>
        <v>-11.69949495</v>
      </c>
      <c r="R9" s="103">
        <f>SUMIFS($G$13:$G968, $E$13:$E968, "Morris", $N$13:$N968, 1)-SUMIFS($G$13:$G968, $E$13:$E968, "Esther", $R$13:$R968, 1)</f>
        <v>-2.272727273</v>
      </c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104">
        <f>SUMIFS($G$13:$G968, $E$13:$E968, "Timothy", $O$13:$O968, 1)-SUMIFS($G$13:$G968, $E$13:$E968, "Ken9", $H$13:$H968, 1)</f>
        <v>0</v>
      </c>
      <c r="I10" s="104">
        <f>SUMIFS($G$13:$G968, $E$13:$E968, "Rachel", $O$13:$O968, 1)-SUMIFS($G$13:$G968, $E$13:$E968, "Ken9", $I$13:$I968, 1)</f>
        <v>2.9575</v>
      </c>
      <c r="J10" s="104">
        <f>SUMIFS($G$13:$G968, $E$13:$E968, "BL", $O$13:$O968, 1)-SUMIFS($G$13:$G968, $E$13:$E968, "Ken9", $J$13:$J968, 1)</f>
        <v>7.9025</v>
      </c>
      <c r="K10" s="104">
        <f>SUMIFS($G$13:$G968, $E$13:$E968, "Pigskin", $O$13:$O968, 1)-SUMIFS($G$13:$G968, $E$13:$E968, "Ken9", $K$13:$K968, 1)</f>
        <v>6.835277778</v>
      </c>
      <c r="L10" s="104">
        <f>SUMIFS($G$13:$G968, $E$13:$E968, "Angel", $O$13:$O968, 1)-SUMIFS($G$13:$G968, $E$13:$E968, "Ken9", $L$13:$L968, 1)</f>
        <v>0</v>
      </c>
      <c r="M10" s="104">
        <f>SUMIFS($G$13:$G968, $E$13:$E968, "Ivan", $O$13:$O968, 1)-SUMIFS($G$13:$G968, $E$13:$E968, "Ken9", $M$13:$M968, 1)</f>
        <v>0.7128571429</v>
      </c>
      <c r="N10" s="104">
        <f>SUMIFS($G$13:$G968, $E$13:$E968, "Esther", $O$13:$O968, 1)-SUMIFS($G$13:$G968, $E$13:$E968, "Ken9", $N$13:$N968, 1)</f>
        <v>0</v>
      </c>
      <c r="O10" s="105"/>
      <c r="P10" s="100">
        <f>SUMIFS($G$13:$G968, $E$13:$E968, "Devin", $H$13:$H968, 1)-SUMIFS($G$13:$G968, $E$13:$E968, "Timothy", $P$13:$P968, 1)</f>
        <v>0</v>
      </c>
      <c r="Q10" s="100">
        <f>SUMIFS($G$13:$G968, $E$13:$E968, "Oscar", $H$13:$H968, 1)-SUMIFS($G$13:$G968, $E$13:$E968, "Ken9", $Q$13:$Q968, 1)</f>
        <v>0</v>
      </c>
      <c r="R10" s="100">
        <f>SUMIFS($G$13:$G968, $E$13:$E968, "Morris", $H$13:$H968, 1)-SUMIFS($G$13:$G968, $E$13:$E968, "Ken9", $R$13:$R968, 1)</f>
        <v>0</v>
      </c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" t="s">
        <v>17</v>
      </c>
      <c r="Q12" s="1" t="s">
        <v>18</v>
      </c>
      <c r="R12" s="1" t="s">
        <v>157</v>
      </c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12">
        <v>20.0</v>
      </c>
      <c r="B13" s="12" t="s">
        <v>158</v>
      </c>
      <c r="C13" s="51" t="s">
        <v>11</v>
      </c>
      <c r="D13" s="12">
        <v>17.0</v>
      </c>
      <c r="E13" s="12" t="s">
        <v>2</v>
      </c>
      <c r="F13" s="67">
        <f>D13/sum(H13:T13)</f>
        <v>5.666666667</v>
      </c>
      <c r="G13" s="10">
        <f>D13/sum(H13:T13)</f>
        <v>5.666666667</v>
      </c>
      <c r="H13" s="1">
        <v>1.0</v>
      </c>
      <c r="I13" s="1">
        <v>1.0</v>
      </c>
      <c r="J13" s="1">
        <v>1.0</v>
      </c>
      <c r="Z13" s="64"/>
      <c r="AA13" s="64"/>
    </row>
    <row r="14">
      <c r="A14" s="55">
        <v>45598.0</v>
      </c>
      <c r="B14" s="12" t="s">
        <v>159</v>
      </c>
      <c r="C14" s="12" t="s">
        <v>23</v>
      </c>
      <c r="D14" s="12">
        <f>(26.99-5.5)*1.13</f>
        <v>24.2837</v>
      </c>
      <c r="E14" s="51" t="s">
        <v>14</v>
      </c>
      <c r="F14" s="10">
        <f t="shared" ref="F14:F21" si="1">D14/sum(H14:Q14)</f>
        <v>4.047283333</v>
      </c>
      <c r="G14" s="10">
        <f t="shared" ref="G14:G21" si="2">D14/sum(H14:Q14)</f>
        <v>4.047283333</v>
      </c>
      <c r="H14" s="1">
        <v>1.0</v>
      </c>
      <c r="I14" s="1">
        <v>1.0</v>
      </c>
      <c r="J14" s="1">
        <v>1.0</v>
      </c>
      <c r="K14" s="1">
        <v>1.0</v>
      </c>
      <c r="M14" s="1">
        <v>1.0</v>
      </c>
      <c r="N14" s="1">
        <v>1.0</v>
      </c>
      <c r="Z14" s="10"/>
      <c r="AA14" s="10"/>
    </row>
    <row r="15">
      <c r="A15" s="55">
        <v>45598.0</v>
      </c>
      <c r="B15" s="12" t="s">
        <v>160</v>
      </c>
      <c r="C15" s="12" t="s">
        <v>23</v>
      </c>
      <c r="D15" s="12">
        <f>24.99*1.13</f>
        <v>28.2387</v>
      </c>
      <c r="E15" s="51" t="s">
        <v>14</v>
      </c>
      <c r="F15" s="10">
        <f t="shared" si="1"/>
        <v>4.70645</v>
      </c>
      <c r="G15" s="10">
        <f t="shared" si="2"/>
        <v>4.70645</v>
      </c>
      <c r="H15" s="1">
        <v>1.0</v>
      </c>
      <c r="I15" s="1">
        <v>1.0</v>
      </c>
      <c r="J15" s="1">
        <v>1.0</v>
      </c>
      <c r="K15" s="1">
        <v>1.0</v>
      </c>
      <c r="M15" s="1">
        <v>1.0</v>
      </c>
      <c r="N15" s="1">
        <v>1.0</v>
      </c>
      <c r="Z15" s="10"/>
      <c r="AA15" s="10"/>
    </row>
    <row r="16">
      <c r="A16" s="55">
        <v>45598.0</v>
      </c>
      <c r="B16" s="12" t="s">
        <v>161</v>
      </c>
      <c r="C16" s="12" t="s">
        <v>11</v>
      </c>
      <c r="D16" s="12">
        <v>9.99</v>
      </c>
      <c r="E16" s="51" t="s">
        <v>14</v>
      </c>
      <c r="F16" s="10">
        <f t="shared" si="1"/>
        <v>1.665</v>
      </c>
      <c r="G16" s="10">
        <f t="shared" si="2"/>
        <v>1.665</v>
      </c>
      <c r="H16" s="1">
        <v>1.0</v>
      </c>
      <c r="I16" s="1">
        <v>1.0</v>
      </c>
      <c r="J16" s="1">
        <v>1.0</v>
      </c>
      <c r="K16" s="1">
        <v>1.0</v>
      </c>
      <c r="M16" s="1">
        <v>1.0</v>
      </c>
      <c r="N16" s="1">
        <v>1.0</v>
      </c>
      <c r="Z16" s="10"/>
      <c r="AA16" s="10"/>
    </row>
    <row r="17">
      <c r="A17" s="55">
        <v>45598.0</v>
      </c>
      <c r="B17" s="12" t="s">
        <v>162</v>
      </c>
      <c r="C17" s="12" t="s">
        <v>23</v>
      </c>
      <c r="D17" s="12">
        <f>18.99*1.13</f>
        <v>21.4587</v>
      </c>
      <c r="E17" s="51" t="s">
        <v>14</v>
      </c>
      <c r="F17" s="10">
        <f t="shared" si="1"/>
        <v>3.57645</v>
      </c>
      <c r="G17" s="10">
        <f t="shared" si="2"/>
        <v>3.57645</v>
      </c>
      <c r="H17" s="1">
        <v>1.0</v>
      </c>
      <c r="I17" s="1">
        <v>1.0</v>
      </c>
      <c r="J17" s="1">
        <v>1.0</v>
      </c>
      <c r="K17" s="1">
        <v>1.0</v>
      </c>
      <c r="M17" s="1">
        <v>1.0</v>
      </c>
      <c r="N17" s="1">
        <v>1.0</v>
      </c>
      <c r="Z17" s="10"/>
      <c r="AA17" s="10"/>
    </row>
    <row r="18">
      <c r="A18" s="61">
        <v>45601.0</v>
      </c>
      <c r="B18" s="12" t="s">
        <v>50</v>
      </c>
      <c r="C18" s="51" t="s">
        <v>33</v>
      </c>
      <c r="D18" s="51">
        <v>75.0</v>
      </c>
      <c r="E18" s="51" t="s">
        <v>2</v>
      </c>
      <c r="F18" s="10">
        <f t="shared" si="1"/>
        <v>15</v>
      </c>
      <c r="G18" s="10">
        <f t="shared" si="2"/>
        <v>15</v>
      </c>
      <c r="H18" s="52">
        <v>1.0</v>
      </c>
      <c r="I18" s="54">
        <v>1.0</v>
      </c>
      <c r="J18" s="52"/>
      <c r="K18" s="54">
        <v>1.0</v>
      </c>
      <c r="L18" s="54"/>
      <c r="M18" s="54">
        <v>1.0</v>
      </c>
      <c r="N18" s="54">
        <v>1.0</v>
      </c>
      <c r="Z18" s="10"/>
      <c r="AA18" s="10"/>
    </row>
    <row r="19">
      <c r="A19" s="61">
        <v>45601.0</v>
      </c>
      <c r="B19" s="51" t="s">
        <v>51</v>
      </c>
      <c r="C19" s="51" t="s">
        <v>11</v>
      </c>
      <c r="D19" s="51">
        <v>17.7</v>
      </c>
      <c r="E19" s="51" t="s">
        <v>2</v>
      </c>
      <c r="F19" s="10">
        <f t="shared" si="1"/>
        <v>3.54</v>
      </c>
      <c r="G19" s="10">
        <f t="shared" si="2"/>
        <v>3.54</v>
      </c>
      <c r="H19" s="54">
        <v>1.0</v>
      </c>
      <c r="I19" s="54">
        <v>1.0</v>
      </c>
      <c r="J19" s="54"/>
      <c r="K19" s="54">
        <v>1.0</v>
      </c>
      <c r="L19" s="54"/>
      <c r="M19" s="54">
        <v>1.0</v>
      </c>
      <c r="N19" s="54">
        <v>1.0</v>
      </c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</row>
    <row r="20">
      <c r="A20" s="61">
        <v>45602.0</v>
      </c>
      <c r="B20" s="12" t="s">
        <v>163</v>
      </c>
      <c r="C20" s="12" t="s">
        <v>11</v>
      </c>
      <c r="D20" s="12">
        <v>61.02</v>
      </c>
      <c r="E20" s="51" t="s">
        <v>2</v>
      </c>
      <c r="F20" s="10">
        <f t="shared" si="1"/>
        <v>15.255</v>
      </c>
      <c r="G20" s="10">
        <f t="shared" si="2"/>
        <v>15.255</v>
      </c>
      <c r="H20" s="1">
        <v>1.0</v>
      </c>
      <c r="I20" s="1">
        <v>1.0</v>
      </c>
      <c r="K20" s="1">
        <v>1.0</v>
      </c>
      <c r="M20" s="1">
        <v>1.0</v>
      </c>
      <c r="Z20" s="10"/>
      <c r="AA20" s="10"/>
    </row>
    <row r="21">
      <c r="A21" s="61">
        <v>45602.0</v>
      </c>
      <c r="B21" s="51" t="s">
        <v>46</v>
      </c>
      <c r="C21" s="51" t="s">
        <v>11</v>
      </c>
      <c r="D21" s="51">
        <v>12.93</v>
      </c>
      <c r="E21" s="51" t="s">
        <v>2</v>
      </c>
      <c r="F21" s="10">
        <f t="shared" si="1"/>
        <v>3.2325</v>
      </c>
      <c r="G21" s="10">
        <f t="shared" si="2"/>
        <v>3.2325</v>
      </c>
      <c r="H21" s="52">
        <v>1.0</v>
      </c>
      <c r="I21" s="54">
        <v>1.0</v>
      </c>
      <c r="J21" s="52"/>
      <c r="K21" s="54">
        <v>1.0</v>
      </c>
      <c r="L21" s="54"/>
      <c r="M21" s="54">
        <v>1.0</v>
      </c>
      <c r="N21" s="54"/>
      <c r="Z21" s="10"/>
      <c r="AA21" s="10"/>
    </row>
    <row r="22">
      <c r="A22" s="50">
        <v>45614.0</v>
      </c>
      <c r="B22" s="12" t="s">
        <v>164</v>
      </c>
      <c r="C22" s="12" t="s">
        <v>25</v>
      </c>
      <c r="D22" s="12">
        <v>29.74</v>
      </c>
      <c r="E22" s="12" t="s">
        <v>8</v>
      </c>
      <c r="F22" s="67">
        <f t="shared" ref="F22:F119" si="3">D22/sum(H22:T22)</f>
        <v>14.87</v>
      </c>
      <c r="G22" s="10">
        <f t="shared" ref="G22:G101" si="4">D22/sum(H22:T22)</f>
        <v>14.87</v>
      </c>
      <c r="M22" s="1">
        <v>1.0</v>
      </c>
      <c r="N22" s="1">
        <v>1.0</v>
      </c>
      <c r="Z22" s="10"/>
      <c r="AA22" s="10"/>
    </row>
    <row r="23">
      <c r="A23" s="50">
        <v>45614.0</v>
      </c>
      <c r="B23" s="12" t="s">
        <v>165</v>
      </c>
      <c r="C23" s="12" t="s">
        <v>25</v>
      </c>
      <c r="D23" s="12">
        <v>338.99</v>
      </c>
      <c r="E23" s="12" t="s">
        <v>8</v>
      </c>
      <c r="F23" s="67">
        <f t="shared" si="3"/>
        <v>112.9966667</v>
      </c>
      <c r="G23" s="10">
        <f t="shared" si="4"/>
        <v>112.9966667</v>
      </c>
      <c r="J23" s="1">
        <v>1.0</v>
      </c>
      <c r="M23" s="1">
        <v>1.0</v>
      </c>
      <c r="N23" s="1">
        <v>1.0</v>
      </c>
      <c r="Z23" s="10"/>
      <c r="AA23" s="10"/>
    </row>
    <row r="24">
      <c r="A24" s="59">
        <v>45622.0</v>
      </c>
      <c r="B24" s="12" t="s">
        <v>149</v>
      </c>
      <c r="C24" s="12" t="s">
        <v>11</v>
      </c>
      <c r="D24" s="12">
        <v>5.97</v>
      </c>
      <c r="E24" s="12" t="s">
        <v>14</v>
      </c>
      <c r="F24" s="67">
        <f t="shared" si="3"/>
        <v>1.99</v>
      </c>
      <c r="G24" s="10">
        <f t="shared" si="4"/>
        <v>1.99</v>
      </c>
      <c r="J24" s="1">
        <v>1.0</v>
      </c>
      <c r="K24" s="1">
        <v>1.0</v>
      </c>
      <c r="M24" s="1">
        <v>1.0</v>
      </c>
      <c r="Z24" s="10"/>
      <c r="AA24" s="10"/>
    </row>
    <row r="25">
      <c r="A25" s="55">
        <v>45627.0</v>
      </c>
      <c r="B25" s="12" t="s">
        <v>45</v>
      </c>
      <c r="C25" s="12" t="s">
        <v>11</v>
      </c>
      <c r="D25" s="12">
        <v>77.75</v>
      </c>
      <c r="E25" s="51" t="s">
        <v>13</v>
      </c>
      <c r="F25" s="67">
        <f t="shared" si="3"/>
        <v>19.4375</v>
      </c>
      <c r="G25" s="10">
        <f t="shared" si="4"/>
        <v>19.4375</v>
      </c>
      <c r="H25" s="1">
        <v>1.0</v>
      </c>
      <c r="J25" s="1">
        <v>1.0</v>
      </c>
      <c r="K25" s="1">
        <v>1.0</v>
      </c>
      <c r="M25" s="1">
        <v>1.0</v>
      </c>
      <c r="Z25" s="10"/>
      <c r="AA25" s="10"/>
    </row>
    <row r="26">
      <c r="A26" s="55">
        <v>45628.0</v>
      </c>
      <c r="B26" s="51" t="s">
        <v>46</v>
      </c>
      <c r="C26" s="12" t="s">
        <v>11</v>
      </c>
      <c r="D26" s="12">
        <v>46.3</v>
      </c>
      <c r="E26" s="51" t="s">
        <v>14</v>
      </c>
      <c r="F26" s="67">
        <f t="shared" si="3"/>
        <v>9.26</v>
      </c>
      <c r="G26" s="10">
        <f t="shared" si="4"/>
        <v>9.26</v>
      </c>
      <c r="H26" s="1">
        <v>1.0</v>
      </c>
      <c r="I26" s="1">
        <v>1.0</v>
      </c>
      <c r="J26" s="1">
        <v>1.0</v>
      </c>
      <c r="K26" s="1">
        <v>1.0</v>
      </c>
      <c r="M26" s="1">
        <v>1.0</v>
      </c>
      <c r="Z26" s="10"/>
      <c r="AA26" s="10"/>
    </row>
    <row r="27">
      <c r="A27" s="61">
        <v>45630.0</v>
      </c>
      <c r="B27" s="51" t="s">
        <v>166</v>
      </c>
      <c r="C27" s="51" t="s">
        <v>11</v>
      </c>
      <c r="D27" s="51">
        <v>99.81</v>
      </c>
      <c r="E27" s="51" t="s">
        <v>2</v>
      </c>
      <c r="F27" s="67">
        <f t="shared" si="3"/>
        <v>19.962</v>
      </c>
      <c r="G27" s="10">
        <f t="shared" si="4"/>
        <v>19.962</v>
      </c>
      <c r="H27" s="52">
        <v>1.0</v>
      </c>
      <c r="I27" s="52">
        <v>1.0</v>
      </c>
      <c r="J27" s="52">
        <v>1.0</v>
      </c>
      <c r="K27" s="52">
        <v>1.0</v>
      </c>
      <c r="L27" s="53"/>
      <c r="M27" s="54">
        <v>1.0</v>
      </c>
      <c r="N27" s="52"/>
      <c r="Z27" s="10"/>
      <c r="AA27" s="10"/>
    </row>
    <row r="28">
      <c r="A28" s="55">
        <v>45630.0</v>
      </c>
      <c r="B28" s="12" t="s">
        <v>50</v>
      </c>
      <c r="C28" s="12" t="s">
        <v>11</v>
      </c>
      <c r="D28" s="12">
        <f>33.7+43.33+7.99</f>
        <v>85.02</v>
      </c>
      <c r="E28" s="51" t="s">
        <v>14</v>
      </c>
      <c r="F28" s="67">
        <f t="shared" si="3"/>
        <v>14.17</v>
      </c>
      <c r="G28" s="10">
        <f t="shared" si="4"/>
        <v>14.17</v>
      </c>
      <c r="H28" s="1">
        <v>1.0</v>
      </c>
      <c r="I28" s="1">
        <v>1.0</v>
      </c>
      <c r="J28" s="1">
        <v>1.0</v>
      </c>
      <c r="K28" s="1">
        <v>1.0</v>
      </c>
      <c r="M28" s="1">
        <v>1.0</v>
      </c>
      <c r="N28" s="1">
        <v>1.0</v>
      </c>
      <c r="Z28" s="10"/>
      <c r="AA28" s="10"/>
    </row>
    <row r="29">
      <c r="A29" s="55">
        <v>45630.0</v>
      </c>
      <c r="B29" s="12" t="s">
        <v>167</v>
      </c>
      <c r="C29" s="12" t="s">
        <v>19</v>
      </c>
      <c r="D29" s="12">
        <f>22.99+(18.49-4.5)</f>
        <v>36.98</v>
      </c>
      <c r="E29" s="51" t="s">
        <v>14</v>
      </c>
      <c r="F29" s="67">
        <f t="shared" si="3"/>
        <v>36.98</v>
      </c>
      <c r="G29" s="10">
        <f t="shared" si="4"/>
        <v>36.98</v>
      </c>
      <c r="J29" s="1">
        <v>1.0</v>
      </c>
      <c r="Z29" s="10"/>
      <c r="AA29" s="10"/>
    </row>
    <row r="30">
      <c r="A30" s="55">
        <v>45630.0</v>
      </c>
      <c r="B30" s="51" t="s">
        <v>168</v>
      </c>
      <c r="C30" s="51" t="s">
        <v>11</v>
      </c>
      <c r="D30" s="51">
        <f>13.99*3</f>
        <v>41.97</v>
      </c>
      <c r="E30" s="51" t="s">
        <v>14</v>
      </c>
      <c r="F30" s="67">
        <f t="shared" si="3"/>
        <v>20.985</v>
      </c>
      <c r="G30" s="10">
        <f t="shared" si="4"/>
        <v>20.985</v>
      </c>
      <c r="H30" s="52"/>
      <c r="I30" s="54"/>
      <c r="J30" s="54">
        <v>1.0</v>
      </c>
      <c r="K30" s="54">
        <v>1.0</v>
      </c>
      <c r="L30" s="53"/>
      <c r="M30" s="54"/>
      <c r="N30" s="54"/>
      <c r="Z30" s="10"/>
      <c r="AA30" s="10"/>
    </row>
    <row r="31">
      <c r="A31" s="59">
        <v>45630.0</v>
      </c>
      <c r="B31" s="12" t="s">
        <v>169</v>
      </c>
      <c r="C31" s="12" t="s">
        <v>25</v>
      </c>
      <c r="D31" s="12">
        <f>15.99*1.13</f>
        <v>18.0687</v>
      </c>
      <c r="E31" s="12" t="s">
        <v>13</v>
      </c>
      <c r="F31" s="67">
        <f t="shared" si="3"/>
        <v>18.0687</v>
      </c>
      <c r="G31" s="10">
        <f t="shared" si="4"/>
        <v>18.0687</v>
      </c>
      <c r="H31" s="1">
        <v>1.0</v>
      </c>
      <c r="Z31" s="10"/>
      <c r="AA31" s="10"/>
    </row>
    <row r="32">
      <c r="A32" s="59">
        <v>45631.0</v>
      </c>
      <c r="B32" s="12" t="s">
        <v>170</v>
      </c>
      <c r="C32" s="12" t="s">
        <v>11</v>
      </c>
      <c r="D32" s="12">
        <v>17.18</v>
      </c>
      <c r="E32" s="12" t="s">
        <v>14</v>
      </c>
      <c r="F32" s="67">
        <f t="shared" si="3"/>
        <v>3.436</v>
      </c>
      <c r="G32" s="10">
        <f t="shared" si="4"/>
        <v>3.436</v>
      </c>
      <c r="H32" s="1">
        <v>1.0</v>
      </c>
      <c r="I32" s="1">
        <v>1.0</v>
      </c>
      <c r="J32" s="1">
        <v>1.0</v>
      </c>
      <c r="K32" s="1">
        <v>1.0</v>
      </c>
      <c r="M32" s="1">
        <v>1.0</v>
      </c>
      <c r="Z32" s="10"/>
      <c r="AA32" s="10"/>
    </row>
    <row r="33">
      <c r="A33" s="55">
        <v>45631.0</v>
      </c>
      <c r="B33" s="12" t="s">
        <v>95</v>
      </c>
      <c r="C33" s="12" t="s">
        <v>11</v>
      </c>
      <c r="D33" s="12">
        <v>1.35</v>
      </c>
      <c r="E33" s="51" t="s">
        <v>14</v>
      </c>
      <c r="F33" s="67">
        <f t="shared" si="3"/>
        <v>0.675</v>
      </c>
      <c r="G33" s="10">
        <f t="shared" si="4"/>
        <v>0.675</v>
      </c>
      <c r="K33" s="1">
        <v>1.0</v>
      </c>
      <c r="M33" s="1">
        <v>1.0</v>
      </c>
      <c r="Z33" s="10"/>
      <c r="AA33" s="10"/>
    </row>
    <row r="34">
      <c r="A34" s="61">
        <v>45632.0</v>
      </c>
      <c r="B34" s="51" t="s">
        <v>141</v>
      </c>
      <c r="C34" s="51" t="s">
        <v>11</v>
      </c>
      <c r="D34" s="51">
        <v>75.7</v>
      </c>
      <c r="E34" s="51" t="s">
        <v>13</v>
      </c>
      <c r="F34" s="67">
        <f t="shared" si="3"/>
        <v>18.925</v>
      </c>
      <c r="G34" s="10">
        <f t="shared" si="4"/>
        <v>18.925</v>
      </c>
      <c r="H34" s="52">
        <v>1.0</v>
      </c>
      <c r="I34" s="52"/>
      <c r="J34" s="52">
        <v>1.0</v>
      </c>
      <c r="K34" s="52">
        <v>1.0</v>
      </c>
      <c r="L34" s="54"/>
      <c r="M34" s="54">
        <v>1.0</v>
      </c>
      <c r="N34" s="52"/>
      <c r="Q34" s="1"/>
      <c r="R34" s="1"/>
      <c r="Z34" s="10"/>
      <c r="AA34" s="10"/>
    </row>
    <row r="35">
      <c r="A35" s="61">
        <v>45634.0</v>
      </c>
      <c r="B35" s="51" t="s">
        <v>51</v>
      </c>
      <c r="C35" s="51" t="s">
        <v>11</v>
      </c>
      <c r="D35" s="51">
        <v>26.14</v>
      </c>
      <c r="E35" s="51" t="s">
        <v>2</v>
      </c>
      <c r="F35" s="67">
        <f t="shared" si="3"/>
        <v>3.734285714</v>
      </c>
      <c r="G35" s="10">
        <f t="shared" si="4"/>
        <v>3.734285714</v>
      </c>
      <c r="H35" s="52">
        <v>1.0</v>
      </c>
      <c r="I35" s="52">
        <v>1.0</v>
      </c>
      <c r="J35" s="52">
        <v>1.0</v>
      </c>
      <c r="K35" s="52">
        <v>1.0</v>
      </c>
      <c r="L35" s="54"/>
      <c r="M35" s="54">
        <v>1.0</v>
      </c>
      <c r="N35" s="52">
        <v>1.0</v>
      </c>
      <c r="Q35" s="1">
        <v>1.0</v>
      </c>
      <c r="Z35" s="10"/>
      <c r="AA35" s="10"/>
    </row>
    <row r="36">
      <c r="A36" s="50">
        <v>45635.0</v>
      </c>
      <c r="B36" s="51" t="s">
        <v>131</v>
      </c>
      <c r="C36" s="51" t="s">
        <v>11</v>
      </c>
      <c r="D36" s="51">
        <v>81.65</v>
      </c>
      <c r="E36" s="12" t="s">
        <v>8</v>
      </c>
      <c r="F36" s="67">
        <f t="shared" si="3"/>
        <v>16.33</v>
      </c>
      <c r="G36" s="10">
        <f t="shared" si="4"/>
        <v>16.33</v>
      </c>
      <c r="H36" s="1">
        <v>1.0</v>
      </c>
      <c r="I36" s="1">
        <v>1.0</v>
      </c>
      <c r="J36" s="1">
        <v>1.0</v>
      </c>
      <c r="K36" s="1">
        <v>1.0</v>
      </c>
      <c r="M36" s="1">
        <v>1.0</v>
      </c>
      <c r="Z36" s="10"/>
      <c r="AA36" s="10"/>
    </row>
    <row r="37">
      <c r="A37" s="55">
        <v>45635.0</v>
      </c>
      <c r="B37" s="51" t="s">
        <v>171</v>
      </c>
      <c r="C37" s="12" t="s">
        <v>11</v>
      </c>
      <c r="D37" s="12">
        <v>46.25</v>
      </c>
      <c r="E37" s="12" t="s">
        <v>13</v>
      </c>
      <c r="F37" s="67">
        <f t="shared" si="3"/>
        <v>9.25</v>
      </c>
      <c r="G37" s="10">
        <f t="shared" si="4"/>
        <v>9.25</v>
      </c>
      <c r="H37" s="1">
        <v>1.0</v>
      </c>
      <c r="I37" s="1">
        <v>1.0</v>
      </c>
      <c r="J37" s="1">
        <v>1.0</v>
      </c>
      <c r="K37" s="1">
        <v>1.0</v>
      </c>
      <c r="M37" s="1">
        <v>1.0</v>
      </c>
      <c r="N37" s="1"/>
      <c r="Z37" s="10"/>
      <c r="AA37" s="10"/>
    </row>
    <row r="38">
      <c r="A38" s="59">
        <v>45636.0</v>
      </c>
      <c r="B38" s="12" t="s">
        <v>172</v>
      </c>
      <c r="C38" s="12" t="s">
        <v>23</v>
      </c>
      <c r="D38" s="12">
        <v>7.33</v>
      </c>
      <c r="E38" s="12" t="s">
        <v>2</v>
      </c>
      <c r="F38" s="67">
        <f t="shared" si="3"/>
        <v>1.221666667</v>
      </c>
      <c r="G38" s="10">
        <f t="shared" si="4"/>
        <v>1.221666667</v>
      </c>
      <c r="H38" s="1">
        <v>1.0</v>
      </c>
      <c r="I38" s="1">
        <v>1.0</v>
      </c>
      <c r="J38" s="1">
        <v>1.0</v>
      </c>
      <c r="K38" s="1">
        <v>1.0</v>
      </c>
      <c r="M38" s="1">
        <v>1.0</v>
      </c>
      <c r="N38" s="1">
        <v>1.0</v>
      </c>
      <c r="Z38" s="10"/>
      <c r="AA38" s="10"/>
    </row>
    <row r="39">
      <c r="A39" s="61">
        <v>45636.0</v>
      </c>
      <c r="B39" s="51" t="s">
        <v>46</v>
      </c>
      <c r="C39" s="51" t="s">
        <v>11</v>
      </c>
      <c r="D39" s="51">
        <v>35.01</v>
      </c>
      <c r="E39" s="51" t="s">
        <v>14</v>
      </c>
      <c r="F39" s="67">
        <f t="shared" si="3"/>
        <v>7.002</v>
      </c>
      <c r="G39" s="10">
        <f t="shared" si="4"/>
        <v>7.002</v>
      </c>
      <c r="H39" s="52">
        <v>1.0</v>
      </c>
      <c r="I39" s="52"/>
      <c r="J39" s="52">
        <v>1.0</v>
      </c>
      <c r="K39" s="52">
        <v>1.0</v>
      </c>
      <c r="L39" s="54"/>
      <c r="M39" s="52">
        <v>1.0</v>
      </c>
      <c r="N39" s="52"/>
      <c r="Q39" s="1">
        <v>1.0</v>
      </c>
      <c r="Z39" s="10"/>
      <c r="AA39" s="10"/>
    </row>
    <row r="40">
      <c r="A40" s="50">
        <v>45637.0</v>
      </c>
      <c r="B40" s="51" t="s">
        <v>173</v>
      </c>
      <c r="C40" s="51" t="s">
        <v>11</v>
      </c>
      <c r="D40" s="51">
        <v>47.0</v>
      </c>
      <c r="E40" s="106" t="s">
        <v>4</v>
      </c>
      <c r="F40" s="67">
        <f t="shared" si="3"/>
        <v>11.75</v>
      </c>
      <c r="G40" s="10">
        <f t="shared" si="4"/>
        <v>11.75</v>
      </c>
      <c r="H40" s="1">
        <v>1.0</v>
      </c>
      <c r="I40" s="1">
        <v>1.0</v>
      </c>
      <c r="M40" s="1">
        <v>1.0</v>
      </c>
      <c r="Q40" s="62">
        <v>1.0</v>
      </c>
      <c r="Z40" s="10"/>
      <c r="AA40" s="10"/>
    </row>
    <row r="41">
      <c r="A41" s="50">
        <v>45637.0</v>
      </c>
      <c r="B41" s="51" t="s">
        <v>174</v>
      </c>
      <c r="C41" s="51" t="s">
        <v>11</v>
      </c>
      <c r="D41" s="51">
        <v>20.83</v>
      </c>
      <c r="E41" s="51" t="s">
        <v>2</v>
      </c>
      <c r="F41" s="67">
        <f t="shared" si="3"/>
        <v>3.471666667</v>
      </c>
      <c r="G41" s="10">
        <f t="shared" si="4"/>
        <v>3.471666667</v>
      </c>
      <c r="H41" s="52">
        <v>1.0</v>
      </c>
      <c r="I41" s="52">
        <v>1.0</v>
      </c>
      <c r="J41" s="52">
        <v>1.0</v>
      </c>
      <c r="K41" s="52">
        <v>1.0</v>
      </c>
      <c r="L41" s="54"/>
      <c r="M41" s="54">
        <v>1.0</v>
      </c>
      <c r="N41" s="52"/>
      <c r="Q41" s="1">
        <v>1.0</v>
      </c>
      <c r="Z41" s="10"/>
      <c r="AA41" s="10"/>
    </row>
    <row r="42">
      <c r="A42" s="50">
        <v>45637.0</v>
      </c>
      <c r="B42" s="51" t="s">
        <v>174</v>
      </c>
      <c r="C42" s="51" t="s">
        <v>11</v>
      </c>
      <c r="D42" s="51">
        <v>12.73</v>
      </c>
      <c r="E42" s="51" t="s">
        <v>2</v>
      </c>
      <c r="F42" s="67">
        <f t="shared" si="3"/>
        <v>2.121666667</v>
      </c>
      <c r="G42" s="10">
        <f t="shared" si="4"/>
        <v>2.121666667</v>
      </c>
      <c r="H42" s="52">
        <v>1.0</v>
      </c>
      <c r="I42" s="52">
        <v>1.0</v>
      </c>
      <c r="J42" s="52">
        <v>1.0</v>
      </c>
      <c r="K42" s="52">
        <v>1.0</v>
      </c>
      <c r="L42" s="54"/>
      <c r="M42" s="54">
        <v>1.0</v>
      </c>
      <c r="N42" s="52"/>
      <c r="Q42" s="1">
        <v>1.0</v>
      </c>
      <c r="Z42" s="10"/>
      <c r="AA42" s="10"/>
    </row>
    <row r="43">
      <c r="A43" s="50">
        <v>45637.0</v>
      </c>
      <c r="B43" s="12" t="s">
        <v>175</v>
      </c>
      <c r="C43" s="12" t="s">
        <v>11</v>
      </c>
      <c r="D43" s="12">
        <v>19.99</v>
      </c>
      <c r="E43" s="12" t="s">
        <v>14</v>
      </c>
      <c r="F43" s="67">
        <f t="shared" si="3"/>
        <v>3.331666667</v>
      </c>
      <c r="G43" s="10">
        <f t="shared" si="4"/>
        <v>3.331666667</v>
      </c>
      <c r="H43" s="1">
        <v>1.0</v>
      </c>
      <c r="I43" s="1">
        <v>1.0</v>
      </c>
      <c r="J43" s="1">
        <v>1.0</v>
      </c>
      <c r="K43" s="1">
        <v>1.0</v>
      </c>
      <c r="M43" s="1">
        <v>1.0</v>
      </c>
      <c r="N43" s="1">
        <v>1.0</v>
      </c>
      <c r="Z43" s="10"/>
      <c r="AA43" s="10"/>
    </row>
    <row r="44">
      <c r="A44" s="50">
        <v>45637.0</v>
      </c>
      <c r="B44" s="51" t="s">
        <v>174</v>
      </c>
      <c r="C44" s="51" t="s">
        <v>11</v>
      </c>
      <c r="D44" s="51">
        <v>15.85</v>
      </c>
      <c r="E44" s="51" t="s">
        <v>13</v>
      </c>
      <c r="F44" s="67">
        <f t="shared" si="3"/>
        <v>2.641666667</v>
      </c>
      <c r="G44" s="10">
        <f t="shared" si="4"/>
        <v>2.641666667</v>
      </c>
      <c r="H44" s="52">
        <v>1.0</v>
      </c>
      <c r="I44" s="52">
        <v>1.0</v>
      </c>
      <c r="J44" s="52">
        <v>1.0</v>
      </c>
      <c r="K44" s="52">
        <v>1.0</v>
      </c>
      <c r="L44" s="54"/>
      <c r="M44" s="54">
        <v>1.0</v>
      </c>
      <c r="N44" s="52"/>
      <c r="Q44" s="1">
        <v>1.0</v>
      </c>
      <c r="Z44" s="10"/>
      <c r="AA44" s="10"/>
    </row>
    <row r="45">
      <c r="A45" s="50">
        <v>45637.0</v>
      </c>
      <c r="B45" s="51" t="s">
        <v>174</v>
      </c>
      <c r="C45" s="51" t="s">
        <v>11</v>
      </c>
      <c r="D45" s="51">
        <v>20.34</v>
      </c>
      <c r="E45" s="51" t="s">
        <v>13</v>
      </c>
      <c r="F45" s="67">
        <f t="shared" si="3"/>
        <v>3.39</v>
      </c>
      <c r="G45" s="10">
        <f t="shared" si="4"/>
        <v>3.39</v>
      </c>
      <c r="H45" s="52">
        <v>1.0</v>
      </c>
      <c r="I45" s="52">
        <v>1.0</v>
      </c>
      <c r="J45" s="52">
        <v>1.0</v>
      </c>
      <c r="K45" s="52">
        <v>1.0</v>
      </c>
      <c r="L45" s="54"/>
      <c r="M45" s="54">
        <v>1.0</v>
      </c>
      <c r="N45" s="52"/>
      <c r="Q45" s="1">
        <v>1.0</v>
      </c>
      <c r="Z45" s="10"/>
      <c r="AA45" s="10"/>
    </row>
    <row r="46">
      <c r="A46" s="50">
        <v>45637.0</v>
      </c>
      <c r="B46" s="51" t="s">
        <v>174</v>
      </c>
      <c r="C46" s="51" t="s">
        <v>11</v>
      </c>
      <c r="D46" s="51">
        <v>14.92</v>
      </c>
      <c r="E46" s="51" t="s">
        <v>13</v>
      </c>
      <c r="F46" s="67">
        <f t="shared" si="3"/>
        <v>2.486666667</v>
      </c>
      <c r="G46" s="10">
        <f t="shared" si="4"/>
        <v>2.486666667</v>
      </c>
      <c r="H46" s="52">
        <v>1.0</v>
      </c>
      <c r="I46" s="52">
        <v>1.0</v>
      </c>
      <c r="J46" s="52">
        <v>1.0</v>
      </c>
      <c r="K46" s="52">
        <v>1.0</v>
      </c>
      <c r="L46" s="54"/>
      <c r="M46" s="54">
        <v>1.0</v>
      </c>
      <c r="N46" s="52"/>
      <c r="Q46" s="1">
        <v>1.0</v>
      </c>
      <c r="Z46" s="10"/>
      <c r="AA46" s="10"/>
    </row>
    <row r="47">
      <c r="A47" s="50">
        <v>45638.0</v>
      </c>
      <c r="B47" s="51" t="s">
        <v>176</v>
      </c>
      <c r="C47" s="51" t="s">
        <v>11</v>
      </c>
      <c r="D47" s="51">
        <v>47.0</v>
      </c>
      <c r="E47" s="51" t="s">
        <v>4</v>
      </c>
      <c r="F47" s="67">
        <f t="shared" si="3"/>
        <v>11.75</v>
      </c>
      <c r="G47" s="10">
        <f t="shared" si="4"/>
        <v>11.75</v>
      </c>
      <c r="H47" s="52">
        <v>1.0</v>
      </c>
      <c r="I47" s="52">
        <v>1.0</v>
      </c>
      <c r="J47" s="52"/>
      <c r="K47" s="52"/>
      <c r="L47" s="54"/>
      <c r="M47" s="54">
        <v>1.0</v>
      </c>
      <c r="N47" s="52"/>
      <c r="Q47" s="1">
        <v>1.0</v>
      </c>
      <c r="Z47" s="10"/>
      <c r="AA47" s="10"/>
    </row>
    <row r="48">
      <c r="A48" s="50">
        <v>45638.0</v>
      </c>
      <c r="B48" s="51" t="s">
        <v>174</v>
      </c>
      <c r="C48" s="51" t="s">
        <v>11</v>
      </c>
      <c r="D48" s="51">
        <v>560.43</v>
      </c>
      <c r="E48" s="12" t="s">
        <v>8</v>
      </c>
      <c r="F48" s="67">
        <f t="shared" si="3"/>
        <v>80.06142857</v>
      </c>
      <c r="G48" s="10">
        <f t="shared" si="4"/>
        <v>80.06142857</v>
      </c>
      <c r="H48" s="52">
        <v>1.0</v>
      </c>
      <c r="I48" s="54">
        <v>1.0</v>
      </c>
      <c r="J48" s="54">
        <v>1.0</v>
      </c>
      <c r="K48" s="54">
        <v>1.0</v>
      </c>
      <c r="L48" s="53"/>
      <c r="M48" s="54">
        <v>1.0</v>
      </c>
      <c r="N48" s="54">
        <v>1.0</v>
      </c>
      <c r="Q48" s="1">
        <v>1.0</v>
      </c>
      <c r="Z48" s="10"/>
      <c r="AA48" s="10"/>
    </row>
    <row r="49">
      <c r="A49" s="55">
        <v>45638.0</v>
      </c>
      <c r="B49" s="12" t="s">
        <v>177</v>
      </c>
      <c r="C49" s="12" t="s">
        <v>11</v>
      </c>
      <c r="D49" s="12">
        <v>75.25</v>
      </c>
      <c r="E49" s="12" t="s">
        <v>14</v>
      </c>
      <c r="F49" s="67">
        <f t="shared" si="3"/>
        <v>15.05</v>
      </c>
      <c r="G49" s="10">
        <f t="shared" si="4"/>
        <v>15.05</v>
      </c>
      <c r="H49" s="1">
        <v>1.0</v>
      </c>
      <c r="I49" s="1">
        <v>1.0</v>
      </c>
      <c r="J49" s="1">
        <v>1.0</v>
      </c>
      <c r="K49" s="1">
        <v>1.0</v>
      </c>
      <c r="Q49" s="1">
        <v>1.0</v>
      </c>
      <c r="Z49" s="10"/>
      <c r="AA49" s="10"/>
    </row>
    <row r="50">
      <c r="A50" s="61">
        <v>45639.0</v>
      </c>
      <c r="B50" s="51" t="s">
        <v>46</v>
      </c>
      <c r="C50" s="51" t="s">
        <v>11</v>
      </c>
      <c r="D50" s="51">
        <v>14.15</v>
      </c>
      <c r="E50" s="51" t="s">
        <v>13</v>
      </c>
      <c r="F50" s="67">
        <f t="shared" si="3"/>
        <v>3.5375</v>
      </c>
      <c r="G50" s="10">
        <f t="shared" si="4"/>
        <v>3.5375</v>
      </c>
      <c r="H50" s="52"/>
      <c r="I50" s="52">
        <v>1.0</v>
      </c>
      <c r="J50" s="52">
        <v>1.0</v>
      </c>
      <c r="K50" s="52">
        <v>1.0</v>
      </c>
      <c r="L50" s="54"/>
      <c r="M50" s="54"/>
      <c r="N50" s="52"/>
      <c r="Q50" s="1">
        <v>1.0</v>
      </c>
      <c r="Z50" s="10"/>
      <c r="AA50" s="10"/>
    </row>
    <row r="51">
      <c r="A51" s="50">
        <v>45640.0</v>
      </c>
      <c r="B51" s="51" t="s">
        <v>178</v>
      </c>
      <c r="C51" s="51" t="s">
        <v>11</v>
      </c>
      <c r="D51" s="51">
        <v>12.49</v>
      </c>
      <c r="E51" s="12" t="s">
        <v>7</v>
      </c>
      <c r="F51" s="67">
        <f t="shared" si="3"/>
        <v>12.49</v>
      </c>
      <c r="G51" s="10">
        <f t="shared" si="4"/>
        <v>12.49</v>
      </c>
      <c r="H51" s="1">
        <v>1.0</v>
      </c>
      <c r="Z51" s="10"/>
      <c r="AA51" s="10"/>
    </row>
    <row r="52">
      <c r="A52" s="50">
        <v>45640.0</v>
      </c>
      <c r="B52" s="51" t="s">
        <v>171</v>
      </c>
      <c r="C52" s="51" t="s">
        <v>11</v>
      </c>
      <c r="D52" s="51">
        <v>9.0</v>
      </c>
      <c r="E52" s="12" t="s">
        <v>7</v>
      </c>
      <c r="F52" s="67">
        <f t="shared" si="3"/>
        <v>9</v>
      </c>
      <c r="G52" s="10">
        <f t="shared" si="4"/>
        <v>9</v>
      </c>
      <c r="K52" s="1">
        <v>1.0</v>
      </c>
      <c r="Z52" s="10"/>
      <c r="AA52" s="10"/>
    </row>
    <row r="53">
      <c r="A53" s="50">
        <v>45640.0</v>
      </c>
      <c r="B53" s="51" t="s">
        <v>171</v>
      </c>
      <c r="C53" s="51" t="s">
        <v>11</v>
      </c>
      <c r="D53" s="12">
        <v>9.0</v>
      </c>
      <c r="E53" s="12" t="s">
        <v>7</v>
      </c>
      <c r="F53" s="67">
        <f t="shared" si="3"/>
        <v>9</v>
      </c>
      <c r="G53" s="10">
        <f t="shared" si="4"/>
        <v>9</v>
      </c>
      <c r="J53" s="1">
        <v>1.0</v>
      </c>
      <c r="Z53" s="57"/>
      <c r="AA53" s="57"/>
    </row>
    <row r="54">
      <c r="A54" s="50">
        <v>45640.0</v>
      </c>
      <c r="B54" s="51" t="s">
        <v>171</v>
      </c>
      <c r="C54" s="12" t="s">
        <v>11</v>
      </c>
      <c r="D54" s="12">
        <v>17.0</v>
      </c>
      <c r="E54" s="12" t="s">
        <v>7</v>
      </c>
      <c r="F54" s="67">
        <f t="shared" si="3"/>
        <v>17</v>
      </c>
      <c r="G54" s="10">
        <f t="shared" si="4"/>
        <v>17</v>
      </c>
      <c r="M54" s="1">
        <v>1.0</v>
      </c>
      <c r="Z54" s="10"/>
      <c r="AA54" s="10"/>
    </row>
    <row r="55">
      <c r="A55" s="50">
        <v>45640.0</v>
      </c>
      <c r="B55" s="51" t="s">
        <v>179</v>
      </c>
      <c r="C55" s="51" t="s">
        <v>11</v>
      </c>
      <c r="D55" s="51">
        <v>18.0</v>
      </c>
      <c r="E55" s="51" t="s">
        <v>2</v>
      </c>
      <c r="F55" s="67">
        <f t="shared" si="3"/>
        <v>3.6</v>
      </c>
      <c r="G55" s="10">
        <f t="shared" si="4"/>
        <v>3.6</v>
      </c>
      <c r="H55" s="52">
        <v>1.0</v>
      </c>
      <c r="I55" s="52">
        <v>1.0</v>
      </c>
      <c r="J55" s="52">
        <v>1.0</v>
      </c>
      <c r="K55" s="52">
        <v>1.0</v>
      </c>
      <c r="L55" s="54"/>
      <c r="M55" s="54">
        <v>1.0</v>
      </c>
      <c r="N55" s="52"/>
      <c r="Z55" s="10"/>
      <c r="AA55" s="10"/>
    </row>
    <row r="56">
      <c r="A56" s="50">
        <v>45641.0</v>
      </c>
      <c r="B56" s="12" t="s">
        <v>180</v>
      </c>
      <c r="C56" s="12" t="s">
        <v>11</v>
      </c>
      <c r="D56" s="12">
        <v>74.75</v>
      </c>
      <c r="E56" s="12" t="s">
        <v>8</v>
      </c>
      <c r="F56" s="67">
        <f t="shared" si="3"/>
        <v>14.95</v>
      </c>
      <c r="G56" s="10">
        <f t="shared" si="4"/>
        <v>14.95</v>
      </c>
      <c r="K56" s="1">
        <v>1.0</v>
      </c>
      <c r="L56" s="1">
        <v>1.0</v>
      </c>
      <c r="M56" s="1">
        <v>1.0</v>
      </c>
      <c r="N56" s="1">
        <v>1.0</v>
      </c>
      <c r="Q56" s="1">
        <v>1.0</v>
      </c>
      <c r="Z56" s="10"/>
      <c r="AA56" s="10"/>
    </row>
    <row r="57">
      <c r="A57" s="59">
        <v>45641.0</v>
      </c>
      <c r="B57" s="12" t="s">
        <v>181</v>
      </c>
      <c r="C57" s="12" t="s">
        <v>23</v>
      </c>
      <c r="D57" s="12">
        <v>55.89</v>
      </c>
      <c r="E57" s="12" t="s">
        <v>2</v>
      </c>
      <c r="F57" s="67">
        <f t="shared" si="3"/>
        <v>27.945</v>
      </c>
      <c r="G57" s="10">
        <f t="shared" si="4"/>
        <v>27.945</v>
      </c>
      <c r="H57" s="1">
        <v>1.0</v>
      </c>
      <c r="I57" s="1">
        <v>1.0</v>
      </c>
      <c r="Z57" s="10"/>
      <c r="AA57" s="10"/>
    </row>
    <row r="58">
      <c r="A58" s="50">
        <v>45642.0</v>
      </c>
      <c r="B58" s="51" t="s">
        <v>182</v>
      </c>
      <c r="C58" s="51" t="s">
        <v>11</v>
      </c>
      <c r="D58" s="51">
        <v>154.53</v>
      </c>
      <c r="E58" s="12" t="s">
        <v>8</v>
      </c>
      <c r="F58" s="67">
        <f t="shared" si="3"/>
        <v>51.51</v>
      </c>
      <c r="G58" s="10">
        <f t="shared" si="4"/>
        <v>51.51</v>
      </c>
      <c r="H58" s="52">
        <v>1.0</v>
      </c>
      <c r="I58" s="52"/>
      <c r="J58" s="52">
        <v>1.0</v>
      </c>
      <c r="K58" s="52"/>
      <c r="L58" s="54"/>
      <c r="M58" s="54">
        <v>1.0</v>
      </c>
      <c r="N58" s="52"/>
      <c r="Z58" s="10"/>
      <c r="AA58" s="10"/>
    </row>
    <row r="59">
      <c r="A59" s="55">
        <v>45642.0</v>
      </c>
      <c r="B59" s="12" t="s">
        <v>183</v>
      </c>
      <c r="C59" s="12" t="s">
        <v>27</v>
      </c>
      <c r="D59" s="12">
        <v>72.59</v>
      </c>
      <c r="E59" s="12" t="s">
        <v>13</v>
      </c>
      <c r="F59" s="67">
        <f t="shared" si="3"/>
        <v>12.09833333</v>
      </c>
      <c r="G59" s="10">
        <f t="shared" si="4"/>
        <v>12.09833333</v>
      </c>
      <c r="H59" s="1">
        <v>1.0</v>
      </c>
      <c r="I59" s="1">
        <v>1.0</v>
      </c>
      <c r="J59" s="1">
        <v>1.0</v>
      </c>
      <c r="K59" s="1">
        <v>1.0</v>
      </c>
      <c r="M59" s="1">
        <v>1.0</v>
      </c>
      <c r="N59" s="1">
        <v>1.0</v>
      </c>
      <c r="Z59" s="10"/>
      <c r="AA59" s="10"/>
    </row>
    <row r="60">
      <c r="A60" s="55">
        <v>45642.0</v>
      </c>
      <c r="B60" s="12" t="s">
        <v>120</v>
      </c>
      <c r="C60" s="12" t="s">
        <v>11</v>
      </c>
      <c r="D60" s="12">
        <v>9.16</v>
      </c>
      <c r="E60" s="12" t="s">
        <v>4</v>
      </c>
      <c r="F60" s="67">
        <f t="shared" si="3"/>
        <v>2.29</v>
      </c>
      <c r="G60" s="10">
        <f t="shared" si="4"/>
        <v>2.29</v>
      </c>
      <c r="I60" s="1">
        <v>1.0</v>
      </c>
      <c r="K60" s="1">
        <v>1.0</v>
      </c>
      <c r="N60" s="1">
        <v>1.0</v>
      </c>
      <c r="Q60" s="1">
        <v>1.0</v>
      </c>
      <c r="Z60" s="10"/>
      <c r="AA60" s="10"/>
    </row>
    <row r="61">
      <c r="A61" s="59">
        <v>45643.0</v>
      </c>
      <c r="B61" s="12" t="s">
        <v>50</v>
      </c>
      <c r="C61" s="12" t="s">
        <v>11</v>
      </c>
      <c r="D61" s="12">
        <v>87.92</v>
      </c>
      <c r="E61" s="12" t="s">
        <v>2</v>
      </c>
      <c r="F61" s="67">
        <f t="shared" si="3"/>
        <v>14.65333333</v>
      </c>
      <c r="G61" s="10">
        <f t="shared" si="4"/>
        <v>14.65333333</v>
      </c>
      <c r="H61" s="1">
        <v>1.0</v>
      </c>
      <c r="I61" s="1">
        <v>1.0</v>
      </c>
      <c r="J61" s="1">
        <v>1.0</v>
      </c>
      <c r="K61" s="1">
        <v>1.0</v>
      </c>
      <c r="M61" s="1">
        <v>1.0</v>
      </c>
      <c r="N61" s="1">
        <v>1.0</v>
      </c>
      <c r="Z61" s="10"/>
      <c r="AA61" s="10"/>
    </row>
    <row r="62">
      <c r="A62" s="59">
        <v>45643.0</v>
      </c>
      <c r="B62" s="12" t="s">
        <v>46</v>
      </c>
      <c r="C62" s="12" t="s">
        <v>11</v>
      </c>
      <c r="D62" s="12">
        <v>17.71</v>
      </c>
      <c r="E62" s="12" t="s">
        <v>2</v>
      </c>
      <c r="F62" s="67">
        <f t="shared" si="3"/>
        <v>2.951666667</v>
      </c>
      <c r="G62" s="10">
        <f t="shared" si="4"/>
        <v>2.951666667</v>
      </c>
      <c r="H62" s="1">
        <v>1.0</v>
      </c>
      <c r="I62" s="1">
        <v>1.0</v>
      </c>
      <c r="J62" s="1">
        <v>1.0</v>
      </c>
      <c r="K62" s="1">
        <v>1.0</v>
      </c>
      <c r="M62" s="1">
        <v>1.0</v>
      </c>
      <c r="N62" s="1">
        <v>1.0</v>
      </c>
      <c r="Z62" s="10"/>
      <c r="AA62" s="10"/>
    </row>
    <row r="63">
      <c r="A63" s="50">
        <v>45644.0</v>
      </c>
      <c r="B63" s="12" t="s">
        <v>175</v>
      </c>
      <c r="C63" s="51" t="s">
        <v>11</v>
      </c>
      <c r="D63" s="12">
        <v>19.99</v>
      </c>
      <c r="E63" s="51" t="s">
        <v>4</v>
      </c>
      <c r="F63" s="67">
        <f t="shared" si="3"/>
        <v>3.331666667</v>
      </c>
      <c r="G63" s="10">
        <f t="shared" si="4"/>
        <v>3.331666667</v>
      </c>
      <c r="H63" s="52">
        <v>1.0</v>
      </c>
      <c r="I63" s="52">
        <v>1.0</v>
      </c>
      <c r="J63" s="52">
        <v>1.0</v>
      </c>
      <c r="K63" s="52">
        <v>1.0</v>
      </c>
      <c r="L63" s="53"/>
      <c r="M63" s="54">
        <v>1.0</v>
      </c>
      <c r="N63" s="52">
        <v>1.0</v>
      </c>
      <c r="Z63" s="10"/>
      <c r="AA63" s="10"/>
    </row>
    <row r="64">
      <c r="A64" s="50">
        <v>45644.0</v>
      </c>
      <c r="B64" s="12" t="s">
        <v>184</v>
      </c>
      <c r="C64" s="12" t="s">
        <v>139</v>
      </c>
      <c r="D64" s="12">
        <f>19.99*1.13</f>
        <v>22.5887</v>
      </c>
      <c r="E64" s="51" t="s">
        <v>4</v>
      </c>
      <c r="F64" s="67">
        <f t="shared" si="3"/>
        <v>22.5887</v>
      </c>
      <c r="G64" s="10">
        <f t="shared" si="4"/>
        <v>22.5887</v>
      </c>
      <c r="H64" s="1">
        <v>1.0</v>
      </c>
      <c r="Z64" s="10"/>
      <c r="AA64" s="10"/>
    </row>
    <row r="65">
      <c r="A65" s="50">
        <v>45644.0</v>
      </c>
      <c r="B65" s="51" t="s">
        <v>185</v>
      </c>
      <c r="C65" s="51" t="s">
        <v>11</v>
      </c>
      <c r="D65" s="51">
        <f>18.99+15.99</f>
        <v>34.98</v>
      </c>
      <c r="E65" s="51" t="s">
        <v>4</v>
      </c>
      <c r="F65" s="67">
        <f t="shared" si="3"/>
        <v>5.83</v>
      </c>
      <c r="G65" s="10">
        <f t="shared" si="4"/>
        <v>5.83</v>
      </c>
      <c r="H65" s="52">
        <v>1.0</v>
      </c>
      <c r="I65" s="54">
        <v>1.0</v>
      </c>
      <c r="J65" s="52">
        <v>1.0</v>
      </c>
      <c r="K65" s="54">
        <v>1.0</v>
      </c>
      <c r="L65" s="54"/>
      <c r="M65" s="54">
        <v>1.0</v>
      </c>
      <c r="N65" s="54">
        <v>1.0</v>
      </c>
      <c r="Z65" s="10"/>
      <c r="AA65" s="10"/>
    </row>
    <row r="66">
      <c r="A66" s="50">
        <v>45644.0</v>
      </c>
      <c r="B66" s="12" t="s">
        <v>186</v>
      </c>
      <c r="C66" s="51" t="s">
        <v>11</v>
      </c>
      <c r="D66" s="51">
        <v>12.49</v>
      </c>
      <c r="E66" s="51" t="s">
        <v>4</v>
      </c>
      <c r="F66" s="67">
        <f t="shared" si="3"/>
        <v>12.49</v>
      </c>
      <c r="G66" s="10">
        <f t="shared" si="4"/>
        <v>12.49</v>
      </c>
      <c r="H66" s="52"/>
      <c r="I66" s="54">
        <v>1.0</v>
      </c>
      <c r="J66" s="52"/>
      <c r="K66" s="54"/>
      <c r="L66" s="54"/>
      <c r="M66" s="54"/>
      <c r="N66" s="54"/>
      <c r="Z66" s="10"/>
      <c r="AA66" s="10"/>
    </row>
    <row r="67">
      <c r="A67" s="50">
        <v>45644.0</v>
      </c>
      <c r="B67" s="12" t="s">
        <v>187</v>
      </c>
      <c r="C67" s="12" t="s">
        <v>11</v>
      </c>
      <c r="D67" s="12">
        <v>152.79</v>
      </c>
      <c r="E67" s="12" t="s">
        <v>13</v>
      </c>
      <c r="F67" s="67">
        <f t="shared" si="3"/>
        <v>30.558</v>
      </c>
      <c r="G67" s="10">
        <f t="shared" si="4"/>
        <v>30.558</v>
      </c>
      <c r="H67" s="1">
        <v>1.0</v>
      </c>
      <c r="I67" s="1">
        <v>1.0</v>
      </c>
      <c r="J67" s="1">
        <v>1.0</v>
      </c>
      <c r="K67" s="1">
        <v>1.0</v>
      </c>
      <c r="M67" s="1">
        <v>1.0</v>
      </c>
      <c r="Z67" s="10"/>
      <c r="AA67" s="10"/>
    </row>
    <row r="68">
      <c r="A68" s="50">
        <v>45645.0</v>
      </c>
      <c r="B68" s="12" t="s">
        <v>45</v>
      </c>
      <c r="C68" s="12" t="s">
        <v>11</v>
      </c>
      <c r="D68" s="12">
        <v>56.85</v>
      </c>
      <c r="E68" s="12" t="s">
        <v>13</v>
      </c>
      <c r="F68" s="67">
        <f t="shared" si="3"/>
        <v>18.95</v>
      </c>
      <c r="G68" s="10">
        <f t="shared" si="4"/>
        <v>18.95</v>
      </c>
      <c r="H68" s="1">
        <v>1.0</v>
      </c>
      <c r="J68" s="1">
        <v>1.0</v>
      </c>
      <c r="M68" s="1">
        <v>1.0</v>
      </c>
      <c r="Z68" s="10"/>
      <c r="AA68" s="10"/>
    </row>
    <row r="69">
      <c r="A69" s="55">
        <v>45645.0</v>
      </c>
      <c r="B69" s="51" t="s">
        <v>171</v>
      </c>
      <c r="C69" s="12" t="s">
        <v>11</v>
      </c>
      <c r="D69" s="12">
        <v>57.15</v>
      </c>
      <c r="E69" s="12" t="s">
        <v>2</v>
      </c>
      <c r="F69" s="67">
        <f t="shared" si="3"/>
        <v>11.43</v>
      </c>
      <c r="G69" s="10">
        <f t="shared" si="4"/>
        <v>11.43</v>
      </c>
      <c r="H69" s="1">
        <v>1.0</v>
      </c>
      <c r="I69" s="1">
        <v>1.0</v>
      </c>
      <c r="J69" s="1">
        <v>1.0</v>
      </c>
      <c r="K69" s="1">
        <v>1.0</v>
      </c>
      <c r="M69" s="1">
        <v>1.0</v>
      </c>
      <c r="Z69" s="10"/>
      <c r="AA69" s="10"/>
    </row>
    <row r="70">
      <c r="A70" s="59">
        <v>45646.0</v>
      </c>
      <c r="B70" s="12" t="s">
        <v>188</v>
      </c>
      <c r="C70" s="12" t="s">
        <v>11</v>
      </c>
      <c r="D70" s="12">
        <v>97.33</v>
      </c>
      <c r="E70" s="12" t="s">
        <v>13</v>
      </c>
      <c r="F70" s="67">
        <f t="shared" si="3"/>
        <v>19.466</v>
      </c>
      <c r="G70" s="10">
        <f t="shared" si="4"/>
        <v>19.466</v>
      </c>
      <c r="H70" s="1">
        <v>1.0</v>
      </c>
      <c r="I70" s="1">
        <v>1.0</v>
      </c>
      <c r="J70" s="1">
        <v>1.0</v>
      </c>
      <c r="K70" s="1">
        <v>1.0</v>
      </c>
      <c r="M70" s="1">
        <v>1.0</v>
      </c>
      <c r="Z70" s="10"/>
      <c r="AA70" s="10"/>
    </row>
    <row r="71">
      <c r="A71" s="61">
        <v>45646.0</v>
      </c>
      <c r="B71" s="51" t="s">
        <v>120</v>
      </c>
      <c r="C71" s="12" t="s">
        <v>11</v>
      </c>
      <c r="D71" s="12">
        <v>30.5</v>
      </c>
      <c r="E71" s="12" t="s">
        <v>13</v>
      </c>
      <c r="F71" s="67">
        <f t="shared" si="3"/>
        <v>6.1</v>
      </c>
      <c r="G71" s="10">
        <f t="shared" si="4"/>
        <v>6.1</v>
      </c>
      <c r="H71" s="1">
        <v>1.0</v>
      </c>
      <c r="I71" s="1">
        <v>1.0</v>
      </c>
      <c r="J71" s="1">
        <v>1.0</v>
      </c>
      <c r="K71" s="1">
        <v>1.0</v>
      </c>
      <c r="M71" s="1">
        <v>1.0</v>
      </c>
      <c r="Z71" s="10"/>
      <c r="AA71" s="10"/>
    </row>
    <row r="72">
      <c r="A72" s="59">
        <v>45647.0</v>
      </c>
      <c r="B72" s="12" t="s">
        <v>120</v>
      </c>
      <c r="C72" s="12" t="s">
        <v>11</v>
      </c>
      <c r="D72" s="12">
        <v>30.5</v>
      </c>
      <c r="E72" s="12" t="s">
        <v>13</v>
      </c>
      <c r="F72" s="67">
        <f t="shared" si="3"/>
        <v>6.1</v>
      </c>
      <c r="G72" s="10">
        <f t="shared" si="4"/>
        <v>6.1</v>
      </c>
      <c r="H72" s="1">
        <v>1.0</v>
      </c>
      <c r="I72" s="1">
        <v>1.0</v>
      </c>
      <c r="J72" s="1">
        <v>1.0</v>
      </c>
      <c r="K72" s="1">
        <v>1.0</v>
      </c>
      <c r="M72" s="1">
        <v>1.0</v>
      </c>
      <c r="Z72" s="10"/>
      <c r="AA72" s="10"/>
    </row>
    <row r="73">
      <c r="A73" s="59">
        <v>45647.0</v>
      </c>
      <c r="B73" s="12" t="s">
        <v>47</v>
      </c>
      <c r="C73" s="12" t="s">
        <v>11</v>
      </c>
      <c r="D73" s="12">
        <v>51.65</v>
      </c>
      <c r="E73" s="12" t="s">
        <v>13</v>
      </c>
      <c r="F73" s="67">
        <f t="shared" si="3"/>
        <v>10.33</v>
      </c>
      <c r="G73" s="10">
        <f t="shared" si="4"/>
        <v>10.33</v>
      </c>
      <c r="H73" s="1">
        <v>1.0</v>
      </c>
      <c r="I73" s="1">
        <v>1.0</v>
      </c>
      <c r="J73" s="1">
        <v>1.0</v>
      </c>
      <c r="K73" s="1">
        <v>1.0</v>
      </c>
      <c r="M73" s="1">
        <v>1.0</v>
      </c>
      <c r="Z73" s="10"/>
      <c r="AA73" s="10"/>
    </row>
    <row r="74">
      <c r="A74" s="50">
        <v>45648.0</v>
      </c>
      <c r="B74" s="51" t="s">
        <v>46</v>
      </c>
      <c r="C74" s="51" t="s">
        <v>11</v>
      </c>
      <c r="D74" s="51">
        <v>52.7</v>
      </c>
      <c r="E74" s="51" t="s">
        <v>14</v>
      </c>
      <c r="F74" s="67">
        <f t="shared" si="3"/>
        <v>8.783333333</v>
      </c>
      <c r="G74" s="10">
        <f t="shared" si="4"/>
        <v>8.783333333</v>
      </c>
      <c r="H74" s="54">
        <v>1.0</v>
      </c>
      <c r="I74" s="54">
        <v>1.0</v>
      </c>
      <c r="J74" s="54">
        <v>1.0</v>
      </c>
      <c r="K74" s="54">
        <v>1.0</v>
      </c>
      <c r="L74" s="54"/>
      <c r="M74" s="54">
        <v>1.0</v>
      </c>
      <c r="N74" s="54">
        <v>1.0</v>
      </c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>
      <c r="A75" s="50">
        <v>45648.0</v>
      </c>
      <c r="B75" s="51" t="s">
        <v>189</v>
      </c>
      <c r="C75" s="51" t="s">
        <v>11</v>
      </c>
      <c r="D75" s="51">
        <v>4.48</v>
      </c>
      <c r="E75" s="51" t="s">
        <v>14</v>
      </c>
      <c r="F75" s="67">
        <f t="shared" si="3"/>
        <v>0.56</v>
      </c>
      <c r="G75" s="10">
        <f t="shared" si="4"/>
        <v>0.56</v>
      </c>
      <c r="H75" s="54">
        <v>1.0</v>
      </c>
      <c r="I75" s="54">
        <v>1.0</v>
      </c>
      <c r="J75" s="54">
        <v>1.0</v>
      </c>
      <c r="K75" s="54">
        <v>1.0</v>
      </c>
      <c r="L75" s="54">
        <v>1.0</v>
      </c>
      <c r="M75" s="54">
        <v>1.0</v>
      </c>
      <c r="N75" s="54"/>
      <c r="O75" s="54">
        <v>1.0</v>
      </c>
      <c r="P75" s="53"/>
      <c r="Q75" s="53"/>
      <c r="R75" s="53"/>
      <c r="S75" s="54">
        <v>1.0</v>
      </c>
      <c r="T75" s="53"/>
      <c r="U75" s="53"/>
      <c r="V75" s="53"/>
      <c r="W75" s="53"/>
      <c r="X75" s="53"/>
      <c r="Y75" s="53"/>
      <c r="Z75" s="53"/>
      <c r="AA75" s="53"/>
    </row>
    <row r="76">
      <c r="A76" s="50">
        <v>45648.0</v>
      </c>
      <c r="B76" s="51" t="s">
        <v>149</v>
      </c>
      <c r="C76" s="51" t="s">
        <v>11</v>
      </c>
      <c r="D76" s="51">
        <v>23.11</v>
      </c>
      <c r="E76" s="51" t="s">
        <v>14</v>
      </c>
      <c r="F76" s="67">
        <f t="shared" si="3"/>
        <v>2.88875</v>
      </c>
      <c r="G76" s="10">
        <f t="shared" si="4"/>
        <v>2.88875</v>
      </c>
      <c r="H76" s="54">
        <v>1.0</v>
      </c>
      <c r="I76" s="54">
        <v>1.0</v>
      </c>
      <c r="J76" s="54">
        <v>1.0</v>
      </c>
      <c r="K76" s="54">
        <v>1.0</v>
      </c>
      <c r="L76" s="54">
        <v>1.0</v>
      </c>
      <c r="M76" s="54">
        <v>1.0</v>
      </c>
      <c r="N76" s="54"/>
      <c r="O76" s="54">
        <v>1.0</v>
      </c>
      <c r="P76" s="53"/>
      <c r="Q76" s="53"/>
      <c r="R76" s="53"/>
      <c r="S76" s="54">
        <v>1.0</v>
      </c>
      <c r="T76" s="53"/>
      <c r="U76" s="53"/>
      <c r="V76" s="53"/>
      <c r="W76" s="53"/>
      <c r="X76" s="53"/>
      <c r="Y76" s="53"/>
      <c r="Z76" s="53"/>
      <c r="AA76" s="53"/>
    </row>
    <row r="77">
      <c r="A77" s="61">
        <v>45648.0</v>
      </c>
      <c r="B77" s="51" t="s">
        <v>190</v>
      </c>
      <c r="C77" s="51" t="s">
        <v>11</v>
      </c>
      <c r="D77" s="63">
        <v>41.53</v>
      </c>
      <c r="E77" s="51" t="s">
        <v>13</v>
      </c>
      <c r="F77" s="67">
        <f t="shared" si="3"/>
        <v>20.765</v>
      </c>
      <c r="G77" s="10">
        <f t="shared" si="4"/>
        <v>20.765</v>
      </c>
      <c r="H77" s="52">
        <v>1.0</v>
      </c>
      <c r="I77" s="52"/>
      <c r="J77" s="52">
        <v>1.0</v>
      </c>
      <c r="K77" s="52"/>
      <c r="L77" s="53"/>
      <c r="M77" s="54"/>
      <c r="N77" s="52"/>
      <c r="Z77" s="10"/>
      <c r="AA77" s="10"/>
    </row>
    <row r="78">
      <c r="A78" s="55">
        <v>45648.0</v>
      </c>
      <c r="B78" s="12" t="s">
        <v>191</v>
      </c>
      <c r="C78" s="12" t="s">
        <v>11</v>
      </c>
      <c r="D78" s="12">
        <f>40.65-16.99</f>
        <v>23.66</v>
      </c>
      <c r="E78" s="12" t="s">
        <v>4</v>
      </c>
      <c r="F78" s="67">
        <f t="shared" si="3"/>
        <v>2.9575</v>
      </c>
      <c r="G78" s="10">
        <f t="shared" si="4"/>
        <v>2.9575</v>
      </c>
      <c r="H78" s="1">
        <v>1.0</v>
      </c>
      <c r="I78" s="1">
        <v>1.0</v>
      </c>
      <c r="J78" s="1">
        <v>1.0</v>
      </c>
      <c r="K78" s="1">
        <v>1.0</v>
      </c>
      <c r="L78" s="1">
        <v>1.0</v>
      </c>
      <c r="M78" s="1">
        <v>1.0</v>
      </c>
      <c r="O78" s="1">
        <v>1.0</v>
      </c>
      <c r="S78" s="1">
        <v>1.0</v>
      </c>
      <c r="Z78" s="10"/>
      <c r="AA78" s="10"/>
    </row>
    <row r="79">
      <c r="A79" s="55">
        <v>45648.0</v>
      </c>
      <c r="B79" s="12" t="s">
        <v>191</v>
      </c>
      <c r="C79" s="12" t="s">
        <v>11</v>
      </c>
      <c r="D79" s="12">
        <v>16.99</v>
      </c>
      <c r="E79" s="12" t="s">
        <v>4</v>
      </c>
      <c r="F79" s="67">
        <f t="shared" si="3"/>
        <v>1.544545455</v>
      </c>
      <c r="G79" s="10">
        <f t="shared" si="4"/>
        <v>1.544545455</v>
      </c>
      <c r="H79" s="1">
        <v>1.0</v>
      </c>
      <c r="I79" s="1">
        <v>1.0</v>
      </c>
      <c r="J79" s="1">
        <v>1.0</v>
      </c>
      <c r="K79" s="1">
        <v>1.0</v>
      </c>
      <c r="L79" s="1">
        <v>1.0</v>
      </c>
      <c r="M79" s="1">
        <v>1.0</v>
      </c>
      <c r="N79" s="1">
        <v>1.0</v>
      </c>
      <c r="P79" s="1">
        <v>1.0</v>
      </c>
      <c r="Q79" s="1">
        <v>1.0</v>
      </c>
      <c r="R79" s="1">
        <v>1.0</v>
      </c>
      <c r="S79" s="107">
        <v>1.0</v>
      </c>
      <c r="Z79" s="10"/>
      <c r="AA79" s="10"/>
    </row>
    <row r="80">
      <c r="A80" s="55">
        <v>45648.0</v>
      </c>
      <c r="B80" s="12" t="s">
        <v>192</v>
      </c>
      <c r="C80" s="12" t="s">
        <v>11</v>
      </c>
      <c r="D80" s="12">
        <v>4.48</v>
      </c>
      <c r="E80" s="12" t="s">
        <v>14</v>
      </c>
      <c r="F80" s="67">
        <f t="shared" si="3"/>
        <v>0.4977777778</v>
      </c>
      <c r="G80" s="10">
        <f t="shared" si="4"/>
        <v>0.4977777778</v>
      </c>
      <c r="H80" s="1">
        <v>1.0</v>
      </c>
      <c r="I80" s="1">
        <v>1.0</v>
      </c>
      <c r="J80" s="1">
        <v>1.0</v>
      </c>
      <c r="K80" s="1">
        <v>1.0</v>
      </c>
      <c r="L80" s="1">
        <v>1.0</v>
      </c>
      <c r="M80" s="1">
        <v>1.0</v>
      </c>
      <c r="N80" s="1">
        <v>1.0</v>
      </c>
      <c r="O80" s="1">
        <v>1.0</v>
      </c>
      <c r="S80" s="1">
        <v>1.0</v>
      </c>
      <c r="Z80" s="10"/>
      <c r="AA80" s="10"/>
    </row>
    <row r="81">
      <c r="A81" s="55">
        <v>45648.0</v>
      </c>
      <c r="B81" s="12" t="s">
        <v>193</v>
      </c>
      <c r="C81" s="12" t="s">
        <v>11</v>
      </c>
      <c r="D81" s="12">
        <v>29.16</v>
      </c>
      <c r="E81" s="12" t="s">
        <v>14</v>
      </c>
      <c r="F81" s="67">
        <f t="shared" si="3"/>
        <v>7.29</v>
      </c>
      <c r="G81" s="10">
        <f t="shared" si="4"/>
        <v>7.29</v>
      </c>
      <c r="H81" s="1">
        <v>1.0</v>
      </c>
      <c r="I81" s="1">
        <v>1.0</v>
      </c>
      <c r="J81" s="1">
        <v>1.0</v>
      </c>
      <c r="K81" s="1">
        <v>1.0</v>
      </c>
      <c r="Z81" s="10"/>
      <c r="AA81" s="10"/>
    </row>
    <row r="82">
      <c r="A82" s="55">
        <v>45648.0</v>
      </c>
      <c r="B82" s="12" t="s">
        <v>194</v>
      </c>
      <c r="C82" s="12" t="s">
        <v>33</v>
      </c>
      <c r="D82" s="12">
        <v>53.0</v>
      </c>
      <c r="E82" s="12" t="s">
        <v>2</v>
      </c>
      <c r="F82" s="67">
        <f t="shared" si="3"/>
        <v>26.5</v>
      </c>
      <c r="G82" s="10">
        <f t="shared" si="4"/>
        <v>26.5</v>
      </c>
      <c r="H82" s="1">
        <v>1.0</v>
      </c>
      <c r="I82" s="1">
        <v>1.0</v>
      </c>
      <c r="Z82" s="10"/>
      <c r="AA82" s="10"/>
    </row>
    <row r="83">
      <c r="A83" s="61">
        <v>45648.0</v>
      </c>
      <c r="B83" s="51" t="s">
        <v>47</v>
      </c>
      <c r="C83" s="51" t="s">
        <v>11</v>
      </c>
      <c r="D83" s="12">
        <v>23.11</v>
      </c>
      <c r="E83" s="12" t="s">
        <v>14</v>
      </c>
      <c r="F83" s="67">
        <f t="shared" si="3"/>
        <v>2.88875</v>
      </c>
      <c r="G83" s="10">
        <f t="shared" si="4"/>
        <v>2.88875</v>
      </c>
      <c r="H83" s="1">
        <v>1.0</v>
      </c>
      <c r="I83" s="1">
        <v>1.0</v>
      </c>
      <c r="J83" s="1">
        <v>1.0</v>
      </c>
      <c r="K83" s="1">
        <v>1.0</v>
      </c>
      <c r="L83" s="1">
        <v>1.0</v>
      </c>
      <c r="M83" s="1">
        <v>1.0</v>
      </c>
      <c r="O83" s="1">
        <v>1.0</v>
      </c>
      <c r="S83" s="1">
        <v>1.0</v>
      </c>
      <c r="T83" s="18"/>
      <c r="U83" s="18"/>
      <c r="V83" s="18"/>
      <c r="W83" s="18"/>
      <c r="Z83" s="10"/>
      <c r="AA83" s="10"/>
    </row>
    <row r="84">
      <c r="A84" s="50">
        <v>45649.0</v>
      </c>
      <c r="B84" s="51" t="s">
        <v>195</v>
      </c>
      <c r="C84" s="51" t="s">
        <v>11</v>
      </c>
      <c r="D84" s="51">
        <v>4.99</v>
      </c>
      <c r="E84" s="12" t="s">
        <v>8</v>
      </c>
      <c r="F84" s="67">
        <f t="shared" si="3"/>
        <v>0.7128571429</v>
      </c>
      <c r="G84" s="10">
        <f t="shared" si="4"/>
        <v>0.7128571429</v>
      </c>
      <c r="H84" s="52">
        <v>1.0</v>
      </c>
      <c r="I84" s="52">
        <v>1.0</v>
      </c>
      <c r="J84" s="52">
        <v>1.0</v>
      </c>
      <c r="K84" s="52">
        <v>1.0</v>
      </c>
      <c r="L84" s="54"/>
      <c r="M84" s="54">
        <v>1.0</v>
      </c>
      <c r="N84" s="52"/>
      <c r="O84" s="1">
        <v>1.0</v>
      </c>
      <c r="S84" s="1">
        <v>1.0</v>
      </c>
      <c r="Z84" s="10"/>
      <c r="AA84" s="10"/>
    </row>
    <row r="85">
      <c r="A85" s="61">
        <v>45649.0</v>
      </c>
      <c r="B85" s="51" t="s">
        <v>149</v>
      </c>
      <c r="C85" s="51" t="s">
        <v>11</v>
      </c>
      <c r="D85" s="63">
        <v>63.22</v>
      </c>
      <c r="E85" s="51" t="s">
        <v>13</v>
      </c>
      <c r="F85" s="67">
        <f t="shared" si="3"/>
        <v>7.9025</v>
      </c>
      <c r="G85" s="10">
        <f t="shared" si="4"/>
        <v>7.9025</v>
      </c>
      <c r="H85" s="52">
        <v>1.0</v>
      </c>
      <c r="I85" s="52">
        <v>1.0</v>
      </c>
      <c r="J85" s="52">
        <v>1.0</v>
      </c>
      <c r="K85" s="52">
        <v>1.0</v>
      </c>
      <c r="L85" s="54">
        <v>1.0</v>
      </c>
      <c r="M85" s="54">
        <v>1.0</v>
      </c>
      <c r="N85" s="52"/>
      <c r="O85" s="1">
        <v>1.0</v>
      </c>
      <c r="S85" s="1">
        <v>1.0</v>
      </c>
      <c r="Z85" s="10"/>
      <c r="AA85" s="10"/>
    </row>
    <row r="86">
      <c r="A86" s="55">
        <v>45650.0</v>
      </c>
      <c r="B86" s="12" t="s">
        <v>47</v>
      </c>
      <c r="C86" s="12" t="s">
        <v>11</v>
      </c>
      <c r="D86" s="12">
        <v>84.79</v>
      </c>
      <c r="E86" s="12" t="s">
        <v>13</v>
      </c>
      <c r="F86" s="67">
        <f t="shared" si="3"/>
        <v>9.421111111</v>
      </c>
      <c r="G86" s="10">
        <f t="shared" si="4"/>
        <v>9.421111111</v>
      </c>
      <c r="H86" s="1">
        <v>1.0</v>
      </c>
      <c r="I86" s="1">
        <v>1.0</v>
      </c>
      <c r="J86" s="1">
        <v>1.0</v>
      </c>
      <c r="K86" s="1">
        <v>1.0</v>
      </c>
      <c r="L86" s="1">
        <v>1.0</v>
      </c>
      <c r="M86" s="1">
        <v>1.0</v>
      </c>
      <c r="N86" s="1">
        <v>1.0</v>
      </c>
      <c r="P86" s="1">
        <v>1.0</v>
      </c>
      <c r="Q86" s="1">
        <v>1.0</v>
      </c>
      <c r="Z86" s="10"/>
      <c r="AA86" s="10"/>
    </row>
    <row r="87">
      <c r="A87" s="55">
        <v>45650.0</v>
      </c>
      <c r="B87" s="12" t="s">
        <v>196</v>
      </c>
      <c r="C87" s="12" t="s">
        <v>11</v>
      </c>
      <c r="D87" s="12">
        <v>48.0</v>
      </c>
      <c r="E87" s="12" t="s">
        <v>8</v>
      </c>
      <c r="F87" s="67">
        <f t="shared" si="3"/>
        <v>16</v>
      </c>
      <c r="G87" s="10">
        <f t="shared" si="4"/>
        <v>16</v>
      </c>
      <c r="J87" s="1">
        <v>1.0</v>
      </c>
      <c r="M87" s="1">
        <v>1.0</v>
      </c>
      <c r="N87" s="1">
        <v>1.0</v>
      </c>
      <c r="Z87" s="10"/>
      <c r="AA87" s="10"/>
    </row>
    <row r="88">
      <c r="A88" s="61">
        <v>45650.0</v>
      </c>
      <c r="B88" s="12" t="s">
        <v>197</v>
      </c>
      <c r="C88" s="12" t="s">
        <v>11</v>
      </c>
      <c r="D88" s="12">
        <f>43.47*1.1</f>
        <v>47.817</v>
      </c>
      <c r="E88" s="12" t="s">
        <v>13</v>
      </c>
      <c r="F88" s="67">
        <f t="shared" si="3"/>
        <v>15.939</v>
      </c>
      <c r="G88" s="10">
        <f t="shared" si="4"/>
        <v>15.939</v>
      </c>
      <c r="H88" s="1">
        <v>1.0</v>
      </c>
      <c r="J88" s="1">
        <v>1.0</v>
      </c>
      <c r="N88" s="1">
        <v>1.0</v>
      </c>
      <c r="Z88" s="10"/>
      <c r="AA88" s="10"/>
    </row>
    <row r="89">
      <c r="A89" s="61">
        <v>45651.0</v>
      </c>
      <c r="B89" s="51" t="s">
        <v>149</v>
      </c>
      <c r="C89" s="12" t="s">
        <v>11</v>
      </c>
      <c r="D89" s="12">
        <v>15.01</v>
      </c>
      <c r="E89" s="51" t="s">
        <v>7</v>
      </c>
      <c r="F89" s="67">
        <f t="shared" si="3"/>
        <v>1.667777778</v>
      </c>
      <c r="G89" s="10">
        <f t="shared" si="4"/>
        <v>1.667777778</v>
      </c>
      <c r="H89" s="1">
        <v>1.0</v>
      </c>
      <c r="I89" s="1">
        <v>1.0</v>
      </c>
      <c r="J89" s="1">
        <v>1.0</v>
      </c>
      <c r="K89" s="1">
        <v>1.0</v>
      </c>
      <c r="L89" s="1">
        <v>1.0</v>
      </c>
      <c r="M89" s="1">
        <v>1.0</v>
      </c>
      <c r="N89" s="1">
        <v>1.0</v>
      </c>
      <c r="P89" s="1">
        <v>1.0</v>
      </c>
      <c r="Q89" s="1">
        <v>1.0</v>
      </c>
      <c r="Z89" s="10"/>
      <c r="AA89" s="10"/>
    </row>
    <row r="90">
      <c r="A90" s="61">
        <v>45651.0</v>
      </c>
      <c r="B90" s="51" t="s">
        <v>198</v>
      </c>
      <c r="C90" s="12" t="s">
        <v>19</v>
      </c>
      <c r="D90" s="12">
        <v>15.25</v>
      </c>
      <c r="E90" s="51" t="s">
        <v>7</v>
      </c>
      <c r="F90" s="67">
        <f t="shared" si="3"/>
        <v>1.694444444</v>
      </c>
      <c r="G90" s="10">
        <f t="shared" si="4"/>
        <v>1.694444444</v>
      </c>
      <c r="H90" s="1">
        <v>1.0</v>
      </c>
      <c r="I90" s="1">
        <v>1.0</v>
      </c>
      <c r="J90" s="1">
        <v>1.0</v>
      </c>
      <c r="K90" s="1">
        <v>1.0</v>
      </c>
      <c r="L90" s="1">
        <v>1.0</v>
      </c>
      <c r="M90" s="1">
        <v>1.0</v>
      </c>
      <c r="N90" s="1">
        <v>1.0</v>
      </c>
      <c r="P90" s="1">
        <v>1.0</v>
      </c>
      <c r="Q90" s="1">
        <v>1.0</v>
      </c>
      <c r="Z90" s="10"/>
      <c r="AA90" s="10"/>
    </row>
    <row r="91">
      <c r="A91" s="55">
        <v>45651.0</v>
      </c>
      <c r="B91" s="12" t="s">
        <v>199</v>
      </c>
      <c r="C91" s="12" t="s">
        <v>11</v>
      </c>
      <c r="D91" s="12">
        <v>77.9</v>
      </c>
      <c r="E91" s="12" t="s">
        <v>8</v>
      </c>
      <c r="F91" s="67">
        <f t="shared" si="3"/>
        <v>8.655555556</v>
      </c>
      <c r="G91" s="10">
        <f t="shared" si="4"/>
        <v>8.655555556</v>
      </c>
      <c r="H91" s="1">
        <v>1.0</v>
      </c>
      <c r="I91" s="1">
        <v>1.0</v>
      </c>
      <c r="J91" s="1">
        <v>1.0</v>
      </c>
      <c r="L91" s="1">
        <v>1.0</v>
      </c>
      <c r="M91" s="1">
        <v>1.0</v>
      </c>
      <c r="N91" s="1">
        <v>1.0</v>
      </c>
      <c r="P91" s="1">
        <v>1.0</v>
      </c>
      <c r="Q91" s="1">
        <v>1.0</v>
      </c>
      <c r="R91" s="1">
        <v>1.0</v>
      </c>
      <c r="Z91" s="10"/>
      <c r="AA91" s="10"/>
    </row>
    <row r="92">
      <c r="A92" s="61">
        <v>45652.0</v>
      </c>
      <c r="B92" s="51" t="s">
        <v>47</v>
      </c>
      <c r="C92" s="51" t="s">
        <v>11</v>
      </c>
      <c r="D92" s="51">
        <v>51.9</v>
      </c>
      <c r="E92" s="51" t="s">
        <v>14</v>
      </c>
      <c r="F92" s="67">
        <f t="shared" si="3"/>
        <v>10.38</v>
      </c>
      <c r="G92" s="10">
        <f t="shared" si="4"/>
        <v>10.38</v>
      </c>
      <c r="H92" s="52">
        <v>1.0</v>
      </c>
      <c r="I92" s="52">
        <v>1.0</v>
      </c>
      <c r="J92" s="52">
        <v>1.0</v>
      </c>
      <c r="K92" s="52">
        <v>1.0</v>
      </c>
      <c r="L92" s="54"/>
      <c r="M92" s="54">
        <v>1.0</v>
      </c>
      <c r="N92" s="52"/>
      <c r="Z92" s="10"/>
      <c r="AA92" s="10"/>
    </row>
    <row r="93">
      <c r="A93" s="59">
        <v>45653.0</v>
      </c>
      <c r="B93" s="12" t="s">
        <v>98</v>
      </c>
      <c r="C93" s="12" t="s">
        <v>11</v>
      </c>
      <c r="D93" s="12">
        <v>62.95</v>
      </c>
      <c r="E93" s="12" t="s">
        <v>14</v>
      </c>
      <c r="F93" s="67">
        <f t="shared" si="3"/>
        <v>20.98333333</v>
      </c>
      <c r="G93" s="10">
        <f t="shared" si="4"/>
        <v>20.98333333</v>
      </c>
      <c r="I93" s="1">
        <v>1.0</v>
      </c>
      <c r="K93" s="1">
        <v>1.0</v>
      </c>
      <c r="N93" s="1">
        <v>1.0</v>
      </c>
      <c r="Z93" s="10"/>
      <c r="AA93" s="10"/>
    </row>
    <row r="94">
      <c r="A94" s="59">
        <v>45653.0</v>
      </c>
      <c r="B94" s="12" t="s">
        <v>200</v>
      </c>
      <c r="C94" s="51" t="s">
        <v>11</v>
      </c>
      <c r="D94" s="12">
        <v>60.5</v>
      </c>
      <c r="E94" s="12" t="s">
        <v>2</v>
      </c>
      <c r="F94" s="67">
        <f t="shared" si="3"/>
        <v>12.1</v>
      </c>
      <c r="G94" s="10">
        <f t="shared" si="4"/>
        <v>12.1</v>
      </c>
      <c r="H94" s="1">
        <v>1.0</v>
      </c>
      <c r="I94" s="1">
        <v>1.0</v>
      </c>
      <c r="J94" s="1">
        <v>1.0</v>
      </c>
      <c r="K94" s="1">
        <v>1.0</v>
      </c>
      <c r="N94" s="1">
        <v>1.0</v>
      </c>
      <c r="Z94" s="64"/>
      <c r="AA94" s="64"/>
    </row>
    <row r="95">
      <c r="A95" s="59">
        <v>45653.0</v>
      </c>
      <c r="B95" s="12" t="s">
        <v>46</v>
      </c>
      <c r="C95" s="51" t="s">
        <v>11</v>
      </c>
      <c r="D95" s="12">
        <v>33.15</v>
      </c>
      <c r="E95" s="12" t="s">
        <v>2</v>
      </c>
      <c r="F95" s="67">
        <f t="shared" si="3"/>
        <v>5.525</v>
      </c>
      <c r="G95" s="10">
        <f t="shared" si="4"/>
        <v>5.525</v>
      </c>
      <c r="H95" s="1">
        <v>1.0</v>
      </c>
      <c r="I95" s="1">
        <v>1.0</v>
      </c>
      <c r="J95" s="1">
        <v>1.0</v>
      </c>
      <c r="K95" s="1">
        <v>1.0</v>
      </c>
      <c r="M95" s="1">
        <v>1.0</v>
      </c>
      <c r="N95" s="1">
        <v>1.0</v>
      </c>
      <c r="Z95" s="64"/>
      <c r="AA95" s="64"/>
    </row>
    <row r="96">
      <c r="A96" s="55">
        <v>45654.0</v>
      </c>
      <c r="B96" s="12" t="s">
        <v>136</v>
      </c>
      <c r="C96" s="12" t="s">
        <v>11</v>
      </c>
      <c r="D96" s="12">
        <v>269.42</v>
      </c>
      <c r="E96" s="12" t="s">
        <v>8</v>
      </c>
      <c r="F96" s="67">
        <f t="shared" si="3"/>
        <v>53.884</v>
      </c>
      <c r="G96" s="10">
        <f t="shared" si="4"/>
        <v>53.884</v>
      </c>
      <c r="H96" s="1">
        <v>1.0</v>
      </c>
      <c r="I96" s="1">
        <v>1.0</v>
      </c>
      <c r="J96" s="1">
        <v>1.0</v>
      </c>
      <c r="K96" s="1">
        <v>1.0</v>
      </c>
      <c r="M96" s="1">
        <v>1.0</v>
      </c>
      <c r="Z96" s="10"/>
      <c r="AA96" s="10"/>
    </row>
    <row r="97">
      <c r="A97" s="55">
        <v>45655.0</v>
      </c>
      <c r="B97" s="12" t="s">
        <v>201</v>
      </c>
      <c r="C97" s="12" t="s">
        <v>11</v>
      </c>
      <c r="D97" s="12">
        <v>86.75</v>
      </c>
      <c r="E97" s="12" t="s">
        <v>13</v>
      </c>
      <c r="F97" s="67">
        <f t="shared" si="3"/>
        <v>17.35</v>
      </c>
      <c r="G97" s="10">
        <f t="shared" si="4"/>
        <v>17.35</v>
      </c>
      <c r="H97" s="1">
        <v>1.0</v>
      </c>
      <c r="I97" s="1">
        <v>1.0</v>
      </c>
      <c r="J97" s="1">
        <v>1.0</v>
      </c>
      <c r="K97" s="1">
        <v>1.0</v>
      </c>
      <c r="M97" s="1">
        <v>1.0</v>
      </c>
      <c r="Z97" s="10"/>
      <c r="AA97" s="10"/>
    </row>
    <row r="98">
      <c r="A98" s="61">
        <v>45656.0</v>
      </c>
      <c r="B98" s="51" t="s">
        <v>120</v>
      </c>
      <c r="C98" s="12" t="s">
        <v>11</v>
      </c>
      <c r="D98" s="12">
        <v>50.14</v>
      </c>
      <c r="E98" s="12" t="s">
        <v>14</v>
      </c>
      <c r="F98" s="67">
        <f t="shared" si="3"/>
        <v>8.356666667</v>
      </c>
      <c r="G98" s="10">
        <f t="shared" si="4"/>
        <v>8.356666667</v>
      </c>
      <c r="H98" s="1">
        <v>1.0</v>
      </c>
      <c r="I98" s="1">
        <v>1.0</v>
      </c>
      <c r="J98" s="1">
        <v>1.0</v>
      </c>
      <c r="K98" s="1">
        <v>1.0</v>
      </c>
      <c r="M98" s="1">
        <v>1.0</v>
      </c>
      <c r="N98" s="1">
        <v>1.0</v>
      </c>
      <c r="Z98" s="10"/>
      <c r="AA98" s="10"/>
    </row>
    <row r="99">
      <c r="A99" s="59">
        <v>45656.0</v>
      </c>
      <c r="B99" s="12" t="s">
        <v>155</v>
      </c>
      <c r="C99" s="51" t="s">
        <v>11</v>
      </c>
      <c r="D99" s="12">
        <v>21.0</v>
      </c>
      <c r="E99" s="12" t="s">
        <v>14</v>
      </c>
      <c r="F99" s="67">
        <f t="shared" si="3"/>
        <v>3.5</v>
      </c>
      <c r="G99" s="10">
        <f t="shared" si="4"/>
        <v>3.5</v>
      </c>
      <c r="H99" s="1">
        <v>1.0</v>
      </c>
      <c r="I99" s="1">
        <v>1.0</v>
      </c>
      <c r="J99" s="1">
        <v>1.0</v>
      </c>
      <c r="K99" s="1">
        <v>1.0</v>
      </c>
      <c r="M99" s="1">
        <v>1.0</v>
      </c>
      <c r="N99" s="1">
        <v>1.0</v>
      </c>
      <c r="Z99" s="64"/>
      <c r="AA99" s="64"/>
    </row>
    <row r="100">
      <c r="A100" s="55">
        <v>45657.0</v>
      </c>
      <c r="B100" s="12" t="s">
        <v>120</v>
      </c>
      <c r="C100" s="12" t="s">
        <v>11</v>
      </c>
      <c r="D100" s="12">
        <v>24.37</v>
      </c>
      <c r="E100" s="12" t="s">
        <v>13</v>
      </c>
      <c r="F100" s="67">
        <f t="shared" si="3"/>
        <v>6.0925</v>
      </c>
      <c r="G100" s="10">
        <f t="shared" si="4"/>
        <v>6.0925</v>
      </c>
      <c r="H100" s="1">
        <v>1.0</v>
      </c>
      <c r="J100" s="1">
        <v>1.0</v>
      </c>
      <c r="K100" s="1">
        <v>1.0</v>
      </c>
      <c r="M100" s="1">
        <v>1.0</v>
      </c>
      <c r="Z100" s="10"/>
      <c r="AA100" s="10"/>
    </row>
    <row r="101">
      <c r="A101" s="59">
        <v>45657.0</v>
      </c>
      <c r="B101" s="12" t="s">
        <v>189</v>
      </c>
      <c r="C101" s="12" t="s">
        <v>23</v>
      </c>
      <c r="D101" s="12">
        <v>283.45</v>
      </c>
      <c r="E101" s="12" t="s">
        <v>13</v>
      </c>
      <c r="F101" s="67">
        <f t="shared" si="3"/>
        <v>47.24166667</v>
      </c>
      <c r="G101" s="10">
        <f t="shared" si="4"/>
        <v>47.24166667</v>
      </c>
      <c r="H101" s="1">
        <v>1.0</v>
      </c>
      <c r="I101" s="1">
        <v>1.0</v>
      </c>
      <c r="J101" s="1">
        <v>1.0</v>
      </c>
      <c r="K101" s="1">
        <v>1.0</v>
      </c>
      <c r="M101" s="1">
        <v>1.0</v>
      </c>
      <c r="N101" s="1">
        <v>1.0</v>
      </c>
      <c r="Z101" s="10"/>
      <c r="AA101" s="10"/>
    </row>
    <row r="102">
      <c r="A102" s="108">
        <v>46016.0</v>
      </c>
      <c r="B102" s="109" t="s">
        <v>15</v>
      </c>
      <c r="C102" s="109" t="s">
        <v>11</v>
      </c>
      <c r="D102" s="109">
        <v>25.0</v>
      </c>
      <c r="E102" s="109" t="s">
        <v>15</v>
      </c>
      <c r="F102" s="110">
        <f t="shared" si="3"/>
        <v>2.272727273</v>
      </c>
      <c r="G102" s="109">
        <v>0.0</v>
      </c>
      <c r="H102" s="111">
        <v>1.0</v>
      </c>
      <c r="I102" s="111">
        <v>1.0</v>
      </c>
      <c r="J102" s="111">
        <v>1.0</v>
      </c>
      <c r="K102" s="111">
        <v>1.0</v>
      </c>
      <c r="L102" s="111">
        <v>1.0</v>
      </c>
      <c r="M102" s="111">
        <v>1.0</v>
      </c>
      <c r="N102" s="111">
        <v>1.0</v>
      </c>
      <c r="O102" s="112"/>
      <c r="P102" s="111">
        <v>1.0</v>
      </c>
      <c r="Q102" s="111">
        <v>1.0</v>
      </c>
      <c r="R102" s="111">
        <v>1.0</v>
      </c>
      <c r="S102" s="111">
        <v>1.0</v>
      </c>
      <c r="T102" s="112"/>
      <c r="U102" s="112"/>
      <c r="V102" s="112"/>
      <c r="W102" s="112"/>
      <c r="X102" s="112"/>
      <c r="Y102" s="112"/>
      <c r="Z102" s="110"/>
      <c r="AA102" s="110"/>
    </row>
    <row r="103">
      <c r="A103" s="108">
        <v>46016.0</v>
      </c>
      <c r="B103" s="113" t="s">
        <v>157</v>
      </c>
      <c r="C103" s="113" t="s">
        <v>11</v>
      </c>
      <c r="D103" s="113">
        <v>66.71</v>
      </c>
      <c r="E103" s="109" t="s">
        <v>157</v>
      </c>
      <c r="F103" s="110">
        <f t="shared" si="3"/>
        <v>6.064545455</v>
      </c>
      <c r="G103" s="109">
        <v>0.0</v>
      </c>
      <c r="H103" s="111">
        <v>1.0</v>
      </c>
      <c r="I103" s="111">
        <v>1.0</v>
      </c>
      <c r="J103" s="111">
        <v>1.0</v>
      </c>
      <c r="K103" s="111">
        <v>1.0</v>
      </c>
      <c r="L103" s="111">
        <v>1.0</v>
      </c>
      <c r="M103" s="111">
        <v>1.0</v>
      </c>
      <c r="N103" s="111">
        <v>1.0</v>
      </c>
      <c r="O103" s="112"/>
      <c r="P103" s="111">
        <v>1.0</v>
      </c>
      <c r="Q103" s="111">
        <v>1.0</v>
      </c>
      <c r="R103" s="111">
        <v>1.0</v>
      </c>
      <c r="S103" s="111">
        <v>1.0</v>
      </c>
      <c r="T103" s="114"/>
      <c r="U103" s="114"/>
      <c r="V103" s="114"/>
      <c r="W103" s="114"/>
      <c r="X103" s="114"/>
      <c r="Y103" s="114"/>
      <c r="Z103" s="114"/>
      <c r="AA103" s="114"/>
    </row>
    <row r="104">
      <c r="A104" s="55">
        <v>46016.0</v>
      </c>
      <c r="B104" s="12" t="s">
        <v>15</v>
      </c>
      <c r="C104" s="12" t="s">
        <v>11</v>
      </c>
      <c r="D104" s="12">
        <f>25-F102*2</f>
        <v>20.45454545</v>
      </c>
      <c r="E104" s="12" t="s">
        <v>7</v>
      </c>
      <c r="F104" s="67">
        <f t="shared" si="3"/>
        <v>2.272727273</v>
      </c>
      <c r="G104" s="10">
        <f t="shared" ref="G104:G119" si="5">D104/sum(H104:T104)</f>
        <v>2.272727273</v>
      </c>
      <c r="H104" s="1">
        <v>1.0</v>
      </c>
      <c r="I104" s="1">
        <v>1.0</v>
      </c>
      <c r="J104" s="1">
        <v>1.0</v>
      </c>
      <c r="K104" s="1">
        <v>1.0</v>
      </c>
      <c r="M104" s="1">
        <v>1.0</v>
      </c>
      <c r="N104" s="1">
        <v>1.0</v>
      </c>
      <c r="Q104" s="1">
        <v>1.0</v>
      </c>
      <c r="R104" s="1">
        <v>1.0</v>
      </c>
      <c r="S104" s="1">
        <v>1.0</v>
      </c>
      <c r="Z104" s="10"/>
      <c r="AA104" s="10"/>
    </row>
    <row r="105">
      <c r="A105" s="55">
        <v>46016.0</v>
      </c>
      <c r="B105" s="51" t="s">
        <v>157</v>
      </c>
      <c r="C105" s="51" t="s">
        <v>11</v>
      </c>
      <c r="D105" s="51">
        <f>66.71-F103*2</f>
        <v>54.58090909</v>
      </c>
      <c r="E105" s="12" t="s">
        <v>7</v>
      </c>
      <c r="F105" s="67">
        <f t="shared" si="3"/>
        <v>6.064545455</v>
      </c>
      <c r="G105" s="10">
        <f t="shared" si="5"/>
        <v>6.064545455</v>
      </c>
      <c r="H105" s="1">
        <v>1.0</v>
      </c>
      <c r="I105" s="1">
        <v>1.0</v>
      </c>
      <c r="J105" s="1">
        <v>1.0</v>
      </c>
      <c r="K105" s="1">
        <v>1.0</v>
      </c>
      <c r="L105" s="1">
        <v>1.0</v>
      </c>
      <c r="M105" s="1">
        <v>1.0</v>
      </c>
      <c r="N105" s="1">
        <v>1.0</v>
      </c>
      <c r="P105" s="1">
        <v>1.0</v>
      </c>
      <c r="Q105" s="1">
        <v>1.0</v>
      </c>
      <c r="T105" s="53"/>
      <c r="U105" s="53"/>
      <c r="V105" s="53"/>
      <c r="W105" s="53"/>
      <c r="X105" s="53"/>
      <c r="Y105" s="53"/>
      <c r="Z105" s="53"/>
      <c r="AA105" s="53"/>
    </row>
    <row r="106">
      <c r="A106" s="59"/>
      <c r="B106" s="12"/>
      <c r="C106" s="12"/>
      <c r="D106" s="12"/>
      <c r="E106" s="12"/>
      <c r="F106" s="67" t="str">
        <f t="shared" si="3"/>
        <v>#DIV/0!</v>
      </c>
      <c r="G106" s="10" t="str">
        <f t="shared" si="5"/>
        <v>#DIV/0!</v>
      </c>
      <c r="Z106" s="10"/>
      <c r="AA106" s="10"/>
    </row>
    <row r="107">
      <c r="A107" s="61"/>
      <c r="B107" s="51"/>
      <c r="C107" s="51"/>
      <c r="D107" s="63"/>
      <c r="E107" s="51"/>
      <c r="F107" s="67" t="str">
        <f t="shared" si="3"/>
        <v>#DIV/0!</v>
      </c>
      <c r="G107" s="10" t="str">
        <f t="shared" si="5"/>
        <v>#DIV/0!</v>
      </c>
      <c r="H107" s="54"/>
      <c r="I107" s="54"/>
      <c r="J107" s="54"/>
      <c r="K107" s="54"/>
      <c r="L107" s="52"/>
      <c r="M107" s="54"/>
      <c r="N107" s="54"/>
      <c r="Z107" s="10"/>
      <c r="AA107" s="10"/>
    </row>
    <row r="108">
      <c r="A108" s="61"/>
      <c r="B108" s="51"/>
      <c r="C108" s="51"/>
      <c r="D108" s="51"/>
      <c r="E108" s="51"/>
      <c r="F108" s="67" t="str">
        <f t="shared" si="3"/>
        <v>#DIV/0!</v>
      </c>
      <c r="G108" s="10" t="str">
        <f t="shared" si="5"/>
        <v>#DIV/0!</v>
      </c>
      <c r="H108" s="52"/>
      <c r="I108" s="52"/>
      <c r="J108" s="52"/>
      <c r="K108" s="52"/>
      <c r="L108" s="53"/>
      <c r="M108" s="54"/>
      <c r="N108" s="52"/>
      <c r="Z108" s="10"/>
      <c r="AA108" s="10"/>
    </row>
    <row r="109">
      <c r="A109" s="59"/>
      <c r="B109" s="12"/>
      <c r="C109" s="12"/>
      <c r="D109" s="12"/>
      <c r="E109" s="12"/>
      <c r="F109" s="67" t="str">
        <f t="shared" si="3"/>
        <v>#DIV/0!</v>
      </c>
      <c r="G109" s="10" t="str">
        <f t="shared" si="5"/>
        <v>#DIV/0!</v>
      </c>
      <c r="Z109" s="10"/>
      <c r="AA109" s="10"/>
    </row>
    <row r="110">
      <c r="A110" s="61"/>
      <c r="B110" s="51"/>
      <c r="C110" s="51"/>
      <c r="D110" s="51"/>
      <c r="E110" s="51"/>
      <c r="F110" s="67" t="str">
        <f t="shared" si="3"/>
        <v>#DIV/0!</v>
      </c>
      <c r="G110" s="10" t="str">
        <f t="shared" si="5"/>
        <v>#DIV/0!</v>
      </c>
      <c r="H110" s="52"/>
      <c r="I110" s="52"/>
      <c r="J110" s="52"/>
      <c r="K110" s="52"/>
      <c r="L110" s="53"/>
      <c r="M110" s="54"/>
      <c r="N110" s="52"/>
      <c r="Z110" s="10"/>
      <c r="AA110" s="10"/>
    </row>
    <row r="111">
      <c r="A111" s="61"/>
      <c r="B111" s="51"/>
      <c r="C111" s="51"/>
      <c r="D111" s="51"/>
      <c r="E111" s="51"/>
      <c r="F111" s="67" t="str">
        <f t="shared" si="3"/>
        <v>#DIV/0!</v>
      </c>
      <c r="G111" s="10" t="str">
        <f t="shared" si="5"/>
        <v>#DIV/0!</v>
      </c>
      <c r="H111" s="52"/>
      <c r="I111" s="52"/>
      <c r="J111" s="52"/>
      <c r="K111" s="52"/>
      <c r="L111" s="54"/>
      <c r="M111" s="54"/>
      <c r="N111" s="52"/>
      <c r="Z111" s="10"/>
      <c r="AA111" s="10"/>
    </row>
    <row r="112">
      <c r="A112" s="61"/>
      <c r="B112" s="51"/>
      <c r="C112" s="51"/>
      <c r="D112" s="51"/>
      <c r="E112" s="51"/>
      <c r="F112" s="67" t="str">
        <f t="shared" si="3"/>
        <v>#DIV/0!</v>
      </c>
      <c r="G112" s="10" t="str">
        <f t="shared" si="5"/>
        <v>#DIV/0!</v>
      </c>
      <c r="H112" s="66"/>
      <c r="I112" s="66"/>
      <c r="J112" s="52"/>
      <c r="K112" s="66"/>
      <c r="L112" s="54"/>
      <c r="M112" s="53"/>
      <c r="N112" s="66"/>
      <c r="Z112" s="10"/>
      <c r="AA112" s="10"/>
    </row>
    <row r="113">
      <c r="A113" s="61"/>
      <c r="B113" s="51"/>
      <c r="C113" s="51"/>
      <c r="D113" s="63"/>
      <c r="E113" s="51"/>
      <c r="F113" s="67" t="str">
        <f t="shared" si="3"/>
        <v>#DIV/0!</v>
      </c>
      <c r="G113" s="10" t="str">
        <f t="shared" si="5"/>
        <v>#DIV/0!</v>
      </c>
      <c r="H113" s="52"/>
      <c r="I113" s="54"/>
      <c r="J113" s="54"/>
      <c r="K113" s="54"/>
      <c r="L113" s="54"/>
      <c r="M113" s="54"/>
      <c r="N113" s="54"/>
      <c r="Z113" s="10"/>
      <c r="AA113" s="10"/>
    </row>
    <row r="114">
      <c r="A114" s="61"/>
      <c r="B114" s="51"/>
      <c r="C114" s="51"/>
      <c r="D114" s="51"/>
      <c r="E114" s="51"/>
      <c r="F114" s="67" t="str">
        <f t="shared" si="3"/>
        <v>#DIV/0!</v>
      </c>
      <c r="G114" s="10" t="str">
        <f t="shared" si="5"/>
        <v>#DIV/0!</v>
      </c>
      <c r="H114" s="52"/>
      <c r="I114" s="54"/>
      <c r="J114" s="54"/>
      <c r="K114" s="54"/>
      <c r="L114" s="53"/>
      <c r="M114" s="54"/>
      <c r="N114" s="54"/>
      <c r="Z114" s="10"/>
      <c r="AA114" s="10"/>
    </row>
    <row r="115">
      <c r="A115" s="61"/>
      <c r="B115" s="51"/>
      <c r="C115" s="51"/>
      <c r="D115" s="63"/>
      <c r="E115" s="51"/>
      <c r="F115" s="67" t="str">
        <f t="shared" si="3"/>
        <v>#DIV/0!</v>
      </c>
      <c r="G115" s="10" t="str">
        <f t="shared" si="5"/>
        <v>#DIV/0!</v>
      </c>
      <c r="H115" s="52"/>
      <c r="I115" s="54"/>
      <c r="J115" s="52"/>
      <c r="K115" s="54"/>
      <c r="L115" s="53"/>
      <c r="M115" s="53"/>
      <c r="N115" s="54"/>
      <c r="Z115" s="10"/>
      <c r="AA115" s="10"/>
    </row>
    <row r="116">
      <c r="C116" s="12"/>
      <c r="D116" s="12"/>
      <c r="E116" s="12"/>
      <c r="F116" s="67" t="str">
        <f t="shared" si="3"/>
        <v>#DIV/0!</v>
      </c>
      <c r="G116" s="10" t="str">
        <f t="shared" si="5"/>
        <v>#DIV/0!</v>
      </c>
      <c r="Z116" s="10"/>
      <c r="AA116" s="10"/>
    </row>
    <row r="117">
      <c r="A117" s="61"/>
      <c r="B117" s="12"/>
      <c r="C117" s="12"/>
      <c r="D117" s="12"/>
      <c r="E117" s="12"/>
      <c r="F117" s="67" t="str">
        <f t="shared" si="3"/>
        <v>#DIV/0!</v>
      </c>
      <c r="G117" s="10" t="str">
        <f t="shared" si="5"/>
        <v>#DIV/0!</v>
      </c>
      <c r="Z117" s="10"/>
      <c r="AA117" s="10"/>
    </row>
    <row r="118">
      <c r="A118" s="59"/>
      <c r="B118" s="12"/>
      <c r="C118" s="12"/>
      <c r="D118" s="12"/>
      <c r="E118" s="12"/>
      <c r="F118" s="67" t="str">
        <f t="shared" si="3"/>
        <v>#DIV/0!</v>
      </c>
      <c r="G118" s="10" t="str">
        <f t="shared" si="5"/>
        <v>#DIV/0!</v>
      </c>
      <c r="Z118" s="10"/>
      <c r="AA118" s="10"/>
    </row>
    <row r="119">
      <c r="A119" s="59"/>
      <c r="B119" s="12"/>
      <c r="C119" s="12"/>
      <c r="D119" s="12"/>
      <c r="E119" s="12"/>
      <c r="F119" s="67" t="str">
        <f t="shared" si="3"/>
        <v>#DIV/0!</v>
      </c>
      <c r="G119" s="10" t="str">
        <f t="shared" si="5"/>
        <v>#DIV/0!</v>
      </c>
      <c r="Z119" s="10"/>
      <c r="AA119" s="10"/>
    </row>
    <row r="120">
      <c r="A120" s="59"/>
      <c r="B120" s="12"/>
      <c r="C120" s="12"/>
      <c r="D120" s="12"/>
      <c r="E120" s="12"/>
      <c r="F120" s="67"/>
      <c r="G120" s="10"/>
      <c r="Z120" s="10"/>
      <c r="AA120" s="10"/>
    </row>
    <row r="121">
      <c r="A121" s="59"/>
      <c r="B121" s="12"/>
      <c r="C121" s="12"/>
      <c r="D121" s="12"/>
      <c r="E121" s="12"/>
      <c r="F121" s="67"/>
      <c r="G121" s="10"/>
      <c r="Z121" s="10"/>
      <c r="AA121" s="10"/>
    </row>
    <row r="122">
      <c r="A122" s="59"/>
      <c r="B122" s="12"/>
      <c r="C122" s="12"/>
      <c r="D122" s="12"/>
      <c r="E122" s="12"/>
      <c r="F122" s="67"/>
      <c r="G122" s="10"/>
      <c r="Z122" s="10"/>
      <c r="AA122" s="10"/>
    </row>
    <row r="123">
      <c r="A123" s="59"/>
      <c r="B123" s="12"/>
      <c r="C123" s="12"/>
      <c r="D123" s="12"/>
      <c r="E123" s="12"/>
      <c r="F123" s="67"/>
      <c r="G123" s="10"/>
      <c r="Z123" s="10"/>
      <c r="AA123" s="10"/>
    </row>
    <row r="124">
      <c r="A124" s="59"/>
      <c r="B124" s="12"/>
      <c r="C124" s="12"/>
      <c r="D124" s="12"/>
      <c r="E124" s="12"/>
      <c r="F124" s="67"/>
      <c r="G124" s="10"/>
      <c r="Z124" s="10"/>
      <c r="AA124" s="10"/>
    </row>
    <row r="125">
      <c r="A125" s="59"/>
      <c r="B125" s="12"/>
      <c r="C125" s="12"/>
      <c r="D125" s="12"/>
      <c r="E125" s="12"/>
      <c r="F125" s="67"/>
      <c r="G125" s="10"/>
      <c r="Z125" s="10"/>
      <c r="AA125" s="10"/>
    </row>
    <row r="126">
      <c r="A126" s="59"/>
      <c r="B126" s="12"/>
      <c r="C126" s="12"/>
      <c r="D126" s="12"/>
      <c r="E126" s="12"/>
      <c r="F126" s="67"/>
      <c r="G126" s="10"/>
      <c r="Z126" s="10"/>
      <c r="AA126" s="10"/>
    </row>
    <row r="127">
      <c r="A127" s="59"/>
      <c r="B127" s="12"/>
      <c r="C127" s="12"/>
      <c r="D127" s="12"/>
      <c r="E127" s="12"/>
      <c r="F127" s="67"/>
      <c r="G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 t="str">
        <f t="shared" ref="F153:F156" si="6">D153/sum(H153:O153)</f>
        <v>#DIV/0!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 t="str">
        <f t="shared" si="6"/>
        <v>#DIV/0!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 t="str">
        <f t="shared" si="6"/>
        <v>#DIV/0!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 t="str">
        <f t="shared" si="6"/>
        <v>#DIV/0!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59"/>
      <c r="B158" s="12"/>
      <c r="C158" s="12"/>
      <c r="D158" s="12"/>
      <c r="E158" s="12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59"/>
      <c r="B159" s="12"/>
      <c r="C159" s="10"/>
      <c r="D159" s="12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59"/>
      <c r="B160" s="12"/>
      <c r="C160" s="10"/>
      <c r="D160" s="12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67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67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67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67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67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67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>
      <c r="A968" s="55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</sheetData>
  <autoFilter ref="$A$12:$AA$178"/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31">
      <formula1>"食物,飲品,衣服,居家,電子產品,娛樂,醫藥,交通,其他"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1" max="1" width="15.75"/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P2" s="1" t="s">
        <v>17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SUMIFS($G$13:$G966, $E$13:$E966, "Rachel", $H$13:$H966, 1)-SUMIFS($G$13:$G966, $E$13:$E966, "Timothy", $I$13:$I966, 1)</f>
        <v>16.998</v>
      </c>
      <c r="J3" s="21">
        <f>SUMIFS($G$13:$G966, $E$13:$E966, "BL", $H$13:$H966, 1)-SUMIFS($G$13:$G966, $E$13:$E966, "Timothy", $J$13:$J966, 1)</f>
        <v>64.02533333</v>
      </c>
      <c r="K3" s="21">
        <f>SUMIFS($G$13:$G966, $E$13:$E966, "Pigskin", $H$13:$H966, 1)-SUMIFS($G$13:$G966, $E$13:$E966, "Timothy", $K$13:$K966, 1)</f>
        <v>106.1449786</v>
      </c>
      <c r="L3" s="21">
        <f>SUMIFS($G$13:$G966, $E$13:$E966, "Angel", $H$13:$H966, 1)-SUMIFS($G$13:$G966, $E$13:$E966, "Timothy", $L$13:$L966, 1)</f>
        <v>0</v>
      </c>
      <c r="M3" s="21">
        <f>SUMIFS($G$13:$G966, $E$13:$E966, "Ivan", $H$13:$H966, 1)-SUMIFS($G$13:$G966, $E$13:$E966, "Timothy", $M$13:$M966, 1)</f>
        <v>17.165</v>
      </c>
      <c r="N3" s="21">
        <f>SUMIFS($G$13:$G966, $E$13:$E966, "Esther", $H$13:$H966, 1)-SUMIFS($G$13:$G966, $E$13:$E966, "Timothy", $N$13:$N966, 1)</f>
        <v>0</v>
      </c>
      <c r="O3" s="22">
        <f>SUMIFS($G$13:$G966, $E$13:$E966, "Ken9", $H$13:$H966, 1)-SUMIFS($G$13:$G966, $E$13:$E966, "Timothy", $O$13:$O966,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SUMIFS($G$13:$G966, $E$13:$E966, "Timothy", $I$13:$I966, 1)-SUMIFS($G$13:$G966, $E$13:$E966, "Rachel", $H$13:$H966, 1)</f>
        <v>-16.998</v>
      </c>
      <c r="I4" s="20"/>
      <c r="J4" s="25">
        <f>SUMIFS($G$13:$G966, $E$13:$E966, "BL", $I$13:$I966, 1)-SUMIFS($G$13:$G966, $E$13:$E966, "Rachel", $J$13:$J966, 1)</f>
        <v>29.69833333</v>
      </c>
      <c r="K4" s="25">
        <f>SUMIFS($G$13:$G966, $E$13:$E966, "Pigskin", $I$13:$I966, 1)-SUMIFS($G$13:$G966, $E$13:$E966, "Rachel", $K$13:$K966, 1)</f>
        <v>40.55555</v>
      </c>
      <c r="L4" s="25">
        <f>SUMIFS($G$13:$G966, $E$13:$E966, "Angel", $I$13:$I966, 1)-SUMIFS($G$13:$G966, $E$13:$E966, "Rachel", $L$13:$L966, 1)</f>
        <v>0</v>
      </c>
      <c r="M4" s="25">
        <f>SUMIFS($G$13:$G966, $E$13:$E966, "Ivan", $I$13:$I966, 1)-SUMIFS($G$13:$G966, $E$13:$E966, "Rachel", $M$13:$M966, 1)</f>
        <v>-16.998</v>
      </c>
      <c r="N4" s="25">
        <f>SUMIFS($G$13:$G966, $E$13:$E966, "Esther", $I$13:$I966, 1)-SUMIFS($G$13:$G966, $E$13:$E966, "Rachel", $N$13:$N966, 1)</f>
        <v>-16.998</v>
      </c>
      <c r="O4" s="26">
        <f>SUMIFS($G$13:$G966, $E$13:$E966, "Ken9", $I$13:$I966, 1)-SUMIFS($G$13:$G966, $E$13:$E966, "Rachel", $O$13:$O966,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SUMIFS($G$13:$G966, $E$13:$E966, "Timothy", $J$13:$J966, 1)-SUMIFS($G$13:$G966, $E$13:$E966, "BL", $H$13:$H966, 1)</f>
        <v>-64.02533333</v>
      </c>
      <c r="I5" s="28">
        <f>SUMIFS($G$13:$G966, $E$13:$E966, "Rachel", $J$13:$J966, 1)-SUMIFS($G$13:$G966, $E$13:$E966, "BL", $I$13:$I966, 1)</f>
        <v>-29.69833333</v>
      </c>
      <c r="J5" s="20"/>
      <c r="K5" s="25">
        <f>SUMIFS($G$13:$G966, $E$13:$E966, "Pigskin", $J$13:$J966, 1)-SUMIFS($G$13:$G966, $E$13:$E966, "BL", $K$13:$K966, 1)</f>
        <v>-8.443421429</v>
      </c>
      <c r="L5" s="28">
        <f>SUMIFS($G$13:$G966, $E$13:$E966, "Angel", $J$13:$J966, 1)-SUMIFS($G$13:$G966, $E$13:$E966, "BL", $L$13:$L966, 1)</f>
        <v>-19.90833333</v>
      </c>
      <c r="M5" s="25">
        <f>SUMIFS($G$13:$G966, $E$13:$E966, "Ivan", $J$13:$J966, 1)-SUMIFS($G$13:$G966, $E$13:$E966, "BL", $M$13:$M966, 1)</f>
        <v>-38.0896</v>
      </c>
      <c r="N5" s="28">
        <f>SUMIFS($G$13:$G966, $E$13:$E966, "Esther", $J$13:$J966, 1)-SUMIFS($G$13:$G966, $E$13:$E966, "BL", $N$13:$N966, 1)</f>
        <v>-9.131666667</v>
      </c>
      <c r="O5" s="26">
        <f>SUMIFS($G$13:$G966, $E$13:$E966, "Ken9", $J$13:$J966, 1)-SUMIFS($G$13:$G966, $E$13:$E966, "BL", $O$13:$O966,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SUMIFS($G$13:$G966, $E$13:$E966, "Timothy", $K$13:$K966, 1)-SUMIFS($G$13:$G966, $E$13:$E966, "Pigskin", $H$13:$H966, 1)</f>
        <v>-106.1449786</v>
      </c>
      <c r="I6" s="28">
        <f>SUMIFS($G$13:$G966, $E$13:$E966, "Rachel", $K$13:$K966, 1)-SUMIFS($G$13:$G966, $E$13:$E966, "Pigskin", $I$13:$I966, 1)</f>
        <v>-40.55555</v>
      </c>
      <c r="J6" s="28">
        <f>SUMIFS($G$13:$G966, $E$13:$E966, "BL", $K$13:$K966, 1)-SUMIFS($G$13:$G966, $E$13:$E966, "Pigskin", $J$13:$J966, 1)</f>
        <v>8.443421429</v>
      </c>
      <c r="K6" s="20"/>
      <c r="L6" s="25">
        <f>SUMIFS($G$13:$G966, $E$13:$E966, "Angel", $K$13:$K966, 1)-SUMIFS($G$13:$G966, $E$13:$E966, "Pigskin", $L$13:$L966, 1)</f>
        <v>-48.59142857</v>
      </c>
      <c r="M6" s="28">
        <f>SUMIFS($G$13:$G966, $E$13:$E966, "Ivan", $K$13:$K966, 1)-SUMIFS($G$13:$G966, $E$13:$E966, "Pigskin", $M$13:$M966, 1)</f>
        <v>-47.92083333</v>
      </c>
      <c r="N6" s="28">
        <f>SUMIFS($G$13:$G966, $E$13:$E966, "Esther", $K$13:$K966, 1)-SUMIFS($G$13:$G966, $E$13:$E966, "Pigskin", $N$13:$N966, 1)</f>
        <v>-81.11642857</v>
      </c>
      <c r="O6" s="26">
        <f>SUMIFS($G$13:$G966, $E$13:$E966, "Ken9", $K$13:$K966, 1)-SUMIFS($G$13:$G966, $E$13:$E966, "Pigskin", $O$13:$O966,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SUMIFS($G$13:$G966, $E$13:$E966, "Timothy", $L$13:$L966, 1)-SUMIFS($G$13:$G966, $E$13:$E966, "Angel", $H$13:$H966, 1)</f>
        <v>0</v>
      </c>
      <c r="I7" s="25">
        <f>SUMIFS($G$13:$G966, $E$13:$E966, "Rachel", $L$13:$L966, 1)-SUMIFS($G$13:$G966, $E$13:$E966, "Angel", $I$13:$I966, 1)</f>
        <v>0</v>
      </c>
      <c r="J7" s="25">
        <f>SUMIFS($G$13:$G966, $E$13:$E966, "BL", $L$13:$L966, 1)-SUMIFS($G$13:$G966, $E$13:$E966, "Angel", $J$13:$J966, 1)</f>
        <v>19.90833333</v>
      </c>
      <c r="K7" s="25">
        <f>SUMIFS($G$13:$G966, $E$13:$E966, "Pigskin", $L$13:$L966, 1)-SUMIFS($G$13:$G966, $E$13:$E966, "Angel", $K$13:$K966, 1)</f>
        <v>48.59142857</v>
      </c>
      <c r="L7" s="20"/>
      <c r="M7" s="25">
        <f>SUMIFS($G$13:$G966, $E$13:$E966, "Ivan", $L$13:$L966, 1)-SUMIFS($G$13:$G966, $E$13:$E966, "Angel", $M$13:$M966, 1)</f>
        <v>17.165</v>
      </c>
      <c r="N7" s="28">
        <f>SUMIFS($G$13:$G966, $E$13:$E966, "Esther", $L$13:$L966, 1)-SUMIFS($G$13:$G966, $E$13:$E966, "Angel", $N$13:$N966, 1)</f>
        <v>0</v>
      </c>
      <c r="O7" s="31">
        <f>SUMIFS($G$13:$G966, $E$13:$E966, "Ken9", $L$13:$L966, 1)-SUMIFS($G$13:$G966, $E$13:$E966, "Angel", $O$13:$O966,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SUMIFS($G$13:$G966, $E$13:$E966, "Timothy", $M$13:$M966, 1)-SUMIFS($G$13:$G966, $E$13:$E966, "Ivan", $H$13:$H966, 1)</f>
        <v>-17.165</v>
      </c>
      <c r="I8" s="28">
        <f>SUMIFS($G$13:$G966, $E$13:$E966, "Rachel", $M$13:$M966, 1)-SUMIFS($G$13:$G966, $E$13:$E966, "Ivan", $I$13:$I966, 1)</f>
        <v>16.998</v>
      </c>
      <c r="J8" s="25">
        <f>SUMIFS($G$13:$G966, $E$13:$E966, "BL", $M$13:$M966, 1)-SUMIFS($G$13:$G966, $E$13:$E966, "Ivan", $J$13:$J966, 1)</f>
        <v>38.0896</v>
      </c>
      <c r="K8" s="25">
        <f>SUMIFS($G$13:$G966, $E$13:$E966, "Pigskin", $M$13:$M966, 1)-SUMIFS($G$13:$G966, $E$13:$E966, "Ivan", $K$13:$K966, 1)</f>
        <v>47.92083333</v>
      </c>
      <c r="L8" s="25">
        <f>SUMIFS($G$13:$G966, $E$13:$E966, "Angel", $M$13:$M966, 1)-SUMIFS($G$13:$G966, $E$13:$E966, "Ivan", $L$13:$L966, 1)</f>
        <v>-17.165</v>
      </c>
      <c r="M8" s="20"/>
      <c r="N8" s="28">
        <f>SUMIFS($G$13:$G966, $E$13:$E966, "Esther", $M$13:$M966, 1)-SUMIFS($G$13:$G966, $E$13:$E966, "Ivan", $N$13:$N966, 1)</f>
        <v>-2.9475</v>
      </c>
      <c r="O8" s="31">
        <f>SUMIFS($G$13:$G966, $E$13:$E966, "Ken9", $M$13:$M966, 1)-SUMIFS($G$13:$G966, $E$13:$E966, "Ivan", $O$13:$O966,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SUMIFS($G$13:$G966, $E$13:$E966, "Timothy", $N$13:$N966, 1)-SUMIFS($G$13:$G966, $E$13:$E966, "Esther", $H$13:$H966, 1)</f>
        <v>0</v>
      </c>
      <c r="I9" s="25">
        <f>SUMIFS($G$13:$G966, $E$13:$E966, "Rachel", $N$13:$N966, 1)-SUMIFS($G$13:$G966, $E$13:$E966, "Esther", $I$13:$I966, 1)</f>
        <v>16.998</v>
      </c>
      <c r="J9" s="25">
        <f>SUMIFS($G$13:$G966, $E$13:$E966, "BL", $N$13:$N966, 1)-SUMIFS($G$13:$G966, $E$13:$E966, "Esther", $J$13:$J966, 1)</f>
        <v>9.131666667</v>
      </c>
      <c r="K9" s="25">
        <f>SUMIFS($G$13:$G966, $E$13:$E966, "Pigskin", $N$13:$N966, 1)-SUMIFS($G$13:$G966, $E$13:$E966, "Esther", $K$13:$K966, 1)</f>
        <v>81.11642857</v>
      </c>
      <c r="L9" s="25">
        <f>SUMIFS($G$13:$G966, $E$13:$E966, "Angel", $N$13:$N966, 1)-SUMIFS($G$13:$G966, $E$13:$E966, "Esther", $L$13:$L966, 1)</f>
        <v>0</v>
      </c>
      <c r="M9" s="25">
        <f>SUMIFS($G$13:$G966, $E$13:$E966, "Ivan", $N$13:$N966, 1)-SUMIFS($G$13:$G966, $E$13:$E966, "Esther", $M$13:$M966, 1)</f>
        <v>2.9475</v>
      </c>
      <c r="N9" s="20"/>
      <c r="O9" s="31">
        <f>SUMIFS($G$13:$G966, $E$13:$E966, "Ken9", $N$13:$N966, 1)-SUMIFS($G$13:$G966, $E$13:$E966, "Esther", $O$13:$O966,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SUMIFS($G$13:$G966, $E$13:$E966, "Timothy", $O$13:$O966, 1)-SUMIFS($G$13:$G966, $E$13:$E966, "Ken9", $H$13:$H966, 1)</f>
        <v>0</v>
      </c>
      <c r="I10" s="40">
        <f>SUMIFS($G$13:$G966, $E$13:$E966, "Rachel", $O$13:$O966, 1)-SUMIFS($G$13:$G966, $E$13:$E966, "Ken9", $I$13:$I966, 1)</f>
        <v>0</v>
      </c>
      <c r="J10" s="40">
        <f>SUMIFS($G$13:$G966, $E$13:$E966, "BL", $O$13:$O966, 1)-SUMIFS($G$13:$G966, $E$13:$E966, "Ken9", $J$13:$J966, 1)</f>
        <v>0</v>
      </c>
      <c r="K10" s="40">
        <f>SUMIFS($G$13:$G966, $E$13:$E966, "Pigskin", $O$13:$O966, 1)-SUMIFS($G$13:$G966, $E$13:$E966, "Ken9", $K$13:$K966, 1)</f>
        <v>0</v>
      </c>
      <c r="L10" s="40">
        <f>SUMIFS($G$13:$G966, $E$13:$E966, "Angel", $O$13:$O966, 1)-SUMIFS($G$13:$G966, $E$13:$E966, "Ken9", $L$13:$L966, 1)</f>
        <v>0</v>
      </c>
      <c r="M10" s="40">
        <f>SUMIFS($G$13:$G966, $E$13:$E966, "Ivan", $O$13:$O966, 1)-SUMIFS($G$13:$G966, $E$13:$E966, "Ken9", $M$13:$M966, 1)</f>
        <v>0</v>
      </c>
      <c r="N10" s="40">
        <f>SUMIFS($G$13:$G966, $E$13:$E966, "Esther", $O$13:$O966, 1)-SUMIFS($G$13:$G966, $E$13:$E966, "Ken9", $N$13:$N966,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61">
        <v>45577.0</v>
      </c>
      <c r="B13" s="51" t="s">
        <v>202</v>
      </c>
      <c r="C13" s="51" t="s">
        <v>25</v>
      </c>
      <c r="D13" s="63">
        <f>12.9*1.13</f>
        <v>14.577</v>
      </c>
      <c r="E13" s="51" t="s">
        <v>13</v>
      </c>
      <c r="F13" s="10">
        <f t="shared" ref="F13:F53" si="1">D13/sum(H13:Q13)</f>
        <v>14.577</v>
      </c>
      <c r="G13" s="10">
        <f t="shared" ref="G13:G53" si="2">D13/sum(H13:Q13)</f>
        <v>14.577</v>
      </c>
      <c r="H13" s="52">
        <v>1.0</v>
      </c>
      <c r="I13" s="52"/>
      <c r="J13" s="52"/>
      <c r="K13" s="52"/>
      <c r="L13" s="53"/>
      <c r="M13" s="54"/>
      <c r="N13" s="52"/>
      <c r="Z13" s="10"/>
      <c r="AA13" s="10"/>
    </row>
    <row r="14">
      <c r="A14" s="59">
        <v>45577.0</v>
      </c>
      <c r="B14" s="12" t="s">
        <v>203</v>
      </c>
      <c r="C14" s="12" t="s">
        <v>25</v>
      </c>
      <c r="D14" s="12">
        <v>19.75</v>
      </c>
      <c r="E14" s="12" t="s">
        <v>13</v>
      </c>
      <c r="F14" s="10">
        <f t="shared" si="1"/>
        <v>19.75</v>
      </c>
      <c r="G14" s="10">
        <f t="shared" si="2"/>
        <v>19.75</v>
      </c>
      <c r="H14" s="1">
        <v>1.0</v>
      </c>
      <c r="Z14" s="10"/>
      <c r="AA14" s="10"/>
    </row>
    <row r="15">
      <c r="A15" s="55">
        <v>45578.0</v>
      </c>
      <c r="B15" s="12" t="s">
        <v>204</v>
      </c>
      <c r="C15" s="12" t="s">
        <v>23</v>
      </c>
      <c r="D15" s="12">
        <f>29.37*2</f>
        <v>58.74</v>
      </c>
      <c r="E15" s="12" t="s">
        <v>13</v>
      </c>
      <c r="F15" s="10">
        <f t="shared" si="1"/>
        <v>9.79</v>
      </c>
      <c r="G15" s="10">
        <f t="shared" si="2"/>
        <v>9.79</v>
      </c>
      <c r="H15" s="1">
        <v>1.0</v>
      </c>
      <c r="I15" s="1">
        <v>1.0</v>
      </c>
      <c r="J15" s="1">
        <v>1.0</v>
      </c>
      <c r="K15" s="1">
        <v>1.0</v>
      </c>
      <c r="M15" s="1">
        <v>1.0</v>
      </c>
      <c r="N15" s="1">
        <v>1.0</v>
      </c>
      <c r="Z15" s="10"/>
      <c r="AA15" s="10"/>
    </row>
    <row r="16">
      <c r="A16" s="55">
        <v>45585.0</v>
      </c>
      <c r="B16" s="12" t="s">
        <v>205</v>
      </c>
      <c r="C16" s="12" t="s">
        <v>29</v>
      </c>
      <c r="D16" s="12">
        <f>32.92+38.52</f>
        <v>71.44</v>
      </c>
      <c r="E16" s="12" t="s">
        <v>14</v>
      </c>
      <c r="F16" s="10">
        <f t="shared" si="1"/>
        <v>23.81333333</v>
      </c>
      <c r="G16" s="10">
        <f t="shared" si="2"/>
        <v>23.81333333</v>
      </c>
      <c r="J16" s="1">
        <v>1.0</v>
      </c>
      <c r="K16" s="1">
        <v>1.0</v>
      </c>
      <c r="M16" s="1">
        <v>1.0</v>
      </c>
      <c r="Z16" s="10"/>
      <c r="AA16" s="10"/>
    </row>
    <row r="17">
      <c r="A17" s="59">
        <v>45598.0</v>
      </c>
      <c r="B17" s="12" t="s">
        <v>177</v>
      </c>
      <c r="C17" s="12" t="s">
        <v>11</v>
      </c>
      <c r="D17" s="12">
        <v>67.0</v>
      </c>
      <c r="E17" s="12" t="s">
        <v>14</v>
      </c>
      <c r="F17" s="10">
        <f t="shared" si="1"/>
        <v>16.75</v>
      </c>
      <c r="G17" s="10">
        <f t="shared" si="2"/>
        <v>16.75</v>
      </c>
      <c r="H17" s="1">
        <v>1.0</v>
      </c>
      <c r="I17" s="1">
        <v>1.0</v>
      </c>
      <c r="K17" s="1">
        <v>1.0</v>
      </c>
      <c r="M17" s="1">
        <v>1.0</v>
      </c>
      <c r="Z17" s="10"/>
      <c r="AA17" s="10"/>
    </row>
    <row r="18">
      <c r="A18" s="55">
        <v>45598.0</v>
      </c>
      <c r="B18" s="12" t="s">
        <v>159</v>
      </c>
      <c r="C18" s="12" t="s">
        <v>23</v>
      </c>
      <c r="D18" s="12">
        <f>(26.99-5.5)*1.13</f>
        <v>24.2837</v>
      </c>
      <c r="E18" s="51" t="s">
        <v>14</v>
      </c>
      <c r="F18" s="10" t="str">
        <f t="shared" si="1"/>
        <v>#DIV/0!</v>
      </c>
      <c r="G18" s="10" t="str">
        <f t="shared" si="2"/>
        <v>#DIV/0!</v>
      </c>
      <c r="Z18" s="10"/>
      <c r="AA18" s="10"/>
    </row>
    <row r="19">
      <c r="A19" s="55">
        <v>45598.0</v>
      </c>
      <c r="B19" s="12" t="s">
        <v>160</v>
      </c>
      <c r="C19" s="12" t="s">
        <v>23</v>
      </c>
      <c r="D19" s="12">
        <f>24.99*1.13</f>
        <v>28.2387</v>
      </c>
      <c r="E19" s="51" t="s">
        <v>14</v>
      </c>
      <c r="F19" s="10" t="str">
        <f t="shared" si="1"/>
        <v>#DIV/0!</v>
      </c>
      <c r="G19" s="10" t="str">
        <f t="shared" si="2"/>
        <v>#DIV/0!</v>
      </c>
      <c r="Z19" s="10"/>
      <c r="AA19" s="10"/>
    </row>
    <row r="20">
      <c r="A20" s="55">
        <v>45598.0</v>
      </c>
      <c r="B20" s="12" t="s">
        <v>161</v>
      </c>
      <c r="C20" s="12" t="s">
        <v>11</v>
      </c>
      <c r="D20" s="12">
        <v>9.99</v>
      </c>
      <c r="E20" s="51" t="s">
        <v>14</v>
      </c>
      <c r="F20" s="10" t="str">
        <f t="shared" si="1"/>
        <v>#DIV/0!</v>
      </c>
      <c r="G20" s="10" t="str">
        <f t="shared" si="2"/>
        <v>#DIV/0!</v>
      </c>
      <c r="Z20" s="10"/>
      <c r="AA20" s="10"/>
    </row>
    <row r="21">
      <c r="A21" s="55">
        <v>45598.0</v>
      </c>
      <c r="B21" s="12" t="s">
        <v>162</v>
      </c>
      <c r="C21" s="12" t="s">
        <v>23</v>
      </c>
      <c r="D21" s="12">
        <f>18.99*1.13</f>
        <v>21.4587</v>
      </c>
      <c r="E21" s="51" t="s">
        <v>14</v>
      </c>
      <c r="F21" s="10" t="str">
        <f t="shared" si="1"/>
        <v>#DIV/0!</v>
      </c>
      <c r="G21" s="10" t="str">
        <f t="shared" si="2"/>
        <v>#DIV/0!</v>
      </c>
      <c r="Z21" s="10"/>
      <c r="AA21" s="10"/>
    </row>
    <row r="22">
      <c r="A22" s="55">
        <v>45599.0</v>
      </c>
      <c r="B22" s="51" t="s">
        <v>206</v>
      </c>
      <c r="C22" s="51" t="s">
        <v>11</v>
      </c>
      <c r="D22" s="51">
        <v>95.66</v>
      </c>
      <c r="E22" s="51" t="s">
        <v>14</v>
      </c>
      <c r="F22" s="10">
        <f t="shared" si="1"/>
        <v>19.132</v>
      </c>
      <c r="G22" s="10">
        <f t="shared" si="2"/>
        <v>19.132</v>
      </c>
      <c r="H22" s="52">
        <v>1.0</v>
      </c>
      <c r="I22" s="52">
        <v>1.0</v>
      </c>
      <c r="J22" s="52"/>
      <c r="K22" s="52">
        <v>1.0</v>
      </c>
      <c r="L22" s="53"/>
      <c r="M22" s="54">
        <v>1.0</v>
      </c>
      <c r="N22" s="52">
        <v>1.0</v>
      </c>
      <c r="Z22" s="10"/>
      <c r="AA22" s="10"/>
    </row>
    <row r="23">
      <c r="A23" s="61">
        <v>45599.0</v>
      </c>
      <c r="B23" s="51" t="s">
        <v>207</v>
      </c>
      <c r="C23" s="51" t="s">
        <v>11</v>
      </c>
      <c r="D23" s="51">
        <v>45.25</v>
      </c>
      <c r="E23" s="51" t="s">
        <v>4</v>
      </c>
      <c r="F23" s="10">
        <f t="shared" si="1"/>
        <v>9.05</v>
      </c>
      <c r="G23" s="10">
        <f t="shared" si="2"/>
        <v>9.05</v>
      </c>
      <c r="H23" s="52">
        <v>1.0</v>
      </c>
      <c r="I23" s="52">
        <v>1.0</v>
      </c>
      <c r="J23" s="52"/>
      <c r="K23" s="52">
        <v>1.0</v>
      </c>
      <c r="L23" s="54"/>
      <c r="M23" s="54">
        <v>1.0</v>
      </c>
      <c r="N23" s="52">
        <v>1.0</v>
      </c>
      <c r="Z23" s="10"/>
      <c r="AA23" s="10"/>
    </row>
    <row r="24">
      <c r="A24" s="55">
        <v>45600.0</v>
      </c>
      <c r="B24" s="12" t="s">
        <v>120</v>
      </c>
      <c r="C24" s="12" t="s">
        <v>11</v>
      </c>
      <c r="D24" s="12">
        <v>39.74</v>
      </c>
      <c r="E24" s="12" t="s">
        <v>4</v>
      </c>
      <c r="F24" s="10">
        <f t="shared" si="1"/>
        <v>7.948</v>
      </c>
      <c r="G24" s="10">
        <f t="shared" si="2"/>
        <v>7.948</v>
      </c>
      <c r="H24" s="1">
        <v>1.0</v>
      </c>
      <c r="I24" s="1">
        <v>1.0</v>
      </c>
      <c r="K24" s="1">
        <v>1.0</v>
      </c>
      <c r="M24" s="1">
        <v>1.0</v>
      </c>
      <c r="N24" s="1">
        <v>1.0</v>
      </c>
      <c r="Z24" s="10"/>
      <c r="AA24" s="10"/>
    </row>
    <row r="25">
      <c r="A25" s="61">
        <v>45601.0</v>
      </c>
      <c r="B25" s="12" t="s">
        <v>47</v>
      </c>
      <c r="C25" s="51" t="s">
        <v>11</v>
      </c>
      <c r="D25" s="12">
        <v>58.44</v>
      </c>
      <c r="E25" s="12" t="s">
        <v>14</v>
      </c>
      <c r="F25" s="67">
        <f t="shared" si="1"/>
        <v>11.688</v>
      </c>
      <c r="G25" s="10">
        <f t="shared" si="2"/>
        <v>11.688</v>
      </c>
      <c r="H25" s="1">
        <v>1.0</v>
      </c>
      <c r="I25" s="1">
        <v>1.0</v>
      </c>
      <c r="K25" s="1">
        <v>1.0</v>
      </c>
      <c r="M25" s="1">
        <v>1.0</v>
      </c>
      <c r="N25" s="1">
        <v>1.0</v>
      </c>
      <c r="Z25" s="57"/>
      <c r="AA25" s="57"/>
    </row>
    <row r="26">
      <c r="A26" s="61">
        <v>45601.0</v>
      </c>
      <c r="B26" s="12" t="s">
        <v>50</v>
      </c>
      <c r="C26" s="51" t="s">
        <v>33</v>
      </c>
      <c r="D26" s="51">
        <v>75.0</v>
      </c>
      <c r="E26" s="51" t="s">
        <v>2</v>
      </c>
      <c r="F26" s="10" t="str">
        <f t="shared" si="1"/>
        <v>#DIV/0!</v>
      </c>
      <c r="G26" s="10" t="str">
        <f t="shared" si="2"/>
        <v>#DIV/0!</v>
      </c>
      <c r="H26" s="52"/>
      <c r="I26" s="54"/>
      <c r="J26" s="52"/>
      <c r="K26" s="54"/>
      <c r="L26" s="54"/>
      <c r="M26" s="54"/>
      <c r="N26" s="54"/>
      <c r="Z26" s="10"/>
      <c r="AA26" s="10"/>
    </row>
    <row r="27">
      <c r="A27" s="61">
        <v>45601.0</v>
      </c>
      <c r="B27" s="51" t="s">
        <v>51</v>
      </c>
      <c r="C27" s="51" t="s">
        <v>11</v>
      </c>
      <c r="D27" s="51">
        <v>17.7</v>
      </c>
      <c r="E27" s="51" t="s">
        <v>2</v>
      </c>
      <c r="F27" s="10" t="str">
        <f t="shared" si="1"/>
        <v>#DIV/0!</v>
      </c>
      <c r="G27" s="10" t="str">
        <f t="shared" si="2"/>
        <v>#DIV/0!</v>
      </c>
      <c r="H27" s="54"/>
      <c r="I27" s="54"/>
      <c r="J27" s="54"/>
      <c r="K27" s="54"/>
      <c r="L27" s="54"/>
      <c r="M27" s="54"/>
      <c r="N27" s="54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</row>
    <row r="28">
      <c r="A28" s="61">
        <v>45602.0</v>
      </c>
      <c r="B28" s="12" t="s">
        <v>163</v>
      </c>
      <c r="C28" s="12" t="s">
        <v>11</v>
      </c>
      <c r="D28" s="12">
        <v>61.02</v>
      </c>
      <c r="E28" s="51" t="s">
        <v>2</v>
      </c>
      <c r="F28" s="10" t="str">
        <f t="shared" si="1"/>
        <v>#DIV/0!</v>
      </c>
      <c r="G28" s="10" t="str">
        <f t="shared" si="2"/>
        <v>#DIV/0!</v>
      </c>
      <c r="Z28" s="10"/>
      <c r="AA28" s="10"/>
    </row>
    <row r="29">
      <c r="A29" s="61">
        <v>45602.0</v>
      </c>
      <c r="B29" s="51" t="s">
        <v>46</v>
      </c>
      <c r="C29" s="51" t="s">
        <v>11</v>
      </c>
      <c r="D29" s="51">
        <v>12.93</v>
      </c>
      <c r="E29" s="51" t="s">
        <v>2</v>
      </c>
      <c r="F29" s="10" t="str">
        <f t="shared" si="1"/>
        <v>#DIV/0!</v>
      </c>
      <c r="G29" s="10" t="str">
        <f t="shared" si="2"/>
        <v>#DIV/0!</v>
      </c>
      <c r="H29" s="52"/>
      <c r="I29" s="54"/>
      <c r="J29" s="52"/>
      <c r="K29" s="54"/>
      <c r="L29" s="54"/>
      <c r="M29" s="54"/>
      <c r="N29" s="54"/>
      <c r="Z29" s="10"/>
      <c r="AA29" s="10"/>
    </row>
    <row r="30">
      <c r="A30" s="61">
        <v>45604.0</v>
      </c>
      <c r="B30" s="51" t="s">
        <v>208</v>
      </c>
      <c r="C30" s="51" t="s">
        <v>11</v>
      </c>
      <c r="D30" s="51">
        <v>68.66</v>
      </c>
      <c r="E30" s="51" t="s">
        <v>8</v>
      </c>
      <c r="F30" s="67">
        <f t="shared" si="1"/>
        <v>17.165</v>
      </c>
      <c r="G30" s="10">
        <f t="shared" si="2"/>
        <v>17.165</v>
      </c>
      <c r="H30" s="52">
        <v>1.0</v>
      </c>
      <c r="I30" s="52"/>
      <c r="J30" s="52"/>
      <c r="K30" s="52">
        <v>1.0</v>
      </c>
      <c r="L30" s="54">
        <v>1.0</v>
      </c>
      <c r="M30" s="54">
        <v>1.0</v>
      </c>
      <c r="N30" s="52"/>
      <c r="Z30" s="10"/>
      <c r="AA30" s="10"/>
    </row>
    <row r="31">
      <c r="A31" s="61">
        <v>45607.0</v>
      </c>
      <c r="B31" s="51" t="s">
        <v>209</v>
      </c>
      <c r="C31" s="51" t="s">
        <v>11</v>
      </c>
      <c r="D31" s="51">
        <v>80.65</v>
      </c>
      <c r="E31" s="51"/>
      <c r="F31" s="10">
        <f t="shared" si="1"/>
        <v>16.13</v>
      </c>
      <c r="G31" s="10">
        <f t="shared" si="2"/>
        <v>16.13</v>
      </c>
      <c r="H31" s="52">
        <v>1.0</v>
      </c>
      <c r="I31" s="54">
        <v>1.0</v>
      </c>
      <c r="J31" s="54">
        <v>1.0</v>
      </c>
      <c r="K31" s="54">
        <v>1.0</v>
      </c>
      <c r="L31" s="53"/>
      <c r="M31" s="54">
        <v>1.0</v>
      </c>
      <c r="N31" s="54"/>
      <c r="Z31" s="10"/>
      <c r="AA31" s="10"/>
    </row>
    <row r="32">
      <c r="A32" s="61">
        <v>45608.0</v>
      </c>
      <c r="B32" s="51" t="s">
        <v>149</v>
      </c>
      <c r="C32" s="51" t="s">
        <v>11</v>
      </c>
      <c r="D32" s="51">
        <f>52.94-7.99*1.13</f>
        <v>43.9113</v>
      </c>
      <c r="E32" s="12" t="s">
        <v>14</v>
      </c>
      <c r="F32" s="10">
        <f t="shared" si="1"/>
        <v>7.31855</v>
      </c>
      <c r="G32" s="10">
        <f t="shared" si="2"/>
        <v>7.31855</v>
      </c>
      <c r="H32" s="1">
        <v>1.0</v>
      </c>
      <c r="I32" s="1">
        <v>1.0</v>
      </c>
      <c r="J32" s="1">
        <v>1.0</v>
      </c>
      <c r="K32" s="1">
        <v>1.0</v>
      </c>
      <c r="M32" s="1">
        <v>2.0</v>
      </c>
      <c r="Z32" s="10"/>
      <c r="AA32" s="10"/>
    </row>
    <row r="33">
      <c r="A33" s="61">
        <v>45609.0</v>
      </c>
      <c r="B33" s="51" t="s">
        <v>210</v>
      </c>
      <c r="C33" s="51" t="s">
        <v>11</v>
      </c>
      <c r="D33" s="51">
        <v>340.14</v>
      </c>
      <c r="E33" s="51" t="s">
        <v>14</v>
      </c>
      <c r="F33" s="10">
        <f t="shared" si="1"/>
        <v>48.59142857</v>
      </c>
      <c r="G33" s="10">
        <f t="shared" si="2"/>
        <v>48.59142857</v>
      </c>
      <c r="H33" s="52">
        <v>1.0</v>
      </c>
      <c r="I33" s="52"/>
      <c r="J33" s="52">
        <v>1.0</v>
      </c>
      <c r="K33" s="52">
        <v>1.0</v>
      </c>
      <c r="L33" s="54">
        <v>1.0</v>
      </c>
      <c r="M33" s="54">
        <v>2.0</v>
      </c>
      <c r="N33" s="52">
        <v>1.0</v>
      </c>
      <c r="Z33" s="10"/>
      <c r="AA33" s="10"/>
    </row>
    <row r="34">
      <c r="A34" s="61">
        <v>45609.0</v>
      </c>
      <c r="B34" s="51" t="s">
        <v>50</v>
      </c>
      <c r="C34" s="51" t="s">
        <v>11</v>
      </c>
      <c r="D34" s="51">
        <v>38.4</v>
      </c>
      <c r="E34" s="51" t="s">
        <v>2</v>
      </c>
      <c r="F34" s="10" t="str">
        <f t="shared" si="1"/>
        <v>#DIV/0!</v>
      </c>
      <c r="G34" s="10" t="str">
        <f t="shared" si="2"/>
        <v>#DIV/0!</v>
      </c>
      <c r="H34" s="54"/>
      <c r="I34" s="54"/>
      <c r="J34" s="54"/>
      <c r="K34" s="54"/>
      <c r="L34" s="54"/>
      <c r="M34" s="54"/>
      <c r="N34" s="54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</row>
    <row r="35">
      <c r="A35" s="61">
        <v>45609.0</v>
      </c>
      <c r="B35" s="51" t="s">
        <v>183</v>
      </c>
      <c r="C35" s="51" t="s">
        <v>27</v>
      </c>
      <c r="D35" s="51">
        <f>11.29+9.15</f>
        <v>20.44</v>
      </c>
      <c r="E35" s="51" t="s">
        <v>13</v>
      </c>
      <c r="F35" s="10">
        <f t="shared" si="1"/>
        <v>5.11</v>
      </c>
      <c r="G35" s="10">
        <f t="shared" si="2"/>
        <v>5.11</v>
      </c>
      <c r="H35" s="52"/>
      <c r="I35" s="52"/>
      <c r="J35" s="52">
        <v>1.0</v>
      </c>
      <c r="K35" s="52">
        <v>1.0</v>
      </c>
      <c r="L35" s="54"/>
      <c r="M35" s="54">
        <v>2.0</v>
      </c>
      <c r="N35" s="52"/>
      <c r="Z35" s="10"/>
      <c r="AA35" s="10"/>
    </row>
    <row r="36">
      <c r="A36" s="59">
        <v>45610.0</v>
      </c>
      <c r="B36" s="12" t="s">
        <v>98</v>
      </c>
      <c r="C36" s="12" t="s">
        <v>11</v>
      </c>
      <c r="D36" s="12">
        <v>88.48</v>
      </c>
      <c r="E36" s="12" t="s">
        <v>8</v>
      </c>
      <c r="F36" s="10">
        <f t="shared" si="1"/>
        <v>22.12</v>
      </c>
      <c r="G36" s="10">
        <f t="shared" si="2"/>
        <v>22.12</v>
      </c>
      <c r="J36" s="1">
        <v>1.0</v>
      </c>
      <c r="K36" s="1">
        <v>1.0</v>
      </c>
      <c r="M36" s="1">
        <v>2.0</v>
      </c>
      <c r="Z36" s="10"/>
      <c r="AA36" s="10"/>
    </row>
    <row r="37">
      <c r="A37" s="61">
        <v>45610.0</v>
      </c>
      <c r="B37" s="51" t="s">
        <v>211</v>
      </c>
      <c r="C37" s="51" t="s">
        <v>23</v>
      </c>
      <c r="D37" s="63">
        <f>24.99*1.13</f>
        <v>28.2387</v>
      </c>
      <c r="E37" s="51"/>
      <c r="F37" s="10">
        <f t="shared" si="1"/>
        <v>4.70645</v>
      </c>
      <c r="G37" s="10">
        <f t="shared" si="2"/>
        <v>4.70645</v>
      </c>
      <c r="H37" s="52">
        <v>1.0</v>
      </c>
      <c r="I37" s="52">
        <v>1.0</v>
      </c>
      <c r="J37" s="52">
        <v>1.0</v>
      </c>
      <c r="K37" s="52">
        <v>1.0</v>
      </c>
      <c r="L37" s="53"/>
      <c r="M37" s="54">
        <v>1.0</v>
      </c>
      <c r="N37" s="52">
        <v>1.0</v>
      </c>
      <c r="Z37" s="10"/>
      <c r="AA37" s="10"/>
    </row>
    <row r="38">
      <c r="A38" s="55">
        <v>45611.0</v>
      </c>
      <c r="B38" s="51" t="s">
        <v>46</v>
      </c>
      <c r="C38" s="12" t="s">
        <v>11</v>
      </c>
      <c r="D38" s="12">
        <v>1.58</v>
      </c>
      <c r="E38" s="51" t="s">
        <v>8</v>
      </c>
      <c r="F38" s="67">
        <f t="shared" si="1"/>
        <v>1.58</v>
      </c>
      <c r="G38" s="10">
        <f t="shared" si="2"/>
        <v>1.58</v>
      </c>
      <c r="J38" s="1">
        <v>1.0</v>
      </c>
      <c r="Z38" s="10"/>
      <c r="AA38" s="10"/>
    </row>
    <row r="39">
      <c r="A39" s="55">
        <v>45614.0</v>
      </c>
      <c r="B39" s="51" t="s">
        <v>46</v>
      </c>
      <c r="C39" s="51" t="s">
        <v>11</v>
      </c>
      <c r="D39" s="51">
        <v>67.13</v>
      </c>
      <c r="E39" s="51" t="s">
        <v>8</v>
      </c>
      <c r="F39" s="10">
        <f t="shared" si="1"/>
        <v>16.7825</v>
      </c>
      <c r="G39" s="10">
        <f t="shared" si="2"/>
        <v>16.7825</v>
      </c>
      <c r="H39" s="52"/>
      <c r="I39" s="54"/>
      <c r="J39" s="54">
        <v>1.0</v>
      </c>
      <c r="K39" s="54">
        <v>1.0</v>
      </c>
      <c r="L39" s="53"/>
      <c r="M39" s="54">
        <v>1.0</v>
      </c>
      <c r="N39" s="54">
        <v>1.0</v>
      </c>
      <c r="Z39" s="10"/>
      <c r="AA39" s="10"/>
    </row>
    <row r="40">
      <c r="A40" s="59">
        <v>45615.0</v>
      </c>
      <c r="B40" s="12" t="s">
        <v>212</v>
      </c>
      <c r="C40" s="12" t="s">
        <v>11</v>
      </c>
      <c r="D40" s="12">
        <v>55.34</v>
      </c>
      <c r="E40" s="12" t="s">
        <v>7</v>
      </c>
      <c r="F40" s="10">
        <f t="shared" si="1"/>
        <v>13.835</v>
      </c>
      <c r="G40" s="10">
        <f t="shared" si="2"/>
        <v>13.835</v>
      </c>
      <c r="J40" s="1">
        <v>1.0</v>
      </c>
      <c r="K40" s="1">
        <v>1.0</v>
      </c>
      <c r="M40" s="1">
        <v>1.0</v>
      </c>
      <c r="N40" s="1">
        <v>1.0</v>
      </c>
      <c r="Z40" s="10"/>
      <c r="AA40" s="10"/>
    </row>
    <row r="41">
      <c r="A41" s="55">
        <v>45616.0</v>
      </c>
      <c r="B41" s="12" t="s">
        <v>46</v>
      </c>
      <c r="C41" s="12" t="s">
        <v>11</v>
      </c>
      <c r="D41" s="12">
        <v>32.74</v>
      </c>
      <c r="E41" s="12" t="s">
        <v>14</v>
      </c>
      <c r="F41" s="10">
        <f t="shared" si="1"/>
        <v>10.91333333</v>
      </c>
      <c r="G41" s="10">
        <f t="shared" si="2"/>
        <v>10.91333333</v>
      </c>
      <c r="J41" s="1">
        <v>1.0</v>
      </c>
      <c r="K41" s="1">
        <v>1.0</v>
      </c>
      <c r="M41" s="1">
        <v>1.0</v>
      </c>
      <c r="Z41" s="10"/>
      <c r="AA41" s="10"/>
    </row>
    <row r="42">
      <c r="A42" s="61">
        <v>45618.0</v>
      </c>
      <c r="B42" s="51" t="s">
        <v>213</v>
      </c>
      <c r="C42" s="51" t="s">
        <v>11</v>
      </c>
      <c r="D42" s="51">
        <v>10.49</v>
      </c>
      <c r="E42" s="51" t="s">
        <v>14</v>
      </c>
      <c r="F42" s="67">
        <f t="shared" si="1"/>
        <v>5.245</v>
      </c>
      <c r="G42" s="10">
        <f t="shared" si="2"/>
        <v>5.245</v>
      </c>
      <c r="H42" s="52"/>
      <c r="I42" s="52"/>
      <c r="J42" s="52">
        <v>1.0</v>
      </c>
      <c r="K42" s="52">
        <v>1.0</v>
      </c>
      <c r="L42" s="54"/>
      <c r="M42" s="54"/>
      <c r="N42" s="52"/>
      <c r="Z42" s="10"/>
      <c r="AA42" s="10"/>
    </row>
    <row r="43">
      <c r="A43" s="61">
        <v>45618.0</v>
      </c>
      <c r="B43" s="51" t="s">
        <v>149</v>
      </c>
      <c r="C43" s="51" t="s">
        <v>11</v>
      </c>
      <c r="D43" s="51">
        <f>23.54-4.5*1.13</f>
        <v>18.455</v>
      </c>
      <c r="E43" s="51" t="s">
        <v>14</v>
      </c>
      <c r="F43" s="67">
        <f t="shared" si="1"/>
        <v>6.151666667</v>
      </c>
      <c r="G43" s="10">
        <f t="shared" si="2"/>
        <v>6.151666667</v>
      </c>
      <c r="H43" s="52"/>
      <c r="I43" s="52"/>
      <c r="J43" s="52">
        <v>1.0</v>
      </c>
      <c r="K43" s="52">
        <v>1.0</v>
      </c>
      <c r="L43" s="54"/>
      <c r="M43" s="54">
        <v>1.0</v>
      </c>
      <c r="N43" s="52"/>
      <c r="Z43" s="10"/>
      <c r="AA43" s="10"/>
    </row>
    <row r="44">
      <c r="A44" s="59">
        <v>45620.0</v>
      </c>
      <c r="B44" s="12" t="s">
        <v>208</v>
      </c>
      <c r="C44" s="12" t="s">
        <v>11</v>
      </c>
      <c r="D44" s="12">
        <v>51.5</v>
      </c>
      <c r="E44" s="12" t="s">
        <v>14</v>
      </c>
      <c r="F44" s="10">
        <f t="shared" si="1"/>
        <v>12.875</v>
      </c>
      <c r="G44" s="10">
        <f t="shared" si="2"/>
        <v>12.875</v>
      </c>
      <c r="J44" s="1">
        <v>1.0</v>
      </c>
      <c r="K44" s="1">
        <v>1.0</v>
      </c>
      <c r="M44" s="1">
        <v>1.0</v>
      </c>
      <c r="N44" s="1">
        <v>1.0</v>
      </c>
      <c r="Z44" s="10"/>
      <c r="AA44" s="10"/>
    </row>
    <row r="45">
      <c r="A45" s="61">
        <v>45621.0</v>
      </c>
      <c r="B45" s="51" t="s">
        <v>149</v>
      </c>
      <c r="C45" s="51" t="s">
        <v>11</v>
      </c>
      <c r="D45" s="63">
        <f>49.33-10.99*1.13</f>
        <v>36.9113</v>
      </c>
      <c r="E45" s="51" t="s">
        <v>13</v>
      </c>
      <c r="F45" s="10">
        <f t="shared" si="1"/>
        <v>12.30376667</v>
      </c>
      <c r="G45" s="10">
        <f t="shared" si="2"/>
        <v>12.30376667</v>
      </c>
      <c r="H45" s="52"/>
      <c r="I45" s="52"/>
      <c r="J45" s="52">
        <v>1.0</v>
      </c>
      <c r="K45" s="52">
        <v>1.0</v>
      </c>
      <c r="L45" s="53"/>
      <c r="M45" s="54">
        <v>1.0</v>
      </c>
      <c r="N45" s="52"/>
      <c r="Z45" s="10"/>
      <c r="AA45" s="10"/>
    </row>
    <row r="46">
      <c r="A46" s="61">
        <v>45623.0</v>
      </c>
      <c r="B46" s="51" t="s">
        <v>214</v>
      </c>
      <c r="C46" s="51" t="s">
        <v>11</v>
      </c>
      <c r="D46" s="51">
        <f>19.99-4</f>
        <v>15.99</v>
      </c>
      <c r="E46" s="12" t="s">
        <v>14</v>
      </c>
      <c r="F46" s="10">
        <f t="shared" si="1"/>
        <v>2.665</v>
      </c>
      <c r="G46" s="10">
        <f t="shared" si="2"/>
        <v>2.665</v>
      </c>
      <c r="H46" s="1">
        <v>1.0</v>
      </c>
      <c r="I46" s="1">
        <v>1.0</v>
      </c>
      <c r="J46" s="1">
        <v>1.0</v>
      </c>
      <c r="K46" s="1">
        <v>1.0</v>
      </c>
      <c r="M46" s="1">
        <v>1.0</v>
      </c>
      <c r="N46" s="1">
        <v>1.0</v>
      </c>
      <c r="Z46" s="10"/>
      <c r="AA46" s="10"/>
    </row>
    <row r="47">
      <c r="A47" s="61">
        <v>45623.0</v>
      </c>
      <c r="B47" s="51" t="s">
        <v>215</v>
      </c>
      <c r="C47" s="51" t="s">
        <v>19</v>
      </c>
      <c r="D47" s="51">
        <f>46.99*1.13+2.4</f>
        <v>55.4987</v>
      </c>
      <c r="E47" s="12" t="s">
        <v>14</v>
      </c>
      <c r="F47" s="10">
        <f t="shared" si="1"/>
        <v>55.4987</v>
      </c>
      <c r="G47" s="10">
        <f t="shared" si="2"/>
        <v>55.4987</v>
      </c>
      <c r="J47" s="1">
        <v>1.0</v>
      </c>
      <c r="Z47" s="10"/>
      <c r="AA47" s="10"/>
    </row>
    <row r="48">
      <c r="A48" s="61">
        <v>45623.0</v>
      </c>
      <c r="B48" s="51" t="s">
        <v>216</v>
      </c>
      <c r="C48" s="51" t="s">
        <v>11</v>
      </c>
      <c r="D48" s="51">
        <v>70.18</v>
      </c>
      <c r="E48" s="51" t="s">
        <v>13</v>
      </c>
      <c r="F48" s="67">
        <f t="shared" si="1"/>
        <v>23.39333333</v>
      </c>
      <c r="G48" s="10">
        <f t="shared" si="2"/>
        <v>23.39333333</v>
      </c>
      <c r="H48" s="52"/>
      <c r="I48" s="52"/>
      <c r="J48" s="52">
        <v>1.0</v>
      </c>
      <c r="K48" s="52">
        <v>1.0</v>
      </c>
      <c r="L48" s="54"/>
      <c r="M48" s="54">
        <v>1.0</v>
      </c>
      <c r="N48" s="52"/>
      <c r="Z48" s="10"/>
      <c r="AA48" s="10"/>
    </row>
    <row r="49">
      <c r="A49" s="55">
        <v>45624.0</v>
      </c>
      <c r="B49" s="12" t="s">
        <v>217</v>
      </c>
      <c r="C49" s="12" t="s">
        <v>11</v>
      </c>
      <c r="D49" s="12">
        <v>39.53</v>
      </c>
      <c r="E49" s="12" t="s">
        <v>13</v>
      </c>
      <c r="F49" s="10">
        <f t="shared" si="1"/>
        <v>13.17666667</v>
      </c>
      <c r="G49" s="10">
        <f t="shared" si="2"/>
        <v>13.17666667</v>
      </c>
      <c r="J49" s="1">
        <v>1.0</v>
      </c>
      <c r="M49" s="1">
        <v>1.0</v>
      </c>
      <c r="N49" s="1">
        <v>1.0</v>
      </c>
      <c r="Z49" s="10"/>
      <c r="AA49" s="10"/>
    </row>
    <row r="50">
      <c r="A50" s="61">
        <v>45625.0</v>
      </c>
      <c r="B50" s="12" t="s">
        <v>98</v>
      </c>
      <c r="C50" s="12" t="s">
        <v>11</v>
      </c>
      <c r="D50" s="12">
        <v>119.45</v>
      </c>
      <c r="E50" s="12" t="s">
        <v>13</v>
      </c>
      <c r="F50" s="10">
        <f t="shared" si="1"/>
        <v>19.90833333</v>
      </c>
      <c r="G50" s="10">
        <f t="shared" si="2"/>
        <v>19.90833333</v>
      </c>
      <c r="H50" s="1">
        <v>1.0</v>
      </c>
      <c r="I50" s="1">
        <v>1.0</v>
      </c>
      <c r="J50" s="1">
        <v>1.0</v>
      </c>
      <c r="K50" s="1">
        <v>1.0</v>
      </c>
      <c r="L50" s="1">
        <v>1.0</v>
      </c>
      <c r="M50" s="1">
        <v>1.0</v>
      </c>
      <c r="Z50" s="10"/>
      <c r="AA50" s="10"/>
    </row>
    <row r="51">
      <c r="A51" s="59">
        <v>45627.0</v>
      </c>
      <c r="B51" s="12" t="s">
        <v>218</v>
      </c>
      <c r="C51" s="12" t="s">
        <v>25</v>
      </c>
      <c r="D51" s="12">
        <v>111.01</v>
      </c>
      <c r="E51" s="12" t="s">
        <v>13</v>
      </c>
      <c r="F51" s="10">
        <f t="shared" si="1"/>
        <v>111.01</v>
      </c>
      <c r="G51" s="10">
        <f t="shared" si="2"/>
        <v>111.01</v>
      </c>
      <c r="K51" s="1">
        <v>1.0</v>
      </c>
      <c r="Z51" s="10"/>
      <c r="AA51" s="10"/>
    </row>
    <row r="52">
      <c r="A52" s="59"/>
      <c r="B52" s="12"/>
      <c r="C52" s="12"/>
      <c r="D52" s="12"/>
      <c r="E52" s="12"/>
      <c r="F52" s="10" t="str">
        <f t="shared" si="1"/>
        <v>#DIV/0!</v>
      </c>
      <c r="G52" s="10" t="str">
        <f t="shared" si="2"/>
        <v>#DIV/0!</v>
      </c>
      <c r="Z52" s="10"/>
      <c r="AA52" s="10"/>
    </row>
    <row r="53">
      <c r="A53" s="59"/>
      <c r="B53" s="12"/>
      <c r="C53" s="12"/>
      <c r="D53" s="12"/>
      <c r="E53" s="12"/>
      <c r="F53" s="10" t="str">
        <f t="shared" si="1"/>
        <v>#DIV/0!</v>
      </c>
      <c r="G53" s="10" t="str">
        <f t="shared" si="2"/>
        <v>#DIV/0!</v>
      </c>
      <c r="Z53" s="10"/>
      <c r="AA53" s="10"/>
    </row>
    <row r="54">
      <c r="A54" s="61"/>
      <c r="B54" s="12"/>
      <c r="C54" s="12"/>
      <c r="D54" s="12"/>
      <c r="E54" s="12"/>
      <c r="F54" s="10" t="str">
        <f>D54/sum(H54:R54)</f>
        <v>#DIV/0!</v>
      </c>
      <c r="G54" s="10" t="str">
        <f>D54/sum(H54:R54)</f>
        <v>#DIV/0!</v>
      </c>
      <c r="Z54" s="10"/>
      <c r="AA54" s="10"/>
    </row>
    <row r="55">
      <c r="A55" s="61"/>
      <c r="B55" s="51"/>
      <c r="C55" s="51"/>
      <c r="D55" s="51"/>
      <c r="E55" s="51"/>
      <c r="F55" s="10" t="str">
        <f t="shared" ref="F55:F117" si="3">D55/sum(H55:Q55)</f>
        <v>#DIV/0!</v>
      </c>
      <c r="G55" s="10" t="str">
        <f t="shared" ref="G55:G117" si="4">D55/sum(H55:Q55)</f>
        <v>#DIV/0!</v>
      </c>
      <c r="H55" s="52"/>
      <c r="I55" s="52"/>
      <c r="J55" s="52"/>
      <c r="K55" s="52"/>
      <c r="L55" s="53"/>
      <c r="M55" s="53"/>
      <c r="N55" s="52"/>
      <c r="Z55" s="10"/>
      <c r="AA55" s="10"/>
    </row>
    <row r="56">
      <c r="A56" s="61"/>
      <c r="B56" s="51"/>
      <c r="C56" s="51"/>
      <c r="D56" s="51"/>
      <c r="E56" s="51"/>
      <c r="F56" s="10" t="str">
        <f t="shared" si="3"/>
        <v>#DIV/0!</v>
      </c>
      <c r="G56" s="10" t="str">
        <f t="shared" si="4"/>
        <v>#DIV/0!</v>
      </c>
      <c r="H56" s="52"/>
      <c r="I56" s="52"/>
      <c r="J56" s="52"/>
      <c r="K56" s="52"/>
      <c r="L56" s="54"/>
      <c r="M56" s="53"/>
      <c r="N56" s="52"/>
      <c r="Z56" s="10"/>
      <c r="AA56" s="10"/>
    </row>
    <row r="57">
      <c r="A57" s="61"/>
      <c r="B57" s="51"/>
      <c r="C57" s="12"/>
      <c r="D57" s="12"/>
      <c r="E57" s="51"/>
      <c r="F57" s="10" t="str">
        <f t="shared" si="3"/>
        <v>#DIV/0!</v>
      </c>
      <c r="G57" s="10" t="str">
        <f t="shared" si="4"/>
        <v>#DIV/0!</v>
      </c>
      <c r="Z57" s="10"/>
      <c r="AA57" s="10"/>
    </row>
    <row r="58">
      <c r="A58" s="61"/>
      <c r="B58" s="51"/>
      <c r="C58" s="12"/>
      <c r="D58" s="12"/>
      <c r="E58" s="51"/>
      <c r="F58" s="10" t="str">
        <f t="shared" si="3"/>
        <v>#DIV/0!</v>
      </c>
      <c r="G58" s="10" t="str">
        <f t="shared" si="4"/>
        <v>#DIV/0!</v>
      </c>
      <c r="Z58" s="10"/>
      <c r="AA58" s="10"/>
    </row>
    <row r="59">
      <c r="A59" s="59"/>
      <c r="B59" s="12"/>
      <c r="C59" s="12"/>
      <c r="D59" s="12"/>
      <c r="E59" s="12"/>
      <c r="F59" s="10" t="str">
        <f t="shared" si="3"/>
        <v>#DIV/0!</v>
      </c>
      <c r="G59" s="10" t="str">
        <f t="shared" si="4"/>
        <v>#DIV/0!</v>
      </c>
      <c r="S59" s="88">
        <f>SUM(D55:D57)</f>
        <v>0</v>
      </c>
      <c r="Z59" s="10"/>
      <c r="AA59" s="10"/>
    </row>
    <row r="60">
      <c r="A60" s="61"/>
      <c r="B60" s="51"/>
      <c r="C60" s="12"/>
      <c r="D60" s="12"/>
      <c r="E60" s="12"/>
      <c r="F60" s="10" t="str">
        <f t="shared" si="3"/>
        <v>#DIV/0!</v>
      </c>
      <c r="G60" s="10" t="str">
        <f t="shared" si="4"/>
        <v>#DIV/0!</v>
      </c>
      <c r="Z60" s="10"/>
      <c r="AA60" s="10"/>
    </row>
    <row r="61">
      <c r="A61" s="61"/>
      <c r="B61" s="51"/>
      <c r="C61" s="12"/>
      <c r="D61" s="12"/>
      <c r="E61" s="12"/>
      <c r="F61" s="67" t="str">
        <f t="shared" si="3"/>
        <v>#DIV/0!</v>
      </c>
      <c r="G61" s="10" t="str">
        <f t="shared" si="4"/>
        <v>#DIV/0!</v>
      </c>
      <c r="Z61" s="10"/>
      <c r="AA61" s="10"/>
    </row>
    <row r="62">
      <c r="A62" s="55"/>
      <c r="B62" s="12"/>
      <c r="C62" s="12"/>
      <c r="D62" s="12"/>
      <c r="E62" s="12"/>
      <c r="F62" s="10" t="str">
        <f t="shared" si="3"/>
        <v>#DIV/0!</v>
      </c>
      <c r="G62" s="10" t="str">
        <f t="shared" si="4"/>
        <v>#DIV/0!</v>
      </c>
      <c r="Z62" s="10"/>
      <c r="AA62" s="10"/>
    </row>
    <row r="63">
      <c r="A63" s="55"/>
      <c r="B63" s="12"/>
      <c r="C63" s="12"/>
      <c r="D63" s="12"/>
      <c r="E63" s="12"/>
      <c r="F63" s="10" t="str">
        <f t="shared" si="3"/>
        <v>#DIV/0!</v>
      </c>
      <c r="G63" s="10" t="str">
        <f t="shared" si="4"/>
        <v>#DIV/0!</v>
      </c>
      <c r="Z63" s="10"/>
      <c r="AA63" s="10"/>
    </row>
    <row r="64">
      <c r="A64" s="55"/>
      <c r="B64" s="12"/>
      <c r="C64" s="12"/>
      <c r="D64" s="12"/>
      <c r="E64" s="12"/>
      <c r="F64" s="10" t="str">
        <f t="shared" si="3"/>
        <v>#DIV/0!</v>
      </c>
      <c r="G64" s="10" t="str">
        <f t="shared" si="4"/>
        <v>#DIV/0!</v>
      </c>
      <c r="Z64" s="10"/>
      <c r="AA64" s="10"/>
    </row>
    <row r="65">
      <c r="A65" s="55"/>
      <c r="B65" s="12"/>
      <c r="C65" s="12"/>
      <c r="D65" s="12"/>
      <c r="E65" s="12"/>
      <c r="F65" s="10" t="str">
        <f t="shared" si="3"/>
        <v>#DIV/0!</v>
      </c>
      <c r="G65" s="10" t="str">
        <f t="shared" si="4"/>
        <v>#DIV/0!</v>
      </c>
      <c r="Z65" s="10"/>
      <c r="AA65" s="10"/>
    </row>
    <row r="66">
      <c r="A66" s="59"/>
      <c r="B66" s="12"/>
      <c r="C66" s="12"/>
      <c r="D66" s="12"/>
      <c r="E66" s="12"/>
      <c r="F66" s="10" t="str">
        <f t="shared" si="3"/>
        <v>#DIV/0!</v>
      </c>
      <c r="G66" s="10" t="str">
        <f t="shared" si="4"/>
        <v>#DIV/0!</v>
      </c>
      <c r="Z66" s="10"/>
      <c r="AA66" s="10"/>
    </row>
    <row r="67">
      <c r="A67" s="61"/>
      <c r="B67" s="51"/>
      <c r="C67" s="51"/>
      <c r="D67" s="51"/>
      <c r="E67" s="51"/>
      <c r="F67" s="10" t="str">
        <f t="shared" si="3"/>
        <v>#DIV/0!</v>
      </c>
      <c r="G67" s="10" t="str">
        <f t="shared" si="4"/>
        <v>#DIV/0!</v>
      </c>
      <c r="H67" s="52"/>
      <c r="I67" s="52"/>
      <c r="J67" s="52"/>
      <c r="K67" s="52"/>
      <c r="L67" s="54"/>
      <c r="M67" s="52"/>
      <c r="N67" s="52"/>
      <c r="Z67" s="10"/>
      <c r="AA67" s="10"/>
    </row>
    <row r="68">
      <c r="A68" s="61"/>
      <c r="B68" s="51"/>
      <c r="C68" s="51"/>
      <c r="D68" s="51"/>
      <c r="E68" s="51"/>
      <c r="F68" s="10" t="str">
        <f t="shared" si="3"/>
        <v>#DIV/0!</v>
      </c>
      <c r="G68" s="10" t="str">
        <f t="shared" si="4"/>
        <v>#DIV/0!</v>
      </c>
      <c r="H68" s="52"/>
      <c r="I68" s="52"/>
      <c r="J68" s="52"/>
      <c r="K68" s="52"/>
      <c r="L68" s="54"/>
      <c r="M68" s="54"/>
      <c r="N68" s="52"/>
      <c r="Z68" s="10"/>
      <c r="AA68" s="10"/>
    </row>
    <row r="69">
      <c r="A69" s="55"/>
      <c r="B69" s="12"/>
      <c r="C69" s="12"/>
      <c r="D69" s="12"/>
      <c r="E69" s="12"/>
      <c r="F69" s="10" t="str">
        <f t="shared" si="3"/>
        <v>#DIV/0!</v>
      </c>
      <c r="G69" s="10" t="str">
        <f t="shared" si="4"/>
        <v>#DIV/0!</v>
      </c>
      <c r="Z69" s="10"/>
      <c r="AA69" s="10"/>
    </row>
    <row r="70">
      <c r="A70" s="55"/>
      <c r="B70" s="12"/>
      <c r="C70" s="12"/>
      <c r="D70" s="12"/>
      <c r="E70" s="12"/>
      <c r="F70" s="67" t="str">
        <f t="shared" si="3"/>
        <v>#DIV/0!</v>
      </c>
      <c r="G70" s="10" t="str">
        <f t="shared" si="4"/>
        <v>#DIV/0!</v>
      </c>
      <c r="Z70" s="10"/>
      <c r="AA70" s="10"/>
    </row>
    <row r="71">
      <c r="A71" s="61"/>
      <c r="B71" s="51"/>
      <c r="C71" s="51"/>
      <c r="D71" s="63"/>
      <c r="E71" s="51"/>
      <c r="F71" s="10" t="str">
        <f t="shared" si="3"/>
        <v>#DIV/0!</v>
      </c>
      <c r="G71" s="10" t="str">
        <f t="shared" si="4"/>
        <v>#DIV/0!</v>
      </c>
      <c r="H71" s="52"/>
      <c r="I71" s="52"/>
      <c r="J71" s="52"/>
      <c r="K71" s="52"/>
      <c r="L71" s="54"/>
      <c r="M71" s="54"/>
      <c r="N71" s="52"/>
      <c r="Z71" s="10"/>
      <c r="AA71" s="10"/>
    </row>
    <row r="72">
      <c r="A72" s="59"/>
      <c r="B72" s="12"/>
      <c r="C72" s="12"/>
      <c r="D72" s="12"/>
      <c r="E72" s="12"/>
      <c r="F72" s="10" t="str">
        <f t="shared" si="3"/>
        <v>#DIV/0!</v>
      </c>
      <c r="G72" s="10" t="str">
        <f t="shared" si="4"/>
        <v>#DIV/0!</v>
      </c>
      <c r="Z72" s="10"/>
      <c r="AA72" s="10"/>
    </row>
    <row r="73">
      <c r="A73" s="55"/>
      <c r="B73" s="12"/>
      <c r="C73" s="12"/>
      <c r="D73" s="12"/>
      <c r="E73" s="12"/>
      <c r="F73" s="10" t="str">
        <f t="shared" si="3"/>
        <v>#DIV/0!</v>
      </c>
      <c r="G73" s="10" t="str">
        <f t="shared" si="4"/>
        <v>#DIV/0!</v>
      </c>
      <c r="Z73" s="10"/>
      <c r="AA73" s="10"/>
    </row>
    <row r="74">
      <c r="A74" s="61"/>
      <c r="B74" s="51"/>
      <c r="C74" s="51"/>
      <c r="D74" s="63"/>
      <c r="E74" s="51"/>
      <c r="F74" s="10" t="str">
        <f t="shared" si="3"/>
        <v>#DIV/0!</v>
      </c>
      <c r="G74" s="10" t="str">
        <f t="shared" si="4"/>
        <v>#DIV/0!</v>
      </c>
      <c r="H74" s="52"/>
      <c r="I74" s="52"/>
      <c r="J74" s="52"/>
      <c r="K74" s="52"/>
      <c r="L74" s="53"/>
      <c r="M74" s="53"/>
      <c r="N74" s="52"/>
      <c r="Z74" s="10"/>
      <c r="AA74" s="10"/>
    </row>
    <row r="75">
      <c r="A75" s="55"/>
      <c r="B75" s="12"/>
      <c r="C75" s="12"/>
      <c r="D75" s="12"/>
      <c r="E75" s="12"/>
      <c r="F75" s="10" t="str">
        <f t="shared" si="3"/>
        <v>#DIV/0!</v>
      </c>
      <c r="G75" s="10" t="str">
        <f t="shared" si="4"/>
        <v>#DIV/0!</v>
      </c>
      <c r="Z75" s="10"/>
      <c r="AA75" s="10"/>
    </row>
    <row r="76">
      <c r="A76" s="59"/>
      <c r="B76" s="12"/>
      <c r="C76" s="12"/>
      <c r="D76" s="12"/>
      <c r="E76" s="12"/>
      <c r="F76" s="10" t="str">
        <f t="shared" si="3"/>
        <v>#DIV/0!</v>
      </c>
      <c r="G76" s="10" t="str">
        <f t="shared" si="4"/>
        <v>#DIV/0!</v>
      </c>
      <c r="T76" s="18"/>
      <c r="U76" s="18"/>
      <c r="V76" s="18"/>
      <c r="W76" s="18"/>
      <c r="Z76" s="10"/>
      <c r="AA76" s="10"/>
    </row>
    <row r="77">
      <c r="A77" s="59"/>
      <c r="B77" s="12"/>
      <c r="C77" s="12"/>
      <c r="D77" s="12"/>
      <c r="E77" s="12"/>
      <c r="F77" s="10" t="str">
        <f t="shared" si="3"/>
        <v>#DIV/0!</v>
      </c>
      <c r="G77" s="10" t="str">
        <f t="shared" si="4"/>
        <v>#DIV/0!</v>
      </c>
      <c r="Z77" s="10"/>
      <c r="AA77" s="10"/>
    </row>
    <row r="78">
      <c r="A78" s="59"/>
      <c r="B78" s="12"/>
      <c r="C78" s="12"/>
      <c r="D78" s="12"/>
      <c r="E78" s="12"/>
      <c r="F78" s="67" t="str">
        <f t="shared" si="3"/>
        <v>#DIV/0!</v>
      </c>
      <c r="G78" s="10" t="str">
        <f t="shared" si="4"/>
        <v>#DIV/0!</v>
      </c>
      <c r="Z78" s="10"/>
      <c r="AA78" s="10"/>
    </row>
    <row r="79">
      <c r="A79" s="55"/>
      <c r="B79" s="12"/>
      <c r="C79" s="12"/>
      <c r="D79" s="12"/>
      <c r="E79" s="12"/>
      <c r="F79" s="67" t="str">
        <f t="shared" si="3"/>
        <v>#DIV/0!</v>
      </c>
      <c r="G79" s="10" t="str">
        <f t="shared" si="4"/>
        <v>#DIV/0!</v>
      </c>
      <c r="Z79" s="10"/>
      <c r="AA79" s="10"/>
    </row>
    <row r="80">
      <c r="A80" s="55"/>
      <c r="B80" s="12"/>
      <c r="C80" s="12"/>
      <c r="D80" s="12"/>
      <c r="E80" s="12"/>
      <c r="F80" s="67" t="str">
        <f t="shared" si="3"/>
        <v>#DIV/0!</v>
      </c>
      <c r="G80" s="10" t="str">
        <f t="shared" si="4"/>
        <v>#DIV/0!</v>
      </c>
      <c r="Z80" s="10"/>
      <c r="AA80" s="10"/>
    </row>
    <row r="81">
      <c r="A81" s="61"/>
      <c r="B81" s="12"/>
      <c r="C81" s="12"/>
      <c r="D81" s="12"/>
      <c r="E81" s="12"/>
      <c r="F81" s="67" t="str">
        <f t="shared" si="3"/>
        <v>#DIV/0!</v>
      </c>
      <c r="G81" s="10" t="str">
        <f t="shared" si="4"/>
        <v>#DIV/0!</v>
      </c>
      <c r="Z81" s="10"/>
      <c r="AA81" s="10"/>
    </row>
    <row r="82">
      <c r="A82" s="59"/>
      <c r="B82" s="12"/>
      <c r="C82" s="51"/>
      <c r="D82" s="12"/>
      <c r="E82" s="12"/>
      <c r="F82" s="67" t="str">
        <f t="shared" si="3"/>
        <v>#DIV/0!</v>
      </c>
      <c r="G82" s="10" t="str">
        <f t="shared" si="4"/>
        <v>#DIV/0!</v>
      </c>
      <c r="Z82" s="64"/>
      <c r="AA82" s="64"/>
    </row>
    <row r="83">
      <c r="A83" s="55"/>
      <c r="B83" s="12"/>
      <c r="C83" s="12"/>
      <c r="D83" s="12"/>
      <c r="E83" s="12"/>
      <c r="F83" s="67" t="str">
        <f t="shared" si="3"/>
        <v>#DIV/0!</v>
      </c>
      <c r="G83" s="10" t="str">
        <f t="shared" si="4"/>
        <v>#DIV/0!</v>
      </c>
      <c r="Z83" s="10"/>
      <c r="AA83" s="10"/>
    </row>
    <row r="84">
      <c r="A84" s="59"/>
      <c r="B84" s="12"/>
      <c r="C84" s="12"/>
      <c r="D84" s="12"/>
      <c r="E84" s="12"/>
      <c r="F84" s="67" t="str">
        <f t="shared" si="3"/>
        <v>#DIV/0!</v>
      </c>
      <c r="G84" s="10" t="str">
        <f t="shared" si="4"/>
        <v>#DIV/0!</v>
      </c>
      <c r="Z84" s="10"/>
      <c r="AA84" s="10"/>
    </row>
    <row r="85">
      <c r="A85" s="59"/>
      <c r="B85" s="12"/>
      <c r="C85" s="51"/>
      <c r="D85" s="12"/>
      <c r="E85" s="12"/>
      <c r="F85" s="67" t="str">
        <f t="shared" si="3"/>
        <v>#DIV/0!</v>
      </c>
      <c r="G85" s="10" t="str">
        <f t="shared" si="4"/>
        <v>#DIV/0!</v>
      </c>
      <c r="Z85" s="64"/>
      <c r="AA85" s="64"/>
    </row>
    <row r="86">
      <c r="A86" s="59"/>
      <c r="B86" s="12"/>
      <c r="C86" s="51"/>
      <c r="D86" s="12"/>
      <c r="E86" s="12"/>
      <c r="F86" s="67" t="str">
        <f t="shared" si="3"/>
        <v>#DIV/0!</v>
      </c>
      <c r="G86" s="10" t="str">
        <f t="shared" si="4"/>
        <v>#DIV/0!</v>
      </c>
      <c r="Z86" s="64"/>
      <c r="AA86" s="64"/>
    </row>
    <row r="87">
      <c r="A87" s="59"/>
      <c r="B87" s="12"/>
      <c r="C87" s="51"/>
      <c r="D87" s="12"/>
      <c r="E87" s="12"/>
      <c r="F87" s="67" t="str">
        <f t="shared" si="3"/>
        <v>#DIV/0!</v>
      </c>
      <c r="G87" s="10" t="str">
        <f t="shared" si="4"/>
        <v>#DIV/0!</v>
      </c>
      <c r="Z87" s="64"/>
      <c r="AA87" s="64"/>
    </row>
    <row r="88">
      <c r="A88" s="55"/>
      <c r="B88" s="12"/>
      <c r="C88" s="12"/>
      <c r="D88" s="12"/>
      <c r="E88" s="12"/>
      <c r="F88" s="67" t="str">
        <f t="shared" si="3"/>
        <v>#DIV/0!</v>
      </c>
      <c r="G88" s="10" t="str">
        <f t="shared" si="4"/>
        <v>#DIV/0!</v>
      </c>
      <c r="Z88" s="10"/>
      <c r="AA88" s="10"/>
    </row>
    <row r="89">
      <c r="A89" s="59"/>
      <c r="B89" s="12"/>
      <c r="C89" s="12"/>
      <c r="D89" s="12"/>
      <c r="E89" s="12"/>
      <c r="F89" s="67" t="str">
        <f t="shared" si="3"/>
        <v>#DIV/0!</v>
      </c>
      <c r="G89" s="10" t="str">
        <f t="shared" si="4"/>
        <v>#DIV/0!</v>
      </c>
      <c r="Z89" s="10"/>
      <c r="AA89" s="10"/>
    </row>
    <row r="90">
      <c r="A90" s="59"/>
      <c r="B90" s="12"/>
      <c r="C90" s="12"/>
      <c r="D90" s="12"/>
      <c r="E90" s="12"/>
      <c r="F90" s="67" t="str">
        <f t="shared" si="3"/>
        <v>#DIV/0!</v>
      </c>
      <c r="G90" s="10" t="str">
        <f t="shared" si="4"/>
        <v>#DIV/0!</v>
      </c>
      <c r="Z90" s="10"/>
      <c r="AA90" s="10"/>
    </row>
    <row r="91">
      <c r="A91" s="59"/>
      <c r="B91" s="12"/>
      <c r="C91" s="12"/>
      <c r="D91" s="12"/>
      <c r="E91" s="12"/>
      <c r="F91" s="67" t="str">
        <f t="shared" si="3"/>
        <v>#DIV/0!</v>
      </c>
      <c r="G91" s="10" t="str">
        <f t="shared" si="4"/>
        <v>#DIV/0!</v>
      </c>
      <c r="Z91" s="10"/>
      <c r="AA91" s="10"/>
    </row>
    <row r="92">
      <c r="A92" s="55"/>
      <c r="B92" s="12"/>
      <c r="C92" s="12"/>
      <c r="D92" s="12"/>
      <c r="E92" s="12"/>
      <c r="F92" s="67" t="str">
        <f t="shared" si="3"/>
        <v>#DIV/0!</v>
      </c>
      <c r="G92" s="10" t="str">
        <f t="shared" si="4"/>
        <v>#DIV/0!</v>
      </c>
      <c r="Z92" s="10"/>
      <c r="AA92" s="10"/>
    </row>
    <row r="93">
      <c r="A93" s="55"/>
      <c r="B93" s="51"/>
      <c r="C93" s="51"/>
      <c r="D93" s="51"/>
      <c r="E93" s="12"/>
      <c r="F93" s="67" t="str">
        <f t="shared" si="3"/>
        <v>#DIV/0!</v>
      </c>
      <c r="G93" s="10" t="str">
        <f t="shared" si="4"/>
        <v>#DIV/0!</v>
      </c>
      <c r="H93" s="52"/>
      <c r="I93" s="52"/>
      <c r="J93" s="52"/>
      <c r="K93" s="52"/>
      <c r="L93" s="53"/>
      <c r="M93" s="54"/>
      <c r="N93" s="52"/>
      <c r="O93" s="54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>
      <c r="A94" s="55"/>
      <c r="B94" s="12"/>
      <c r="C94" s="12"/>
      <c r="D94" s="12"/>
      <c r="E94" s="12"/>
      <c r="F94" s="67" t="str">
        <f t="shared" si="3"/>
        <v>#DIV/0!</v>
      </c>
      <c r="G94" s="10" t="str">
        <f t="shared" si="4"/>
        <v>#DIV/0!</v>
      </c>
      <c r="Z94" s="10"/>
      <c r="AA94" s="10"/>
    </row>
    <row r="95">
      <c r="A95" s="59"/>
      <c r="B95" s="12"/>
      <c r="C95" s="12"/>
      <c r="D95" s="12"/>
      <c r="E95" s="12"/>
      <c r="F95" s="67" t="str">
        <f t="shared" si="3"/>
        <v>#DIV/0!</v>
      </c>
      <c r="G95" s="10" t="str">
        <f t="shared" si="4"/>
        <v>#DIV/0!</v>
      </c>
      <c r="Z95" s="10"/>
      <c r="AA95" s="10"/>
    </row>
    <row r="96">
      <c r="A96" s="61"/>
      <c r="B96" s="12"/>
      <c r="C96" s="12"/>
      <c r="D96" s="12"/>
      <c r="E96" s="12"/>
      <c r="F96" s="67" t="str">
        <f t="shared" si="3"/>
        <v>#DIV/0!</v>
      </c>
      <c r="G96" s="10" t="str">
        <f t="shared" si="4"/>
        <v>#DIV/0!</v>
      </c>
      <c r="Z96" s="10"/>
      <c r="AA96" s="10"/>
    </row>
    <row r="97">
      <c r="A97" s="61"/>
      <c r="B97" s="12"/>
      <c r="C97" s="12"/>
      <c r="D97" s="12"/>
      <c r="E97" s="12"/>
      <c r="F97" s="67" t="str">
        <f t="shared" si="3"/>
        <v>#DIV/0!</v>
      </c>
      <c r="G97" s="10" t="str">
        <f t="shared" si="4"/>
        <v>#DIV/0!</v>
      </c>
      <c r="Z97" s="10"/>
      <c r="AA97" s="10"/>
    </row>
    <row r="98">
      <c r="A98" s="59"/>
      <c r="B98" s="12"/>
      <c r="C98" s="12"/>
      <c r="D98" s="12"/>
      <c r="E98" s="12"/>
      <c r="F98" s="67" t="str">
        <f t="shared" si="3"/>
        <v>#DIV/0!</v>
      </c>
      <c r="G98" s="10" t="str">
        <f t="shared" si="4"/>
        <v>#DIV/0!</v>
      </c>
      <c r="Z98" s="10"/>
      <c r="AA98" s="10"/>
    </row>
    <row r="99">
      <c r="A99" s="59"/>
      <c r="B99" s="12"/>
      <c r="C99" s="12"/>
      <c r="D99" s="12"/>
      <c r="E99" s="12"/>
      <c r="F99" s="67" t="str">
        <f t="shared" si="3"/>
        <v>#DIV/0!</v>
      </c>
      <c r="G99" s="10" t="str">
        <f t="shared" si="4"/>
        <v>#DIV/0!</v>
      </c>
      <c r="Z99" s="10"/>
      <c r="AA99" s="10"/>
    </row>
    <row r="100">
      <c r="A100" s="59"/>
      <c r="B100" s="12"/>
      <c r="C100" s="12"/>
      <c r="D100" s="12"/>
      <c r="E100" s="12"/>
      <c r="F100" s="67" t="str">
        <f t="shared" si="3"/>
        <v>#DIV/0!</v>
      </c>
      <c r="G100" s="10" t="str">
        <f t="shared" si="4"/>
        <v>#DIV/0!</v>
      </c>
      <c r="Z100" s="10"/>
      <c r="AA100" s="10"/>
    </row>
    <row r="101">
      <c r="A101" s="59"/>
      <c r="B101" s="12"/>
      <c r="C101" s="12"/>
      <c r="D101" s="12"/>
      <c r="E101" s="12"/>
      <c r="F101" s="67" t="str">
        <f t="shared" si="3"/>
        <v>#DIV/0!</v>
      </c>
      <c r="G101" s="10" t="str">
        <f t="shared" si="4"/>
        <v>#DIV/0!</v>
      </c>
      <c r="Z101" s="10"/>
      <c r="AA101" s="10"/>
    </row>
    <row r="102">
      <c r="A102" s="12"/>
      <c r="B102" s="12"/>
      <c r="C102" s="12"/>
      <c r="D102" s="12"/>
      <c r="E102" s="12"/>
      <c r="F102" s="67" t="str">
        <f t="shared" si="3"/>
        <v>#DIV/0!</v>
      </c>
      <c r="G102" s="10" t="str">
        <f t="shared" si="4"/>
        <v>#DIV/0!</v>
      </c>
      <c r="Z102" s="10"/>
      <c r="AA102" s="10"/>
    </row>
    <row r="103">
      <c r="A103" s="61"/>
      <c r="B103" s="51"/>
      <c r="C103" s="51"/>
      <c r="D103" s="51"/>
      <c r="E103" s="51"/>
      <c r="F103" s="10" t="str">
        <f t="shared" si="3"/>
        <v>#DIV/0!</v>
      </c>
      <c r="G103" s="10" t="str">
        <f t="shared" si="4"/>
        <v>#DIV/0!</v>
      </c>
      <c r="H103" s="52"/>
      <c r="I103" s="52"/>
      <c r="J103" s="52"/>
      <c r="K103" s="52"/>
      <c r="L103" s="53"/>
      <c r="M103" s="53"/>
      <c r="N103" s="52"/>
      <c r="Z103" s="10"/>
      <c r="AA103" s="10"/>
    </row>
    <row r="104">
      <c r="A104" s="59"/>
      <c r="B104" s="12"/>
      <c r="C104" s="12"/>
      <c r="D104" s="12"/>
      <c r="E104" s="12"/>
      <c r="F104" s="10" t="str">
        <f t="shared" si="3"/>
        <v>#DIV/0!</v>
      </c>
      <c r="G104" s="10" t="str">
        <f t="shared" si="4"/>
        <v>#DIV/0!</v>
      </c>
      <c r="Z104" s="10"/>
      <c r="AA104" s="10"/>
    </row>
    <row r="105">
      <c r="A105" s="61"/>
      <c r="B105" s="51"/>
      <c r="C105" s="51"/>
      <c r="D105" s="63"/>
      <c r="E105" s="51"/>
      <c r="F105" s="10" t="str">
        <f t="shared" si="3"/>
        <v>#DIV/0!</v>
      </c>
      <c r="G105" s="10" t="str">
        <f t="shared" si="4"/>
        <v>#DIV/0!</v>
      </c>
      <c r="H105" s="54"/>
      <c r="I105" s="54"/>
      <c r="J105" s="54"/>
      <c r="K105" s="54"/>
      <c r="L105" s="52"/>
      <c r="M105" s="54"/>
      <c r="N105" s="54"/>
      <c r="Z105" s="10"/>
      <c r="AA105" s="10"/>
    </row>
    <row r="106">
      <c r="A106" s="61"/>
      <c r="B106" s="51"/>
      <c r="C106" s="51"/>
      <c r="D106" s="51"/>
      <c r="E106" s="51"/>
      <c r="F106" s="10" t="str">
        <f t="shared" si="3"/>
        <v>#DIV/0!</v>
      </c>
      <c r="G106" s="10" t="str">
        <f t="shared" si="4"/>
        <v>#DIV/0!</v>
      </c>
      <c r="H106" s="52"/>
      <c r="I106" s="52"/>
      <c r="J106" s="52"/>
      <c r="K106" s="52"/>
      <c r="L106" s="53"/>
      <c r="M106" s="54"/>
      <c r="N106" s="52"/>
      <c r="Z106" s="10"/>
      <c r="AA106" s="10"/>
    </row>
    <row r="107">
      <c r="A107" s="59"/>
      <c r="B107" s="12"/>
      <c r="C107" s="12"/>
      <c r="D107" s="12"/>
      <c r="E107" s="12"/>
      <c r="F107" s="10" t="str">
        <f t="shared" si="3"/>
        <v>#DIV/0!</v>
      </c>
      <c r="G107" s="10" t="str">
        <f t="shared" si="4"/>
        <v>#DIV/0!</v>
      </c>
      <c r="Z107" s="10"/>
      <c r="AA107" s="10"/>
    </row>
    <row r="108">
      <c r="A108" s="61"/>
      <c r="B108" s="51"/>
      <c r="C108" s="51"/>
      <c r="D108" s="51"/>
      <c r="E108" s="51"/>
      <c r="F108" s="10" t="str">
        <f t="shared" si="3"/>
        <v>#DIV/0!</v>
      </c>
      <c r="G108" s="10" t="str">
        <f t="shared" si="4"/>
        <v>#DIV/0!</v>
      </c>
      <c r="H108" s="52"/>
      <c r="I108" s="52"/>
      <c r="J108" s="52"/>
      <c r="K108" s="52"/>
      <c r="L108" s="53"/>
      <c r="M108" s="54"/>
      <c r="N108" s="52"/>
      <c r="Z108" s="10"/>
      <c r="AA108" s="10"/>
    </row>
    <row r="109">
      <c r="A109" s="61"/>
      <c r="B109" s="51"/>
      <c r="C109" s="51"/>
      <c r="D109" s="51"/>
      <c r="E109" s="51"/>
      <c r="F109" s="10" t="str">
        <f t="shared" si="3"/>
        <v>#DIV/0!</v>
      </c>
      <c r="G109" s="10" t="str">
        <f t="shared" si="4"/>
        <v>#DIV/0!</v>
      </c>
      <c r="H109" s="52"/>
      <c r="I109" s="52"/>
      <c r="J109" s="52"/>
      <c r="K109" s="52"/>
      <c r="L109" s="54"/>
      <c r="M109" s="54"/>
      <c r="N109" s="52"/>
      <c r="Z109" s="10"/>
      <c r="AA109" s="10"/>
    </row>
    <row r="110">
      <c r="A110" s="61"/>
      <c r="B110" s="51"/>
      <c r="C110" s="51"/>
      <c r="D110" s="51"/>
      <c r="E110" s="51"/>
      <c r="F110" s="10" t="str">
        <f t="shared" si="3"/>
        <v>#DIV/0!</v>
      </c>
      <c r="G110" s="10" t="str">
        <f t="shared" si="4"/>
        <v>#DIV/0!</v>
      </c>
      <c r="H110" s="66"/>
      <c r="I110" s="66"/>
      <c r="J110" s="52"/>
      <c r="K110" s="66"/>
      <c r="L110" s="54"/>
      <c r="M110" s="53"/>
      <c r="N110" s="66"/>
      <c r="Z110" s="10"/>
      <c r="AA110" s="10"/>
    </row>
    <row r="111">
      <c r="A111" s="61"/>
      <c r="B111" s="51"/>
      <c r="C111" s="51"/>
      <c r="D111" s="63"/>
      <c r="E111" s="51"/>
      <c r="F111" s="10" t="str">
        <f t="shared" si="3"/>
        <v>#DIV/0!</v>
      </c>
      <c r="G111" s="10" t="str">
        <f t="shared" si="4"/>
        <v>#DIV/0!</v>
      </c>
      <c r="H111" s="52"/>
      <c r="I111" s="54"/>
      <c r="J111" s="54"/>
      <c r="K111" s="54"/>
      <c r="L111" s="54"/>
      <c r="M111" s="54"/>
      <c r="N111" s="54"/>
      <c r="Z111" s="10"/>
      <c r="AA111" s="10"/>
    </row>
    <row r="112">
      <c r="A112" s="61"/>
      <c r="B112" s="51"/>
      <c r="C112" s="51"/>
      <c r="D112" s="51"/>
      <c r="E112" s="51"/>
      <c r="F112" s="10" t="str">
        <f t="shared" si="3"/>
        <v>#DIV/0!</v>
      </c>
      <c r="G112" s="10" t="str">
        <f t="shared" si="4"/>
        <v>#DIV/0!</v>
      </c>
      <c r="H112" s="52"/>
      <c r="I112" s="54"/>
      <c r="J112" s="54"/>
      <c r="K112" s="54"/>
      <c r="L112" s="53"/>
      <c r="M112" s="54"/>
      <c r="N112" s="54"/>
      <c r="Z112" s="10"/>
      <c r="AA112" s="10"/>
    </row>
    <row r="113">
      <c r="A113" s="61"/>
      <c r="B113" s="51"/>
      <c r="C113" s="51"/>
      <c r="D113" s="63"/>
      <c r="E113" s="51"/>
      <c r="F113" s="10" t="str">
        <f t="shared" si="3"/>
        <v>#DIV/0!</v>
      </c>
      <c r="G113" s="10" t="str">
        <f t="shared" si="4"/>
        <v>#DIV/0!</v>
      </c>
      <c r="H113" s="52"/>
      <c r="I113" s="54"/>
      <c r="J113" s="52"/>
      <c r="K113" s="54"/>
      <c r="L113" s="53"/>
      <c r="M113" s="53"/>
      <c r="N113" s="54"/>
      <c r="Z113" s="10"/>
      <c r="AA113" s="10"/>
    </row>
    <row r="114">
      <c r="C114" s="12"/>
      <c r="D114" s="12"/>
      <c r="E114" s="12"/>
      <c r="F114" s="10" t="str">
        <f t="shared" si="3"/>
        <v>#DIV/0!</v>
      </c>
      <c r="G114" s="10" t="str">
        <f t="shared" si="4"/>
        <v>#DIV/0!</v>
      </c>
      <c r="Z114" s="10"/>
      <c r="AA114" s="10"/>
    </row>
    <row r="115">
      <c r="A115" s="61"/>
      <c r="B115" s="12"/>
      <c r="C115" s="12"/>
      <c r="D115" s="12"/>
      <c r="E115" s="12"/>
      <c r="F115" s="67" t="str">
        <f t="shared" si="3"/>
        <v>#DIV/0!</v>
      </c>
      <c r="G115" s="10" t="str">
        <f t="shared" si="4"/>
        <v>#DIV/0!</v>
      </c>
      <c r="Z115" s="10"/>
      <c r="AA115" s="10"/>
    </row>
    <row r="116">
      <c r="A116" s="59"/>
      <c r="B116" s="12"/>
      <c r="C116" s="12"/>
      <c r="D116" s="12"/>
      <c r="E116" s="12"/>
      <c r="F116" s="67" t="str">
        <f t="shared" si="3"/>
        <v>#DIV/0!</v>
      </c>
      <c r="G116" s="10" t="str">
        <f t="shared" si="4"/>
        <v>#DIV/0!</v>
      </c>
      <c r="Z116" s="10"/>
      <c r="AA116" s="10"/>
    </row>
    <row r="117">
      <c r="A117" s="59"/>
      <c r="B117" s="12"/>
      <c r="C117" s="12"/>
      <c r="D117" s="12"/>
      <c r="E117" s="12"/>
      <c r="F117" s="67" t="str">
        <f t="shared" si="3"/>
        <v>#DIV/0!</v>
      </c>
      <c r="G117" s="10" t="str">
        <f t="shared" si="4"/>
        <v>#DIV/0!</v>
      </c>
      <c r="Z117" s="10"/>
      <c r="AA117" s="10"/>
    </row>
    <row r="118">
      <c r="A118" s="59"/>
      <c r="B118" s="12"/>
      <c r="C118" s="12"/>
      <c r="D118" s="12"/>
      <c r="E118" s="12"/>
      <c r="F118" s="67"/>
      <c r="G118" s="10"/>
      <c r="Z118" s="10"/>
      <c r="AA118" s="10"/>
    </row>
    <row r="119">
      <c r="A119" s="59"/>
      <c r="B119" s="12"/>
      <c r="C119" s="12"/>
      <c r="D119" s="12"/>
      <c r="E119" s="12"/>
      <c r="F119" s="67"/>
      <c r="G119" s="10"/>
      <c r="Z119" s="10"/>
      <c r="AA119" s="10"/>
    </row>
    <row r="120">
      <c r="A120" s="59"/>
      <c r="B120" s="12"/>
      <c r="C120" s="12"/>
      <c r="D120" s="12"/>
      <c r="E120" s="12"/>
      <c r="F120" s="67"/>
      <c r="G120" s="10"/>
      <c r="Z120" s="10"/>
      <c r="AA120" s="10"/>
    </row>
    <row r="121">
      <c r="A121" s="59"/>
      <c r="B121" s="12"/>
      <c r="C121" s="12"/>
      <c r="D121" s="12"/>
      <c r="E121" s="12"/>
      <c r="F121" s="67"/>
      <c r="G121" s="10"/>
      <c r="Z121" s="10"/>
      <c r="AA121" s="10"/>
    </row>
    <row r="122">
      <c r="A122" s="59"/>
      <c r="B122" s="12"/>
      <c r="C122" s="12"/>
      <c r="D122" s="12"/>
      <c r="E122" s="12"/>
      <c r="F122" s="67"/>
      <c r="G122" s="10"/>
      <c r="Z122" s="10"/>
      <c r="AA122" s="10"/>
    </row>
    <row r="123">
      <c r="A123" s="59"/>
      <c r="B123" s="12"/>
      <c r="C123" s="12"/>
      <c r="D123" s="12"/>
      <c r="E123" s="12"/>
      <c r="F123" s="67"/>
      <c r="G123" s="10"/>
      <c r="Z123" s="10"/>
      <c r="AA123" s="10"/>
    </row>
    <row r="124">
      <c r="A124" s="59"/>
      <c r="B124" s="12"/>
      <c r="C124" s="12"/>
      <c r="D124" s="12"/>
      <c r="E124" s="12"/>
      <c r="F124" s="67"/>
      <c r="G124" s="10"/>
      <c r="Z124" s="10"/>
      <c r="AA124" s="10"/>
    </row>
    <row r="125">
      <c r="A125" s="59"/>
      <c r="B125" s="12"/>
      <c r="C125" s="12"/>
      <c r="D125" s="12"/>
      <c r="E125" s="12"/>
      <c r="F125" s="67"/>
      <c r="G125" s="10"/>
      <c r="Z125" s="10"/>
      <c r="AA125" s="10"/>
    </row>
    <row r="126">
      <c r="A126" s="10"/>
      <c r="B126" s="10"/>
      <c r="C126" s="10"/>
      <c r="D126" s="10"/>
      <c r="E126" s="10"/>
      <c r="F126" s="67"/>
      <c r="G126" s="10"/>
      <c r="Z126" s="10"/>
      <c r="AA126" s="10"/>
    </row>
    <row r="127">
      <c r="A127" s="10"/>
      <c r="B127" s="10"/>
      <c r="C127" s="10"/>
      <c r="D127" s="10"/>
      <c r="E127" s="10"/>
      <c r="F127" s="67"/>
      <c r="G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 t="str">
        <f t="shared" ref="F151:F154" si="5">D151/sum(H151:O151)</f>
        <v>#DIV/0!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 t="str">
        <f t="shared" si="5"/>
        <v>#DIV/0!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 t="str">
        <f t="shared" si="5"/>
        <v>#DIV/0!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 t="str">
        <f t="shared" si="5"/>
        <v>#DIV/0!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59"/>
      <c r="B156" s="12"/>
      <c r="C156" s="12"/>
      <c r="D156" s="12"/>
      <c r="E156" s="12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59"/>
      <c r="B157" s="12"/>
      <c r="C157" s="10"/>
      <c r="D157" s="12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59"/>
      <c r="B158" s="12"/>
      <c r="C158" s="10"/>
      <c r="D158" s="12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67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67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67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67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55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</sheetData>
  <autoFilter ref="$A$12:$AA$69">
    <sortState ref="A12:AA69">
      <sortCondition ref="A12:A69"/>
    </sortState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29">
      <formula1>"食物,飲品,衣服,居家,電子產品,娛樂,醫藥,交通,其他"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1" max="1" width="15.75"/>
    <col customWidth="1" min="2" max="2" width="24.0"/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P2" s="1" t="s">
        <v>17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SUMIFS($G$13:$G971, $E$13:$E971, "Rachel", $H$13:$H971, 1)-SUMIFS($G$13:$G971, $E$13:$E971, "Timothy", $I$13:$I971, 1)</f>
        <v>-150.3289762</v>
      </c>
      <c r="J3" s="21">
        <f>SUMIFS($G$13:$G971, $E$13:$E971, "BL", $H$13:$H971, 1)-SUMIFS($G$13:$G971, $E$13:$E971, "Timothy", $J$13:$J971, 1)</f>
        <v>-237.1945</v>
      </c>
      <c r="K3" s="21">
        <f>SUMIFS($G$13:$G971, $E$13:$E971, "Pigskin", $H$13:$H971, 1)-SUMIFS($G$13:$G971, $E$13:$E971, "Timothy", $K$13:$K971, 1)</f>
        <v>-155.3652333</v>
      </c>
      <c r="L3" s="21">
        <f>SUMIFS($G$13:$G971, $E$13:$E971, "Angel", $H$13:$H971, 1)-SUMIFS($G$13:$G971, $E$13:$E971, "Timothy", $L$13:$L971, 1)</f>
        <v>0</v>
      </c>
      <c r="M3" s="21">
        <f>SUMIFS($G$13:$G971, $E$13:$E971, "Ivan", $H$13:$H971, 1)-SUMIFS($G$13:$G971, $E$13:$E971, "Timothy", $M$13:$M971, 1)</f>
        <v>-148.1767619</v>
      </c>
      <c r="N3" s="21">
        <f>SUMIFS($G$13:$G971, $E$13:$E971, "Esther", $H$13:$H971, 1)-SUMIFS($G$13:$G971, $E$13:$E971, "Timothy", $N$13:$N971, 1)</f>
        <v>-130.035</v>
      </c>
      <c r="O3" s="22">
        <f>SUMIFS($G$13:$G971, $E$13:$E971, "Ken9", $H$13:$H971, 1)-SUMIFS($G$13:$G971, $E$13:$E971, "Timothy", $O$13:$O971,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SUMIFS($G$13:$G971, $E$13:$E971, "Timothy", $I$13:$I971, 1)-SUMIFS($G$13:$G971, $E$13:$E971, "Rachel", $H$13:$H971, 1)</f>
        <v>150.3289762</v>
      </c>
      <c r="I4" s="20"/>
      <c r="J4" s="25">
        <f>SUMIFS($G$13:$G971, $E$13:$E971, "BL", $I$13:$I971, 1)-SUMIFS($G$13:$G971, $E$13:$E971, "Rachel", $J$13:$J971, 1)</f>
        <v>-55.55052381</v>
      </c>
      <c r="K4" s="25">
        <f>SUMIFS($G$13:$G971, $E$13:$E971, "Pigskin", $I$13:$I971, 1)-SUMIFS($G$13:$G971, $E$13:$E971, "Rachel", $K$13:$K971, 1)</f>
        <v>40.2441</v>
      </c>
      <c r="L4" s="25">
        <f>SUMIFS($G$13:$G971, $E$13:$E971, "Angel", $I$13:$I971, 1)-SUMIFS($G$13:$G971, $E$13:$E971, "Rachel", $L$13:$L971, 1)</f>
        <v>-5.823333333</v>
      </c>
      <c r="M4" s="25">
        <f>SUMIFS($G$13:$G971, $E$13:$E971, "Ivan", $I$13:$I971, 1)-SUMIFS($G$13:$G971, $E$13:$E971, "Rachel", $M$13:$M971, 1)</f>
        <v>24.28971429</v>
      </c>
      <c r="N4" s="25">
        <f>SUMIFS($G$13:$G971, $E$13:$E971, "Esther", $I$13:$I971, 1)-SUMIFS($G$13:$G971, $E$13:$E971, "Rachel", $N$13:$N971, 1)</f>
        <v>-63.34619048</v>
      </c>
      <c r="O4" s="26">
        <f>SUMIFS($G$13:$G971, $E$13:$E971, "Ken9", $I$13:$I971, 1)-SUMIFS($G$13:$G971, $E$13:$E971, "Rachel", $O$13:$O971,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SUMIFS($G$13:$G971, $E$13:$E971, "Timothy", $J$13:$J971, 1)-SUMIFS($G$13:$G971, $E$13:$E971, "BL", $H$13:$H971, 1)</f>
        <v>237.1945</v>
      </c>
      <c r="I5" s="28">
        <f>SUMIFS($G$13:$G971, $E$13:$E971, "Rachel", $J$13:$J971, 1)-SUMIFS($G$13:$G971, $E$13:$E971, "BL", $I$13:$I971, 1)</f>
        <v>55.55052381</v>
      </c>
      <c r="J5" s="20"/>
      <c r="K5" s="25">
        <f>SUMIFS($G$13:$G971, $E$13:$E971, "Pigskin", $J$13:$J971, 1)-SUMIFS($G$13:$G971, $E$13:$E971, "BL", $K$13:$K971, 1)</f>
        <v>49.84926667</v>
      </c>
      <c r="L5" s="28">
        <f>SUMIFS($G$13:$G971, $E$13:$E971, "Angel", $J$13:$J971, 1)-SUMIFS($G$13:$G971, $E$13:$E971, "BL", $L$13:$L971, 1)</f>
        <v>0</v>
      </c>
      <c r="M5" s="25">
        <f>SUMIFS($G$13:$G971, $E$13:$E971, "Ivan", $J$13:$J971, 1)-SUMIFS($G$13:$G971, $E$13:$E971, "BL", $M$13:$M971, 1)</f>
        <v>177.9095714</v>
      </c>
      <c r="N5" s="28">
        <f>SUMIFS($G$13:$G971, $E$13:$E971, "Esther", $J$13:$J971, 1)-SUMIFS($G$13:$G971, $E$13:$E971, "BL", $N$13:$N971, 1)</f>
        <v>3.195</v>
      </c>
      <c r="O5" s="26">
        <f>SUMIFS($G$13:$G971, $E$13:$E971, "Ken9", $J$13:$J971, 1)-SUMIFS($G$13:$G971, $E$13:$E971, "BL", $O$13:$O971,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SUMIFS($G$13:$G971, $E$13:$E971, "Timothy", $K$13:$K971, 1)-SUMIFS($G$13:$G971, $E$13:$E971, "Pigskin", $H$13:$H971, 1)</f>
        <v>155.3652333</v>
      </c>
      <c r="I6" s="28">
        <f>SUMIFS($G$13:$G971, $E$13:$E971, "Rachel", $K$13:$K971, 1)-SUMIFS($G$13:$G971, $E$13:$E971, "Pigskin", $I$13:$I971, 1)</f>
        <v>-40.2441</v>
      </c>
      <c r="J6" s="28">
        <f>SUMIFS($G$13:$G971, $E$13:$E971, "BL", $K$13:$K971, 1)-SUMIFS($G$13:$G971, $E$13:$E971, "Pigskin", $J$13:$J971, 1)</f>
        <v>-49.84926667</v>
      </c>
      <c r="K6" s="20"/>
      <c r="L6" s="25">
        <f>SUMIFS($G$13:$G971, $E$13:$E971, "Angel", $K$13:$K971, 1)-SUMIFS($G$13:$G971, $E$13:$E971, "Pigskin", $L$13:$L971, 1)</f>
        <v>0</v>
      </c>
      <c r="M6" s="28">
        <f>SUMIFS($G$13:$G971, $E$13:$E971, "Ivan", $K$13:$K971, 1)-SUMIFS($G$13:$G971, $E$13:$E971, "Pigskin", $M$13:$M971, 1)</f>
        <v>110.9568048</v>
      </c>
      <c r="N6" s="28">
        <f>SUMIFS($G$13:$G971, $E$13:$E971, "Esther", $K$13:$K971, 1)-SUMIFS($G$13:$G971, $E$13:$E971, "Pigskin", $N$13:$N971, 1)</f>
        <v>-40.83276667</v>
      </c>
      <c r="O6" s="26">
        <f>SUMIFS($G$13:$G971, $E$13:$E971, "Ken9", $K$13:$K971, 1)-SUMIFS($G$13:$G971, $E$13:$E971, "Pigskin", $O$13:$O971,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SUMIFS($G$13:$G971, $E$13:$E971, "Timothy", $L$13:$L971, 1)-SUMIFS($G$13:$G971, $E$13:$E971, "Angel", $H$13:$H971, 1)</f>
        <v>0</v>
      </c>
      <c r="I7" s="25">
        <f>SUMIFS($G$13:$G971, $E$13:$E971, "Rachel", $L$13:$L971, 1)-SUMIFS($G$13:$G971, $E$13:$E971, "Angel", $I$13:$I971, 1)</f>
        <v>5.823333333</v>
      </c>
      <c r="J7" s="25">
        <f>SUMIFS($G$13:$G971, $E$13:$E971, "BL", $L$13:$L971, 1)-SUMIFS($G$13:$G971, $E$13:$E971, "Angel", $J$13:$J971, 1)</f>
        <v>0</v>
      </c>
      <c r="K7" s="25">
        <f>SUMIFS($G$13:$G971, $E$13:$E971, "Pigskin", $L$13:$L971, 1)-SUMIFS($G$13:$G971, $E$13:$E971, "Angel", $K$13:$K971, 1)</f>
        <v>0</v>
      </c>
      <c r="L7" s="20"/>
      <c r="M7" s="25">
        <f>SUMIFS($G$13:$G971, $E$13:$E971, "Ivan", $L$13:$L971, 1)-SUMIFS($G$13:$G971, $E$13:$E971, "Angel", $M$13:$M971, 1)</f>
        <v>21.42857143</v>
      </c>
      <c r="N7" s="28">
        <f>SUMIFS($G$13:$G971, $E$13:$E971, "Esther", $L$13:$L971, 1)-SUMIFS($G$13:$G971, $E$13:$E971, "Angel", $N$13:$N971, 1)</f>
        <v>0</v>
      </c>
      <c r="O7" s="31">
        <f>SUMIFS($G$13:$G971, $E$13:$E971, "Ken9", $L$13:$L971, 1)-SUMIFS($G$13:$G971, $E$13:$E971, "Angel", $O$13:$O971,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SUMIFS($G$13:$G971, $E$13:$E971, "Timothy", $M$13:$M971, 1)-SUMIFS($G$13:$G971, $E$13:$E971, "Ivan", $H$13:$H971, 1)</f>
        <v>148.1767619</v>
      </c>
      <c r="I8" s="28">
        <f>SUMIFS($G$13:$G971, $E$13:$E971, "Rachel", $M$13:$M971, 1)-SUMIFS($G$13:$G971, $E$13:$E971, "Ivan", $I$13:$I971, 1)</f>
        <v>-24.28971429</v>
      </c>
      <c r="J8" s="25">
        <f>SUMIFS($G$13:$G971, $E$13:$E971, "BL", $M$13:$M971, 1)-SUMIFS($G$13:$G971, $E$13:$E971, "Ivan", $J$13:$J971, 1)</f>
        <v>-177.9095714</v>
      </c>
      <c r="K8" s="25">
        <f>SUMIFS($G$13:$G971, $E$13:$E971, "Pigskin", $M$13:$M971, 1)-SUMIFS($G$13:$G971, $E$13:$E971, "Ivan", $K$13:$K971, 1)</f>
        <v>-110.9568048</v>
      </c>
      <c r="L8" s="25">
        <f>SUMIFS($G$13:$G971, $E$13:$E971, "Angel", $M$13:$M971, 1)-SUMIFS($G$13:$G971, $E$13:$E971, "Ivan", $L$13:$L971, 1)</f>
        <v>-21.42857143</v>
      </c>
      <c r="M8" s="20"/>
      <c r="N8" s="28">
        <f>SUMIFS($G$13:$G971, $E$13:$E971, "Esther", $M$13:$M971, 1)-SUMIFS($G$13:$G971, $E$13:$E971, "Ivan", $N$13:$N971, 1)</f>
        <v>-90.6992381</v>
      </c>
      <c r="O8" s="31">
        <f>SUMIFS($G$13:$G971, $E$13:$E971, "Ken9", $M$13:$M971, 1)-SUMIFS($G$13:$G971, $E$13:$E971, "Ivan", $O$13:$O971,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SUMIFS($G$13:$G971, $E$13:$E971, "Timothy", $N$13:$N971, 1)-SUMIFS($G$13:$G971, $E$13:$E971, "Esther", $H$13:$H971, 1)</f>
        <v>130.035</v>
      </c>
      <c r="I9" s="25">
        <f>SUMIFS($G$13:$G971, $E$13:$E971, "Rachel", $N$13:$N971, 1)-SUMIFS($G$13:$G971, $E$13:$E971, "Esther", $I$13:$I971, 1)</f>
        <v>63.34619048</v>
      </c>
      <c r="J9" s="25">
        <f>SUMIFS($G$13:$G971, $E$13:$E971, "BL", $N$13:$N971, 1)-SUMIFS($G$13:$G971, $E$13:$E971, "Esther", $J$13:$J971, 1)</f>
        <v>-3.195</v>
      </c>
      <c r="K9" s="25">
        <f>SUMIFS($G$13:$G971, $E$13:$E971, "Pigskin", $N$13:$N971, 1)-SUMIFS($G$13:$G971, $E$13:$E971, "Esther", $K$13:$K971, 1)</f>
        <v>40.83276667</v>
      </c>
      <c r="L9" s="25">
        <f>SUMIFS($G$13:$G971, $E$13:$E971, "Angel", $N$13:$N971, 1)-SUMIFS($G$13:$G971, $E$13:$E971, "Esther", $L$13:$L971, 1)</f>
        <v>0</v>
      </c>
      <c r="M9" s="25">
        <f>SUMIFS($G$13:$G971, $E$13:$E971, "Ivan", $N$13:$N971, 1)-SUMIFS($G$13:$G971, $E$13:$E971, "Esther", $M$13:$M971, 1)</f>
        <v>90.6992381</v>
      </c>
      <c r="N9" s="20"/>
      <c r="O9" s="31">
        <f>SUMIFS($G$13:$G971, $E$13:$E971, "Ken9", $N$13:$N971, 1)-SUMIFS($G$13:$G971, $E$13:$E971, "Esther", $O$13:$O971,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SUMIFS($G$13:$G971, $E$13:$E971, "Timothy", $O$13:$O971, 1)-SUMIFS($G$13:$G971, $E$13:$E971, "Ken9", $H$13:$H971, 1)</f>
        <v>0</v>
      </c>
      <c r="I10" s="40">
        <f>SUMIFS($G$13:$G971, $E$13:$E971, "Rachel", $O$13:$O971, 1)-SUMIFS($G$13:$G971, $E$13:$E971, "Ken9", $I$13:$I971, 1)</f>
        <v>0</v>
      </c>
      <c r="J10" s="40">
        <f>SUMIFS($G$13:$G971, $E$13:$E971, "BL", $O$13:$O971, 1)-SUMIFS($G$13:$G971, $E$13:$E971, "Ken9", $J$13:$J971, 1)</f>
        <v>0</v>
      </c>
      <c r="K10" s="40">
        <f>SUMIFS($G$13:$G971, $E$13:$E971, "Pigskin", $O$13:$O971, 1)-SUMIFS($G$13:$G971, $E$13:$E971, "Ken9", $K$13:$K971, 1)</f>
        <v>0</v>
      </c>
      <c r="L10" s="40">
        <f>SUMIFS($G$13:$G971, $E$13:$E971, "Angel", $O$13:$O971, 1)-SUMIFS($G$13:$G971, $E$13:$E971, "Ken9", $L$13:$L971, 1)</f>
        <v>0</v>
      </c>
      <c r="M10" s="40">
        <f>SUMIFS($G$13:$G971, $E$13:$E971, "Ivan", $O$13:$O971, 1)-SUMIFS($G$13:$G971, $E$13:$E971, "Ken9", $M$13:$M971, 1)</f>
        <v>0</v>
      </c>
      <c r="N10" s="40">
        <f>SUMIFS($G$13:$G971, $E$13:$E971, "Esther", $O$13:$O971, 1)-SUMIFS($G$13:$G971, $E$13:$E971, "Ken9", $N$13:$N971,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9">
        <v>45536.0</v>
      </c>
      <c r="B13" s="12" t="s">
        <v>46</v>
      </c>
      <c r="C13" s="12" t="s">
        <v>11</v>
      </c>
      <c r="D13" s="12">
        <v>42.0</v>
      </c>
      <c r="E13" s="12" t="s">
        <v>4</v>
      </c>
      <c r="F13" s="10">
        <f t="shared" ref="F13:F60" si="1">D13/sum(H13:Q13)</f>
        <v>8.4</v>
      </c>
      <c r="G13" s="10">
        <f t="shared" ref="G13:G60" si="2">D13/sum(H13:Q13)</f>
        <v>8.4</v>
      </c>
      <c r="H13" s="1">
        <v>1.0</v>
      </c>
      <c r="I13" s="1">
        <v>1.0</v>
      </c>
      <c r="J13" s="1">
        <v>1.0</v>
      </c>
      <c r="K13" s="1">
        <v>1.0</v>
      </c>
      <c r="N13" s="1">
        <v>1.0</v>
      </c>
      <c r="Z13" s="10"/>
      <c r="AA13" s="10"/>
    </row>
    <row r="14">
      <c r="A14" s="55">
        <v>45563.0</v>
      </c>
      <c r="B14" s="51" t="s">
        <v>219</v>
      </c>
      <c r="C14" s="51" t="s">
        <v>11</v>
      </c>
      <c r="D14" s="51">
        <v>30.51</v>
      </c>
      <c r="E14" s="51" t="s">
        <v>8</v>
      </c>
      <c r="F14" s="10">
        <f t="shared" si="1"/>
        <v>15.255</v>
      </c>
      <c r="G14" s="10">
        <f t="shared" si="2"/>
        <v>15.255</v>
      </c>
      <c r="H14" s="52">
        <v>1.0</v>
      </c>
      <c r="I14" s="52"/>
      <c r="J14" s="52"/>
      <c r="K14" s="52"/>
      <c r="L14" s="53"/>
      <c r="M14" s="54">
        <v>1.0</v>
      </c>
      <c r="N14" s="52"/>
      <c r="Z14" s="10"/>
      <c r="AA14" s="10"/>
    </row>
    <row r="15">
      <c r="A15" s="55">
        <v>45563.0</v>
      </c>
      <c r="B15" s="12" t="s">
        <v>45</v>
      </c>
      <c r="C15" s="12" t="s">
        <v>11</v>
      </c>
      <c r="D15" s="12">
        <v>95.77</v>
      </c>
      <c r="E15" s="12" t="s">
        <v>8</v>
      </c>
      <c r="F15" s="10">
        <f t="shared" si="1"/>
        <v>19.154</v>
      </c>
      <c r="G15" s="10">
        <f t="shared" si="2"/>
        <v>19.154</v>
      </c>
      <c r="H15" s="1">
        <v>1.0</v>
      </c>
      <c r="I15" s="1">
        <v>1.0</v>
      </c>
      <c r="J15" s="1"/>
      <c r="K15" s="1">
        <v>1.0</v>
      </c>
      <c r="M15" s="1">
        <v>1.0</v>
      </c>
      <c r="N15" s="1">
        <v>1.0</v>
      </c>
      <c r="Z15" s="10"/>
      <c r="AA15" s="10"/>
    </row>
    <row r="16">
      <c r="A16" s="55">
        <v>45564.0</v>
      </c>
      <c r="B16" s="12" t="s">
        <v>141</v>
      </c>
      <c r="C16" s="12" t="s">
        <v>11</v>
      </c>
      <c r="D16" s="12">
        <v>97.75</v>
      </c>
      <c r="E16" s="12" t="s">
        <v>2</v>
      </c>
      <c r="F16" s="10">
        <f t="shared" si="1"/>
        <v>19.55</v>
      </c>
      <c r="G16" s="10">
        <f t="shared" si="2"/>
        <v>19.55</v>
      </c>
      <c r="H16" s="1">
        <v>1.0</v>
      </c>
      <c r="I16" s="1">
        <v>1.0</v>
      </c>
      <c r="J16" s="1">
        <v>1.0</v>
      </c>
      <c r="K16" s="1">
        <v>1.0</v>
      </c>
      <c r="M16" s="1">
        <v>1.0</v>
      </c>
      <c r="Z16" s="10"/>
      <c r="AA16" s="10"/>
    </row>
    <row r="17">
      <c r="A17" s="61">
        <v>45566.0</v>
      </c>
      <c r="B17" s="12" t="s">
        <v>220</v>
      </c>
      <c r="C17" s="12" t="s">
        <v>29</v>
      </c>
      <c r="D17" s="12">
        <v>20.0</v>
      </c>
      <c r="E17" s="51" t="s">
        <v>14</v>
      </c>
      <c r="F17" s="10">
        <f t="shared" si="1"/>
        <v>3.333333333</v>
      </c>
      <c r="G17" s="10">
        <f t="shared" si="2"/>
        <v>3.333333333</v>
      </c>
      <c r="H17" s="1">
        <v>1.0</v>
      </c>
      <c r="I17" s="1">
        <v>1.0</v>
      </c>
      <c r="J17" s="1">
        <v>1.0</v>
      </c>
      <c r="K17" s="1">
        <v>1.0</v>
      </c>
      <c r="M17" s="1">
        <v>1.0</v>
      </c>
      <c r="N17" s="1">
        <v>1.0</v>
      </c>
      <c r="Z17" s="10"/>
      <c r="AA17" s="10"/>
    </row>
    <row r="18">
      <c r="A18" s="55">
        <v>45566.0</v>
      </c>
      <c r="B18" s="12" t="s">
        <v>98</v>
      </c>
      <c r="C18" s="12" t="s">
        <v>11</v>
      </c>
      <c r="D18" s="12">
        <v>103.68</v>
      </c>
      <c r="E18" s="12" t="s">
        <v>2</v>
      </c>
      <c r="F18" s="10">
        <f t="shared" si="1"/>
        <v>20.736</v>
      </c>
      <c r="G18" s="10">
        <f t="shared" si="2"/>
        <v>20.736</v>
      </c>
      <c r="H18" s="1">
        <v>1.0</v>
      </c>
      <c r="I18" s="1">
        <v>1.0</v>
      </c>
      <c r="J18" s="1">
        <v>1.0</v>
      </c>
      <c r="K18" s="1">
        <v>1.0</v>
      </c>
      <c r="M18" s="1">
        <v>1.0</v>
      </c>
      <c r="Z18" s="10"/>
      <c r="AA18" s="10"/>
    </row>
    <row r="19">
      <c r="A19" s="61">
        <v>45566.0</v>
      </c>
      <c r="B19" s="51" t="s">
        <v>221</v>
      </c>
      <c r="C19" s="51" t="s">
        <v>29</v>
      </c>
      <c r="D19" s="51">
        <f>51.45+27.47</f>
        <v>78.92</v>
      </c>
      <c r="E19" s="51" t="s">
        <v>14</v>
      </c>
      <c r="F19" s="10">
        <f t="shared" si="1"/>
        <v>13.15333333</v>
      </c>
      <c r="G19" s="10">
        <f t="shared" si="2"/>
        <v>13.15333333</v>
      </c>
      <c r="H19" s="52">
        <v>1.0</v>
      </c>
      <c r="I19" s="54">
        <v>1.0</v>
      </c>
      <c r="J19" s="54">
        <v>1.0</v>
      </c>
      <c r="K19" s="54">
        <v>1.0</v>
      </c>
      <c r="L19" s="53"/>
      <c r="M19" s="54">
        <v>1.0</v>
      </c>
      <c r="N19" s="54">
        <v>1.0</v>
      </c>
      <c r="Z19" s="10"/>
      <c r="AA19" s="10"/>
    </row>
    <row r="20">
      <c r="A20" s="55">
        <v>45566.0</v>
      </c>
      <c r="B20" s="12" t="s">
        <v>222</v>
      </c>
      <c r="C20" s="12" t="s">
        <v>23</v>
      </c>
      <c r="D20" s="12">
        <v>200.0</v>
      </c>
      <c r="E20" s="12" t="s">
        <v>4</v>
      </c>
      <c r="F20" s="10">
        <f t="shared" si="1"/>
        <v>33.33333333</v>
      </c>
      <c r="G20" s="10">
        <f t="shared" si="2"/>
        <v>33.33333333</v>
      </c>
      <c r="H20" s="1">
        <v>1.0</v>
      </c>
      <c r="I20" s="1">
        <v>1.0</v>
      </c>
      <c r="J20" s="1">
        <v>1.0</v>
      </c>
      <c r="K20" s="1">
        <v>1.0</v>
      </c>
      <c r="M20" s="1">
        <v>1.0</v>
      </c>
      <c r="N20" s="1">
        <v>1.0</v>
      </c>
      <c r="Z20" s="10"/>
      <c r="AA20" s="10"/>
    </row>
    <row r="21">
      <c r="A21" s="55">
        <v>45567.0</v>
      </c>
      <c r="B21" s="12" t="s">
        <v>223</v>
      </c>
      <c r="C21" s="12" t="s">
        <v>11</v>
      </c>
      <c r="D21" s="12">
        <v>104.06</v>
      </c>
      <c r="E21" s="12" t="s">
        <v>2</v>
      </c>
      <c r="F21" s="67">
        <f t="shared" si="1"/>
        <v>17.34333333</v>
      </c>
      <c r="G21" s="10">
        <f t="shared" si="2"/>
        <v>17.34333333</v>
      </c>
      <c r="H21" s="1">
        <v>1.0</v>
      </c>
      <c r="I21" s="1">
        <v>1.0</v>
      </c>
      <c r="J21" s="1">
        <v>1.0</v>
      </c>
      <c r="K21" s="1">
        <v>1.0</v>
      </c>
      <c r="M21" s="1">
        <v>1.0</v>
      </c>
      <c r="N21" s="1">
        <v>1.0</v>
      </c>
      <c r="Z21" s="10"/>
      <c r="AA21" s="10"/>
    </row>
    <row r="22">
      <c r="A22" s="61">
        <v>45567.0</v>
      </c>
      <c r="B22" s="51" t="s">
        <v>224</v>
      </c>
      <c r="C22" s="51" t="s">
        <v>11</v>
      </c>
      <c r="D22" s="51">
        <v>30.0</v>
      </c>
      <c r="E22" s="51" t="s">
        <v>4</v>
      </c>
      <c r="F22" s="10">
        <f t="shared" si="1"/>
        <v>7.5</v>
      </c>
      <c r="G22" s="10">
        <f t="shared" si="2"/>
        <v>7.5</v>
      </c>
      <c r="H22" s="52">
        <v>1.0</v>
      </c>
      <c r="I22" s="52">
        <v>1.0</v>
      </c>
      <c r="J22" s="52">
        <v>1.0</v>
      </c>
      <c r="K22" s="52">
        <v>1.0</v>
      </c>
      <c r="L22" s="54"/>
      <c r="M22" s="54"/>
      <c r="N22" s="52"/>
      <c r="Z22" s="10"/>
      <c r="AA22" s="10"/>
    </row>
    <row r="23">
      <c r="A23" s="55">
        <v>45567.0</v>
      </c>
      <c r="B23" s="12" t="s">
        <v>225</v>
      </c>
      <c r="C23" s="12" t="s">
        <v>23</v>
      </c>
      <c r="D23" s="12">
        <f>25*1.13</f>
        <v>28.25</v>
      </c>
      <c r="E23" s="12" t="s">
        <v>4</v>
      </c>
      <c r="F23" s="10">
        <f t="shared" si="1"/>
        <v>14.125</v>
      </c>
      <c r="G23" s="10">
        <f t="shared" si="2"/>
        <v>14.125</v>
      </c>
      <c r="H23" s="1">
        <v>1.0</v>
      </c>
      <c r="I23" s="1">
        <v>1.0</v>
      </c>
      <c r="Z23" s="10"/>
      <c r="AA23" s="10"/>
    </row>
    <row r="24">
      <c r="A24" s="59">
        <v>45568.0</v>
      </c>
      <c r="B24" s="12" t="s">
        <v>226</v>
      </c>
      <c r="C24" s="12" t="s">
        <v>11</v>
      </c>
      <c r="D24" s="12">
        <v>19.99</v>
      </c>
      <c r="E24" s="12" t="s">
        <v>14</v>
      </c>
      <c r="F24" s="10">
        <f t="shared" si="1"/>
        <v>3.331666667</v>
      </c>
      <c r="G24" s="10">
        <f t="shared" si="2"/>
        <v>3.331666667</v>
      </c>
      <c r="H24" s="1">
        <v>1.0</v>
      </c>
      <c r="I24" s="1">
        <v>1.0</v>
      </c>
      <c r="J24" s="1">
        <v>1.0</v>
      </c>
      <c r="K24" s="1">
        <v>1.0</v>
      </c>
      <c r="M24" s="1">
        <v>1.0</v>
      </c>
      <c r="N24" s="1">
        <v>1.0</v>
      </c>
      <c r="Z24" s="10"/>
      <c r="AA24" s="10"/>
    </row>
    <row r="25">
      <c r="A25" s="59">
        <v>45568.0</v>
      </c>
      <c r="B25" s="12" t="s">
        <v>227</v>
      </c>
      <c r="C25" s="12" t="s">
        <v>11</v>
      </c>
      <c r="D25" s="12">
        <f>12.99*2</f>
        <v>25.98</v>
      </c>
      <c r="E25" s="12" t="s">
        <v>14</v>
      </c>
      <c r="F25" s="10">
        <f t="shared" si="1"/>
        <v>4.33</v>
      </c>
      <c r="G25" s="10">
        <f t="shared" si="2"/>
        <v>4.33</v>
      </c>
      <c r="H25" s="1">
        <v>1.0</v>
      </c>
      <c r="I25" s="1">
        <v>1.0</v>
      </c>
      <c r="J25" s="1">
        <v>1.0</v>
      </c>
      <c r="K25" s="1">
        <v>1.0</v>
      </c>
      <c r="M25" s="1">
        <v>1.0</v>
      </c>
      <c r="N25" s="1">
        <v>1.0</v>
      </c>
      <c r="Z25" s="10"/>
      <c r="AA25" s="10"/>
    </row>
    <row r="26">
      <c r="A26" s="61">
        <v>45568.0</v>
      </c>
      <c r="B26" s="51" t="s">
        <v>228</v>
      </c>
      <c r="C26" s="51" t="s">
        <v>11</v>
      </c>
      <c r="D26" s="51">
        <v>7.99</v>
      </c>
      <c r="E26" s="12" t="s">
        <v>14</v>
      </c>
      <c r="F26" s="10">
        <f t="shared" si="1"/>
        <v>1.331666667</v>
      </c>
      <c r="G26" s="10">
        <f t="shared" si="2"/>
        <v>1.331666667</v>
      </c>
      <c r="H26" s="1">
        <v>1.0</v>
      </c>
      <c r="I26" s="1">
        <v>1.0</v>
      </c>
      <c r="J26" s="1">
        <v>1.0</v>
      </c>
      <c r="K26" s="1">
        <v>1.0</v>
      </c>
      <c r="M26" s="1">
        <v>1.0</v>
      </c>
      <c r="N26" s="1">
        <v>1.0</v>
      </c>
      <c r="Z26" s="10"/>
      <c r="AA26" s="10"/>
    </row>
    <row r="27">
      <c r="A27" s="61">
        <v>45568.0</v>
      </c>
      <c r="B27" s="51" t="s">
        <v>229</v>
      </c>
      <c r="C27" s="51" t="s">
        <v>11</v>
      </c>
      <c r="D27" s="115">
        <f>6.49*1.13</f>
        <v>7.3337</v>
      </c>
      <c r="E27" s="12" t="s">
        <v>14</v>
      </c>
      <c r="F27" s="10">
        <f t="shared" si="1"/>
        <v>1.222283333</v>
      </c>
      <c r="G27" s="10">
        <f t="shared" si="2"/>
        <v>1.222283333</v>
      </c>
      <c r="H27" s="1">
        <v>1.0</v>
      </c>
      <c r="I27" s="1">
        <v>1.0</v>
      </c>
      <c r="J27" s="1">
        <v>1.0</v>
      </c>
      <c r="K27" s="1">
        <v>1.0</v>
      </c>
      <c r="M27" s="1">
        <v>1.0</v>
      </c>
      <c r="N27" s="1">
        <v>1.0</v>
      </c>
      <c r="Z27" s="10"/>
      <c r="AA27" s="10"/>
    </row>
    <row r="28">
      <c r="A28" s="61">
        <v>45568.0</v>
      </c>
      <c r="B28" s="51" t="s">
        <v>230</v>
      </c>
      <c r="C28" s="51" t="s">
        <v>11</v>
      </c>
      <c r="D28" s="51">
        <f>(14.99-3.5)*1.13</f>
        <v>12.9837</v>
      </c>
      <c r="E28" s="12" t="s">
        <v>14</v>
      </c>
      <c r="F28" s="10">
        <f t="shared" si="1"/>
        <v>2.16395</v>
      </c>
      <c r="G28" s="10">
        <f t="shared" si="2"/>
        <v>2.16395</v>
      </c>
      <c r="H28" s="1">
        <v>1.0</v>
      </c>
      <c r="I28" s="1">
        <v>1.0</v>
      </c>
      <c r="J28" s="1">
        <v>1.0</v>
      </c>
      <c r="K28" s="1">
        <v>1.0</v>
      </c>
      <c r="M28" s="1">
        <v>1.0</v>
      </c>
      <c r="N28" s="1">
        <v>1.0</v>
      </c>
      <c r="Z28" s="10"/>
      <c r="AA28" s="10"/>
    </row>
    <row r="29">
      <c r="A29" s="61">
        <v>45568.0</v>
      </c>
      <c r="B29" s="51" t="s">
        <v>231</v>
      </c>
      <c r="C29" s="51" t="s">
        <v>23</v>
      </c>
      <c r="D29" s="51">
        <f>(26.49-5.5)*1.13</f>
        <v>23.7187</v>
      </c>
      <c r="E29" s="12" t="s">
        <v>14</v>
      </c>
      <c r="F29" s="10">
        <f t="shared" si="1"/>
        <v>3.953116667</v>
      </c>
      <c r="G29" s="10">
        <f t="shared" si="2"/>
        <v>3.953116667</v>
      </c>
      <c r="H29" s="1">
        <v>1.0</v>
      </c>
      <c r="I29" s="1">
        <v>1.0</v>
      </c>
      <c r="J29" s="1">
        <v>1.0</v>
      </c>
      <c r="K29" s="1">
        <v>1.0</v>
      </c>
      <c r="M29" s="1">
        <v>1.0</v>
      </c>
      <c r="N29" s="1">
        <v>1.0</v>
      </c>
      <c r="Z29" s="10"/>
      <c r="AA29" s="10"/>
    </row>
    <row r="30">
      <c r="A30" s="61">
        <v>45568.0</v>
      </c>
      <c r="B30" s="12" t="s">
        <v>232</v>
      </c>
      <c r="C30" s="51" t="s">
        <v>23</v>
      </c>
      <c r="D30" s="12">
        <f>14.99*1.13</f>
        <v>16.9387</v>
      </c>
      <c r="E30" s="12" t="s">
        <v>14</v>
      </c>
      <c r="F30" s="67">
        <f t="shared" si="1"/>
        <v>2.823116667</v>
      </c>
      <c r="G30" s="10">
        <f t="shared" si="2"/>
        <v>2.823116667</v>
      </c>
      <c r="H30" s="1">
        <v>1.0</v>
      </c>
      <c r="I30" s="1">
        <v>1.0</v>
      </c>
      <c r="J30" s="1">
        <v>1.0</v>
      </c>
      <c r="K30" s="1">
        <v>1.0</v>
      </c>
      <c r="M30" s="1">
        <v>1.0</v>
      </c>
      <c r="N30" s="1">
        <v>1.0</v>
      </c>
      <c r="Z30" s="57"/>
      <c r="AA30" s="57"/>
    </row>
    <row r="31">
      <c r="A31" s="61">
        <v>45568.0</v>
      </c>
      <c r="B31" s="12" t="s">
        <v>233</v>
      </c>
      <c r="C31" s="12" t="s">
        <v>11</v>
      </c>
      <c r="D31" s="12">
        <v>71.47</v>
      </c>
      <c r="E31" s="12" t="s">
        <v>13</v>
      </c>
      <c r="F31" s="10">
        <f t="shared" si="1"/>
        <v>14.294</v>
      </c>
      <c r="G31" s="10">
        <f t="shared" si="2"/>
        <v>14.294</v>
      </c>
      <c r="H31" s="1">
        <v>1.0</v>
      </c>
      <c r="I31" s="1">
        <v>1.0</v>
      </c>
      <c r="J31" s="1">
        <v>1.0</v>
      </c>
      <c r="K31" s="1">
        <v>1.0</v>
      </c>
      <c r="M31" s="1">
        <v>1.0</v>
      </c>
      <c r="Z31" s="10"/>
      <c r="AA31" s="10"/>
    </row>
    <row r="32">
      <c r="A32" s="55">
        <v>45568.0</v>
      </c>
      <c r="B32" s="12" t="s">
        <v>219</v>
      </c>
      <c r="C32" s="12" t="s">
        <v>11</v>
      </c>
      <c r="D32" s="12">
        <v>24.86</v>
      </c>
      <c r="E32" s="12" t="s">
        <v>2</v>
      </c>
      <c r="F32" s="10">
        <f t="shared" si="1"/>
        <v>12.43</v>
      </c>
      <c r="G32" s="10">
        <f t="shared" si="2"/>
        <v>12.43</v>
      </c>
      <c r="H32" s="1">
        <v>1.0</v>
      </c>
      <c r="M32" s="1">
        <v>1.0</v>
      </c>
      <c r="Z32" s="10"/>
      <c r="AA32" s="10"/>
    </row>
    <row r="33">
      <c r="A33" s="61">
        <v>45569.0</v>
      </c>
      <c r="B33" s="51" t="s">
        <v>234</v>
      </c>
      <c r="C33" s="51" t="s">
        <v>11</v>
      </c>
      <c r="D33" s="51">
        <v>67.74</v>
      </c>
      <c r="E33" s="51" t="s">
        <v>8</v>
      </c>
      <c r="F33" s="10">
        <f t="shared" si="1"/>
        <v>11.29</v>
      </c>
      <c r="G33" s="10">
        <f t="shared" si="2"/>
        <v>11.29</v>
      </c>
      <c r="H33" s="52">
        <v>1.0</v>
      </c>
      <c r="I33" s="52">
        <v>1.0</v>
      </c>
      <c r="J33" s="52">
        <v>1.0</v>
      </c>
      <c r="K33" s="52">
        <v>1.0</v>
      </c>
      <c r="L33" s="54"/>
      <c r="M33" s="54">
        <v>1.0</v>
      </c>
      <c r="N33" s="52">
        <v>1.0</v>
      </c>
      <c r="Z33" s="10"/>
      <c r="AA33" s="10"/>
    </row>
    <row r="34">
      <c r="A34" s="61">
        <v>45569.0</v>
      </c>
      <c r="B34" s="51" t="s">
        <v>163</v>
      </c>
      <c r="C34" s="51" t="s">
        <v>11</v>
      </c>
      <c r="D34" s="63">
        <v>25.0</v>
      </c>
      <c r="E34" s="51" t="s">
        <v>2</v>
      </c>
      <c r="F34" s="10">
        <f t="shared" si="1"/>
        <v>12.5</v>
      </c>
      <c r="G34" s="10">
        <f t="shared" si="2"/>
        <v>12.5</v>
      </c>
      <c r="H34" s="52">
        <v>1.0</v>
      </c>
      <c r="I34" s="52"/>
      <c r="J34" s="52"/>
      <c r="K34" s="52"/>
      <c r="L34" s="53"/>
      <c r="M34" s="54">
        <v>1.0</v>
      </c>
      <c r="N34" s="52"/>
      <c r="Z34" s="10"/>
      <c r="AA34" s="10"/>
    </row>
    <row r="35">
      <c r="A35" s="59">
        <v>45569.0</v>
      </c>
      <c r="B35" s="12" t="s">
        <v>235</v>
      </c>
      <c r="C35" s="12" t="s">
        <v>11</v>
      </c>
      <c r="D35" s="12">
        <f>25+8</f>
        <v>33</v>
      </c>
      <c r="E35" s="12" t="s">
        <v>2</v>
      </c>
      <c r="F35" s="10">
        <f t="shared" si="1"/>
        <v>5.5</v>
      </c>
      <c r="G35" s="10">
        <f t="shared" si="2"/>
        <v>5.5</v>
      </c>
      <c r="H35" s="1">
        <v>1.0</v>
      </c>
      <c r="I35" s="1">
        <v>1.0</v>
      </c>
      <c r="J35" s="1">
        <v>1.0</v>
      </c>
      <c r="K35" s="1">
        <v>1.0</v>
      </c>
      <c r="M35" s="1">
        <v>1.0</v>
      </c>
      <c r="N35" s="1">
        <v>1.0</v>
      </c>
      <c r="Z35" s="10"/>
      <c r="AA35" s="10"/>
    </row>
    <row r="36">
      <c r="A36" s="61">
        <v>45570.0</v>
      </c>
      <c r="B36" s="51" t="s">
        <v>236</v>
      </c>
      <c r="C36" s="51" t="s">
        <v>11</v>
      </c>
      <c r="D36" s="51">
        <v>90.35</v>
      </c>
      <c r="E36" s="51" t="s">
        <v>14</v>
      </c>
      <c r="F36" s="67">
        <f t="shared" si="1"/>
        <v>22.5875</v>
      </c>
      <c r="G36" s="10">
        <f t="shared" si="2"/>
        <v>22.5875</v>
      </c>
      <c r="H36" s="52"/>
      <c r="I36" s="52">
        <v>1.0</v>
      </c>
      <c r="J36" s="52">
        <v>1.0</v>
      </c>
      <c r="K36" s="52">
        <v>1.0</v>
      </c>
      <c r="L36" s="54"/>
      <c r="M36" s="54">
        <v>1.0</v>
      </c>
      <c r="N36" s="52"/>
      <c r="Z36" s="10"/>
      <c r="AA36" s="10"/>
    </row>
    <row r="37">
      <c r="A37" s="61">
        <v>45571.0</v>
      </c>
      <c r="B37" s="51" t="s">
        <v>149</v>
      </c>
      <c r="C37" s="51" t="s">
        <v>11</v>
      </c>
      <c r="D37" s="51">
        <v>11.07</v>
      </c>
      <c r="E37" s="51" t="s">
        <v>4</v>
      </c>
      <c r="F37" s="67">
        <f t="shared" si="1"/>
        <v>1.845</v>
      </c>
      <c r="G37" s="10">
        <f t="shared" si="2"/>
        <v>1.845</v>
      </c>
      <c r="H37" s="52">
        <v>1.0</v>
      </c>
      <c r="I37" s="52">
        <v>1.0</v>
      </c>
      <c r="J37" s="52">
        <v>1.0</v>
      </c>
      <c r="K37" s="52">
        <v>1.0</v>
      </c>
      <c r="L37" s="54">
        <v>1.0</v>
      </c>
      <c r="M37" s="54">
        <v>1.0</v>
      </c>
      <c r="N37" s="52"/>
      <c r="Z37" s="10"/>
      <c r="AA37" s="10"/>
    </row>
    <row r="38">
      <c r="A38" s="61">
        <v>45571.0</v>
      </c>
      <c r="B38" s="51" t="s">
        <v>237</v>
      </c>
      <c r="C38" s="51" t="s">
        <v>11</v>
      </c>
      <c r="D38" s="51">
        <v>150.0</v>
      </c>
      <c r="E38" s="51" t="s">
        <v>8</v>
      </c>
      <c r="F38" s="67">
        <f t="shared" si="1"/>
        <v>21.42857143</v>
      </c>
      <c r="G38" s="10">
        <f t="shared" si="2"/>
        <v>21.42857143</v>
      </c>
      <c r="H38" s="52">
        <v>1.0</v>
      </c>
      <c r="I38" s="52">
        <v>1.0</v>
      </c>
      <c r="J38" s="52">
        <v>1.0</v>
      </c>
      <c r="K38" s="52">
        <v>1.0</v>
      </c>
      <c r="L38" s="54">
        <v>1.0</v>
      </c>
      <c r="M38" s="54">
        <v>1.0</v>
      </c>
      <c r="N38" s="52">
        <v>1.0</v>
      </c>
      <c r="Z38" s="10"/>
      <c r="AA38" s="10"/>
    </row>
    <row r="39">
      <c r="A39" s="61">
        <v>45572.0</v>
      </c>
      <c r="B39" s="51" t="s">
        <v>46</v>
      </c>
      <c r="C39" s="51" t="s">
        <v>11</v>
      </c>
      <c r="D39" s="51">
        <v>23.87</v>
      </c>
      <c r="E39" s="51" t="s">
        <v>4</v>
      </c>
      <c r="F39" s="67">
        <f t="shared" si="1"/>
        <v>3.978333333</v>
      </c>
      <c r="G39" s="10">
        <f t="shared" si="2"/>
        <v>3.978333333</v>
      </c>
      <c r="H39" s="52">
        <v>1.0</v>
      </c>
      <c r="I39" s="52">
        <v>1.0</v>
      </c>
      <c r="J39" s="52">
        <v>1.0</v>
      </c>
      <c r="K39" s="52">
        <v>1.0</v>
      </c>
      <c r="L39" s="54">
        <v>1.0</v>
      </c>
      <c r="M39" s="54">
        <v>1.0</v>
      </c>
      <c r="N39" s="52"/>
      <c r="Z39" s="10"/>
      <c r="AA39" s="10"/>
    </row>
    <row r="40">
      <c r="A40" s="61">
        <v>45573.0</v>
      </c>
      <c r="B40" s="51" t="s">
        <v>238</v>
      </c>
      <c r="C40" s="51" t="s">
        <v>23</v>
      </c>
      <c r="D40" s="51">
        <v>25.97</v>
      </c>
      <c r="E40" s="51" t="s">
        <v>2</v>
      </c>
      <c r="F40" s="10">
        <f t="shared" si="1"/>
        <v>4.328333333</v>
      </c>
      <c r="G40" s="10">
        <f t="shared" si="2"/>
        <v>4.328333333</v>
      </c>
      <c r="H40" s="52">
        <v>1.0</v>
      </c>
      <c r="I40" s="54">
        <v>1.0</v>
      </c>
      <c r="J40" s="54">
        <v>1.0</v>
      </c>
      <c r="K40" s="54">
        <v>1.0</v>
      </c>
      <c r="L40" s="53"/>
      <c r="M40" s="54">
        <v>1.0</v>
      </c>
      <c r="N40" s="54">
        <v>1.0</v>
      </c>
      <c r="Z40" s="10"/>
      <c r="AA40" s="10"/>
    </row>
    <row r="41">
      <c r="A41" s="55">
        <v>45573.0</v>
      </c>
      <c r="B41" s="12" t="s">
        <v>52</v>
      </c>
      <c r="C41" s="12" t="s">
        <v>11</v>
      </c>
      <c r="D41" s="12">
        <v>23.17</v>
      </c>
      <c r="E41" s="12" t="s">
        <v>2</v>
      </c>
      <c r="F41" s="10">
        <f t="shared" si="1"/>
        <v>5.7925</v>
      </c>
      <c r="G41" s="10">
        <f t="shared" si="2"/>
        <v>5.7925</v>
      </c>
      <c r="H41" s="1">
        <v>1.0</v>
      </c>
      <c r="I41" s="1">
        <v>1.0</v>
      </c>
      <c r="J41" s="1">
        <v>1.0</v>
      </c>
      <c r="K41" s="1">
        <v>1.0</v>
      </c>
      <c r="Z41" s="10"/>
      <c r="AA41" s="10"/>
    </row>
    <row r="42">
      <c r="A42" s="55">
        <v>45574.0</v>
      </c>
      <c r="B42" s="12" t="s">
        <v>46</v>
      </c>
      <c r="C42" s="12" t="s">
        <v>11</v>
      </c>
      <c r="D42" s="12">
        <v>47.1</v>
      </c>
      <c r="E42" s="12" t="s">
        <v>2</v>
      </c>
      <c r="F42" s="10">
        <f t="shared" si="1"/>
        <v>7.85</v>
      </c>
      <c r="G42" s="10">
        <f t="shared" si="2"/>
        <v>7.85</v>
      </c>
      <c r="H42" s="1">
        <v>1.0</v>
      </c>
      <c r="I42" s="1">
        <v>1.0</v>
      </c>
      <c r="J42" s="1">
        <v>1.0</v>
      </c>
      <c r="K42" s="1">
        <v>1.0</v>
      </c>
      <c r="M42" s="1">
        <v>1.0</v>
      </c>
      <c r="N42" s="1">
        <v>1.0</v>
      </c>
      <c r="Z42" s="10"/>
      <c r="AA42" s="10"/>
    </row>
    <row r="43">
      <c r="A43" s="61">
        <v>45574.0</v>
      </c>
      <c r="B43" s="51" t="s">
        <v>46</v>
      </c>
      <c r="C43" s="51" t="s">
        <v>11</v>
      </c>
      <c r="D43" s="63">
        <v>47.1</v>
      </c>
      <c r="E43" s="51" t="s">
        <v>2</v>
      </c>
      <c r="F43" s="10">
        <f t="shared" si="1"/>
        <v>9.42</v>
      </c>
      <c r="G43" s="10">
        <f t="shared" si="2"/>
        <v>9.42</v>
      </c>
      <c r="H43" s="52">
        <v>1.0</v>
      </c>
      <c r="I43" s="52">
        <v>1.0</v>
      </c>
      <c r="J43" s="52">
        <v>1.0</v>
      </c>
      <c r="K43" s="52">
        <v>1.0</v>
      </c>
      <c r="L43" s="53"/>
      <c r="M43" s="54">
        <v>1.0</v>
      </c>
      <c r="N43" s="52"/>
      <c r="Z43" s="10"/>
      <c r="AA43" s="10"/>
    </row>
    <row r="44">
      <c r="A44" s="61">
        <v>45575.0</v>
      </c>
      <c r="B44" s="51" t="s">
        <v>47</v>
      </c>
      <c r="C44" s="51" t="s">
        <v>11</v>
      </c>
      <c r="D44" s="51">
        <v>55.46</v>
      </c>
      <c r="E44" s="51" t="s">
        <v>2</v>
      </c>
      <c r="F44" s="65">
        <f t="shared" si="1"/>
        <v>9.243333333</v>
      </c>
      <c r="G44" s="65">
        <f t="shared" si="2"/>
        <v>9.243333333</v>
      </c>
      <c r="H44" s="54">
        <v>1.0</v>
      </c>
      <c r="I44" s="54">
        <v>1.0</v>
      </c>
      <c r="J44" s="54">
        <v>1.0</v>
      </c>
      <c r="K44" s="54">
        <v>1.0</v>
      </c>
      <c r="L44" s="54"/>
      <c r="M44" s="54">
        <v>1.0</v>
      </c>
      <c r="N44" s="54">
        <v>1.0</v>
      </c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</row>
    <row r="45">
      <c r="A45" s="61">
        <v>45575.0</v>
      </c>
      <c r="B45" s="51" t="s">
        <v>239</v>
      </c>
      <c r="C45" s="12" t="s">
        <v>11</v>
      </c>
      <c r="D45" s="12">
        <v>47.34</v>
      </c>
      <c r="E45" s="51" t="s">
        <v>2</v>
      </c>
      <c r="F45" s="10">
        <f t="shared" si="1"/>
        <v>15.78</v>
      </c>
      <c r="G45" s="10">
        <f t="shared" si="2"/>
        <v>15.78</v>
      </c>
      <c r="H45" s="1">
        <v>1.0</v>
      </c>
      <c r="J45" s="1">
        <v>1.0</v>
      </c>
      <c r="M45" s="1">
        <v>1.0</v>
      </c>
      <c r="Z45" s="10"/>
      <c r="AA45" s="10"/>
    </row>
    <row r="46">
      <c r="A46" s="55">
        <v>45575.0</v>
      </c>
      <c r="B46" s="12" t="s">
        <v>51</v>
      </c>
      <c r="C46" s="12" t="s">
        <v>11</v>
      </c>
      <c r="D46" s="12">
        <v>55.46</v>
      </c>
      <c r="E46" s="12" t="s">
        <v>2</v>
      </c>
      <c r="F46" s="10">
        <f t="shared" si="1"/>
        <v>9.243333333</v>
      </c>
      <c r="G46" s="10">
        <f t="shared" si="2"/>
        <v>9.243333333</v>
      </c>
      <c r="H46" s="1">
        <v>1.0</v>
      </c>
      <c r="I46" s="1">
        <v>1.0</v>
      </c>
      <c r="J46" s="1">
        <v>1.0</v>
      </c>
      <c r="K46" s="1">
        <v>1.0</v>
      </c>
      <c r="M46" s="1">
        <v>1.0</v>
      </c>
      <c r="N46" s="1">
        <v>1.0</v>
      </c>
      <c r="Z46" s="10"/>
      <c r="AA46" s="10"/>
    </row>
    <row r="47">
      <c r="A47" s="59">
        <v>45576.0</v>
      </c>
      <c r="B47" s="12" t="s">
        <v>240</v>
      </c>
      <c r="C47" s="12" t="s">
        <v>11</v>
      </c>
      <c r="D47" s="12">
        <v>73.95</v>
      </c>
      <c r="E47" s="12" t="s">
        <v>2</v>
      </c>
      <c r="F47" s="10">
        <f t="shared" si="1"/>
        <v>14.79</v>
      </c>
      <c r="G47" s="10">
        <f t="shared" si="2"/>
        <v>14.79</v>
      </c>
      <c r="H47" s="1">
        <v>1.0</v>
      </c>
      <c r="I47" s="1">
        <v>1.0</v>
      </c>
      <c r="J47" s="1">
        <v>1.0</v>
      </c>
      <c r="K47" s="1">
        <v>1.0</v>
      </c>
      <c r="M47" s="1">
        <v>1.0</v>
      </c>
      <c r="S47" s="6">
        <f>SUM(D43:D45)</f>
        <v>149.9</v>
      </c>
      <c r="Z47" s="10"/>
      <c r="AA47" s="10"/>
    </row>
    <row r="48">
      <c r="A48" s="59">
        <v>45577.0</v>
      </c>
      <c r="B48" s="12" t="s">
        <v>241</v>
      </c>
      <c r="C48" s="12" t="s">
        <v>11</v>
      </c>
      <c r="D48" s="12">
        <v>28.29</v>
      </c>
      <c r="E48" s="12" t="s">
        <v>4</v>
      </c>
      <c r="F48" s="10">
        <f t="shared" si="1"/>
        <v>4.715</v>
      </c>
      <c r="G48" s="10">
        <f t="shared" si="2"/>
        <v>4.715</v>
      </c>
      <c r="H48" s="1">
        <v>1.0</v>
      </c>
      <c r="I48" s="1">
        <v>1.0</v>
      </c>
      <c r="J48" s="1">
        <v>1.0</v>
      </c>
      <c r="K48" s="1">
        <v>1.0</v>
      </c>
      <c r="M48" s="1">
        <v>1.0</v>
      </c>
      <c r="N48" s="1">
        <v>1.0</v>
      </c>
      <c r="Z48" s="10"/>
      <c r="AA48" s="10"/>
    </row>
    <row r="49">
      <c r="A49" s="55">
        <v>45578.0</v>
      </c>
      <c r="B49" s="12" t="s">
        <v>242</v>
      </c>
      <c r="C49" s="12" t="s">
        <v>11</v>
      </c>
      <c r="D49" s="12">
        <f>12.99*1.13</f>
        <v>14.6787</v>
      </c>
      <c r="E49" s="12" t="s">
        <v>14</v>
      </c>
      <c r="F49" s="10">
        <f t="shared" si="1"/>
        <v>2.44645</v>
      </c>
      <c r="G49" s="10">
        <f t="shared" si="2"/>
        <v>2.44645</v>
      </c>
      <c r="H49" s="1">
        <v>1.0</v>
      </c>
      <c r="I49" s="1">
        <v>1.0</v>
      </c>
      <c r="J49" s="1">
        <v>1.0</v>
      </c>
      <c r="K49" s="1">
        <v>1.0</v>
      </c>
      <c r="M49" s="1">
        <v>1.0</v>
      </c>
      <c r="N49" s="1">
        <v>1.0</v>
      </c>
      <c r="Z49" s="10"/>
      <c r="AA49" s="10"/>
    </row>
    <row r="50">
      <c r="A50" s="55">
        <v>45578.0</v>
      </c>
      <c r="B50" s="12" t="s">
        <v>214</v>
      </c>
      <c r="C50" s="12" t="s">
        <v>11</v>
      </c>
      <c r="D50" s="12">
        <f>(17.99-4)*1.13</f>
        <v>15.8087</v>
      </c>
      <c r="E50" s="12" t="s">
        <v>14</v>
      </c>
      <c r="F50" s="10">
        <f t="shared" si="1"/>
        <v>2.634783333</v>
      </c>
      <c r="G50" s="10">
        <f t="shared" si="2"/>
        <v>2.634783333</v>
      </c>
      <c r="H50" s="1">
        <v>1.0</v>
      </c>
      <c r="I50" s="1">
        <v>1.0</v>
      </c>
      <c r="J50" s="1">
        <v>1.0</v>
      </c>
      <c r="K50" s="1">
        <v>1.0</v>
      </c>
      <c r="M50" s="1">
        <v>1.0</v>
      </c>
      <c r="N50" s="1">
        <v>1.0</v>
      </c>
      <c r="Z50" s="10"/>
      <c r="AA50" s="10"/>
    </row>
    <row r="51">
      <c r="A51" s="59">
        <v>45578.0</v>
      </c>
      <c r="B51" s="12" t="s">
        <v>243</v>
      </c>
      <c r="C51" s="12" t="s">
        <v>11</v>
      </c>
      <c r="D51" s="12">
        <f>7.49*1.13</f>
        <v>8.4637</v>
      </c>
      <c r="E51" s="12" t="s">
        <v>14</v>
      </c>
      <c r="F51" s="10">
        <f t="shared" si="1"/>
        <v>1.410616667</v>
      </c>
      <c r="G51" s="10">
        <f t="shared" si="2"/>
        <v>1.410616667</v>
      </c>
      <c r="H51" s="1">
        <v>1.0</v>
      </c>
      <c r="I51" s="1">
        <v>1.0</v>
      </c>
      <c r="J51" s="1">
        <v>1.0</v>
      </c>
      <c r="K51" s="1">
        <v>1.0</v>
      </c>
      <c r="M51" s="1">
        <v>1.0</v>
      </c>
      <c r="N51" s="1">
        <v>1.0</v>
      </c>
      <c r="Z51" s="10"/>
      <c r="AA51" s="10"/>
    </row>
    <row r="52">
      <c r="A52" s="59">
        <v>45578.0</v>
      </c>
      <c r="B52" s="51" t="s">
        <v>244</v>
      </c>
      <c r="C52" s="51" t="s">
        <v>11</v>
      </c>
      <c r="D52" s="51">
        <f>(15.49-3.1)*1.13</f>
        <v>14.0007</v>
      </c>
      <c r="E52" s="12" t="s">
        <v>14</v>
      </c>
      <c r="F52" s="10">
        <f t="shared" si="1"/>
        <v>2.33345</v>
      </c>
      <c r="G52" s="10">
        <f t="shared" si="2"/>
        <v>2.33345</v>
      </c>
      <c r="H52" s="52">
        <v>1.0</v>
      </c>
      <c r="I52" s="52">
        <v>1.0</v>
      </c>
      <c r="J52" s="52">
        <v>1.0</v>
      </c>
      <c r="K52" s="52">
        <v>1.0</v>
      </c>
      <c r="L52" s="54"/>
      <c r="M52" s="52">
        <v>1.0</v>
      </c>
      <c r="N52" s="52">
        <v>1.0</v>
      </c>
      <c r="Z52" s="10"/>
      <c r="AA52" s="10"/>
    </row>
    <row r="53">
      <c r="A53" s="61">
        <v>45578.0</v>
      </c>
      <c r="B53" s="51" t="s">
        <v>245</v>
      </c>
      <c r="C53" s="51" t="s">
        <v>11</v>
      </c>
      <c r="D53" s="51">
        <f>2.59+2.59</f>
        <v>5.18</v>
      </c>
      <c r="E53" s="51" t="s">
        <v>4</v>
      </c>
      <c r="F53" s="10">
        <f t="shared" si="1"/>
        <v>0.8633333333</v>
      </c>
      <c r="G53" s="10">
        <f t="shared" si="2"/>
        <v>0.8633333333</v>
      </c>
      <c r="H53" s="52">
        <v>1.0</v>
      </c>
      <c r="I53" s="52">
        <v>1.0</v>
      </c>
      <c r="J53" s="52">
        <v>1.0</v>
      </c>
      <c r="K53" s="52">
        <v>1.0</v>
      </c>
      <c r="L53" s="54"/>
      <c r="M53" s="54">
        <v>1.0</v>
      </c>
      <c r="N53" s="52">
        <v>1.0</v>
      </c>
      <c r="Z53" s="10"/>
      <c r="AA53" s="10"/>
    </row>
    <row r="54">
      <c r="A54" s="61">
        <v>45580.0</v>
      </c>
      <c r="B54" s="51" t="s">
        <v>212</v>
      </c>
      <c r="C54" s="51" t="s">
        <v>11</v>
      </c>
      <c r="D54" s="51">
        <v>31.65</v>
      </c>
      <c r="E54" s="51" t="s">
        <v>7</v>
      </c>
      <c r="F54" s="10">
        <f t="shared" si="1"/>
        <v>5.275</v>
      </c>
      <c r="G54" s="10">
        <f t="shared" si="2"/>
        <v>5.275</v>
      </c>
      <c r="H54" s="52">
        <v>1.0</v>
      </c>
      <c r="I54" s="52">
        <v>1.0</v>
      </c>
      <c r="J54" s="52">
        <v>1.0</v>
      </c>
      <c r="K54" s="52">
        <v>1.0</v>
      </c>
      <c r="L54" s="54"/>
      <c r="M54" s="54">
        <v>1.0</v>
      </c>
      <c r="N54" s="52">
        <v>1.0</v>
      </c>
      <c r="Z54" s="10"/>
      <c r="AA54" s="10"/>
    </row>
    <row r="55">
      <c r="A55" s="61">
        <v>45580.0</v>
      </c>
      <c r="B55" s="51" t="s">
        <v>141</v>
      </c>
      <c r="C55" s="12" t="s">
        <v>11</v>
      </c>
      <c r="D55" s="12">
        <v>131.12</v>
      </c>
      <c r="E55" s="12" t="s">
        <v>2</v>
      </c>
      <c r="F55" s="67">
        <f t="shared" si="1"/>
        <v>21.85333333</v>
      </c>
      <c r="G55" s="10">
        <f t="shared" si="2"/>
        <v>21.85333333</v>
      </c>
      <c r="H55" s="1">
        <v>1.0</v>
      </c>
      <c r="I55" s="1">
        <v>1.0</v>
      </c>
      <c r="J55" s="1">
        <v>1.0</v>
      </c>
      <c r="K55" s="1">
        <v>1.0</v>
      </c>
      <c r="M55" s="1">
        <v>1.0</v>
      </c>
      <c r="N55" s="1">
        <v>1.0</v>
      </c>
      <c r="Z55" s="10"/>
      <c r="AA55" s="10"/>
    </row>
    <row r="56">
      <c r="A56" s="55">
        <v>45580.0</v>
      </c>
      <c r="B56" s="12" t="s">
        <v>246</v>
      </c>
      <c r="C56" s="12" t="s">
        <v>23</v>
      </c>
      <c r="D56" s="12">
        <v>25.97</v>
      </c>
      <c r="E56" s="12" t="s">
        <v>2</v>
      </c>
      <c r="F56" s="10">
        <f t="shared" si="1"/>
        <v>4.328333333</v>
      </c>
      <c r="G56" s="10">
        <f t="shared" si="2"/>
        <v>4.328333333</v>
      </c>
      <c r="H56" s="1">
        <v>1.0</v>
      </c>
      <c r="I56" s="1">
        <v>1.0</v>
      </c>
      <c r="J56" s="1">
        <v>1.0</v>
      </c>
      <c r="K56" s="1">
        <v>1.0</v>
      </c>
      <c r="M56" s="1">
        <v>1.0</v>
      </c>
      <c r="N56" s="1">
        <v>1.0</v>
      </c>
      <c r="Z56" s="10"/>
      <c r="AA56" s="10"/>
    </row>
    <row r="57">
      <c r="A57" s="55">
        <v>45580.0</v>
      </c>
      <c r="B57" s="12" t="s">
        <v>46</v>
      </c>
      <c r="C57" s="12" t="s">
        <v>11</v>
      </c>
      <c r="D57" s="12">
        <v>45.92</v>
      </c>
      <c r="E57" s="12" t="s">
        <v>13</v>
      </c>
      <c r="F57" s="10">
        <f t="shared" si="1"/>
        <v>7.653333333</v>
      </c>
      <c r="G57" s="10">
        <f t="shared" si="2"/>
        <v>7.653333333</v>
      </c>
      <c r="H57" s="1">
        <v>1.0</v>
      </c>
      <c r="I57" s="1">
        <v>1.0</v>
      </c>
      <c r="J57" s="1">
        <v>1.0</v>
      </c>
      <c r="K57" s="1">
        <v>1.0</v>
      </c>
      <c r="M57" s="1">
        <v>1.0</v>
      </c>
      <c r="N57" s="1">
        <v>1.0</v>
      </c>
      <c r="Z57" s="10"/>
      <c r="AA57" s="10"/>
    </row>
    <row r="58">
      <c r="A58" s="55">
        <v>45581.0</v>
      </c>
      <c r="B58" s="12" t="s">
        <v>247</v>
      </c>
      <c r="C58" s="12" t="s">
        <v>23</v>
      </c>
      <c r="D58" s="12">
        <v>7.28</v>
      </c>
      <c r="E58" s="12" t="s">
        <v>2</v>
      </c>
      <c r="F58" s="10">
        <f t="shared" si="1"/>
        <v>1.213333333</v>
      </c>
      <c r="G58" s="10">
        <f t="shared" si="2"/>
        <v>1.213333333</v>
      </c>
      <c r="H58" s="1">
        <v>1.0</v>
      </c>
      <c r="I58" s="1">
        <v>1.0</v>
      </c>
      <c r="J58" s="1">
        <v>1.0</v>
      </c>
      <c r="K58" s="1">
        <v>1.0</v>
      </c>
      <c r="M58" s="1">
        <v>1.0</v>
      </c>
      <c r="N58" s="1">
        <v>1.0</v>
      </c>
      <c r="Z58" s="10"/>
      <c r="AA58" s="10"/>
    </row>
    <row r="59">
      <c r="A59" s="61">
        <v>45581.0</v>
      </c>
      <c r="B59" s="51" t="s">
        <v>248</v>
      </c>
      <c r="C59" s="51" t="s">
        <v>11</v>
      </c>
      <c r="D59" s="63">
        <v>13.29</v>
      </c>
      <c r="E59" s="51" t="s">
        <v>14</v>
      </c>
      <c r="F59" s="10">
        <f t="shared" si="1"/>
        <v>2.215</v>
      </c>
      <c r="G59" s="10">
        <f t="shared" si="2"/>
        <v>2.215</v>
      </c>
      <c r="H59" s="52">
        <v>1.0</v>
      </c>
      <c r="I59" s="52">
        <v>1.0</v>
      </c>
      <c r="J59" s="52">
        <v>1.0</v>
      </c>
      <c r="K59" s="52">
        <v>1.0</v>
      </c>
      <c r="L59" s="53"/>
      <c r="M59" s="54">
        <v>1.0</v>
      </c>
      <c r="N59" s="52">
        <v>1.0</v>
      </c>
      <c r="Z59" s="10"/>
      <c r="AA59" s="10"/>
    </row>
    <row r="60">
      <c r="A60" s="59">
        <v>45581.0</v>
      </c>
      <c r="B60" s="12" t="s">
        <v>182</v>
      </c>
      <c r="C60" s="12" t="s">
        <v>11</v>
      </c>
      <c r="D60" s="12">
        <v>250.0</v>
      </c>
      <c r="E60" s="12" t="s">
        <v>2</v>
      </c>
      <c r="F60" s="10">
        <f t="shared" si="1"/>
        <v>50</v>
      </c>
      <c r="G60" s="10">
        <f t="shared" si="2"/>
        <v>50</v>
      </c>
      <c r="H60" s="1">
        <v>1.0</v>
      </c>
      <c r="I60" s="1">
        <v>1.0</v>
      </c>
      <c r="J60" s="1">
        <v>1.0</v>
      </c>
      <c r="K60" s="1">
        <v>1.0</v>
      </c>
      <c r="M60" s="1">
        <v>1.0</v>
      </c>
      <c r="Z60" s="10"/>
      <c r="AA60" s="10"/>
    </row>
    <row r="61">
      <c r="A61" s="61">
        <v>45582.0</v>
      </c>
      <c r="B61" s="12" t="s">
        <v>192</v>
      </c>
      <c r="C61" s="12" t="s">
        <v>11</v>
      </c>
      <c r="D61" s="12">
        <v>13.09</v>
      </c>
      <c r="E61" s="12" t="s">
        <v>14</v>
      </c>
      <c r="F61" s="10">
        <f>D61/sum(H61:R61)</f>
        <v>2.618</v>
      </c>
      <c r="G61" s="10">
        <f>D61/sum(H61:R61)</f>
        <v>2.618</v>
      </c>
      <c r="H61" s="1">
        <v>1.0</v>
      </c>
      <c r="I61" s="1">
        <v>1.0</v>
      </c>
      <c r="J61" s="1">
        <v>1.0</v>
      </c>
      <c r="K61" s="1">
        <v>1.0</v>
      </c>
      <c r="M61" s="1">
        <v>1.0</v>
      </c>
      <c r="Z61" s="10"/>
      <c r="AA61" s="10"/>
    </row>
    <row r="62">
      <c r="A62" s="55">
        <v>45582.0</v>
      </c>
      <c r="B62" s="12" t="s">
        <v>46</v>
      </c>
      <c r="C62" s="12" t="s">
        <v>11</v>
      </c>
      <c r="D62" s="12">
        <v>58.4</v>
      </c>
      <c r="E62" s="12" t="s">
        <v>13</v>
      </c>
      <c r="F62" s="10">
        <f t="shared" ref="F62:F122" si="3">D62/sum(H62:Q62)</f>
        <v>11.68</v>
      </c>
      <c r="G62" s="10">
        <f t="shared" ref="G62:G122" si="4">D62/sum(H62:Q62)</f>
        <v>11.68</v>
      </c>
      <c r="H62" s="1">
        <v>1.0</v>
      </c>
      <c r="I62" s="1">
        <v>1.0</v>
      </c>
      <c r="J62" s="1">
        <v>1.0</v>
      </c>
      <c r="K62" s="1">
        <v>1.0</v>
      </c>
      <c r="M62" s="1">
        <v>1.0</v>
      </c>
      <c r="Z62" s="10"/>
      <c r="AA62" s="10"/>
    </row>
    <row r="63">
      <c r="A63" s="61">
        <v>45583.0</v>
      </c>
      <c r="B63" s="51" t="s">
        <v>46</v>
      </c>
      <c r="C63" s="51" t="s">
        <v>11</v>
      </c>
      <c r="D63" s="51">
        <v>42.7</v>
      </c>
      <c r="E63" s="51" t="s">
        <v>14</v>
      </c>
      <c r="F63" s="10">
        <f t="shared" si="3"/>
        <v>8.54</v>
      </c>
      <c r="G63" s="10">
        <f t="shared" si="4"/>
        <v>8.54</v>
      </c>
      <c r="H63" s="52">
        <v>1.0</v>
      </c>
      <c r="I63" s="52">
        <v>1.0</v>
      </c>
      <c r="J63" s="52">
        <v>1.0</v>
      </c>
      <c r="K63" s="52">
        <v>1.0</v>
      </c>
      <c r="L63" s="53"/>
      <c r="M63" s="54">
        <v>1.0</v>
      </c>
      <c r="N63" s="52"/>
      <c r="Z63" s="10"/>
      <c r="AA63" s="10"/>
    </row>
    <row r="64">
      <c r="A64" s="55">
        <v>45584.0</v>
      </c>
      <c r="B64" s="12" t="s">
        <v>98</v>
      </c>
      <c r="C64" s="12" t="s">
        <v>11</v>
      </c>
      <c r="D64" s="12">
        <v>149.05</v>
      </c>
      <c r="E64" s="12" t="s">
        <v>4</v>
      </c>
      <c r="F64" s="10">
        <f t="shared" si="3"/>
        <v>21.29285714</v>
      </c>
      <c r="G64" s="10">
        <f t="shared" si="4"/>
        <v>21.29285714</v>
      </c>
      <c r="H64" s="1">
        <v>1.0</v>
      </c>
      <c r="I64" s="1">
        <v>1.0</v>
      </c>
      <c r="J64" s="1">
        <v>1.0</v>
      </c>
      <c r="M64" s="1">
        <v>1.0</v>
      </c>
      <c r="N64" s="1">
        <v>1.0</v>
      </c>
      <c r="P64" s="1">
        <v>2.0</v>
      </c>
      <c r="Z64" s="10"/>
      <c r="AA64" s="10"/>
    </row>
    <row r="65">
      <c r="A65" s="55">
        <v>45586.0</v>
      </c>
      <c r="B65" s="12" t="s">
        <v>46</v>
      </c>
      <c r="C65" s="12" t="s">
        <v>11</v>
      </c>
      <c r="D65" s="12">
        <v>39.33</v>
      </c>
      <c r="E65" s="12" t="s">
        <v>4</v>
      </c>
      <c r="F65" s="10">
        <f t="shared" si="3"/>
        <v>7.866</v>
      </c>
      <c r="G65" s="10">
        <f t="shared" si="4"/>
        <v>7.866</v>
      </c>
      <c r="H65" s="1">
        <v>1.0</v>
      </c>
      <c r="I65" s="1">
        <v>1.0</v>
      </c>
      <c r="J65" s="1">
        <v>1.0</v>
      </c>
      <c r="K65" s="1">
        <v>1.0</v>
      </c>
      <c r="M65" s="1">
        <v>1.0</v>
      </c>
      <c r="Z65" s="10"/>
      <c r="AA65" s="10"/>
    </row>
    <row r="66">
      <c r="A66" s="59">
        <v>45587.0</v>
      </c>
      <c r="B66" s="12" t="s">
        <v>178</v>
      </c>
      <c r="C66" s="12" t="s">
        <v>19</v>
      </c>
      <c r="D66" s="12">
        <v>3.56</v>
      </c>
      <c r="E66" s="12" t="s">
        <v>7</v>
      </c>
      <c r="F66" s="10">
        <f t="shared" si="3"/>
        <v>3.56</v>
      </c>
      <c r="G66" s="10">
        <f t="shared" si="4"/>
        <v>3.56</v>
      </c>
      <c r="M66" s="1">
        <v>1.0</v>
      </c>
      <c r="Z66" s="10"/>
      <c r="AA66" s="10"/>
    </row>
    <row r="67">
      <c r="A67" s="61">
        <v>45587.0</v>
      </c>
      <c r="B67" s="51" t="s">
        <v>52</v>
      </c>
      <c r="C67" s="51" t="s">
        <v>11</v>
      </c>
      <c r="D67" s="51">
        <v>33.44</v>
      </c>
      <c r="E67" s="51" t="s">
        <v>7</v>
      </c>
      <c r="F67" s="10">
        <f t="shared" si="3"/>
        <v>5.573333333</v>
      </c>
      <c r="G67" s="10">
        <f t="shared" si="4"/>
        <v>5.573333333</v>
      </c>
      <c r="H67" s="52">
        <v>1.0</v>
      </c>
      <c r="I67" s="54">
        <v>1.0</v>
      </c>
      <c r="J67" s="52">
        <v>1.0</v>
      </c>
      <c r="K67" s="54">
        <v>1.0</v>
      </c>
      <c r="L67" s="54"/>
      <c r="M67" s="54">
        <v>1.0</v>
      </c>
      <c r="N67" s="54">
        <v>1.0</v>
      </c>
      <c r="Z67" s="10"/>
      <c r="AA67" s="10"/>
    </row>
    <row r="68">
      <c r="A68" s="55">
        <v>45588.0</v>
      </c>
      <c r="B68" s="12" t="s">
        <v>241</v>
      </c>
      <c r="C68" s="12" t="s">
        <v>11</v>
      </c>
      <c r="D68" s="12">
        <f>2.49+5.31</f>
        <v>7.8</v>
      </c>
      <c r="E68" s="12" t="s">
        <v>13</v>
      </c>
      <c r="F68" s="10">
        <f t="shared" si="3"/>
        <v>1.95</v>
      </c>
      <c r="G68" s="10">
        <f t="shared" si="4"/>
        <v>1.95</v>
      </c>
      <c r="H68" s="1">
        <v>1.0</v>
      </c>
      <c r="I68" s="1">
        <v>1.0</v>
      </c>
      <c r="J68" s="1">
        <v>1.0</v>
      </c>
      <c r="K68" s="1">
        <v>1.0</v>
      </c>
      <c r="Z68" s="10"/>
      <c r="AA68" s="10"/>
    </row>
    <row r="69">
      <c r="A69" s="61">
        <v>45589.0</v>
      </c>
      <c r="B69" s="51" t="s">
        <v>249</v>
      </c>
      <c r="C69" s="51" t="s">
        <v>11</v>
      </c>
      <c r="D69" s="63">
        <v>28.0</v>
      </c>
      <c r="E69" s="51" t="s">
        <v>8</v>
      </c>
      <c r="F69" s="10">
        <f t="shared" si="3"/>
        <v>14</v>
      </c>
      <c r="G69" s="10">
        <f t="shared" si="4"/>
        <v>14</v>
      </c>
      <c r="H69" s="52">
        <v>1.0</v>
      </c>
      <c r="I69" s="52"/>
      <c r="J69" s="52"/>
      <c r="K69" s="52"/>
      <c r="L69" s="53"/>
      <c r="M69" s="54">
        <v>1.0</v>
      </c>
      <c r="N69" s="52"/>
      <c r="Z69" s="10"/>
      <c r="AA69" s="10"/>
    </row>
    <row r="70">
      <c r="A70" s="59">
        <v>45589.0</v>
      </c>
      <c r="B70" s="12" t="s">
        <v>46</v>
      </c>
      <c r="C70" s="12" t="s">
        <v>11</v>
      </c>
      <c r="D70" s="12">
        <v>20.9</v>
      </c>
      <c r="E70" s="12" t="s">
        <v>2</v>
      </c>
      <c r="F70" s="10">
        <f t="shared" si="3"/>
        <v>4.18</v>
      </c>
      <c r="G70" s="10">
        <f t="shared" si="4"/>
        <v>4.18</v>
      </c>
      <c r="H70" s="1">
        <v>1.0</v>
      </c>
      <c r="I70" s="1">
        <v>1.0</v>
      </c>
      <c r="K70" s="1">
        <v>1.0</v>
      </c>
      <c r="M70" s="1">
        <v>1.0</v>
      </c>
      <c r="N70" s="1">
        <v>1.0</v>
      </c>
      <c r="Z70" s="10"/>
      <c r="AA70" s="10"/>
    </row>
    <row r="71">
      <c r="A71" s="61">
        <v>45590.0</v>
      </c>
      <c r="B71" s="12" t="s">
        <v>178</v>
      </c>
      <c r="C71" s="12" t="s">
        <v>11</v>
      </c>
      <c r="D71" s="12">
        <v>12.0</v>
      </c>
      <c r="E71" s="51" t="s">
        <v>8</v>
      </c>
      <c r="F71" s="10">
        <f t="shared" si="3"/>
        <v>12</v>
      </c>
      <c r="G71" s="10">
        <f t="shared" si="4"/>
        <v>12</v>
      </c>
      <c r="J71" s="1">
        <v>1.0</v>
      </c>
      <c r="Z71" s="10"/>
      <c r="AA71" s="10"/>
    </row>
    <row r="72">
      <c r="A72" s="61">
        <v>45591.0</v>
      </c>
      <c r="B72" s="12" t="s">
        <v>250</v>
      </c>
      <c r="C72" s="12" t="s">
        <v>11</v>
      </c>
      <c r="D72" s="51">
        <v>319.41</v>
      </c>
      <c r="E72" s="51" t="s">
        <v>8</v>
      </c>
      <c r="F72" s="10">
        <f t="shared" si="3"/>
        <v>53.235</v>
      </c>
      <c r="G72" s="10">
        <f t="shared" si="4"/>
        <v>53.235</v>
      </c>
      <c r="H72" s="1">
        <v>1.0</v>
      </c>
      <c r="I72" s="1">
        <v>1.0</v>
      </c>
      <c r="J72" s="1">
        <v>1.0</v>
      </c>
      <c r="K72" s="1">
        <v>1.0</v>
      </c>
      <c r="M72" s="1">
        <v>1.0</v>
      </c>
      <c r="N72" s="1">
        <v>1.0</v>
      </c>
      <c r="Z72" s="10"/>
      <c r="AA72" s="10"/>
    </row>
    <row r="73">
      <c r="A73" s="59">
        <v>45592.0</v>
      </c>
      <c r="B73" s="12" t="s">
        <v>46</v>
      </c>
      <c r="C73" s="12" t="s">
        <v>11</v>
      </c>
      <c r="D73" s="12">
        <f>3.44+1.66+1.57</f>
        <v>6.67</v>
      </c>
      <c r="E73" s="12" t="s">
        <v>4</v>
      </c>
      <c r="F73" s="10">
        <f t="shared" si="3"/>
        <v>1.334</v>
      </c>
      <c r="G73" s="10">
        <f t="shared" si="4"/>
        <v>1.334</v>
      </c>
      <c r="H73" s="1">
        <v>1.0</v>
      </c>
      <c r="I73" s="1">
        <v>1.0</v>
      </c>
      <c r="J73" s="1">
        <v>1.0</v>
      </c>
      <c r="K73" s="1">
        <v>1.0</v>
      </c>
      <c r="M73" s="1">
        <v>1.0</v>
      </c>
      <c r="Z73" s="10"/>
      <c r="AA73" s="10"/>
    </row>
    <row r="74">
      <c r="A74" s="61">
        <v>45593.0</v>
      </c>
      <c r="B74" s="51" t="s">
        <v>251</v>
      </c>
      <c r="C74" s="51" t="s">
        <v>11</v>
      </c>
      <c r="D74" s="51">
        <v>25.45</v>
      </c>
      <c r="E74" s="51" t="s">
        <v>14</v>
      </c>
      <c r="F74" s="10">
        <f t="shared" si="3"/>
        <v>12.725</v>
      </c>
      <c r="G74" s="10">
        <f t="shared" si="4"/>
        <v>12.725</v>
      </c>
      <c r="H74" s="54">
        <v>1.0</v>
      </c>
      <c r="I74" s="54"/>
      <c r="J74" s="54"/>
      <c r="K74" s="54"/>
      <c r="L74" s="54"/>
      <c r="M74" s="54">
        <v>1.0</v>
      </c>
      <c r="N74" s="54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</row>
    <row r="75">
      <c r="A75" s="61">
        <v>45593.0</v>
      </c>
      <c r="B75" s="51" t="s">
        <v>46</v>
      </c>
      <c r="C75" s="51" t="s">
        <v>11</v>
      </c>
      <c r="D75" s="51">
        <f>68.32-29.99</f>
        <v>38.33</v>
      </c>
      <c r="E75" s="51" t="s">
        <v>14</v>
      </c>
      <c r="F75" s="10">
        <f t="shared" si="3"/>
        <v>9.5825</v>
      </c>
      <c r="G75" s="10">
        <f t="shared" si="4"/>
        <v>9.5825</v>
      </c>
      <c r="H75" s="52">
        <v>1.0</v>
      </c>
      <c r="I75" s="52">
        <v>1.0</v>
      </c>
      <c r="J75" s="52"/>
      <c r="K75" s="52">
        <v>1.0</v>
      </c>
      <c r="L75" s="54"/>
      <c r="M75" s="54">
        <v>1.0</v>
      </c>
      <c r="N75" s="52"/>
      <c r="Z75" s="10"/>
      <c r="AA75" s="10"/>
    </row>
    <row r="76">
      <c r="A76" s="61">
        <v>45593.0</v>
      </c>
      <c r="B76" s="51" t="s">
        <v>252</v>
      </c>
      <c r="C76" s="12" t="s">
        <v>11</v>
      </c>
      <c r="D76" s="12">
        <v>29.99</v>
      </c>
      <c r="E76" s="51" t="s">
        <v>14</v>
      </c>
      <c r="F76" s="10">
        <f t="shared" si="3"/>
        <v>4.998333333</v>
      </c>
      <c r="G76" s="10">
        <f t="shared" si="4"/>
        <v>4.998333333</v>
      </c>
      <c r="H76" s="1">
        <v>1.0</v>
      </c>
      <c r="I76" s="1">
        <v>1.0</v>
      </c>
      <c r="J76" s="1">
        <v>1.0</v>
      </c>
      <c r="K76" s="1">
        <v>1.0</v>
      </c>
      <c r="M76" s="1">
        <v>1.0</v>
      </c>
      <c r="N76" s="1">
        <v>1.0</v>
      </c>
      <c r="Z76" s="10"/>
      <c r="AA76" s="10"/>
    </row>
    <row r="77">
      <c r="A77" s="59">
        <v>45594.0</v>
      </c>
      <c r="B77" s="12" t="s">
        <v>149</v>
      </c>
      <c r="C77" s="12" t="s">
        <v>11</v>
      </c>
      <c r="D77" s="12">
        <v>27.95</v>
      </c>
      <c r="E77" s="12" t="s">
        <v>4</v>
      </c>
      <c r="F77" s="10">
        <f t="shared" si="3"/>
        <v>5.59</v>
      </c>
      <c r="G77" s="10">
        <f t="shared" si="4"/>
        <v>5.59</v>
      </c>
      <c r="H77" s="1">
        <v>1.0</v>
      </c>
      <c r="I77" s="1">
        <v>1.0</v>
      </c>
      <c r="K77" s="1">
        <v>1.0</v>
      </c>
      <c r="M77" s="1">
        <v>1.0</v>
      </c>
      <c r="N77" s="1">
        <v>1.0</v>
      </c>
      <c r="Z77" s="10"/>
      <c r="AA77" s="10"/>
    </row>
    <row r="78">
      <c r="A78" s="61">
        <v>45596.0</v>
      </c>
      <c r="B78" s="12" t="s">
        <v>178</v>
      </c>
      <c r="C78" s="51" t="s">
        <v>11</v>
      </c>
      <c r="D78" s="51">
        <v>13.55</v>
      </c>
      <c r="E78" s="51" t="s">
        <v>8</v>
      </c>
      <c r="F78" s="10">
        <f t="shared" si="3"/>
        <v>13.55</v>
      </c>
      <c r="G78" s="10">
        <f t="shared" si="4"/>
        <v>13.55</v>
      </c>
      <c r="H78" s="52">
        <v>1.0</v>
      </c>
      <c r="I78" s="54"/>
      <c r="J78" s="52"/>
      <c r="K78" s="54"/>
      <c r="L78" s="54"/>
      <c r="M78" s="54"/>
      <c r="N78" s="54"/>
      <c r="Z78" s="10"/>
      <c r="AA78" s="10"/>
    </row>
    <row r="79">
      <c r="A79" s="61">
        <v>45596.0</v>
      </c>
      <c r="B79" s="51" t="s">
        <v>98</v>
      </c>
      <c r="C79" s="51" t="s">
        <v>11</v>
      </c>
      <c r="D79" s="51">
        <v>61.98</v>
      </c>
      <c r="E79" s="51" t="s">
        <v>14</v>
      </c>
      <c r="F79" s="10">
        <f t="shared" si="3"/>
        <v>20.66</v>
      </c>
      <c r="G79" s="10">
        <f t="shared" si="4"/>
        <v>20.66</v>
      </c>
      <c r="H79" s="54">
        <v>1.0</v>
      </c>
      <c r="I79" s="54">
        <v>1.0</v>
      </c>
      <c r="J79" s="54"/>
      <c r="K79" s="54">
        <v>1.0</v>
      </c>
      <c r="L79" s="54"/>
      <c r="M79" s="54"/>
      <c r="N79" s="54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</row>
    <row r="80">
      <c r="A80" s="55">
        <v>45575.0</v>
      </c>
      <c r="B80" s="12" t="s">
        <v>253</v>
      </c>
      <c r="C80" s="12" t="s">
        <v>27</v>
      </c>
      <c r="D80" s="12">
        <v>340.75</v>
      </c>
      <c r="E80" s="51" t="s">
        <v>8</v>
      </c>
      <c r="F80" s="10">
        <f t="shared" si="3"/>
        <v>113.5833333</v>
      </c>
      <c r="G80" s="10">
        <f t="shared" si="4"/>
        <v>113.5833333</v>
      </c>
      <c r="J80" s="1">
        <v>1.0</v>
      </c>
      <c r="K80" s="1">
        <v>1.0</v>
      </c>
      <c r="M80" s="1">
        <v>1.0</v>
      </c>
      <c r="Z80" s="10"/>
      <c r="AA80" s="10"/>
    </row>
    <row r="81">
      <c r="A81" s="59">
        <v>45566.0</v>
      </c>
      <c r="B81" s="12" t="s">
        <v>254</v>
      </c>
      <c r="C81" s="12" t="s">
        <v>23</v>
      </c>
      <c r="D81" s="12">
        <v>334.8</v>
      </c>
      <c r="E81" s="12" t="s">
        <v>2</v>
      </c>
      <c r="F81" s="10">
        <f t="shared" si="3"/>
        <v>55.8</v>
      </c>
      <c r="G81" s="10">
        <f t="shared" si="4"/>
        <v>55.8</v>
      </c>
      <c r="H81" s="1">
        <v>1.0</v>
      </c>
      <c r="I81" s="1">
        <v>1.0</v>
      </c>
      <c r="J81" s="1">
        <v>1.0</v>
      </c>
      <c r="K81" s="1">
        <v>1.0</v>
      </c>
      <c r="M81" s="1">
        <v>1.0</v>
      </c>
      <c r="N81" s="1">
        <v>1.0</v>
      </c>
      <c r="T81" s="18"/>
      <c r="U81" s="18"/>
      <c r="V81" s="18"/>
      <c r="W81" s="18"/>
      <c r="Z81" s="10"/>
      <c r="AA81" s="10"/>
    </row>
    <row r="82">
      <c r="A82" s="59"/>
      <c r="B82" s="12"/>
      <c r="C82" s="12"/>
      <c r="D82" s="12"/>
      <c r="E82" s="12"/>
      <c r="F82" s="10" t="str">
        <f t="shared" si="3"/>
        <v>#DIV/0!</v>
      </c>
      <c r="G82" s="10" t="str">
        <f t="shared" si="4"/>
        <v>#DIV/0!</v>
      </c>
      <c r="Z82" s="10"/>
      <c r="AA82" s="10"/>
    </row>
    <row r="83">
      <c r="A83" s="59"/>
      <c r="B83" s="12"/>
      <c r="C83" s="12"/>
      <c r="D83" s="12"/>
      <c r="E83" s="12"/>
      <c r="F83" s="67" t="str">
        <f t="shared" si="3"/>
        <v>#DIV/0!</v>
      </c>
      <c r="G83" s="10" t="str">
        <f t="shared" si="4"/>
        <v>#DIV/0!</v>
      </c>
      <c r="Z83" s="10"/>
      <c r="AA83" s="10"/>
    </row>
    <row r="84">
      <c r="A84" s="55"/>
      <c r="B84" s="12"/>
      <c r="C84" s="12"/>
      <c r="D84" s="12"/>
      <c r="E84" s="12"/>
      <c r="F84" s="67" t="str">
        <f t="shared" si="3"/>
        <v>#DIV/0!</v>
      </c>
      <c r="G84" s="10" t="str">
        <f t="shared" si="4"/>
        <v>#DIV/0!</v>
      </c>
      <c r="Z84" s="10"/>
      <c r="AA84" s="10"/>
    </row>
    <row r="85">
      <c r="A85" s="55"/>
      <c r="B85" s="12"/>
      <c r="C85" s="12"/>
      <c r="D85" s="12"/>
      <c r="E85" s="12"/>
      <c r="F85" s="67" t="str">
        <f t="shared" si="3"/>
        <v>#DIV/0!</v>
      </c>
      <c r="G85" s="10" t="str">
        <f t="shared" si="4"/>
        <v>#DIV/0!</v>
      </c>
      <c r="Z85" s="10"/>
      <c r="AA85" s="10"/>
    </row>
    <row r="86">
      <c r="A86" s="61"/>
      <c r="B86" s="12"/>
      <c r="C86" s="12"/>
      <c r="D86" s="12"/>
      <c r="E86" s="12"/>
      <c r="F86" s="67" t="str">
        <f t="shared" si="3"/>
        <v>#DIV/0!</v>
      </c>
      <c r="G86" s="10" t="str">
        <f t="shared" si="4"/>
        <v>#DIV/0!</v>
      </c>
      <c r="Z86" s="10"/>
      <c r="AA86" s="10"/>
    </row>
    <row r="87">
      <c r="A87" s="59"/>
      <c r="B87" s="12"/>
      <c r="C87" s="51"/>
      <c r="D87" s="12"/>
      <c r="E87" s="12"/>
      <c r="F87" s="67" t="str">
        <f t="shared" si="3"/>
        <v>#DIV/0!</v>
      </c>
      <c r="G87" s="10" t="str">
        <f t="shared" si="4"/>
        <v>#DIV/0!</v>
      </c>
      <c r="Z87" s="64"/>
      <c r="AA87" s="64"/>
    </row>
    <row r="88">
      <c r="A88" s="55"/>
      <c r="B88" s="12"/>
      <c r="C88" s="12"/>
      <c r="D88" s="12"/>
      <c r="E88" s="12"/>
      <c r="F88" s="67" t="str">
        <f t="shared" si="3"/>
        <v>#DIV/0!</v>
      </c>
      <c r="G88" s="10" t="str">
        <f t="shared" si="4"/>
        <v>#DIV/0!</v>
      </c>
      <c r="Z88" s="10"/>
      <c r="AA88" s="10"/>
    </row>
    <row r="89">
      <c r="A89" s="59"/>
      <c r="B89" s="12"/>
      <c r="C89" s="12"/>
      <c r="D89" s="12"/>
      <c r="E89" s="12"/>
      <c r="F89" s="67" t="str">
        <f t="shared" si="3"/>
        <v>#DIV/0!</v>
      </c>
      <c r="G89" s="10" t="str">
        <f t="shared" si="4"/>
        <v>#DIV/0!</v>
      </c>
      <c r="Z89" s="10"/>
      <c r="AA89" s="10"/>
    </row>
    <row r="90">
      <c r="A90" s="59"/>
      <c r="B90" s="12"/>
      <c r="C90" s="51"/>
      <c r="D90" s="12"/>
      <c r="E90" s="12"/>
      <c r="F90" s="67" t="str">
        <f t="shared" si="3"/>
        <v>#DIV/0!</v>
      </c>
      <c r="G90" s="10" t="str">
        <f t="shared" si="4"/>
        <v>#DIV/0!</v>
      </c>
      <c r="Z90" s="64"/>
      <c r="AA90" s="64"/>
    </row>
    <row r="91">
      <c r="A91" s="59"/>
      <c r="B91" s="12"/>
      <c r="C91" s="51"/>
      <c r="D91" s="12"/>
      <c r="E91" s="12"/>
      <c r="F91" s="67" t="str">
        <f t="shared" si="3"/>
        <v>#DIV/0!</v>
      </c>
      <c r="G91" s="10" t="str">
        <f t="shared" si="4"/>
        <v>#DIV/0!</v>
      </c>
      <c r="Z91" s="64"/>
      <c r="AA91" s="64"/>
    </row>
    <row r="92">
      <c r="A92" s="59"/>
      <c r="B92" s="12"/>
      <c r="C92" s="51"/>
      <c r="D92" s="12"/>
      <c r="E92" s="12"/>
      <c r="F92" s="67" t="str">
        <f t="shared" si="3"/>
        <v>#DIV/0!</v>
      </c>
      <c r="G92" s="10" t="str">
        <f t="shared" si="4"/>
        <v>#DIV/0!</v>
      </c>
      <c r="Z92" s="64"/>
      <c r="AA92" s="64"/>
    </row>
    <row r="93">
      <c r="A93" s="55"/>
      <c r="B93" s="12"/>
      <c r="C93" s="12"/>
      <c r="D93" s="12"/>
      <c r="E93" s="12"/>
      <c r="F93" s="67" t="str">
        <f t="shared" si="3"/>
        <v>#DIV/0!</v>
      </c>
      <c r="G93" s="10" t="str">
        <f t="shared" si="4"/>
        <v>#DIV/0!</v>
      </c>
      <c r="Z93" s="10"/>
      <c r="AA93" s="10"/>
    </row>
    <row r="94">
      <c r="A94" s="59"/>
      <c r="B94" s="12"/>
      <c r="C94" s="12"/>
      <c r="D94" s="12"/>
      <c r="E94" s="12"/>
      <c r="F94" s="67" t="str">
        <f t="shared" si="3"/>
        <v>#DIV/0!</v>
      </c>
      <c r="G94" s="10" t="str">
        <f t="shared" si="4"/>
        <v>#DIV/0!</v>
      </c>
      <c r="Z94" s="10"/>
      <c r="AA94" s="10"/>
    </row>
    <row r="95">
      <c r="A95" s="59"/>
      <c r="B95" s="12"/>
      <c r="C95" s="12"/>
      <c r="D95" s="12"/>
      <c r="E95" s="12"/>
      <c r="F95" s="67" t="str">
        <f t="shared" si="3"/>
        <v>#DIV/0!</v>
      </c>
      <c r="G95" s="10" t="str">
        <f t="shared" si="4"/>
        <v>#DIV/0!</v>
      </c>
      <c r="Z95" s="10"/>
      <c r="AA95" s="10"/>
    </row>
    <row r="96">
      <c r="A96" s="59"/>
      <c r="B96" s="12"/>
      <c r="C96" s="12"/>
      <c r="D96" s="12"/>
      <c r="E96" s="12"/>
      <c r="F96" s="67" t="str">
        <f t="shared" si="3"/>
        <v>#DIV/0!</v>
      </c>
      <c r="G96" s="10" t="str">
        <f t="shared" si="4"/>
        <v>#DIV/0!</v>
      </c>
      <c r="Z96" s="10"/>
      <c r="AA96" s="10"/>
    </row>
    <row r="97">
      <c r="A97" s="55"/>
      <c r="B97" s="12"/>
      <c r="C97" s="12"/>
      <c r="D97" s="12"/>
      <c r="E97" s="12"/>
      <c r="F97" s="67" t="str">
        <f t="shared" si="3"/>
        <v>#DIV/0!</v>
      </c>
      <c r="G97" s="10" t="str">
        <f t="shared" si="4"/>
        <v>#DIV/0!</v>
      </c>
      <c r="Z97" s="10"/>
      <c r="AA97" s="10"/>
    </row>
    <row r="98">
      <c r="A98" s="55"/>
      <c r="B98" s="51"/>
      <c r="C98" s="51"/>
      <c r="D98" s="51"/>
      <c r="E98" s="12"/>
      <c r="F98" s="67" t="str">
        <f t="shared" si="3"/>
        <v>#DIV/0!</v>
      </c>
      <c r="G98" s="10" t="str">
        <f t="shared" si="4"/>
        <v>#DIV/0!</v>
      </c>
      <c r="H98" s="52"/>
      <c r="I98" s="52"/>
      <c r="J98" s="52"/>
      <c r="K98" s="52"/>
      <c r="L98" s="53"/>
      <c r="M98" s="54"/>
      <c r="N98" s="52"/>
      <c r="O98" s="54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</row>
    <row r="99">
      <c r="A99" s="55"/>
      <c r="B99" s="12"/>
      <c r="C99" s="12"/>
      <c r="D99" s="12"/>
      <c r="E99" s="12"/>
      <c r="F99" s="67" t="str">
        <f t="shared" si="3"/>
        <v>#DIV/0!</v>
      </c>
      <c r="G99" s="10" t="str">
        <f t="shared" si="4"/>
        <v>#DIV/0!</v>
      </c>
      <c r="Z99" s="10"/>
      <c r="AA99" s="10"/>
    </row>
    <row r="100">
      <c r="A100" s="59"/>
      <c r="B100" s="12"/>
      <c r="C100" s="12"/>
      <c r="D100" s="12"/>
      <c r="E100" s="12"/>
      <c r="F100" s="67" t="str">
        <f t="shared" si="3"/>
        <v>#DIV/0!</v>
      </c>
      <c r="G100" s="10" t="str">
        <f t="shared" si="4"/>
        <v>#DIV/0!</v>
      </c>
      <c r="Z100" s="10"/>
      <c r="AA100" s="10"/>
    </row>
    <row r="101">
      <c r="A101" s="61"/>
      <c r="B101" s="12"/>
      <c r="C101" s="12"/>
      <c r="D101" s="12"/>
      <c r="E101" s="12"/>
      <c r="F101" s="67" t="str">
        <f t="shared" si="3"/>
        <v>#DIV/0!</v>
      </c>
      <c r="G101" s="10" t="str">
        <f t="shared" si="4"/>
        <v>#DIV/0!</v>
      </c>
      <c r="Z101" s="10"/>
      <c r="AA101" s="10"/>
    </row>
    <row r="102">
      <c r="A102" s="61"/>
      <c r="B102" s="12"/>
      <c r="C102" s="12"/>
      <c r="D102" s="12"/>
      <c r="E102" s="12"/>
      <c r="F102" s="67" t="str">
        <f t="shared" si="3"/>
        <v>#DIV/0!</v>
      </c>
      <c r="G102" s="10" t="str">
        <f t="shared" si="4"/>
        <v>#DIV/0!</v>
      </c>
      <c r="Z102" s="10"/>
      <c r="AA102" s="10"/>
    </row>
    <row r="103">
      <c r="A103" s="59"/>
      <c r="B103" s="12"/>
      <c r="C103" s="12"/>
      <c r="D103" s="12"/>
      <c r="E103" s="12"/>
      <c r="F103" s="67" t="str">
        <f t="shared" si="3"/>
        <v>#DIV/0!</v>
      </c>
      <c r="G103" s="10" t="str">
        <f t="shared" si="4"/>
        <v>#DIV/0!</v>
      </c>
      <c r="Z103" s="10"/>
      <c r="AA103" s="10"/>
    </row>
    <row r="104">
      <c r="A104" s="59"/>
      <c r="B104" s="12"/>
      <c r="C104" s="12"/>
      <c r="D104" s="12"/>
      <c r="E104" s="12"/>
      <c r="F104" s="67" t="str">
        <f t="shared" si="3"/>
        <v>#DIV/0!</v>
      </c>
      <c r="G104" s="10" t="str">
        <f t="shared" si="4"/>
        <v>#DIV/0!</v>
      </c>
      <c r="Z104" s="10"/>
      <c r="AA104" s="10"/>
    </row>
    <row r="105">
      <c r="A105" s="59"/>
      <c r="B105" s="12"/>
      <c r="C105" s="12"/>
      <c r="D105" s="12"/>
      <c r="E105" s="12"/>
      <c r="F105" s="67" t="str">
        <f t="shared" si="3"/>
        <v>#DIV/0!</v>
      </c>
      <c r="G105" s="10" t="str">
        <f t="shared" si="4"/>
        <v>#DIV/0!</v>
      </c>
      <c r="Z105" s="10"/>
      <c r="AA105" s="10"/>
    </row>
    <row r="106">
      <c r="A106" s="59"/>
      <c r="B106" s="12"/>
      <c r="C106" s="12"/>
      <c r="D106" s="12"/>
      <c r="E106" s="12"/>
      <c r="F106" s="67" t="str">
        <f t="shared" si="3"/>
        <v>#DIV/0!</v>
      </c>
      <c r="G106" s="10" t="str">
        <f t="shared" si="4"/>
        <v>#DIV/0!</v>
      </c>
      <c r="Z106" s="10"/>
      <c r="AA106" s="10"/>
    </row>
    <row r="107">
      <c r="A107" s="12"/>
      <c r="B107" s="12"/>
      <c r="C107" s="12"/>
      <c r="D107" s="12"/>
      <c r="E107" s="12"/>
      <c r="F107" s="67" t="str">
        <f t="shared" si="3"/>
        <v>#DIV/0!</v>
      </c>
      <c r="G107" s="10" t="str">
        <f t="shared" si="4"/>
        <v>#DIV/0!</v>
      </c>
      <c r="Z107" s="10"/>
      <c r="AA107" s="10"/>
    </row>
    <row r="108">
      <c r="A108" s="61"/>
      <c r="B108" s="51"/>
      <c r="C108" s="51"/>
      <c r="D108" s="51"/>
      <c r="E108" s="51"/>
      <c r="F108" s="10" t="str">
        <f t="shared" si="3"/>
        <v>#DIV/0!</v>
      </c>
      <c r="G108" s="10" t="str">
        <f t="shared" si="4"/>
        <v>#DIV/0!</v>
      </c>
      <c r="H108" s="52"/>
      <c r="I108" s="52"/>
      <c r="J108" s="52"/>
      <c r="K108" s="52"/>
      <c r="L108" s="53"/>
      <c r="M108" s="53"/>
      <c r="N108" s="52"/>
      <c r="Z108" s="10"/>
      <c r="AA108" s="10"/>
    </row>
    <row r="109">
      <c r="A109" s="59"/>
      <c r="B109" s="12"/>
      <c r="C109" s="12"/>
      <c r="D109" s="12"/>
      <c r="E109" s="12"/>
      <c r="F109" s="10" t="str">
        <f t="shared" si="3"/>
        <v>#DIV/0!</v>
      </c>
      <c r="G109" s="10" t="str">
        <f t="shared" si="4"/>
        <v>#DIV/0!</v>
      </c>
      <c r="Z109" s="10"/>
      <c r="AA109" s="10"/>
    </row>
    <row r="110">
      <c r="A110" s="61"/>
      <c r="B110" s="51"/>
      <c r="C110" s="51"/>
      <c r="D110" s="63"/>
      <c r="E110" s="51"/>
      <c r="F110" s="10" t="str">
        <f t="shared" si="3"/>
        <v>#DIV/0!</v>
      </c>
      <c r="G110" s="10" t="str">
        <f t="shared" si="4"/>
        <v>#DIV/0!</v>
      </c>
      <c r="H110" s="54"/>
      <c r="I110" s="54"/>
      <c r="J110" s="54"/>
      <c r="K110" s="54"/>
      <c r="L110" s="52"/>
      <c r="M110" s="54"/>
      <c r="N110" s="54"/>
      <c r="Z110" s="10"/>
      <c r="AA110" s="10"/>
    </row>
    <row r="111">
      <c r="A111" s="61"/>
      <c r="B111" s="51"/>
      <c r="C111" s="51"/>
      <c r="D111" s="51"/>
      <c r="E111" s="51"/>
      <c r="F111" s="10" t="str">
        <f t="shared" si="3"/>
        <v>#DIV/0!</v>
      </c>
      <c r="G111" s="10" t="str">
        <f t="shared" si="4"/>
        <v>#DIV/0!</v>
      </c>
      <c r="H111" s="52"/>
      <c r="I111" s="52"/>
      <c r="J111" s="52"/>
      <c r="K111" s="52"/>
      <c r="L111" s="53"/>
      <c r="M111" s="54"/>
      <c r="N111" s="52"/>
      <c r="Z111" s="10"/>
      <c r="AA111" s="10"/>
    </row>
    <row r="112">
      <c r="A112" s="59"/>
      <c r="B112" s="12"/>
      <c r="C112" s="12"/>
      <c r="D112" s="12"/>
      <c r="E112" s="12"/>
      <c r="F112" s="10" t="str">
        <f t="shared" si="3"/>
        <v>#DIV/0!</v>
      </c>
      <c r="G112" s="10" t="str">
        <f t="shared" si="4"/>
        <v>#DIV/0!</v>
      </c>
      <c r="Z112" s="10"/>
      <c r="AA112" s="10"/>
    </row>
    <row r="113">
      <c r="A113" s="61"/>
      <c r="B113" s="51"/>
      <c r="C113" s="51"/>
      <c r="D113" s="51"/>
      <c r="E113" s="51"/>
      <c r="F113" s="10" t="str">
        <f t="shared" si="3"/>
        <v>#DIV/0!</v>
      </c>
      <c r="G113" s="10" t="str">
        <f t="shared" si="4"/>
        <v>#DIV/0!</v>
      </c>
      <c r="H113" s="52"/>
      <c r="I113" s="52"/>
      <c r="J113" s="52"/>
      <c r="K113" s="52"/>
      <c r="L113" s="53"/>
      <c r="M113" s="54"/>
      <c r="N113" s="52"/>
      <c r="Z113" s="10"/>
      <c r="AA113" s="10"/>
    </row>
    <row r="114">
      <c r="A114" s="61"/>
      <c r="B114" s="51"/>
      <c r="C114" s="51"/>
      <c r="D114" s="51"/>
      <c r="E114" s="51"/>
      <c r="F114" s="10" t="str">
        <f t="shared" si="3"/>
        <v>#DIV/0!</v>
      </c>
      <c r="G114" s="10" t="str">
        <f t="shared" si="4"/>
        <v>#DIV/0!</v>
      </c>
      <c r="H114" s="52"/>
      <c r="I114" s="52"/>
      <c r="J114" s="52"/>
      <c r="K114" s="52"/>
      <c r="L114" s="54"/>
      <c r="M114" s="54"/>
      <c r="N114" s="52"/>
      <c r="Z114" s="10"/>
      <c r="AA114" s="10"/>
    </row>
    <row r="115">
      <c r="A115" s="61"/>
      <c r="B115" s="51"/>
      <c r="C115" s="51"/>
      <c r="D115" s="51"/>
      <c r="E115" s="51"/>
      <c r="F115" s="10" t="str">
        <f t="shared" si="3"/>
        <v>#DIV/0!</v>
      </c>
      <c r="G115" s="10" t="str">
        <f t="shared" si="4"/>
        <v>#DIV/0!</v>
      </c>
      <c r="H115" s="66"/>
      <c r="I115" s="66"/>
      <c r="J115" s="52"/>
      <c r="K115" s="66"/>
      <c r="L115" s="54"/>
      <c r="M115" s="53"/>
      <c r="N115" s="66"/>
      <c r="Z115" s="10"/>
      <c r="AA115" s="10"/>
    </row>
    <row r="116">
      <c r="A116" s="61"/>
      <c r="B116" s="51"/>
      <c r="C116" s="51"/>
      <c r="D116" s="63"/>
      <c r="E116" s="51"/>
      <c r="F116" s="10" t="str">
        <f t="shared" si="3"/>
        <v>#DIV/0!</v>
      </c>
      <c r="G116" s="10" t="str">
        <f t="shared" si="4"/>
        <v>#DIV/0!</v>
      </c>
      <c r="H116" s="52"/>
      <c r="I116" s="54"/>
      <c r="J116" s="54"/>
      <c r="K116" s="54"/>
      <c r="L116" s="54"/>
      <c r="M116" s="54"/>
      <c r="N116" s="54"/>
      <c r="Z116" s="10"/>
      <c r="AA116" s="10"/>
    </row>
    <row r="117">
      <c r="A117" s="61"/>
      <c r="B117" s="51"/>
      <c r="C117" s="51"/>
      <c r="D117" s="51"/>
      <c r="E117" s="51"/>
      <c r="F117" s="10" t="str">
        <f t="shared" si="3"/>
        <v>#DIV/0!</v>
      </c>
      <c r="G117" s="10" t="str">
        <f t="shared" si="4"/>
        <v>#DIV/0!</v>
      </c>
      <c r="H117" s="52"/>
      <c r="I117" s="54"/>
      <c r="J117" s="54"/>
      <c r="K117" s="54"/>
      <c r="L117" s="53"/>
      <c r="M117" s="54"/>
      <c r="N117" s="54"/>
      <c r="Z117" s="10"/>
      <c r="AA117" s="10"/>
    </row>
    <row r="118">
      <c r="A118" s="61"/>
      <c r="B118" s="51"/>
      <c r="C118" s="51"/>
      <c r="D118" s="63"/>
      <c r="E118" s="51"/>
      <c r="F118" s="10" t="str">
        <f t="shared" si="3"/>
        <v>#DIV/0!</v>
      </c>
      <c r="G118" s="10" t="str">
        <f t="shared" si="4"/>
        <v>#DIV/0!</v>
      </c>
      <c r="H118" s="52"/>
      <c r="I118" s="54"/>
      <c r="J118" s="52"/>
      <c r="K118" s="54"/>
      <c r="L118" s="53"/>
      <c r="M118" s="53"/>
      <c r="N118" s="54"/>
      <c r="Z118" s="10"/>
      <c r="AA118" s="10"/>
    </row>
    <row r="119">
      <c r="C119" s="12"/>
      <c r="D119" s="12"/>
      <c r="E119" s="12"/>
      <c r="F119" s="10" t="str">
        <f t="shared" si="3"/>
        <v>#DIV/0!</v>
      </c>
      <c r="G119" s="10" t="str">
        <f t="shared" si="4"/>
        <v>#DIV/0!</v>
      </c>
      <c r="Z119" s="10"/>
      <c r="AA119" s="10"/>
    </row>
    <row r="120">
      <c r="A120" s="61"/>
      <c r="B120" s="12"/>
      <c r="C120" s="12"/>
      <c r="D120" s="12"/>
      <c r="E120" s="12"/>
      <c r="F120" s="67" t="str">
        <f t="shared" si="3"/>
        <v>#DIV/0!</v>
      </c>
      <c r="G120" s="10" t="str">
        <f t="shared" si="4"/>
        <v>#DIV/0!</v>
      </c>
      <c r="Z120" s="10"/>
      <c r="AA120" s="10"/>
    </row>
    <row r="121">
      <c r="A121" s="59"/>
      <c r="B121" s="12"/>
      <c r="C121" s="12"/>
      <c r="D121" s="12"/>
      <c r="E121" s="12"/>
      <c r="F121" s="67" t="str">
        <f t="shared" si="3"/>
        <v>#DIV/0!</v>
      </c>
      <c r="G121" s="10" t="str">
        <f t="shared" si="4"/>
        <v>#DIV/0!</v>
      </c>
      <c r="Z121" s="10"/>
      <c r="AA121" s="10"/>
    </row>
    <row r="122">
      <c r="A122" s="59"/>
      <c r="B122" s="12"/>
      <c r="C122" s="12"/>
      <c r="D122" s="12"/>
      <c r="E122" s="12"/>
      <c r="F122" s="67" t="str">
        <f t="shared" si="3"/>
        <v>#DIV/0!</v>
      </c>
      <c r="G122" s="10" t="str">
        <f t="shared" si="4"/>
        <v>#DIV/0!</v>
      </c>
      <c r="Z122" s="10"/>
      <c r="AA122" s="10"/>
    </row>
    <row r="123">
      <c r="A123" s="59"/>
      <c r="B123" s="12"/>
      <c r="C123" s="12"/>
      <c r="D123" s="12"/>
      <c r="E123" s="12"/>
      <c r="F123" s="67"/>
      <c r="G123" s="10"/>
      <c r="Z123" s="10"/>
      <c r="AA123" s="10"/>
    </row>
    <row r="124">
      <c r="A124" s="59"/>
      <c r="B124" s="12"/>
      <c r="C124" s="12"/>
      <c r="D124" s="12"/>
      <c r="E124" s="12"/>
      <c r="F124" s="67"/>
      <c r="G124" s="10"/>
      <c r="Z124" s="10"/>
      <c r="AA124" s="10"/>
    </row>
    <row r="125">
      <c r="A125" s="59"/>
      <c r="B125" s="12"/>
      <c r="C125" s="12"/>
      <c r="D125" s="12"/>
      <c r="E125" s="12"/>
      <c r="F125" s="67"/>
      <c r="G125" s="10"/>
      <c r="Z125" s="10"/>
      <c r="AA125" s="10"/>
    </row>
    <row r="126">
      <c r="A126" s="59"/>
      <c r="B126" s="12"/>
      <c r="C126" s="12"/>
      <c r="D126" s="12"/>
      <c r="E126" s="12"/>
      <c r="F126" s="67"/>
      <c r="G126" s="10"/>
      <c r="Z126" s="10"/>
      <c r="AA126" s="10"/>
    </row>
    <row r="127">
      <c r="A127" s="59"/>
      <c r="B127" s="12"/>
      <c r="C127" s="12"/>
      <c r="D127" s="12"/>
      <c r="E127" s="12"/>
      <c r="F127" s="67"/>
      <c r="G127" s="10"/>
      <c r="Z127" s="10"/>
      <c r="AA127" s="10"/>
    </row>
    <row r="128">
      <c r="A128" s="59"/>
      <c r="B128" s="12"/>
      <c r="C128" s="12"/>
      <c r="D128" s="12"/>
      <c r="E128" s="12"/>
      <c r="F128" s="67"/>
      <c r="G128" s="10"/>
      <c r="Z128" s="10"/>
      <c r="AA128" s="10"/>
    </row>
    <row r="129">
      <c r="A129" s="59"/>
      <c r="B129" s="12"/>
      <c r="C129" s="12"/>
      <c r="D129" s="12"/>
      <c r="E129" s="12"/>
      <c r="F129" s="67"/>
      <c r="G129" s="10"/>
      <c r="Z129" s="10"/>
      <c r="AA129" s="10"/>
    </row>
    <row r="130">
      <c r="A130" s="59"/>
      <c r="B130" s="12"/>
      <c r="C130" s="12"/>
      <c r="D130" s="12"/>
      <c r="E130" s="12"/>
      <c r="F130" s="67"/>
      <c r="G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 t="str">
        <f t="shared" ref="F156:F159" si="5">D156/sum(H156:O156)</f>
        <v>#DIV/0!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 t="str">
        <f t="shared" si="5"/>
        <v>#DIV/0!</v>
      </c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B158" s="10"/>
      <c r="C158" s="10"/>
      <c r="D158" s="10"/>
      <c r="E158" s="10"/>
      <c r="F158" s="67" t="str">
        <f t="shared" si="5"/>
        <v>#DIV/0!</v>
      </c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 t="str">
        <f t="shared" si="5"/>
        <v>#DIV/0!</v>
      </c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59"/>
      <c r="B161" s="12"/>
      <c r="C161" s="12"/>
      <c r="D161" s="12"/>
      <c r="E161" s="12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59"/>
      <c r="B162" s="12"/>
      <c r="C162" s="10"/>
      <c r="D162" s="12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59"/>
      <c r="B163" s="12"/>
      <c r="C163" s="10"/>
      <c r="D163" s="12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67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67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67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67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67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67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67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67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67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>
      <c r="A971" s="55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</sheetData>
  <autoFilter ref="$A$12:$AA$79">
    <sortState ref="A12:AA79">
      <sortCondition ref="A12:A79"/>
    </sortState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34">
      <formula1>"食物,飲品,衣服,居家,電子產品,娛樂,醫藥,交通,其他"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9.0" topLeftCell="F10" activePane="bottomRight" state="frozen"/>
      <selection activeCell="F1" sqref="F1" pane="topRight"/>
      <selection activeCell="A10" sqref="A10" pane="bottomLeft"/>
      <selection activeCell="F10" sqref="F10" pane="bottomRight"/>
    </sheetView>
  </sheetViews>
  <sheetFormatPr customHeight="1" defaultColWidth="12.63" defaultRowHeight="15.75"/>
  <cols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P2" s="1" t="s">
        <v>17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116">
        <f>SUMIFS($G$13:$G966, $E$13:$E966, "Rachel", $H$13:$H966, 1)-SUMIFS($G$13:$G966, $E$13:$E966, "Timothy", $I$13:$I966, 1)</f>
        <v>-58.50114286</v>
      </c>
      <c r="J3" s="116">
        <f>SUMIFS($G$13:$G966, $E$13:$E966, "BL", $H$13:$H966, 1)-SUMIFS($G$13:$G966, $E$13:$E966, "Timothy", $J$13:$J966, 1)</f>
        <v>183.3105881</v>
      </c>
      <c r="K3" s="116">
        <f>SUMIFS($G$13:$G966, $E$13:$E966, "Pigskin", $H$13:$H966, 1)-SUMIFS($G$13:$G966, $E$13:$E966, "Timothy", $K$13:$K966, 1)</f>
        <v>-11.87492857</v>
      </c>
      <c r="L3" s="21">
        <f>SUMIFS($G$13:$G966, $E$13:$E966, "Angel", $H$13:$H966, 1)-SUMIFS($G$13:$G966, $E$13:$E966, "Timothy", $L$13:$L966, 1)</f>
        <v>-67.36142857</v>
      </c>
      <c r="M3" s="21">
        <f>SUMIFS($G$13:$G966, $E$13:$E966, "Ivan", $H$13:$H966, 1)-SUMIFS($G$13:$G966, $E$13:$E966, "Timothy", $M$13:$M966, 1)</f>
        <v>-67.74519048</v>
      </c>
      <c r="N3" s="116">
        <f>SUMIFS($G$13:$G966, $E$13:$E966, "Esther", $H$13:$H966, 1)-SUMIFS($G$13:$G966, $E$13:$E966, "Timothy", $N$13:$N966, 1)</f>
        <v>-35.09309524</v>
      </c>
      <c r="O3" s="22">
        <f>SUMIFS($G$13:$G966, $E$13:$E966, "Ken9", $H$13:$H966, 1)-SUMIFS($G$13:$G966, $E$13:$E966, "Timothy", $O$13:$O966,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117">
        <f>SUMIFS($G$13:$G966, $E$13:$E966, "Timothy", $I$13:$I966, 1)-SUMIFS($G$13:$G966, $E$13:$E966, "Rachel", $H$13:$H966, 1)</f>
        <v>58.50114286</v>
      </c>
      <c r="I4" s="20"/>
      <c r="J4" s="25">
        <f>SUMIFS($G$13:$G966, $E$13:$E966, "BL", $I$13:$I966, 1)-SUMIFS($G$13:$G966, $E$13:$E966, "Rachel", $J$13:$J966, 1)</f>
        <v>145.8864976</v>
      </c>
      <c r="K4" s="25">
        <f>SUMIFS($G$13:$G966, $E$13:$E966, "Pigskin", $I$13:$I966, 1)-SUMIFS($G$13:$G966, $E$13:$E966, "Rachel", $K$13:$K966, 1)</f>
        <v>84.29288095</v>
      </c>
      <c r="L4" s="25">
        <f>SUMIFS($G$13:$G966, $E$13:$E966, "Angel", $I$13:$I966, 1)-SUMIFS($G$13:$G966, $E$13:$E966, "Rachel", $L$13:$L966, 1)</f>
        <v>-4.604285714</v>
      </c>
      <c r="M4" s="25">
        <f>SUMIFS($G$13:$G966, $E$13:$E966, "Ivan", $I$13:$I966, 1)-SUMIFS($G$13:$G966, $E$13:$E966, "Rachel", $M$13:$M966, 1)</f>
        <v>20.45061905</v>
      </c>
      <c r="N4" s="25">
        <f>SUMIFS($G$13:$G966, $E$13:$E966, "Esther", $I$13:$I966, 1)-SUMIFS($G$13:$G966, $E$13:$E966, "Rachel", $N$13:$N966, 1)</f>
        <v>-8.953952381</v>
      </c>
      <c r="O4" s="26">
        <f>SUMIFS($G$13:$G966, $E$13:$E966, "Ken9", $I$13:$I966, 1)-SUMIFS($G$13:$G966, $E$13:$E966, "Rachel", $O$13:$O966,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117">
        <f>SUMIFS($G$13:$G966, $E$13:$E966, "Timothy", $J$13:$J966, 1)-SUMIFS($G$13:$G966, $E$13:$E966, "BL", $H$13:$H966, 1)</f>
        <v>-183.3105881</v>
      </c>
      <c r="I5" s="28">
        <f>SUMIFS($G$13:$G966, $E$13:$E966, "Rachel", $J$13:$J966, 1)-SUMIFS($G$13:$G966, $E$13:$E966, "BL", $I$13:$I966, 1)</f>
        <v>-145.8864976</v>
      </c>
      <c r="J5" s="20"/>
      <c r="K5" s="25">
        <f>SUMIFS($G$13:$G966, $E$13:$E966, "Pigskin", $J$13:$J966, 1)-SUMIFS($G$13:$G966, $E$13:$E966, "BL", $K$13:$K966, 1)</f>
        <v>-84.26028333</v>
      </c>
      <c r="L5" s="28">
        <f>SUMIFS($G$13:$G966, $E$13:$E966, "Angel", $J$13:$J966, 1)-SUMIFS($G$13:$G966, $E$13:$E966, "BL", $L$13:$L966, 1)</f>
        <v>0</v>
      </c>
      <c r="M5" s="25">
        <f>SUMIFS($G$13:$G966, $E$13:$E966, "Ivan", $J$13:$J966, 1)-SUMIFS($G$13:$G966, $E$13:$E966, "BL", $M$13:$M966, 1)</f>
        <v>-195.0615786</v>
      </c>
      <c r="N5" s="28">
        <f>SUMIFS($G$13:$G966, $E$13:$E966, "Esther", $J$13:$J966, 1)-SUMIFS($G$13:$G966, $E$13:$E966, "BL", $N$13:$N966, 1)</f>
        <v>-105.40595</v>
      </c>
      <c r="O5" s="26">
        <f>SUMIFS($G$13:$G966, $E$13:$E966, "Ken9", $J$13:$J966, 1)-SUMIFS($G$13:$G966, $E$13:$E966, "BL", $O$13:$O966,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117">
        <f>SUMIFS($G$13:$G966, $E$13:$E966, "Timothy", $K$13:$K966, 1)-SUMIFS($G$13:$G966, $E$13:$E966, "Pigskin", $H$13:$H966, 1)</f>
        <v>11.87492857</v>
      </c>
      <c r="I6" s="28">
        <f>SUMIFS($G$13:$G966, $E$13:$E966, "Rachel", $K$13:$K966, 1)-SUMIFS($G$13:$G966, $E$13:$E966, "Pigskin", $I$13:$I966, 1)</f>
        <v>-84.29288095</v>
      </c>
      <c r="J6" s="28">
        <f>SUMIFS($G$13:$G966, $E$13:$E966, "BL", $K$13:$K966, 1)-SUMIFS($G$13:$G966, $E$13:$E966, "Pigskin", $J$13:$J966, 1)</f>
        <v>84.26028333</v>
      </c>
      <c r="K6" s="20"/>
      <c r="L6" s="25">
        <f>SUMIFS($G$13:$G966, $E$13:$E966, "Angel", $K$13:$K966, 1)-SUMIFS($G$13:$G966, $E$13:$E966, "Pigskin", $L$13:$L966, 1)</f>
        <v>0</v>
      </c>
      <c r="M6" s="28">
        <f>SUMIFS($G$13:$G966, $E$13:$E966, "Ivan", $K$13:$K966, 1)-SUMIFS($G$13:$G966, $E$13:$E966, "Pigskin", $M$13:$M966, 1)</f>
        <v>-66.68609524</v>
      </c>
      <c r="N6" s="28">
        <f>SUMIFS($G$13:$G966, $E$13:$E966, "Esther", $K$13:$K966, 1)-SUMIFS($G$13:$G966, $E$13:$E966, "Pigskin", $N$13:$N966, 1)</f>
        <v>-52.36333333</v>
      </c>
      <c r="O6" s="26">
        <f>SUMIFS($G$13:$G966, $E$13:$E966, "Ken9", $K$13:$K966, 1)-SUMIFS($G$13:$G966, $E$13:$E966, "Pigskin", $O$13:$O966,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SUMIFS($G$13:$G966, $E$13:$E966, "Timothy", $L$13:$L966, 1)-SUMIFS($G$13:$G966, $E$13:$E966, "Angel", $H$13:$H966, 1)</f>
        <v>67.36142857</v>
      </c>
      <c r="I7" s="25">
        <f>SUMIFS($G$13:$G966, $E$13:$E966, "Rachel", $L$13:$L966, 1)-SUMIFS($G$13:$G966, $E$13:$E966, "Angel", $I$13:$I966, 1)</f>
        <v>4.604285714</v>
      </c>
      <c r="J7" s="25">
        <f>SUMIFS($G$13:$G966, $E$13:$E966, "BL", $L$13:$L966, 1)-SUMIFS($G$13:$G966, $E$13:$E966, "Angel", $J$13:$J966, 1)</f>
        <v>0</v>
      </c>
      <c r="K7" s="25">
        <f>SUMIFS($G$13:$G966, $E$13:$E966, "Pigskin", $L$13:$L966, 1)-SUMIFS($G$13:$G966, $E$13:$E966, "Angel", $K$13:$K966, 1)</f>
        <v>0</v>
      </c>
      <c r="L7" s="20"/>
      <c r="M7" s="25">
        <f>SUMIFS($G$13:$G966, $E$13:$E966, "Ivan", $L$13:$L966, 1)-SUMIFS($G$13:$G966, $E$13:$E966, "Angel", $M$13:$M966, 1)</f>
        <v>15.42857143</v>
      </c>
      <c r="N7" s="28">
        <f>SUMIFS($G$13:$G966, $E$13:$E966, "Esther", $L$13:$L966, 1)-SUMIFS($G$13:$G966, $E$13:$E966, "Angel", $N$13:$N966, 1)</f>
        <v>0</v>
      </c>
      <c r="O7" s="31">
        <f>SUMIFS($G$13:$G966, $E$13:$E966, "Ken9", $L$13:$L966, 1)-SUMIFS($G$13:$G966, $E$13:$E966, "Angel", $O$13:$O966,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SUMIFS($G$13:$G966, $E$13:$E966, "Timothy", $M$13:$M966, 1)-SUMIFS($G$13:$G966, $E$13:$E966, "Ivan", $H$13:$H966, 1)</f>
        <v>67.74519048</v>
      </c>
      <c r="I8" s="28">
        <f>SUMIFS($G$13:$G966, $E$13:$E966, "Rachel", $M$13:$M966, 1)-SUMIFS($G$13:$G966, $E$13:$E966, "Ivan", $I$13:$I966, 1)</f>
        <v>-20.45061905</v>
      </c>
      <c r="J8" s="25">
        <f>SUMIFS($G$13:$G966, $E$13:$E966, "BL", $M$13:$M966, 1)-SUMIFS($G$13:$G966, $E$13:$E966, "Ivan", $J$13:$J966, 1)</f>
        <v>195.0615786</v>
      </c>
      <c r="K8" s="25">
        <f>SUMIFS($G$13:$G966, $E$13:$E966, "Pigskin", $M$13:$M966, 1)-SUMIFS($G$13:$G966, $E$13:$E966, "Ivan", $K$13:$K966, 1)</f>
        <v>66.68609524</v>
      </c>
      <c r="L8" s="25">
        <f>SUMIFS($G$13:$G966, $E$13:$E966, "Angel", $M$13:$M966, 1)-SUMIFS($G$13:$G966, $E$13:$E966, "Ivan", $L$13:$L966, 1)</f>
        <v>-15.42857143</v>
      </c>
      <c r="M8" s="20"/>
      <c r="N8" s="28">
        <f>SUMIFS($G$13:$G966, $E$13:$E966, "Esther", $M$13:$M966, 1)-SUMIFS($G$13:$G966, $E$13:$E966, "Ivan", $N$13:$N966, 1)</f>
        <v>1.931428571</v>
      </c>
      <c r="O8" s="31">
        <f>SUMIFS($G$13:$G966, $E$13:$E966, "Ken9", $M$13:$M966, 1)-SUMIFS($G$13:$G966, $E$13:$E966, "Ivan", $O$13:$O966,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117">
        <f>SUMIFS($G$13:$G966, $E$13:$E966, "Timothy", $N$13:$N966, 1)-SUMIFS($G$13:$G966, $E$13:$E966, "Esther", $H$13:$H966, 1)</f>
        <v>35.09309524</v>
      </c>
      <c r="I9" s="25">
        <f>SUMIFS($G$13:$G966, $E$13:$E966, "Rachel", $N$13:$N966, 1)-SUMIFS($G$13:$G966, $E$13:$E966, "Esther", $I$13:$I966, 1)</f>
        <v>8.953952381</v>
      </c>
      <c r="J9" s="25">
        <f>SUMIFS($G$13:$G966, $E$13:$E966, "BL", $N$13:$N966, 1)-SUMIFS($G$13:$G966, $E$13:$E966, "Esther", $J$13:$J966, 1)</f>
        <v>105.40595</v>
      </c>
      <c r="K9" s="25">
        <f>SUMIFS($G$13:$G966, $E$13:$E966, "Pigskin", $N$13:$N966, 1)-SUMIFS($G$13:$G966, $E$13:$E966, "Esther", $K$13:$K966, 1)</f>
        <v>52.36333333</v>
      </c>
      <c r="L9" s="25">
        <f>SUMIFS($G$13:$G966, $E$13:$E966, "Angel", $N$13:$N966, 1)-SUMIFS($G$13:$G966, $E$13:$E966, "Esther", $L$13:$L966, 1)</f>
        <v>0</v>
      </c>
      <c r="M9" s="25">
        <f>SUMIFS($G$13:$G966, $E$13:$E966, "Ivan", $N$13:$N966, 1)-SUMIFS($G$13:$G966, $E$13:$E966, "Esther", $M$13:$M966, 1)</f>
        <v>-1.931428571</v>
      </c>
      <c r="N9" s="20"/>
      <c r="O9" s="31">
        <f>SUMIFS($G$13:$G966, $E$13:$E966, "Ken9", $N$13:$N966, 1)-SUMIFS($G$13:$G966, $E$13:$E966, "Esther", $O$13:$O966,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SUMIFS($G$13:$G966, $E$13:$E966, "Timothy", $O$13:$O966, 1)-SUMIFS($G$13:$G966, $E$13:$E966, "Ken9", $H$13:$H966, 1)</f>
        <v>0</v>
      </c>
      <c r="I10" s="40">
        <f>SUMIFS($G$13:$G966, $E$13:$E966, "Rachel", $O$13:$O966, 1)-SUMIFS($G$13:$G966, $E$13:$E966, "Ken9", $I$13:$I966, 1)</f>
        <v>0</v>
      </c>
      <c r="J10" s="40">
        <f>SUMIFS($G$13:$G966, $E$13:$E966, "BL", $O$13:$O966, 1)-SUMIFS($G$13:$G966, $E$13:$E966, "Ken9", $J$13:$J966, 1)</f>
        <v>0</v>
      </c>
      <c r="K10" s="40">
        <f>SUMIFS($G$13:$G966, $E$13:$E966, "Pigskin", $O$13:$O966, 1)-SUMIFS($G$13:$G966, $E$13:$E966, "Ken9", $K$13:$K966, 1)</f>
        <v>0</v>
      </c>
      <c r="L10" s="40">
        <f>SUMIFS($G$13:$G966, $E$13:$E966, "Angel", $O$13:$O966, 1)-SUMIFS($G$13:$G966, $E$13:$E966, "Ken9", $L$13:$L966, 1)</f>
        <v>0</v>
      </c>
      <c r="M10" s="40">
        <f>SUMIFS($G$13:$G966, $E$13:$E966, "Ivan", $O$13:$O966, 1)-SUMIFS($G$13:$G966, $E$13:$E966, "Ken9", $M$13:$M966, 1)</f>
        <v>0</v>
      </c>
      <c r="N10" s="40">
        <f>SUMIFS($G$13:$G966, $E$13:$E966, "Esther", $O$13:$O966, 1)-SUMIFS($G$13:$G966, $E$13:$E966, "Ken9", $N$13:$N966,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9">
        <v>45537.0</v>
      </c>
      <c r="B13" s="12" t="s">
        <v>149</v>
      </c>
      <c r="C13" s="12" t="s">
        <v>11</v>
      </c>
      <c r="D13" s="12">
        <v>37.94</v>
      </c>
      <c r="E13" s="12" t="s">
        <v>13</v>
      </c>
      <c r="F13" s="10">
        <f t="shared" ref="F13:F52" si="1">D13/sum(H13:Q13)</f>
        <v>7.588</v>
      </c>
      <c r="G13" s="10">
        <f t="shared" ref="G13:G52" si="2">D13/sum(H13:Q13)</f>
        <v>7.588</v>
      </c>
      <c r="H13" s="1">
        <v>1.0</v>
      </c>
      <c r="I13" s="1">
        <v>1.0</v>
      </c>
      <c r="J13" s="1">
        <v>1.0</v>
      </c>
      <c r="K13" s="1">
        <v>1.0</v>
      </c>
      <c r="N13" s="1">
        <v>1.0</v>
      </c>
      <c r="Z13" s="10"/>
      <c r="AA13" s="10"/>
    </row>
    <row r="14">
      <c r="A14" s="59">
        <v>45537.0</v>
      </c>
      <c r="B14" s="12" t="s">
        <v>255</v>
      </c>
      <c r="C14" s="12" t="s">
        <v>25</v>
      </c>
      <c r="D14" s="12">
        <f>(16.64+11.99)*1.13</f>
        <v>32.3519</v>
      </c>
      <c r="E14" s="12" t="s">
        <v>13</v>
      </c>
      <c r="F14" s="10">
        <f t="shared" si="1"/>
        <v>32.3519</v>
      </c>
      <c r="G14" s="10">
        <f t="shared" si="2"/>
        <v>32.3519</v>
      </c>
      <c r="H14" s="1">
        <v>1.0</v>
      </c>
      <c r="Z14" s="10"/>
      <c r="AA14" s="10"/>
    </row>
    <row r="15">
      <c r="A15" s="61">
        <v>45538.0</v>
      </c>
      <c r="B15" s="51" t="s">
        <v>46</v>
      </c>
      <c r="C15" s="51" t="s">
        <v>11</v>
      </c>
      <c r="D15" s="51">
        <v>40.09</v>
      </c>
      <c r="E15" s="51" t="s">
        <v>13</v>
      </c>
      <c r="F15" s="10">
        <f t="shared" si="1"/>
        <v>10.0225</v>
      </c>
      <c r="G15" s="10">
        <f t="shared" si="2"/>
        <v>10.0225</v>
      </c>
      <c r="H15" s="52">
        <v>1.0</v>
      </c>
      <c r="I15" s="52">
        <v>1.0</v>
      </c>
      <c r="J15" s="52"/>
      <c r="K15" s="52">
        <v>1.0</v>
      </c>
      <c r="L15" s="54"/>
      <c r="M15" s="54">
        <v>1.0</v>
      </c>
      <c r="N15" s="52"/>
      <c r="Z15" s="10"/>
      <c r="AA15" s="10"/>
    </row>
    <row r="16">
      <c r="A16" s="61">
        <v>45539.0</v>
      </c>
      <c r="B16" s="51" t="s">
        <v>155</v>
      </c>
      <c r="C16" s="51" t="s">
        <v>11</v>
      </c>
      <c r="D16" s="51">
        <v>88.14</v>
      </c>
      <c r="E16" s="51" t="s">
        <v>4</v>
      </c>
      <c r="F16" s="10">
        <f t="shared" si="1"/>
        <v>17.628</v>
      </c>
      <c r="G16" s="10">
        <f t="shared" si="2"/>
        <v>17.628</v>
      </c>
      <c r="H16" s="52">
        <v>1.0</v>
      </c>
      <c r="I16" s="52">
        <v>1.0</v>
      </c>
      <c r="J16" s="52">
        <v>1.0</v>
      </c>
      <c r="K16" s="52">
        <v>1.0</v>
      </c>
      <c r="L16" s="54"/>
      <c r="M16" s="54"/>
      <c r="N16" s="52">
        <v>1.0</v>
      </c>
      <c r="Z16" s="10"/>
      <c r="AA16" s="10"/>
    </row>
    <row r="17">
      <c r="A17" s="61">
        <v>45539.0</v>
      </c>
      <c r="B17" s="51" t="s">
        <v>256</v>
      </c>
      <c r="C17" s="51" t="s">
        <v>11</v>
      </c>
      <c r="D17" s="115">
        <v>156.25</v>
      </c>
      <c r="E17" s="51" t="s">
        <v>2</v>
      </c>
      <c r="F17" s="10">
        <f t="shared" si="1"/>
        <v>31.25</v>
      </c>
      <c r="G17" s="10">
        <f t="shared" si="2"/>
        <v>31.25</v>
      </c>
      <c r="H17" s="52"/>
      <c r="I17" s="52">
        <v>1.0</v>
      </c>
      <c r="J17" s="52">
        <v>1.0</v>
      </c>
      <c r="K17" s="52">
        <v>1.0</v>
      </c>
      <c r="L17" s="54">
        <v>1.0</v>
      </c>
      <c r="M17" s="54">
        <v>1.0</v>
      </c>
      <c r="N17" s="52"/>
      <c r="Z17" s="10"/>
      <c r="AA17" s="10"/>
    </row>
    <row r="18">
      <c r="A18" s="61">
        <v>45540.0</v>
      </c>
      <c r="B18" s="51" t="s">
        <v>130</v>
      </c>
      <c r="C18" s="51" t="s">
        <v>11</v>
      </c>
      <c r="D18" s="51">
        <v>98.05</v>
      </c>
      <c r="E18" s="51" t="s">
        <v>2</v>
      </c>
      <c r="F18" s="10">
        <f t="shared" si="1"/>
        <v>16.34166667</v>
      </c>
      <c r="G18" s="10">
        <f t="shared" si="2"/>
        <v>16.34166667</v>
      </c>
      <c r="H18" s="52">
        <v>1.0</v>
      </c>
      <c r="I18" s="52">
        <v>1.0</v>
      </c>
      <c r="J18" s="52">
        <v>1.0</v>
      </c>
      <c r="K18" s="52">
        <v>1.0</v>
      </c>
      <c r="L18" s="54"/>
      <c r="M18" s="54">
        <v>1.0</v>
      </c>
      <c r="N18" s="52">
        <v>1.0</v>
      </c>
      <c r="Z18" s="10"/>
      <c r="AA18" s="10"/>
    </row>
    <row r="19">
      <c r="A19" s="61">
        <v>45542.0</v>
      </c>
      <c r="B19" s="51" t="s">
        <v>257</v>
      </c>
      <c r="C19" s="51" t="s">
        <v>11</v>
      </c>
      <c r="D19" s="51">
        <v>95.53</v>
      </c>
      <c r="E19" s="51" t="s">
        <v>2</v>
      </c>
      <c r="F19" s="10">
        <f t="shared" si="1"/>
        <v>13.64714286</v>
      </c>
      <c r="G19" s="10">
        <f t="shared" si="2"/>
        <v>13.64714286</v>
      </c>
      <c r="H19" s="52">
        <v>1.0</v>
      </c>
      <c r="I19" s="52">
        <v>1.0</v>
      </c>
      <c r="J19" s="52">
        <v>1.0</v>
      </c>
      <c r="K19" s="52">
        <v>1.0</v>
      </c>
      <c r="L19" s="54">
        <v>1.0</v>
      </c>
      <c r="M19" s="54">
        <v>1.0</v>
      </c>
      <c r="N19" s="52">
        <v>1.0</v>
      </c>
      <c r="Z19" s="10"/>
      <c r="AA19" s="10"/>
    </row>
    <row r="20">
      <c r="A20" s="59">
        <v>45542.0</v>
      </c>
      <c r="B20" s="12" t="s">
        <v>258</v>
      </c>
      <c r="C20" s="51" t="s">
        <v>23</v>
      </c>
      <c r="D20" s="12">
        <v>4.8</v>
      </c>
      <c r="E20" s="12" t="s">
        <v>13</v>
      </c>
      <c r="F20" s="67">
        <f t="shared" si="1"/>
        <v>0.96</v>
      </c>
      <c r="G20" s="10">
        <f t="shared" si="2"/>
        <v>0.96</v>
      </c>
      <c r="H20" s="1">
        <v>1.0</v>
      </c>
      <c r="I20" s="1">
        <v>1.0</v>
      </c>
      <c r="J20" s="1">
        <v>1.0</v>
      </c>
      <c r="K20" s="1">
        <v>1.0</v>
      </c>
      <c r="N20" s="1">
        <v>1.0</v>
      </c>
      <c r="Z20" s="57"/>
      <c r="AA20" s="57"/>
    </row>
    <row r="21">
      <c r="A21" s="61">
        <v>45542.0</v>
      </c>
      <c r="B21" s="51" t="s">
        <v>259</v>
      </c>
      <c r="C21" s="51" t="s">
        <v>11</v>
      </c>
      <c r="D21" s="51">
        <v>108.0</v>
      </c>
      <c r="E21" s="51" t="s">
        <v>8</v>
      </c>
      <c r="F21" s="67">
        <f t="shared" si="1"/>
        <v>15.42857143</v>
      </c>
      <c r="G21" s="10">
        <f t="shared" si="2"/>
        <v>15.42857143</v>
      </c>
      <c r="H21" s="52">
        <v>1.0</v>
      </c>
      <c r="I21" s="52">
        <v>1.0</v>
      </c>
      <c r="J21" s="52">
        <v>1.0</v>
      </c>
      <c r="K21" s="52">
        <v>1.0</v>
      </c>
      <c r="L21" s="54">
        <v>1.0</v>
      </c>
      <c r="M21" s="54">
        <v>1.0</v>
      </c>
      <c r="N21" s="52">
        <v>1.0</v>
      </c>
      <c r="Z21" s="10"/>
      <c r="AA21" s="10"/>
    </row>
    <row r="22">
      <c r="A22" s="61">
        <v>45543.0</v>
      </c>
      <c r="B22" s="51" t="s">
        <v>141</v>
      </c>
      <c r="C22" s="51" t="s">
        <v>11</v>
      </c>
      <c r="D22" s="51">
        <v>157.25</v>
      </c>
      <c r="E22" s="51" t="s">
        <v>2</v>
      </c>
      <c r="F22" s="67">
        <f t="shared" si="1"/>
        <v>22.46428571</v>
      </c>
      <c r="G22" s="10">
        <f t="shared" si="2"/>
        <v>22.46428571</v>
      </c>
      <c r="H22" s="52">
        <v>1.0</v>
      </c>
      <c r="I22" s="52">
        <v>1.0</v>
      </c>
      <c r="J22" s="52">
        <v>1.0</v>
      </c>
      <c r="K22" s="52">
        <v>1.0</v>
      </c>
      <c r="L22" s="54">
        <v>1.0</v>
      </c>
      <c r="M22" s="54">
        <v>1.0</v>
      </c>
      <c r="N22" s="52">
        <v>1.0</v>
      </c>
      <c r="Z22" s="10"/>
      <c r="AA22" s="10"/>
    </row>
    <row r="23">
      <c r="A23" s="61">
        <v>45544.0</v>
      </c>
      <c r="B23" s="51" t="s">
        <v>130</v>
      </c>
      <c r="C23" s="51" t="s">
        <v>11</v>
      </c>
      <c r="D23" s="51">
        <v>45.75</v>
      </c>
      <c r="E23" s="51" t="s">
        <v>8</v>
      </c>
      <c r="F23" s="67">
        <f t="shared" si="1"/>
        <v>15.25</v>
      </c>
      <c r="G23" s="10">
        <f t="shared" si="2"/>
        <v>15.25</v>
      </c>
      <c r="H23" s="52">
        <v>1.0</v>
      </c>
      <c r="I23" s="52">
        <v>1.0</v>
      </c>
      <c r="J23" s="52"/>
      <c r="K23" s="52"/>
      <c r="L23" s="54"/>
      <c r="M23" s="54">
        <v>1.0</v>
      </c>
      <c r="N23" s="52"/>
      <c r="Z23" s="10"/>
      <c r="AA23" s="10"/>
    </row>
    <row r="24">
      <c r="A24" s="61">
        <v>45545.0</v>
      </c>
      <c r="B24" s="51" t="s">
        <v>46</v>
      </c>
      <c r="C24" s="51" t="s">
        <v>11</v>
      </c>
      <c r="D24" s="51">
        <v>38.97</v>
      </c>
      <c r="E24" s="51" t="s">
        <v>14</v>
      </c>
      <c r="F24" s="10">
        <f t="shared" si="1"/>
        <v>6.495</v>
      </c>
      <c r="G24" s="10">
        <f t="shared" si="2"/>
        <v>6.495</v>
      </c>
      <c r="H24" s="52">
        <v>1.0</v>
      </c>
      <c r="I24" s="52">
        <v>1.0</v>
      </c>
      <c r="J24" s="52">
        <v>1.0</v>
      </c>
      <c r="K24" s="52">
        <v>1.0</v>
      </c>
      <c r="L24" s="54"/>
      <c r="M24" s="54">
        <v>1.0</v>
      </c>
      <c r="N24" s="52">
        <v>1.0</v>
      </c>
      <c r="Z24" s="10"/>
      <c r="AA24" s="10"/>
    </row>
    <row r="25">
      <c r="A25" s="61">
        <v>45546.0</v>
      </c>
      <c r="B25" s="51" t="s">
        <v>46</v>
      </c>
      <c r="C25" s="51" t="s">
        <v>11</v>
      </c>
      <c r="D25" s="63">
        <v>13.27</v>
      </c>
      <c r="E25" s="51" t="s">
        <v>2</v>
      </c>
      <c r="F25" s="10">
        <f t="shared" si="1"/>
        <v>2.654</v>
      </c>
      <c r="G25" s="10">
        <f t="shared" si="2"/>
        <v>2.654</v>
      </c>
      <c r="H25" s="52">
        <v>1.0</v>
      </c>
      <c r="I25" s="54">
        <v>1.0</v>
      </c>
      <c r="J25" s="54">
        <v>1.0</v>
      </c>
      <c r="K25" s="54">
        <v>1.0</v>
      </c>
      <c r="L25" s="54"/>
      <c r="M25" s="54">
        <v>1.0</v>
      </c>
      <c r="N25" s="54"/>
      <c r="Z25" s="10"/>
      <c r="AA25" s="10"/>
    </row>
    <row r="26">
      <c r="A26" s="61">
        <v>45546.0</v>
      </c>
      <c r="B26" s="12" t="s">
        <v>120</v>
      </c>
      <c r="C26" s="12" t="s">
        <v>11</v>
      </c>
      <c r="D26" s="12">
        <v>32.23</v>
      </c>
      <c r="E26" s="12" t="s">
        <v>4</v>
      </c>
      <c r="F26" s="10">
        <f t="shared" si="1"/>
        <v>4.604285714</v>
      </c>
      <c r="G26" s="10">
        <f t="shared" si="2"/>
        <v>4.604285714</v>
      </c>
      <c r="H26" s="1">
        <v>1.0</v>
      </c>
      <c r="I26" s="1">
        <v>1.0</v>
      </c>
      <c r="J26" s="1">
        <v>1.0</v>
      </c>
      <c r="K26" s="1">
        <v>1.0</v>
      </c>
      <c r="L26" s="1">
        <v>1.0</v>
      </c>
      <c r="M26" s="1">
        <v>1.0</v>
      </c>
      <c r="N26" s="1">
        <v>1.0</v>
      </c>
      <c r="Z26" s="10"/>
      <c r="AA26" s="10"/>
    </row>
    <row r="27">
      <c r="A27" s="55">
        <v>45546.0</v>
      </c>
      <c r="B27" s="12" t="s">
        <v>260</v>
      </c>
      <c r="C27" s="12" t="s">
        <v>23</v>
      </c>
      <c r="D27" s="12">
        <v>8.93</v>
      </c>
      <c r="E27" s="12" t="s">
        <v>13</v>
      </c>
      <c r="F27" s="10">
        <f t="shared" si="1"/>
        <v>1.786</v>
      </c>
      <c r="G27" s="10">
        <f t="shared" si="2"/>
        <v>1.786</v>
      </c>
      <c r="H27" s="1">
        <v>1.0</v>
      </c>
      <c r="I27" s="1">
        <v>1.0</v>
      </c>
      <c r="J27" s="1">
        <v>1.0</v>
      </c>
      <c r="K27" s="1">
        <v>1.0</v>
      </c>
      <c r="N27" s="1">
        <v>1.0</v>
      </c>
      <c r="Z27" s="10"/>
      <c r="AA27" s="10"/>
    </row>
    <row r="28">
      <c r="A28" s="55">
        <v>45547.0</v>
      </c>
      <c r="B28" s="12" t="s">
        <v>46</v>
      </c>
      <c r="C28" s="12" t="s">
        <v>11</v>
      </c>
      <c r="D28" s="12">
        <v>49.33</v>
      </c>
      <c r="E28" s="12" t="s">
        <v>14</v>
      </c>
      <c r="F28" s="67">
        <f t="shared" si="1"/>
        <v>8.221666667</v>
      </c>
      <c r="G28" s="10">
        <f t="shared" si="2"/>
        <v>8.221666667</v>
      </c>
      <c r="H28" s="1">
        <v>1.0</v>
      </c>
      <c r="I28" s="1">
        <v>1.0</v>
      </c>
      <c r="J28" s="1">
        <v>1.0</v>
      </c>
      <c r="K28" s="1">
        <v>1.0</v>
      </c>
      <c r="M28" s="1">
        <v>1.0</v>
      </c>
      <c r="N28" s="1">
        <v>1.0</v>
      </c>
      <c r="Z28" s="10"/>
      <c r="AA28" s="10"/>
    </row>
    <row r="29">
      <c r="A29" s="55">
        <v>45548.0</v>
      </c>
      <c r="B29" s="12" t="s">
        <v>47</v>
      </c>
      <c r="C29" s="12" t="s">
        <v>11</v>
      </c>
      <c r="D29" s="12">
        <v>158.69</v>
      </c>
      <c r="E29" s="12" t="s">
        <v>13</v>
      </c>
      <c r="F29" s="10">
        <f t="shared" si="1"/>
        <v>26.44833333</v>
      </c>
      <c r="G29" s="10">
        <f t="shared" si="2"/>
        <v>26.44833333</v>
      </c>
      <c r="H29" s="1">
        <v>1.0</v>
      </c>
      <c r="I29" s="1">
        <v>1.0</v>
      </c>
      <c r="J29" s="1">
        <v>1.0</v>
      </c>
      <c r="K29" s="1">
        <v>1.0</v>
      </c>
      <c r="M29" s="1">
        <v>1.0</v>
      </c>
      <c r="N29" s="1">
        <v>1.0</v>
      </c>
      <c r="Z29" s="10"/>
      <c r="AA29" s="10"/>
    </row>
    <row r="30">
      <c r="A30" s="61">
        <v>45548.0</v>
      </c>
      <c r="B30" s="51" t="s">
        <v>261</v>
      </c>
      <c r="C30" s="51" t="s">
        <v>19</v>
      </c>
      <c r="D30" s="51">
        <f>15.69*1.13</f>
        <v>17.7297</v>
      </c>
      <c r="E30" s="51" t="s">
        <v>13</v>
      </c>
      <c r="F30" s="10">
        <f t="shared" si="1"/>
        <v>2.95495</v>
      </c>
      <c r="G30" s="10">
        <f t="shared" si="2"/>
        <v>2.95495</v>
      </c>
      <c r="H30" s="54">
        <v>1.0</v>
      </c>
      <c r="I30" s="54">
        <v>1.0</v>
      </c>
      <c r="J30" s="54">
        <v>1.0</v>
      </c>
      <c r="K30" s="54">
        <v>1.0</v>
      </c>
      <c r="L30" s="54"/>
      <c r="M30" s="54">
        <v>1.0</v>
      </c>
      <c r="N30" s="54">
        <v>1.0</v>
      </c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</row>
    <row r="31">
      <c r="A31" s="61">
        <v>45548.0</v>
      </c>
      <c r="B31" s="51" t="s">
        <v>262</v>
      </c>
      <c r="C31" s="51" t="s">
        <v>11</v>
      </c>
      <c r="D31" s="51">
        <f>8.49*3</f>
        <v>25.47</v>
      </c>
      <c r="E31" s="51" t="s">
        <v>13</v>
      </c>
      <c r="F31" s="10">
        <f t="shared" si="1"/>
        <v>12.735</v>
      </c>
      <c r="G31" s="10">
        <f t="shared" si="2"/>
        <v>12.735</v>
      </c>
      <c r="H31" s="54"/>
      <c r="I31" s="54"/>
      <c r="J31" s="54">
        <v>1.0</v>
      </c>
      <c r="K31" s="54"/>
      <c r="L31" s="54"/>
      <c r="M31" s="54">
        <v>1.0</v>
      </c>
      <c r="N31" s="54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</row>
    <row r="32">
      <c r="A32" s="61">
        <v>45548.0</v>
      </c>
      <c r="B32" s="51" t="s">
        <v>263</v>
      </c>
      <c r="C32" s="51" t="s">
        <v>31</v>
      </c>
      <c r="D32" s="51">
        <f>36.99*1.13</f>
        <v>41.7987</v>
      </c>
      <c r="E32" s="51" t="s">
        <v>13</v>
      </c>
      <c r="F32" s="65">
        <f t="shared" si="1"/>
        <v>41.7987</v>
      </c>
      <c r="G32" s="65">
        <f t="shared" si="2"/>
        <v>41.7987</v>
      </c>
      <c r="H32" s="54"/>
      <c r="I32" s="54"/>
      <c r="J32" s="54"/>
      <c r="K32" s="54"/>
      <c r="L32" s="54"/>
      <c r="M32" s="54">
        <v>1.0</v>
      </c>
      <c r="N32" s="54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</row>
    <row r="33">
      <c r="A33" s="61">
        <v>45548.0</v>
      </c>
      <c r="B33" s="12" t="s">
        <v>264</v>
      </c>
      <c r="C33" s="12" t="s">
        <v>11</v>
      </c>
      <c r="D33" s="12">
        <v>20.35</v>
      </c>
      <c r="E33" s="51" t="s">
        <v>13</v>
      </c>
      <c r="F33" s="10">
        <f t="shared" si="1"/>
        <v>4.07</v>
      </c>
      <c r="G33" s="10">
        <f t="shared" si="2"/>
        <v>4.07</v>
      </c>
      <c r="H33" s="1">
        <v>1.0</v>
      </c>
      <c r="I33" s="1">
        <v>1.0</v>
      </c>
      <c r="J33" s="1">
        <v>1.0</v>
      </c>
      <c r="K33" s="1">
        <v>1.0</v>
      </c>
      <c r="M33" s="1">
        <v>1.0</v>
      </c>
      <c r="Z33" s="10"/>
      <c r="AA33" s="10"/>
    </row>
    <row r="34">
      <c r="A34" s="61">
        <v>45548.0</v>
      </c>
      <c r="B34" s="51" t="s">
        <v>265</v>
      </c>
      <c r="C34" s="51" t="s">
        <v>27</v>
      </c>
      <c r="D34" s="63">
        <v>37.26</v>
      </c>
      <c r="E34" s="51" t="s">
        <v>13</v>
      </c>
      <c r="F34" s="10">
        <f t="shared" si="1"/>
        <v>7.452</v>
      </c>
      <c r="G34" s="10">
        <f t="shared" si="2"/>
        <v>7.452</v>
      </c>
      <c r="H34" s="52">
        <v>1.0</v>
      </c>
      <c r="I34" s="52">
        <v>1.0</v>
      </c>
      <c r="J34" s="52">
        <v>1.0</v>
      </c>
      <c r="K34" s="52">
        <v>1.0</v>
      </c>
      <c r="L34" s="53"/>
      <c r="M34" s="54"/>
      <c r="N34" s="52">
        <v>1.0</v>
      </c>
      <c r="Z34" s="10"/>
      <c r="AA34" s="10"/>
    </row>
    <row r="35">
      <c r="A35" s="61">
        <v>45549.0</v>
      </c>
      <c r="B35" s="51" t="s">
        <v>266</v>
      </c>
      <c r="C35" s="51" t="s">
        <v>11</v>
      </c>
      <c r="D35" s="51">
        <v>68.0</v>
      </c>
      <c r="E35" s="51" t="s">
        <v>14</v>
      </c>
      <c r="F35" s="10">
        <f t="shared" si="1"/>
        <v>22.66666667</v>
      </c>
      <c r="G35" s="10">
        <f t="shared" si="2"/>
        <v>22.66666667</v>
      </c>
      <c r="H35" s="52"/>
      <c r="I35" s="54">
        <v>1.0</v>
      </c>
      <c r="J35" s="54"/>
      <c r="K35" s="54">
        <v>1.0</v>
      </c>
      <c r="L35" s="53"/>
      <c r="M35" s="54"/>
      <c r="N35" s="54">
        <v>1.0</v>
      </c>
      <c r="Z35" s="10"/>
      <c r="AA35" s="10"/>
    </row>
    <row r="36">
      <c r="A36" s="61">
        <v>45550.0</v>
      </c>
      <c r="B36" s="51" t="s">
        <v>267</v>
      </c>
      <c r="C36" s="51" t="s">
        <v>11</v>
      </c>
      <c r="D36" s="51">
        <v>105.13</v>
      </c>
      <c r="E36" s="51" t="s">
        <v>14</v>
      </c>
      <c r="F36" s="10">
        <f t="shared" si="1"/>
        <v>17.52166667</v>
      </c>
      <c r="G36" s="10">
        <f t="shared" si="2"/>
        <v>17.52166667</v>
      </c>
      <c r="H36" s="52">
        <v>1.0</v>
      </c>
      <c r="I36" s="54">
        <v>1.0</v>
      </c>
      <c r="J36" s="54">
        <v>1.0</v>
      </c>
      <c r="K36" s="54">
        <v>1.0</v>
      </c>
      <c r="L36" s="53"/>
      <c r="M36" s="54">
        <v>1.0</v>
      </c>
      <c r="N36" s="54">
        <v>1.0</v>
      </c>
      <c r="Z36" s="10"/>
      <c r="AA36" s="10"/>
    </row>
    <row r="37">
      <c r="A37" s="61">
        <v>45551.0</v>
      </c>
      <c r="B37" s="12" t="s">
        <v>46</v>
      </c>
      <c r="C37" s="12" t="s">
        <v>11</v>
      </c>
      <c r="D37" s="12">
        <v>29.02</v>
      </c>
      <c r="E37" s="51" t="s">
        <v>13</v>
      </c>
      <c r="F37" s="10">
        <f t="shared" si="1"/>
        <v>5.804</v>
      </c>
      <c r="G37" s="10">
        <f t="shared" si="2"/>
        <v>5.804</v>
      </c>
      <c r="H37" s="1">
        <v>1.0</v>
      </c>
      <c r="I37" s="1">
        <v>1.0</v>
      </c>
      <c r="J37" s="1">
        <v>1.0</v>
      </c>
      <c r="K37" s="1">
        <v>1.0</v>
      </c>
      <c r="M37" s="1">
        <v>1.0</v>
      </c>
      <c r="Z37" s="10"/>
      <c r="AA37" s="10"/>
    </row>
    <row r="38">
      <c r="A38" s="61">
        <v>45552.0</v>
      </c>
      <c r="B38" s="51" t="s">
        <v>120</v>
      </c>
      <c r="C38" s="51" t="s">
        <v>11</v>
      </c>
      <c r="D38" s="51">
        <f>36.98-5.99*1.13</f>
        <v>30.2113</v>
      </c>
      <c r="E38" s="51" t="s">
        <v>13</v>
      </c>
      <c r="F38" s="10">
        <f t="shared" si="1"/>
        <v>5.035216667</v>
      </c>
      <c r="G38" s="10">
        <f t="shared" si="2"/>
        <v>5.035216667</v>
      </c>
      <c r="H38" s="52">
        <v>1.0</v>
      </c>
      <c r="I38" s="52">
        <v>1.0</v>
      </c>
      <c r="J38" s="52">
        <v>1.0</v>
      </c>
      <c r="K38" s="52">
        <v>1.0</v>
      </c>
      <c r="L38" s="53"/>
      <c r="M38" s="54">
        <v>1.0</v>
      </c>
      <c r="N38" s="52">
        <v>1.0</v>
      </c>
      <c r="Z38" s="10"/>
      <c r="AA38" s="10"/>
    </row>
    <row r="39">
      <c r="A39" s="61">
        <v>45552.0</v>
      </c>
      <c r="B39" s="51" t="s">
        <v>268</v>
      </c>
      <c r="C39" s="51" t="s">
        <v>11</v>
      </c>
      <c r="D39" s="51">
        <v>14.69</v>
      </c>
      <c r="E39" s="51" t="s">
        <v>14</v>
      </c>
      <c r="F39" s="10">
        <f t="shared" si="1"/>
        <v>2.448333333</v>
      </c>
      <c r="G39" s="10">
        <f t="shared" si="2"/>
        <v>2.448333333</v>
      </c>
      <c r="H39" s="52">
        <v>1.0</v>
      </c>
      <c r="I39" s="54">
        <v>1.0</v>
      </c>
      <c r="J39" s="52">
        <v>1.0</v>
      </c>
      <c r="K39" s="54">
        <v>1.0</v>
      </c>
      <c r="L39" s="54"/>
      <c r="M39" s="54">
        <v>1.0</v>
      </c>
      <c r="N39" s="54">
        <v>1.0</v>
      </c>
      <c r="Z39" s="10"/>
      <c r="AA39" s="10"/>
    </row>
    <row r="40">
      <c r="A40" s="59">
        <v>45553.0</v>
      </c>
      <c r="B40" s="12" t="s">
        <v>269</v>
      </c>
      <c r="C40" s="12" t="s">
        <v>11</v>
      </c>
      <c r="D40" s="12">
        <v>104.16</v>
      </c>
      <c r="E40" s="12" t="s">
        <v>7</v>
      </c>
      <c r="F40" s="10">
        <f t="shared" si="1"/>
        <v>17.36</v>
      </c>
      <c r="G40" s="10">
        <f t="shared" si="2"/>
        <v>17.36</v>
      </c>
      <c r="H40" s="1">
        <v>1.0</v>
      </c>
      <c r="I40" s="1">
        <v>1.0</v>
      </c>
      <c r="J40" s="1">
        <v>1.0</v>
      </c>
      <c r="K40" s="1">
        <v>1.0</v>
      </c>
      <c r="M40" s="1">
        <v>1.0</v>
      </c>
      <c r="N40" s="1">
        <v>1.0</v>
      </c>
      <c r="P40" s="1"/>
      <c r="Z40" s="10"/>
      <c r="AA40" s="10"/>
    </row>
    <row r="41">
      <c r="A41" s="61">
        <v>45553.0</v>
      </c>
      <c r="B41" s="12" t="s">
        <v>46</v>
      </c>
      <c r="C41" s="51" t="s">
        <v>11</v>
      </c>
      <c r="D41" s="12">
        <v>39.17</v>
      </c>
      <c r="E41" s="12" t="s">
        <v>14</v>
      </c>
      <c r="F41" s="10">
        <f t="shared" si="1"/>
        <v>6.528333333</v>
      </c>
      <c r="G41" s="10">
        <f t="shared" si="2"/>
        <v>6.528333333</v>
      </c>
      <c r="H41" s="1">
        <v>1.0</v>
      </c>
      <c r="I41" s="1">
        <v>1.0</v>
      </c>
      <c r="J41" s="1">
        <v>1.0</v>
      </c>
      <c r="K41" s="1">
        <v>1.0</v>
      </c>
      <c r="M41" s="1">
        <v>1.0</v>
      </c>
      <c r="N41" s="1">
        <v>1.0</v>
      </c>
      <c r="Z41" s="53"/>
      <c r="AA41" s="53"/>
    </row>
    <row r="42">
      <c r="A42" s="61">
        <v>45554.0</v>
      </c>
      <c r="B42" s="12" t="s">
        <v>46</v>
      </c>
      <c r="C42" s="12" t="s">
        <v>11</v>
      </c>
      <c r="D42" s="51">
        <v>35.05</v>
      </c>
      <c r="E42" s="51" t="s">
        <v>14</v>
      </c>
      <c r="F42" s="10">
        <f t="shared" si="1"/>
        <v>5.841666667</v>
      </c>
      <c r="G42" s="10">
        <f t="shared" si="2"/>
        <v>5.841666667</v>
      </c>
      <c r="H42" s="1">
        <v>1.0</v>
      </c>
      <c r="I42" s="1">
        <v>1.0</v>
      </c>
      <c r="J42" s="1">
        <v>1.0</v>
      </c>
      <c r="K42" s="1">
        <v>1.0</v>
      </c>
      <c r="M42" s="1">
        <v>1.0</v>
      </c>
      <c r="N42" s="1">
        <v>1.0</v>
      </c>
      <c r="Z42" s="10"/>
      <c r="AA42" s="10"/>
    </row>
    <row r="43">
      <c r="A43" s="61">
        <v>45555.0</v>
      </c>
      <c r="B43" s="12" t="s">
        <v>130</v>
      </c>
      <c r="C43" s="12" t="s">
        <v>11</v>
      </c>
      <c r="D43" s="12">
        <v>77.7</v>
      </c>
      <c r="E43" s="12" t="s">
        <v>13</v>
      </c>
      <c r="F43" s="10">
        <f t="shared" si="1"/>
        <v>15.54</v>
      </c>
      <c r="G43" s="10">
        <f t="shared" si="2"/>
        <v>15.54</v>
      </c>
      <c r="H43" s="1">
        <v>1.0</v>
      </c>
      <c r="I43" s="1">
        <v>1.0</v>
      </c>
      <c r="J43" s="1">
        <v>1.0</v>
      </c>
      <c r="K43" s="1">
        <v>1.0</v>
      </c>
      <c r="M43" s="1">
        <v>1.0</v>
      </c>
      <c r="Z43" s="10"/>
      <c r="AA43" s="10"/>
    </row>
    <row r="44">
      <c r="A44" s="61">
        <v>45556.0</v>
      </c>
      <c r="B44" s="51" t="s">
        <v>46</v>
      </c>
      <c r="C44" s="51" t="s">
        <v>11</v>
      </c>
      <c r="D44" s="51">
        <v>29.47</v>
      </c>
      <c r="E44" s="51" t="s">
        <v>14</v>
      </c>
      <c r="F44" s="10">
        <f t="shared" si="1"/>
        <v>7.3675</v>
      </c>
      <c r="G44" s="10">
        <f t="shared" si="2"/>
        <v>7.3675</v>
      </c>
      <c r="H44" s="52">
        <v>1.0</v>
      </c>
      <c r="I44" s="52">
        <v>1.0</v>
      </c>
      <c r="J44" s="52">
        <v>1.0</v>
      </c>
      <c r="K44" s="52">
        <v>1.0</v>
      </c>
      <c r="L44" s="54"/>
      <c r="M44" s="54"/>
      <c r="N44" s="52"/>
      <c r="Z44" s="10"/>
      <c r="AA44" s="10"/>
    </row>
    <row r="45">
      <c r="A45" s="59">
        <v>45557.0</v>
      </c>
      <c r="B45" s="12" t="s">
        <v>46</v>
      </c>
      <c r="C45" s="12" t="s">
        <v>11</v>
      </c>
      <c r="D45" s="12">
        <v>24.49</v>
      </c>
      <c r="E45" s="12" t="s">
        <v>4</v>
      </c>
      <c r="F45" s="10">
        <f t="shared" si="1"/>
        <v>4.081666667</v>
      </c>
      <c r="G45" s="10">
        <f t="shared" si="2"/>
        <v>4.081666667</v>
      </c>
      <c r="H45" s="1">
        <v>1.0</v>
      </c>
      <c r="I45" s="1">
        <v>1.0</v>
      </c>
      <c r="J45" s="1">
        <v>1.0</v>
      </c>
      <c r="K45" s="1">
        <v>1.0</v>
      </c>
      <c r="M45" s="1">
        <v>1.0</v>
      </c>
      <c r="N45" s="1">
        <v>1.0</v>
      </c>
      <c r="Z45" s="10"/>
      <c r="AA45" s="10"/>
    </row>
    <row r="46">
      <c r="A46" s="59">
        <v>45557.0</v>
      </c>
      <c r="B46" s="12" t="s">
        <v>270</v>
      </c>
      <c r="C46" s="12" t="s">
        <v>23</v>
      </c>
      <c r="D46" s="12">
        <v>42.88</v>
      </c>
      <c r="E46" s="12" t="s">
        <v>13</v>
      </c>
      <c r="F46" s="10">
        <f t="shared" si="1"/>
        <v>42.88</v>
      </c>
      <c r="G46" s="10">
        <f t="shared" si="2"/>
        <v>42.88</v>
      </c>
      <c r="H46" s="1">
        <v>1.0</v>
      </c>
      <c r="Z46" s="10"/>
      <c r="AA46" s="10"/>
    </row>
    <row r="47">
      <c r="A47" s="55">
        <v>45558.0</v>
      </c>
      <c r="B47" s="12" t="s">
        <v>209</v>
      </c>
      <c r="C47" s="12" t="s">
        <v>11</v>
      </c>
      <c r="D47" s="12">
        <v>77.7</v>
      </c>
      <c r="E47" s="12" t="s">
        <v>13</v>
      </c>
      <c r="F47" s="10">
        <f t="shared" si="1"/>
        <v>15.54</v>
      </c>
      <c r="G47" s="10">
        <f t="shared" si="2"/>
        <v>15.54</v>
      </c>
      <c r="H47" s="1">
        <v>1.0</v>
      </c>
      <c r="I47" s="1">
        <v>1.0</v>
      </c>
      <c r="J47" s="1">
        <v>1.0</v>
      </c>
      <c r="K47" s="1">
        <v>1.0</v>
      </c>
      <c r="M47" s="1">
        <v>1.0</v>
      </c>
      <c r="Z47" s="10"/>
      <c r="AA47" s="10"/>
    </row>
    <row r="48">
      <c r="A48" s="59">
        <v>45558.0</v>
      </c>
      <c r="B48" s="12" t="s">
        <v>271</v>
      </c>
      <c r="C48" s="12" t="s">
        <v>23</v>
      </c>
      <c r="D48" s="12">
        <v>32.76</v>
      </c>
      <c r="E48" s="12" t="s">
        <v>13</v>
      </c>
      <c r="F48" s="10">
        <f t="shared" si="1"/>
        <v>32.76</v>
      </c>
      <c r="G48" s="10">
        <f t="shared" si="2"/>
        <v>32.76</v>
      </c>
      <c r="H48" s="1">
        <v>1.0</v>
      </c>
      <c r="Z48" s="10"/>
      <c r="AA48" s="10"/>
    </row>
    <row r="49">
      <c r="A49" s="59">
        <v>45558.0</v>
      </c>
      <c r="B49" s="12" t="s">
        <v>272</v>
      </c>
      <c r="C49" s="12" t="s">
        <v>23</v>
      </c>
      <c r="D49" s="12">
        <v>10.16</v>
      </c>
      <c r="E49" s="12" t="s">
        <v>13</v>
      </c>
      <c r="F49" s="10">
        <f t="shared" si="1"/>
        <v>1.693333333</v>
      </c>
      <c r="G49" s="10">
        <f t="shared" si="2"/>
        <v>1.693333333</v>
      </c>
      <c r="H49" s="1">
        <v>1.0</v>
      </c>
      <c r="I49" s="1">
        <v>1.0</v>
      </c>
      <c r="J49" s="1">
        <v>1.0</v>
      </c>
      <c r="K49" s="1">
        <v>1.0</v>
      </c>
      <c r="M49" s="1">
        <v>1.0</v>
      </c>
      <c r="N49" s="1">
        <v>1.0</v>
      </c>
      <c r="Z49" s="10"/>
      <c r="AA49" s="10"/>
    </row>
    <row r="50">
      <c r="A50" s="61">
        <v>45559.0</v>
      </c>
      <c r="B50" s="51" t="s">
        <v>273</v>
      </c>
      <c r="C50" s="12" t="s">
        <v>11</v>
      </c>
      <c r="D50" s="12">
        <v>36.2</v>
      </c>
      <c r="E50" s="51" t="s">
        <v>2</v>
      </c>
      <c r="F50" s="10">
        <f t="shared" si="1"/>
        <v>12.06666667</v>
      </c>
      <c r="G50" s="10">
        <f t="shared" si="2"/>
        <v>12.06666667</v>
      </c>
      <c r="H50" s="1">
        <v>1.0</v>
      </c>
      <c r="J50" s="1">
        <v>1.0</v>
      </c>
      <c r="M50" s="1">
        <v>1.0</v>
      </c>
      <c r="Z50" s="10"/>
      <c r="AA50" s="10"/>
    </row>
    <row r="51">
      <c r="A51" s="61">
        <v>45560.0</v>
      </c>
      <c r="B51" s="51" t="s">
        <v>47</v>
      </c>
      <c r="C51" s="51" t="s">
        <v>11</v>
      </c>
      <c r="D51" s="63">
        <v>7.71</v>
      </c>
      <c r="E51" s="51" t="s">
        <v>274</v>
      </c>
      <c r="F51" s="10">
        <f t="shared" si="1"/>
        <v>1.542</v>
      </c>
      <c r="G51" s="10">
        <f t="shared" si="2"/>
        <v>1.542</v>
      </c>
      <c r="H51" s="52">
        <v>1.0</v>
      </c>
      <c r="I51" s="52">
        <v>1.0</v>
      </c>
      <c r="J51" s="52">
        <v>1.0</v>
      </c>
      <c r="K51" s="52">
        <v>1.0</v>
      </c>
      <c r="L51" s="53"/>
      <c r="M51" s="54">
        <v>1.0</v>
      </c>
      <c r="N51" s="52"/>
      <c r="Z51" s="10"/>
      <c r="AA51" s="10"/>
    </row>
    <row r="52">
      <c r="A52" s="61">
        <v>45560.0</v>
      </c>
      <c r="B52" s="51" t="s">
        <v>275</v>
      </c>
      <c r="C52" s="51" t="s">
        <v>11</v>
      </c>
      <c r="D52" s="51">
        <v>100.29</v>
      </c>
      <c r="E52" s="51" t="s">
        <v>14</v>
      </c>
      <c r="F52" s="10">
        <f t="shared" si="1"/>
        <v>20.058</v>
      </c>
      <c r="G52" s="10">
        <f t="shared" si="2"/>
        <v>20.058</v>
      </c>
      <c r="H52" s="52">
        <v>1.0</v>
      </c>
      <c r="I52" s="54">
        <v>1.0</v>
      </c>
      <c r="J52" s="52">
        <v>1.0</v>
      </c>
      <c r="K52" s="54">
        <v>1.0</v>
      </c>
      <c r="L52" s="54"/>
      <c r="M52" s="54">
        <v>1.0</v>
      </c>
      <c r="N52" s="54"/>
      <c r="Z52" s="10"/>
      <c r="AA52" s="10"/>
    </row>
    <row r="53">
      <c r="A53" s="61">
        <v>45562.0</v>
      </c>
      <c r="B53" s="12" t="s">
        <v>46</v>
      </c>
      <c r="C53" s="12" t="s">
        <v>11</v>
      </c>
      <c r="D53" s="12">
        <v>31.06</v>
      </c>
      <c r="E53" s="12" t="s">
        <v>13</v>
      </c>
      <c r="F53" s="10">
        <f>D53/sum(H53:R53)</f>
        <v>5.176666667</v>
      </c>
      <c r="G53" s="10">
        <f>D53/sum(H53:R53)</f>
        <v>5.176666667</v>
      </c>
      <c r="H53" s="1">
        <v>1.0</v>
      </c>
      <c r="I53" s="1">
        <v>1.0</v>
      </c>
      <c r="J53" s="1">
        <v>1.0</v>
      </c>
      <c r="K53" s="1">
        <v>1.0</v>
      </c>
      <c r="M53" s="1">
        <v>1.0</v>
      </c>
      <c r="N53" s="1">
        <v>1.0</v>
      </c>
      <c r="Z53" s="10"/>
      <c r="AA53" s="10"/>
    </row>
    <row r="54">
      <c r="A54" s="61">
        <v>45562.0</v>
      </c>
      <c r="B54" s="51" t="s">
        <v>276</v>
      </c>
      <c r="C54" s="51" t="s">
        <v>23</v>
      </c>
      <c r="D54" s="51">
        <v>336.84</v>
      </c>
      <c r="E54" s="51" t="s">
        <v>13</v>
      </c>
      <c r="F54" s="10">
        <f t="shared" ref="F54:F117" si="3">D54/sum(H54:Q54)</f>
        <v>56.14</v>
      </c>
      <c r="G54" s="10">
        <f t="shared" ref="G54:G117" si="4">D54/sum(H54:Q54)</f>
        <v>56.14</v>
      </c>
      <c r="H54" s="52">
        <v>1.0</v>
      </c>
      <c r="I54" s="52">
        <v>1.0</v>
      </c>
      <c r="J54" s="52">
        <v>1.0</v>
      </c>
      <c r="K54" s="52">
        <v>1.0</v>
      </c>
      <c r="L54" s="53"/>
      <c r="M54" s="54">
        <v>1.0</v>
      </c>
      <c r="N54" s="52">
        <v>1.0</v>
      </c>
      <c r="Z54" s="10"/>
      <c r="AA54" s="10"/>
    </row>
    <row r="55">
      <c r="A55" s="61">
        <v>45562.0</v>
      </c>
      <c r="B55" s="51" t="s">
        <v>277</v>
      </c>
      <c r="C55" s="51" t="s">
        <v>23</v>
      </c>
      <c r="D55" s="51">
        <f>39.99*1.13</f>
        <v>45.1887</v>
      </c>
      <c r="E55" s="51" t="s">
        <v>13</v>
      </c>
      <c r="F55" s="10">
        <f t="shared" si="3"/>
        <v>7.53145</v>
      </c>
      <c r="G55" s="10">
        <f t="shared" si="4"/>
        <v>7.53145</v>
      </c>
      <c r="H55" s="52">
        <v>1.0</v>
      </c>
      <c r="I55" s="52">
        <v>1.0</v>
      </c>
      <c r="J55" s="52">
        <v>1.0</v>
      </c>
      <c r="K55" s="52">
        <v>1.0</v>
      </c>
      <c r="L55" s="54"/>
      <c r="M55" s="54">
        <v>1.0</v>
      </c>
      <c r="N55" s="52">
        <v>1.0</v>
      </c>
      <c r="Z55" s="10"/>
      <c r="AA55" s="10"/>
    </row>
    <row r="56">
      <c r="A56" s="55">
        <v>45565.0</v>
      </c>
      <c r="B56" s="12" t="s">
        <v>278</v>
      </c>
      <c r="C56" s="12" t="s">
        <v>11</v>
      </c>
      <c r="D56" s="12">
        <v>60.0</v>
      </c>
      <c r="E56" s="12" t="s">
        <v>14</v>
      </c>
      <c r="F56" s="10">
        <f t="shared" si="3"/>
        <v>15</v>
      </c>
      <c r="G56" s="10">
        <f t="shared" si="4"/>
        <v>15</v>
      </c>
      <c r="I56" s="1">
        <v>1.0</v>
      </c>
      <c r="J56" s="1">
        <v>1.0</v>
      </c>
      <c r="K56" s="1">
        <v>1.0</v>
      </c>
      <c r="M56" s="1">
        <v>1.0</v>
      </c>
      <c r="Z56" s="10"/>
      <c r="AA56" s="10"/>
    </row>
    <row r="57">
      <c r="A57" s="61"/>
      <c r="B57" s="51"/>
      <c r="C57" s="12"/>
      <c r="D57" s="12"/>
      <c r="E57" s="51"/>
      <c r="F57" s="10" t="str">
        <f t="shared" si="3"/>
        <v>#DIV/0!</v>
      </c>
      <c r="G57" s="10" t="str">
        <f t="shared" si="4"/>
        <v>#DIV/0!</v>
      </c>
      <c r="Z57" s="10"/>
      <c r="AA57" s="10"/>
    </row>
    <row r="58">
      <c r="A58" s="61"/>
      <c r="B58" s="51"/>
      <c r="C58" s="12"/>
      <c r="D58" s="12"/>
      <c r="E58" s="51"/>
      <c r="F58" s="10" t="str">
        <f t="shared" si="3"/>
        <v>#DIV/0!</v>
      </c>
      <c r="G58" s="10" t="str">
        <f t="shared" si="4"/>
        <v>#DIV/0!</v>
      </c>
      <c r="Z58" s="10"/>
      <c r="AA58" s="10"/>
    </row>
    <row r="59">
      <c r="A59" s="59"/>
      <c r="B59" s="12"/>
      <c r="C59" s="12"/>
      <c r="D59" s="12"/>
      <c r="E59" s="12"/>
      <c r="F59" s="10" t="str">
        <f t="shared" si="3"/>
        <v>#DIV/0!</v>
      </c>
      <c r="G59" s="10" t="str">
        <f t="shared" si="4"/>
        <v>#DIV/0!</v>
      </c>
      <c r="S59" s="88">
        <f>SUM(D55:D57)</f>
        <v>105.1887</v>
      </c>
      <c r="Z59" s="10"/>
      <c r="AA59" s="10"/>
    </row>
    <row r="60">
      <c r="A60" s="61"/>
      <c r="B60" s="51"/>
      <c r="C60" s="12"/>
      <c r="D60" s="12"/>
      <c r="E60" s="12"/>
      <c r="F60" s="10" t="str">
        <f t="shared" si="3"/>
        <v>#DIV/0!</v>
      </c>
      <c r="G60" s="10" t="str">
        <f t="shared" si="4"/>
        <v>#DIV/0!</v>
      </c>
      <c r="Z60" s="10"/>
      <c r="AA60" s="10"/>
    </row>
    <row r="61">
      <c r="A61" s="61"/>
      <c r="B61" s="51"/>
      <c r="C61" s="12"/>
      <c r="D61" s="12"/>
      <c r="E61" s="12"/>
      <c r="F61" s="67" t="str">
        <f t="shared" si="3"/>
        <v>#DIV/0!</v>
      </c>
      <c r="G61" s="10" t="str">
        <f t="shared" si="4"/>
        <v>#DIV/0!</v>
      </c>
      <c r="Z61" s="10"/>
      <c r="AA61" s="10"/>
    </row>
    <row r="62">
      <c r="A62" s="55"/>
      <c r="B62" s="12"/>
      <c r="C62" s="12"/>
      <c r="D62" s="12"/>
      <c r="E62" s="12"/>
      <c r="F62" s="10" t="str">
        <f t="shared" si="3"/>
        <v>#DIV/0!</v>
      </c>
      <c r="G62" s="10" t="str">
        <f t="shared" si="4"/>
        <v>#DIV/0!</v>
      </c>
      <c r="Z62" s="10"/>
      <c r="AA62" s="10"/>
    </row>
    <row r="63">
      <c r="A63" s="55"/>
      <c r="B63" s="12"/>
      <c r="C63" s="12"/>
      <c r="D63" s="12"/>
      <c r="E63" s="12"/>
      <c r="F63" s="10" t="str">
        <f t="shared" si="3"/>
        <v>#DIV/0!</v>
      </c>
      <c r="G63" s="10" t="str">
        <f t="shared" si="4"/>
        <v>#DIV/0!</v>
      </c>
      <c r="Z63" s="10"/>
      <c r="AA63" s="10"/>
    </row>
    <row r="64">
      <c r="A64" s="55"/>
      <c r="B64" s="12"/>
      <c r="C64" s="12"/>
      <c r="D64" s="12"/>
      <c r="E64" s="12"/>
      <c r="F64" s="10" t="str">
        <f t="shared" si="3"/>
        <v>#DIV/0!</v>
      </c>
      <c r="G64" s="10" t="str">
        <f t="shared" si="4"/>
        <v>#DIV/0!</v>
      </c>
      <c r="Z64" s="10"/>
      <c r="AA64" s="10"/>
    </row>
    <row r="65">
      <c r="A65" s="55"/>
      <c r="B65" s="12"/>
      <c r="C65" s="12"/>
      <c r="D65" s="12"/>
      <c r="E65" s="12"/>
      <c r="F65" s="10" t="str">
        <f t="shared" si="3"/>
        <v>#DIV/0!</v>
      </c>
      <c r="G65" s="10" t="str">
        <f t="shared" si="4"/>
        <v>#DIV/0!</v>
      </c>
      <c r="Z65" s="10"/>
      <c r="AA65" s="10"/>
    </row>
    <row r="66">
      <c r="A66" s="59"/>
      <c r="B66" s="12"/>
      <c r="C66" s="12"/>
      <c r="D66" s="12"/>
      <c r="E66" s="12"/>
      <c r="F66" s="10" t="str">
        <f t="shared" si="3"/>
        <v>#DIV/0!</v>
      </c>
      <c r="G66" s="10" t="str">
        <f t="shared" si="4"/>
        <v>#DIV/0!</v>
      </c>
      <c r="Z66" s="10"/>
      <c r="AA66" s="10"/>
    </row>
    <row r="67">
      <c r="A67" s="61"/>
      <c r="B67" s="51"/>
      <c r="C67" s="51"/>
      <c r="D67" s="51"/>
      <c r="E67" s="51"/>
      <c r="F67" s="10" t="str">
        <f t="shared" si="3"/>
        <v>#DIV/0!</v>
      </c>
      <c r="G67" s="10" t="str">
        <f t="shared" si="4"/>
        <v>#DIV/0!</v>
      </c>
      <c r="H67" s="52"/>
      <c r="I67" s="52"/>
      <c r="J67" s="52"/>
      <c r="K67" s="52"/>
      <c r="L67" s="54"/>
      <c r="M67" s="52"/>
      <c r="N67" s="52"/>
      <c r="Z67" s="10"/>
      <c r="AA67" s="10"/>
    </row>
    <row r="68">
      <c r="A68" s="61"/>
      <c r="B68" s="51"/>
      <c r="C68" s="51"/>
      <c r="D68" s="51"/>
      <c r="E68" s="51"/>
      <c r="F68" s="10" t="str">
        <f t="shared" si="3"/>
        <v>#DIV/0!</v>
      </c>
      <c r="G68" s="10" t="str">
        <f t="shared" si="4"/>
        <v>#DIV/0!</v>
      </c>
      <c r="H68" s="52"/>
      <c r="I68" s="52"/>
      <c r="J68" s="52"/>
      <c r="K68" s="52"/>
      <c r="L68" s="54"/>
      <c r="M68" s="54"/>
      <c r="N68" s="52"/>
      <c r="Z68" s="10"/>
      <c r="AA68" s="10"/>
    </row>
    <row r="69">
      <c r="A69" s="55"/>
      <c r="B69" s="12"/>
      <c r="C69" s="12"/>
      <c r="D69" s="12"/>
      <c r="E69" s="12"/>
      <c r="F69" s="10" t="str">
        <f t="shared" si="3"/>
        <v>#DIV/0!</v>
      </c>
      <c r="G69" s="10" t="str">
        <f t="shared" si="4"/>
        <v>#DIV/0!</v>
      </c>
      <c r="Z69" s="10"/>
      <c r="AA69" s="10"/>
    </row>
    <row r="70">
      <c r="A70" s="55"/>
      <c r="B70" s="12"/>
      <c r="C70" s="12"/>
      <c r="D70" s="12"/>
      <c r="E70" s="12"/>
      <c r="F70" s="67" t="str">
        <f t="shared" si="3"/>
        <v>#DIV/0!</v>
      </c>
      <c r="G70" s="10" t="str">
        <f t="shared" si="4"/>
        <v>#DIV/0!</v>
      </c>
      <c r="Z70" s="10"/>
      <c r="AA70" s="10"/>
    </row>
    <row r="71">
      <c r="A71" s="61"/>
      <c r="B71" s="51"/>
      <c r="C71" s="51"/>
      <c r="D71" s="63"/>
      <c r="E71" s="51"/>
      <c r="F71" s="10" t="str">
        <f t="shared" si="3"/>
        <v>#DIV/0!</v>
      </c>
      <c r="G71" s="10" t="str">
        <f t="shared" si="4"/>
        <v>#DIV/0!</v>
      </c>
      <c r="H71" s="52"/>
      <c r="I71" s="52"/>
      <c r="J71" s="52"/>
      <c r="K71" s="52"/>
      <c r="L71" s="54"/>
      <c r="M71" s="54"/>
      <c r="N71" s="52"/>
      <c r="Z71" s="10"/>
      <c r="AA71" s="10"/>
    </row>
    <row r="72">
      <c r="A72" s="59"/>
      <c r="B72" s="12"/>
      <c r="C72" s="12"/>
      <c r="D72" s="12"/>
      <c r="E72" s="12"/>
      <c r="F72" s="10" t="str">
        <f t="shared" si="3"/>
        <v>#DIV/0!</v>
      </c>
      <c r="G72" s="10" t="str">
        <f t="shared" si="4"/>
        <v>#DIV/0!</v>
      </c>
      <c r="Z72" s="10"/>
      <c r="AA72" s="10"/>
    </row>
    <row r="73">
      <c r="A73" s="55"/>
      <c r="B73" s="12"/>
      <c r="C73" s="12"/>
      <c r="D73" s="12"/>
      <c r="E73" s="12"/>
      <c r="F73" s="10" t="str">
        <f t="shared" si="3"/>
        <v>#DIV/0!</v>
      </c>
      <c r="G73" s="10" t="str">
        <f t="shared" si="4"/>
        <v>#DIV/0!</v>
      </c>
      <c r="Z73" s="10"/>
      <c r="AA73" s="10"/>
    </row>
    <row r="74">
      <c r="A74" s="61"/>
      <c r="B74" s="51"/>
      <c r="C74" s="51"/>
      <c r="D74" s="63"/>
      <c r="E74" s="51"/>
      <c r="F74" s="10" t="str">
        <f t="shared" si="3"/>
        <v>#DIV/0!</v>
      </c>
      <c r="G74" s="10" t="str">
        <f t="shared" si="4"/>
        <v>#DIV/0!</v>
      </c>
      <c r="H74" s="52"/>
      <c r="I74" s="52"/>
      <c r="J74" s="52"/>
      <c r="K74" s="52"/>
      <c r="L74" s="53"/>
      <c r="M74" s="53"/>
      <c r="N74" s="52"/>
      <c r="Z74" s="10"/>
      <c r="AA74" s="10"/>
    </row>
    <row r="75">
      <c r="A75" s="55"/>
      <c r="B75" s="12"/>
      <c r="C75" s="12"/>
      <c r="D75" s="12"/>
      <c r="E75" s="12"/>
      <c r="F75" s="10" t="str">
        <f t="shared" si="3"/>
        <v>#DIV/0!</v>
      </c>
      <c r="G75" s="10" t="str">
        <f t="shared" si="4"/>
        <v>#DIV/0!</v>
      </c>
      <c r="Z75" s="10"/>
      <c r="AA75" s="10"/>
    </row>
    <row r="76">
      <c r="A76" s="59"/>
      <c r="B76" s="12"/>
      <c r="C76" s="12"/>
      <c r="D76" s="12"/>
      <c r="E76" s="12"/>
      <c r="F76" s="10" t="str">
        <f t="shared" si="3"/>
        <v>#DIV/0!</v>
      </c>
      <c r="G76" s="10" t="str">
        <f t="shared" si="4"/>
        <v>#DIV/0!</v>
      </c>
      <c r="T76" s="18"/>
      <c r="U76" s="18"/>
      <c r="V76" s="18"/>
      <c r="W76" s="18"/>
      <c r="Z76" s="10"/>
      <c r="AA76" s="10"/>
    </row>
    <row r="77">
      <c r="A77" s="59"/>
      <c r="B77" s="12"/>
      <c r="C77" s="12"/>
      <c r="D77" s="12"/>
      <c r="E77" s="12"/>
      <c r="F77" s="10" t="str">
        <f t="shared" si="3"/>
        <v>#DIV/0!</v>
      </c>
      <c r="G77" s="10" t="str">
        <f t="shared" si="4"/>
        <v>#DIV/0!</v>
      </c>
      <c r="Z77" s="10"/>
      <c r="AA77" s="10"/>
    </row>
    <row r="78">
      <c r="A78" s="59"/>
      <c r="B78" s="12"/>
      <c r="C78" s="12"/>
      <c r="D78" s="12"/>
      <c r="E78" s="12"/>
      <c r="F78" s="67" t="str">
        <f t="shared" si="3"/>
        <v>#DIV/0!</v>
      </c>
      <c r="G78" s="10" t="str">
        <f t="shared" si="4"/>
        <v>#DIV/0!</v>
      </c>
      <c r="Z78" s="10"/>
      <c r="AA78" s="10"/>
    </row>
    <row r="79">
      <c r="A79" s="55"/>
      <c r="B79" s="12"/>
      <c r="C79" s="12"/>
      <c r="D79" s="12"/>
      <c r="E79" s="12"/>
      <c r="F79" s="67" t="str">
        <f t="shared" si="3"/>
        <v>#DIV/0!</v>
      </c>
      <c r="G79" s="10" t="str">
        <f t="shared" si="4"/>
        <v>#DIV/0!</v>
      </c>
      <c r="Z79" s="10"/>
      <c r="AA79" s="10"/>
    </row>
    <row r="80">
      <c r="A80" s="55"/>
      <c r="B80" s="12"/>
      <c r="C80" s="12"/>
      <c r="D80" s="12"/>
      <c r="E80" s="12"/>
      <c r="F80" s="67" t="str">
        <f t="shared" si="3"/>
        <v>#DIV/0!</v>
      </c>
      <c r="G80" s="10" t="str">
        <f t="shared" si="4"/>
        <v>#DIV/0!</v>
      </c>
      <c r="Z80" s="10"/>
      <c r="AA80" s="10"/>
    </row>
    <row r="81">
      <c r="A81" s="61"/>
      <c r="B81" s="12"/>
      <c r="C81" s="12"/>
      <c r="D81" s="12"/>
      <c r="E81" s="12"/>
      <c r="F81" s="67" t="str">
        <f t="shared" si="3"/>
        <v>#DIV/0!</v>
      </c>
      <c r="G81" s="10" t="str">
        <f t="shared" si="4"/>
        <v>#DIV/0!</v>
      </c>
      <c r="Z81" s="10"/>
      <c r="AA81" s="10"/>
    </row>
    <row r="82">
      <c r="A82" s="59"/>
      <c r="B82" s="12"/>
      <c r="C82" s="51"/>
      <c r="D82" s="12"/>
      <c r="E82" s="12"/>
      <c r="F82" s="67" t="str">
        <f t="shared" si="3"/>
        <v>#DIV/0!</v>
      </c>
      <c r="G82" s="10" t="str">
        <f t="shared" si="4"/>
        <v>#DIV/0!</v>
      </c>
      <c r="Z82" s="64"/>
      <c r="AA82" s="64"/>
    </row>
    <row r="83">
      <c r="A83" s="55"/>
      <c r="B83" s="12"/>
      <c r="C83" s="12"/>
      <c r="D83" s="12"/>
      <c r="E83" s="12"/>
      <c r="F83" s="67" t="str">
        <f t="shared" si="3"/>
        <v>#DIV/0!</v>
      </c>
      <c r="G83" s="10" t="str">
        <f t="shared" si="4"/>
        <v>#DIV/0!</v>
      </c>
      <c r="Z83" s="10"/>
      <c r="AA83" s="10"/>
    </row>
    <row r="84">
      <c r="A84" s="59"/>
      <c r="B84" s="12"/>
      <c r="C84" s="12"/>
      <c r="D84" s="12"/>
      <c r="E84" s="12"/>
      <c r="F84" s="67" t="str">
        <f t="shared" si="3"/>
        <v>#DIV/0!</v>
      </c>
      <c r="G84" s="10" t="str">
        <f t="shared" si="4"/>
        <v>#DIV/0!</v>
      </c>
      <c r="Z84" s="10"/>
      <c r="AA84" s="10"/>
    </row>
    <row r="85">
      <c r="A85" s="59"/>
      <c r="B85" s="12"/>
      <c r="C85" s="51"/>
      <c r="D85" s="12"/>
      <c r="E85" s="12"/>
      <c r="F85" s="67" t="str">
        <f t="shared" si="3"/>
        <v>#DIV/0!</v>
      </c>
      <c r="G85" s="10" t="str">
        <f t="shared" si="4"/>
        <v>#DIV/0!</v>
      </c>
      <c r="Z85" s="64"/>
      <c r="AA85" s="64"/>
    </row>
    <row r="86">
      <c r="A86" s="59"/>
      <c r="B86" s="12"/>
      <c r="C86" s="51"/>
      <c r="D86" s="12"/>
      <c r="E86" s="12"/>
      <c r="F86" s="67" t="str">
        <f t="shared" si="3"/>
        <v>#DIV/0!</v>
      </c>
      <c r="G86" s="10" t="str">
        <f t="shared" si="4"/>
        <v>#DIV/0!</v>
      </c>
      <c r="Z86" s="64"/>
      <c r="AA86" s="64"/>
    </row>
    <row r="87">
      <c r="A87" s="59"/>
      <c r="B87" s="12"/>
      <c r="C87" s="51"/>
      <c r="D87" s="12"/>
      <c r="E87" s="12"/>
      <c r="F87" s="67" t="str">
        <f t="shared" si="3"/>
        <v>#DIV/0!</v>
      </c>
      <c r="G87" s="10" t="str">
        <f t="shared" si="4"/>
        <v>#DIV/0!</v>
      </c>
      <c r="Z87" s="64"/>
      <c r="AA87" s="64"/>
    </row>
    <row r="88">
      <c r="A88" s="55"/>
      <c r="B88" s="12"/>
      <c r="C88" s="12"/>
      <c r="D88" s="12"/>
      <c r="E88" s="12"/>
      <c r="F88" s="67" t="str">
        <f t="shared" si="3"/>
        <v>#DIV/0!</v>
      </c>
      <c r="G88" s="10" t="str">
        <f t="shared" si="4"/>
        <v>#DIV/0!</v>
      </c>
      <c r="Z88" s="10"/>
      <c r="AA88" s="10"/>
    </row>
    <row r="89">
      <c r="A89" s="59"/>
      <c r="B89" s="12"/>
      <c r="C89" s="12"/>
      <c r="D89" s="12"/>
      <c r="E89" s="12"/>
      <c r="F89" s="67" t="str">
        <f t="shared" si="3"/>
        <v>#DIV/0!</v>
      </c>
      <c r="G89" s="10" t="str">
        <f t="shared" si="4"/>
        <v>#DIV/0!</v>
      </c>
      <c r="Z89" s="10"/>
      <c r="AA89" s="10"/>
    </row>
    <row r="90">
      <c r="A90" s="59"/>
      <c r="B90" s="12"/>
      <c r="C90" s="12"/>
      <c r="D90" s="12"/>
      <c r="E90" s="12"/>
      <c r="F90" s="67" t="str">
        <f t="shared" si="3"/>
        <v>#DIV/0!</v>
      </c>
      <c r="G90" s="10" t="str">
        <f t="shared" si="4"/>
        <v>#DIV/0!</v>
      </c>
      <c r="Z90" s="10"/>
      <c r="AA90" s="10"/>
    </row>
    <row r="91">
      <c r="A91" s="59"/>
      <c r="B91" s="12"/>
      <c r="C91" s="12"/>
      <c r="D91" s="12"/>
      <c r="E91" s="12"/>
      <c r="F91" s="67" t="str">
        <f t="shared" si="3"/>
        <v>#DIV/0!</v>
      </c>
      <c r="G91" s="10" t="str">
        <f t="shared" si="4"/>
        <v>#DIV/0!</v>
      </c>
      <c r="Z91" s="10"/>
      <c r="AA91" s="10"/>
    </row>
    <row r="92">
      <c r="A92" s="55"/>
      <c r="B92" s="12"/>
      <c r="C92" s="12"/>
      <c r="D92" s="12"/>
      <c r="E92" s="12"/>
      <c r="F92" s="67" t="str">
        <f t="shared" si="3"/>
        <v>#DIV/0!</v>
      </c>
      <c r="G92" s="10" t="str">
        <f t="shared" si="4"/>
        <v>#DIV/0!</v>
      </c>
      <c r="Z92" s="10"/>
      <c r="AA92" s="10"/>
    </row>
    <row r="93">
      <c r="A93" s="55"/>
      <c r="B93" s="51"/>
      <c r="C93" s="51"/>
      <c r="D93" s="51"/>
      <c r="E93" s="12"/>
      <c r="F93" s="67" t="str">
        <f t="shared" si="3"/>
        <v>#DIV/0!</v>
      </c>
      <c r="G93" s="10" t="str">
        <f t="shared" si="4"/>
        <v>#DIV/0!</v>
      </c>
      <c r="H93" s="52"/>
      <c r="I93" s="52"/>
      <c r="J93" s="52"/>
      <c r="K93" s="52"/>
      <c r="L93" s="53"/>
      <c r="M93" s="54"/>
      <c r="N93" s="52"/>
      <c r="O93" s="54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</row>
    <row r="94">
      <c r="A94" s="55"/>
      <c r="B94" s="12"/>
      <c r="C94" s="12"/>
      <c r="D94" s="12"/>
      <c r="E94" s="12"/>
      <c r="F94" s="67" t="str">
        <f t="shared" si="3"/>
        <v>#DIV/0!</v>
      </c>
      <c r="G94" s="10" t="str">
        <f t="shared" si="4"/>
        <v>#DIV/0!</v>
      </c>
      <c r="Z94" s="10"/>
      <c r="AA94" s="10"/>
    </row>
    <row r="95">
      <c r="A95" s="59"/>
      <c r="B95" s="12"/>
      <c r="C95" s="12"/>
      <c r="D95" s="12"/>
      <c r="E95" s="12"/>
      <c r="F95" s="67" t="str">
        <f t="shared" si="3"/>
        <v>#DIV/0!</v>
      </c>
      <c r="G95" s="10" t="str">
        <f t="shared" si="4"/>
        <v>#DIV/0!</v>
      </c>
      <c r="Z95" s="10"/>
      <c r="AA95" s="10"/>
    </row>
    <row r="96">
      <c r="A96" s="61"/>
      <c r="B96" s="12"/>
      <c r="C96" s="12"/>
      <c r="D96" s="12"/>
      <c r="E96" s="12"/>
      <c r="F96" s="67" t="str">
        <f t="shared" si="3"/>
        <v>#DIV/0!</v>
      </c>
      <c r="G96" s="10" t="str">
        <f t="shared" si="4"/>
        <v>#DIV/0!</v>
      </c>
      <c r="Z96" s="10"/>
      <c r="AA96" s="10"/>
    </row>
    <row r="97">
      <c r="A97" s="61"/>
      <c r="B97" s="12"/>
      <c r="C97" s="12"/>
      <c r="D97" s="12"/>
      <c r="E97" s="12"/>
      <c r="F97" s="67" t="str">
        <f t="shared" si="3"/>
        <v>#DIV/0!</v>
      </c>
      <c r="G97" s="10" t="str">
        <f t="shared" si="4"/>
        <v>#DIV/0!</v>
      </c>
      <c r="Z97" s="10"/>
      <c r="AA97" s="10"/>
    </row>
    <row r="98">
      <c r="A98" s="59"/>
      <c r="B98" s="12"/>
      <c r="C98" s="12"/>
      <c r="D98" s="12"/>
      <c r="E98" s="12"/>
      <c r="F98" s="67" t="str">
        <f t="shared" si="3"/>
        <v>#DIV/0!</v>
      </c>
      <c r="G98" s="10" t="str">
        <f t="shared" si="4"/>
        <v>#DIV/0!</v>
      </c>
      <c r="Z98" s="10"/>
      <c r="AA98" s="10"/>
    </row>
    <row r="99">
      <c r="A99" s="59"/>
      <c r="B99" s="12"/>
      <c r="C99" s="12"/>
      <c r="D99" s="12"/>
      <c r="E99" s="12"/>
      <c r="F99" s="67" t="str">
        <f t="shared" si="3"/>
        <v>#DIV/0!</v>
      </c>
      <c r="G99" s="10" t="str">
        <f t="shared" si="4"/>
        <v>#DIV/0!</v>
      </c>
      <c r="Z99" s="10"/>
      <c r="AA99" s="10"/>
    </row>
    <row r="100">
      <c r="A100" s="59"/>
      <c r="B100" s="12"/>
      <c r="C100" s="12"/>
      <c r="D100" s="12"/>
      <c r="E100" s="12"/>
      <c r="F100" s="67" t="str">
        <f t="shared" si="3"/>
        <v>#DIV/0!</v>
      </c>
      <c r="G100" s="10" t="str">
        <f t="shared" si="4"/>
        <v>#DIV/0!</v>
      </c>
      <c r="Z100" s="10"/>
      <c r="AA100" s="10"/>
    </row>
    <row r="101">
      <c r="A101" s="59"/>
      <c r="B101" s="12"/>
      <c r="C101" s="12"/>
      <c r="D101" s="12"/>
      <c r="E101" s="12"/>
      <c r="F101" s="67" t="str">
        <f t="shared" si="3"/>
        <v>#DIV/0!</v>
      </c>
      <c r="G101" s="10" t="str">
        <f t="shared" si="4"/>
        <v>#DIV/0!</v>
      </c>
      <c r="Z101" s="10"/>
      <c r="AA101" s="10"/>
    </row>
    <row r="102">
      <c r="A102" s="12"/>
      <c r="B102" s="12"/>
      <c r="C102" s="12"/>
      <c r="D102" s="12"/>
      <c r="E102" s="12"/>
      <c r="F102" s="67" t="str">
        <f t="shared" si="3"/>
        <v>#DIV/0!</v>
      </c>
      <c r="G102" s="10" t="str">
        <f t="shared" si="4"/>
        <v>#DIV/0!</v>
      </c>
      <c r="Z102" s="10"/>
      <c r="AA102" s="10"/>
    </row>
    <row r="103">
      <c r="A103" s="61"/>
      <c r="B103" s="51"/>
      <c r="C103" s="51"/>
      <c r="D103" s="51"/>
      <c r="E103" s="51"/>
      <c r="F103" s="10" t="str">
        <f t="shared" si="3"/>
        <v>#DIV/0!</v>
      </c>
      <c r="G103" s="10" t="str">
        <f t="shared" si="4"/>
        <v>#DIV/0!</v>
      </c>
      <c r="H103" s="52"/>
      <c r="I103" s="52"/>
      <c r="J103" s="52"/>
      <c r="K103" s="52"/>
      <c r="L103" s="53"/>
      <c r="M103" s="53"/>
      <c r="N103" s="52"/>
      <c r="Z103" s="10"/>
      <c r="AA103" s="10"/>
    </row>
    <row r="104">
      <c r="A104" s="59"/>
      <c r="B104" s="12"/>
      <c r="C104" s="12"/>
      <c r="D104" s="12"/>
      <c r="E104" s="12"/>
      <c r="F104" s="10" t="str">
        <f t="shared" si="3"/>
        <v>#DIV/0!</v>
      </c>
      <c r="G104" s="10" t="str">
        <f t="shared" si="4"/>
        <v>#DIV/0!</v>
      </c>
      <c r="Z104" s="10"/>
      <c r="AA104" s="10"/>
    </row>
    <row r="105">
      <c r="A105" s="61"/>
      <c r="B105" s="51"/>
      <c r="C105" s="51"/>
      <c r="D105" s="63"/>
      <c r="E105" s="51"/>
      <c r="F105" s="10" t="str">
        <f t="shared" si="3"/>
        <v>#DIV/0!</v>
      </c>
      <c r="G105" s="10" t="str">
        <f t="shared" si="4"/>
        <v>#DIV/0!</v>
      </c>
      <c r="H105" s="54"/>
      <c r="I105" s="54"/>
      <c r="J105" s="54"/>
      <c r="K105" s="54"/>
      <c r="L105" s="52"/>
      <c r="M105" s="54"/>
      <c r="N105" s="54"/>
      <c r="Z105" s="10"/>
      <c r="AA105" s="10"/>
    </row>
    <row r="106">
      <c r="A106" s="61"/>
      <c r="B106" s="51"/>
      <c r="C106" s="51"/>
      <c r="D106" s="51"/>
      <c r="E106" s="51"/>
      <c r="F106" s="10" t="str">
        <f t="shared" si="3"/>
        <v>#DIV/0!</v>
      </c>
      <c r="G106" s="10" t="str">
        <f t="shared" si="4"/>
        <v>#DIV/0!</v>
      </c>
      <c r="H106" s="52"/>
      <c r="I106" s="52"/>
      <c r="J106" s="52"/>
      <c r="K106" s="52"/>
      <c r="L106" s="53"/>
      <c r="M106" s="54"/>
      <c r="N106" s="52"/>
      <c r="Z106" s="10"/>
      <c r="AA106" s="10"/>
    </row>
    <row r="107">
      <c r="A107" s="59"/>
      <c r="B107" s="12"/>
      <c r="C107" s="12"/>
      <c r="D107" s="12"/>
      <c r="E107" s="12"/>
      <c r="F107" s="10" t="str">
        <f t="shared" si="3"/>
        <v>#DIV/0!</v>
      </c>
      <c r="G107" s="10" t="str">
        <f t="shared" si="4"/>
        <v>#DIV/0!</v>
      </c>
      <c r="Z107" s="10"/>
      <c r="AA107" s="10"/>
    </row>
    <row r="108">
      <c r="A108" s="61"/>
      <c r="B108" s="51"/>
      <c r="C108" s="51"/>
      <c r="D108" s="51"/>
      <c r="E108" s="51"/>
      <c r="F108" s="10" t="str">
        <f t="shared" si="3"/>
        <v>#DIV/0!</v>
      </c>
      <c r="G108" s="10" t="str">
        <f t="shared" si="4"/>
        <v>#DIV/0!</v>
      </c>
      <c r="H108" s="52"/>
      <c r="I108" s="52"/>
      <c r="J108" s="52"/>
      <c r="K108" s="52"/>
      <c r="L108" s="53"/>
      <c r="M108" s="54"/>
      <c r="N108" s="52"/>
      <c r="Z108" s="10"/>
      <c r="AA108" s="10"/>
    </row>
    <row r="109">
      <c r="A109" s="61"/>
      <c r="B109" s="51"/>
      <c r="C109" s="51"/>
      <c r="D109" s="51"/>
      <c r="E109" s="51"/>
      <c r="F109" s="10" t="str">
        <f t="shared" si="3"/>
        <v>#DIV/0!</v>
      </c>
      <c r="G109" s="10" t="str">
        <f t="shared" si="4"/>
        <v>#DIV/0!</v>
      </c>
      <c r="H109" s="52"/>
      <c r="I109" s="52"/>
      <c r="J109" s="52"/>
      <c r="K109" s="52"/>
      <c r="L109" s="54"/>
      <c r="M109" s="54"/>
      <c r="N109" s="52"/>
      <c r="Z109" s="10"/>
      <c r="AA109" s="10"/>
    </row>
    <row r="110">
      <c r="A110" s="61"/>
      <c r="B110" s="51"/>
      <c r="C110" s="51"/>
      <c r="D110" s="51"/>
      <c r="E110" s="51"/>
      <c r="F110" s="10" t="str">
        <f t="shared" si="3"/>
        <v>#DIV/0!</v>
      </c>
      <c r="G110" s="10" t="str">
        <f t="shared" si="4"/>
        <v>#DIV/0!</v>
      </c>
      <c r="H110" s="66"/>
      <c r="I110" s="66"/>
      <c r="J110" s="52"/>
      <c r="K110" s="66"/>
      <c r="L110" s="54"/>
      <c r="M110" s="53"/>
      <c r="N110" s="66"/>
      <c r="Z110" s="10"/>
      <c r="AA110" s="10"/>
    </row>
    <row r="111">
      <c r="A111" s="61"/>
      <c r="B111" s="51"/>
      <c r="C111" s="51"/>
      <c r="D111" s="63"/>
      <c r="E111" s="51"/>
      <c r="F111" s="10" t="str">
        <f t="shared" si="3"/>
        <v>#DIV/0!</v>
      </c>
      <c r="G111" s="10" t="str">
        <f t="shared" si="4"/>
        <v>#DIV/0!</v>
      </c>
      <c r="H111" s="52"/>
      <c r="I111" s="54"/>
      <c r="J111" s="54"/>
      <c r="K111" s="54"/>
      <c r="L111" s="54"/>
      <c r="M111" s="54"/>
      <c r="N111" s="54"/>
      <c r="Z111" s="10"/>
      <c r="AA111" s="10"/>
    </row>
    <row r="112">
      <c r="A112" s="61"/>
      <c r="B112" s="51"/>
      <c r="C112" s="51"/>
      <c r="D112" s="51"/>
      <c r="E112" s="51"/>
      <c r="F112" s="10" t="str">
        <f t="shared" si="3"/>
        <v>#DIV/0!</v>
      </c>
      <c r="G112" s="10" t="str">
        <f t="shared" si="4"/>
        <v>#DIV/0!</v>
      </c>
      <c r="H112" s="52"/>
      <c r="I112" s="54"/>
      <c r="J112" s="54"/>
      <c r="K112" s="54"/>
      <c r="L112" s="53"/>
      <c r="M112" s="54"/>
      <c r="N112" s="54"/>
      <c r="Z112" s="10"/>
      <c r="AA112" s="10"/>
    </row>
    <row r="113">
      <c r="A113" s="61"/>
      <c r="B113" s="51"/>
      <c r="C113" s="51"/>
      <c r="D113" s="63"/>
      <c r="E113" s="51"/>
      <c r="F113" s="10" t="str">
        <f t="shared" si="3"/>
        <v>#DIV/0!</v>
      </c>
      <c r="G113" s="10" t="str">
        <f t="shared" si="4"/>
        <v>#DIV/0!</v>
      </c>
      <c r="H113" s="52"/>
      <c r="I113" s="54"/>
      <c r="J113" s="52"/>
      <c r="K113" s="54"/>
      <c r="L113" s="53"/>
      <c r="M113" s="53"/>
      <c r="N113" s="54"/>
      <c r="Z113" s="10"/>
      <c r="AA113" s="10"/>
    </row>
    <row r="114">
      <c r="C114" s="12"/>
      <c r="D114" s="12"/>
      <c r="E114" s="12"/>
      <c r="F114" s="10" t="str">
        <f t="shared" si="3"/>
        <v>#DIV/0!</v>
      </c>
      <c r="G114" s="10" t="str">
        <f t="shared" si="4"/>
        <v>#DIV/0!</v>
      </c>
      <c r="Z114" s="10"/>
      <c r="AA114" s="10"/>
    </row>
    <row r="115">
      <c r="A115" s="61"/>
      <c r="B115" s="12"/>
      <c r="C115" s="12"/>
      <c r="D115" s="12"/>
      <c r="E115" s="12"/>
      <c r="F115" s="67" t="str">
        <f t="shared" si="3"/>
        <v>#DIV/0!</v>
      </c>
      <c r="G115" s="10" t="str">
        <f t="shared" si="4"/>
        <v>#DIV/0!</v>
      </c>
      <c r="Z115" s="10"/>
      <c r="AA115" s="10"/>
    </row>
    <row r="116">
      <c r="A116" s="59"/>
      <c r="B116" s="12"/>
      <c r="C116" s="12"/>
      <c r="D116" s="12"/>
      <c r="E116" s="12"/>
      <c r="F116" s="67" t="str">
        <f t="shared" si="3"/>
        <v>#DIV/0!</v>
      </c>
      <c r="G116" s="10" t="str">
        <f t="shared" si="4"/>
        <v>#DIV/0!</v>
      </c>
      <c r="Z116" s="10"/>
      <c r="AA116" s="10"/>
    </row>
    <row r="117">
      <c r="A117" s="59"/>
      <c r="B117" s="12"/>
      <c r="C117" s="12"/>
      <c r="D117" s="12"/>
      <c r="E117" s="12"/>
      <c r="F117" s="67" t="str">
        <f t="shared" si="3"/>
        <v>#DIV/0!</v>
      </c>
      <c r="G117" s="10" t="str">
        <f t="shared" si="4"/>
        <v>#DIV/0!</v>
      </c>
      <c r="Z117" s="10"/>
      <c r="AA117" s="10"/>
    </row>
    <row r="118">
      <c r="A118" s="59"/>
      <c r="B118" s="12"/>
      <c r="C118" s="12"/>
      <c r="D118" s="12"/>
      <c r="E118" s="12"/>
      <c r="F118" s="67"/>
      <c r="G118" s="10"/>
      <c r="Z118" s="10"/>
      <c r="AA118" s="10"/>
    </row>
    <row r="119">
      <c r="A119" s="59"/>
      <c r="B119" s="12"/>
      <c r="C119" s="12"/>
      <c r="D119" s="12"/>
      <c r="E119" s="12"/>
      <c r="F119" s="67"/>
      <c r="G119" s="10"/>
      <c r="Z119" s="10"/>
      <c r="AA119" s="10"/>
    </row>
    <row r="120">
      <c r="A120" s="59"/>
      <c r="B120" s="12"/>
      <c r="C120" s="12"/>
      <c r="D120" s="12"/>
      <c r="E120" s="12"/>
      <c r="F120" s="67"/>
      <c r="G120" s="10"/>
      <c r="Z120" s="10"/>
      <c r="AA120" s="10"/>
    </row>
    <row r="121">
      <c r="A121" s="59"/>
      <c r="B121" s="12"/>
      <c r="C121" s="12"/>
      <c r="D121" s="12"/>
      <c r="E121" s="12"/>
      <c r="F121" s="67"/>
      <c r="G121" s="10"/>
      <c r="Z121" s="10"/>
      <c r="AA121" s="10"/>
    </row>
    <row r="122">
      <c r="A122" s="59"/>
      <c r="B122" s="12"/>
      <c r="C122" s="12"/>
      <c r="D122" s="12"/>
      <c r="E122" s="12"/>
      <c r="F122" s="67"/>
      <c r="G122" s="10"/>
      <c r="Z122" s="10"/>
      <c r="AA122" s="10"/>
    </row>
    <row r="123">
      <c r="A123" s="59"/>
      <c r="B123" s="12"/>
      <c r="C123" s="12"/>
      <c r="D123" s="12"/>
      <c r="E123" s="12"/>
      <c r="F123" s="67"/>
      <c r="G123" s="10"/>
      <c r="Z123" s="10"/>
      <c r="AA123" s="10"/>
    </row>
    <row r="124">
      <c r="A124" s="59"/>
      <c r="B124" s="12"/>
      <c r="C124" s="12"/>
      <c r="D124" s="12"/>
      <c r="E124" s="12"/>
      <c r="F124" s="67"/>
      <c r="G124" s="10"/>
      <c r="Z124" s="10"/>
      <c r="AA124" s="10"/>
    </row>
    <row r="125">
      <c r="A125" s="59"/>
      <c r="B125" s="12"/>
      <c r="C125" s="12"/>
      <c r="D125" s="12"/>
      <c r="E125" s="12"/>
      <c r="F125" s="67"/>
      <c r="G125" s="10"/>
      <c r="Z125" s="10"/>
      <c r="AA125" s="10"/>
    </row>
    <row r="126">
      <c r="A126" s="10"/>
      <c r="B126" s="10"/>
      <c r="C126" s="10"/>
      <c r="D126" s="10"/>
      <c r="E126" s="10"/>
      <c r="F126" s="67"/>
      <c r="G126" s="10"/>
      <c r="Z126" s="10"/>
      <c r="AA126" s="10"/>
    </row>
    <row r="127">
      <c r="A127" s="10"/>
      <c r="B127" s="10"/>
      <c r="C127" s="10"/>
      <c r="D127" s="10"/>
      <c r="E127" s="10"/>
      <c r="F127" s="67"/>
      <c r="G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 t="str">
        <f t="shared" ref="F151:F154" si="5">D151/sum(H151:O151)</f>
        <v>#DIV/0!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 t="str">
        <f t="shared" si="5"/>
        <v>#DIV/0!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 t="str">
        <f t="shared" si="5"/>
        <v>#DIV/0!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 t="str">
        <f t="shared" si="5"/>
        <v>#DIV/0!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59"/>
      <c r="B156" s="12"/>
      <c r="C156" s="12"/>
      <c r="D156" s="12"/>
      <c r="E156" s="12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59"/>
      <c r="B157" s="12"/>
      <c r="C157" s="10"/>
      <c r="D157" s="12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59"/>
      <c r="B158" s="12"/>
      <c r="C158" s="10"/>
      <c r="D158" s="12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67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67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67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67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55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</sheetData>
  <autoFilter ref="$A$12:$AA$69">
    <sortState ref="A12:AA69">
      <sortCondition ref="A12:A69"/>
    </sortState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29">
      <formula1>"食物,飲品,衣服,居家,電子產品,娛樂,醫藥,交通,其他"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P2" s="1" t="s">
        <v>17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SUMIFS($G$13:$G959, $E$13:$E959, "Rachel", $H$13:$H959, 1)-SUMIFS($G$13:$G959, $E$13:$E959, "Timothy", $I$13:$I959, 1)</f>
        <v>-41.27945905</v>
      </c>
      <c r="J3" s="21">
        <f>SUMIFS($G$13:$G959, $E$13:$E959, "BL", $H$13:$H959, 1)-SUMIFS($G$13:$G959, $E$13:$E959, "Timothy", $J$13:$J959, 1)</f>
        <v>43.92466667</v>
      </c>
      <c r="K3" s="21">
        <f>SUMIFS($G$13:$G959, $E$13:$E959, "Pigskin", $H$13:$H959, 1)-SUMIFS($G$13:$G959, $E$13:$E959, "Timothy", $K$13:$K959, 1)</f>
        <v>-2.187806667</v>
      </c>
      <c r="L3" s="21">
        <f>SUMIFS($G$13:$G959, $E$13:$E959, "Angel", $H$13:$H959, 1)-SUMIFS($G$13:$G959, $E$13:$E959, "Timothy", $L$13:$L959, 1)</f>
        <v>0</v>
      </c>
      <c r="M3" s="21">
        <f>SUMIFS($G$13:$G959, $E$13:$E959, "Ivan", $H$13:$H959, 1)-SUMIFS($G$13:$G959, $E$13:$E959, "Timothy", $M$13:$M959, 1)</f>
        <v>-20.79016667</v>
      </c>
      <c r="N3" s="21">
        <f>SUMIFS($G$13:$G959, $E$13:$E959, "Esther", $H$13:$H959, 1)-SUMIFS($G$13:$G959, $E$13:$E959, "Timothy", $N$13:$N959, 1)</f>
        <v>-26.72064286</v>
      </c>
      <c r="O3" s="22">
        <f>SUMIFS($G$13:$G959, $E$13:$E959, "Ken9", $H$13:$H959, 1)-SUMIFS($G$13:$G959, $E$13:$E959, "Timothy", $O$13:$O959,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SUMIFS($G$13:$G959, $E$13:$E959, "Timothy", $I$13:$I959, 1)-SUMIFS($G$13:$G959, $E$13:$E959, "Rachel", $H$13:$H959, 1)</f>
        <v>41.27945905</v>
      </c>
      <c r="I4" s="20"/>
      <c r="J4" s="25">
        <f>SUMIFS($G$13:$G959, $E$13:$E959, "BL", $I$13:$I959, 1)-SUMIFS($G$13:$G959, $E$13:$E959, "Rachel", $J$13:$J959, 1)</f>
        <v>68.03575905</v>
      </c>
      <c r="K4" s="25">
        <f>SUMIFS($G$13:$G959, $E$13:$E959, "Pigskin", $I$13:$I959, 1)-SUMIFS($G$13:$G959, $E$13:$E959, "Rachel", $K$13:$K959, 1)</f>
        <v>9.129985714</v>
      </c>
      <c r="L4" s="25">
        <f>SUMIFS($G$13:$G959, $E$13:$E959, "Angel", $I$13:$I959, 1)-SUMIFS($G$13:$G959, $E$13:$E959, "Rachel", $L$13:$L959, 1)</f>
        <v>-34.67071429</v>
      </c>
      <c r="M4" s="25">
        <f>SUMIFS($G$13:$G959, $E$13:$E959, "Ivan", $I$13:$I959, 1)-SUMIFS($G$13:$G959, $E$13:$E959, "Rachel", $M$13:$M959, 1)</f>
        <v>-58.76070762</v>
      </c>
      <c r="N4" s="25">
        <f>SUMIFS($G$13:$G959, $E$13:$E959, "Esther", $I$13:$I959, 1)-SUMIFS($G$13:$G959, $E$13:$E959, "Rachel", $N$13:$N959, 1)</f>
        <v>-12.58952381</v>
      </c>
      <c r="O4" s="26">
        <f>SUMIFS($G$13:$G959, $E$13:$E959, "Ken9", $I$13:$I959, 1)-SUMIFS($G$13:$G959, $E$13:$E959, "Rachel", $O$13:$O959,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SUMIFS($G$13:$G959, $E$13:$E959, "Timothy", $J$13:$J959, 1)-SUMIFS($G$13:$G959, $E$13:$E959, "BL", $H$13:$H959, 1)</f>
        <v>-43.92466667</v>
      </c>
      <c r="I5" s="28">
        <f>SUMIFS($G$13:$G959, $E$13:$E959, "Rachel", $J$13:$J959, 1)-SUMIFS($G$13:$G959, $E$13:$E959, "BL", $I$13:$I959, 1)</f>
        <v>-68.03575905</v>
      </c>
      <c r="J5" s="20"/>
      <c r="K5" s="25">
        <f>SUMIFS($G$13:$G959, $E$13:$E959, "Pigskin", $J$13:$J959, 1)-SUMIFS($G$13:$G959, $E$13:$E959, "BL", $K$13:$K959, 1)</f>
        <v>-55.85914</v>
      </c>
      <c r="L5" s="28">
        <f>SUMIFS($G$13:$G959, $E$13:$E959, "Angel", $J$13:$J959, 1)-SUMIFS($G$13:$G959, $E$13:$E959, "BL", $L$13:$L959, 1)</f>
        <v>-25.70866667</v>
      </c>
      <c r="M5" s="25">
        <f>SUMIFS($G$13:$G959, $E$13:$E959, "Ivan", $J$13:$J959, 1)-SUMIFS($G$13:$G959, $E$13:$E959, "BL", $M$13:$M959, 1)</f>
        <v>-32.86166667</v>
      </c>
      <c r="N5" s="28">
        <f>SUMIFS($G$13:$G959, $E$13:$E959, "Esther", $J$13:$J959, 1)-SUMIFS($G$13:$G959, $E$13:$E959, "BL", $N$13:$N959, 1)</f>
        <v>-67.95414286</v>
      </c>
      <c r="O5" s="26">
        <f>SUMIFS($G$13:$G959, $E$13:$E959, "Ken9", $J$13:$J959, 1)-SUMIFS($G$13:$G959, $E$13:$E959, "BL", $O$13:$O959,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SUMIFS($G$13:$G959, $E$13:$E959, "Timothy", $K$13:$K959, 1)-SUMIFS($G$13:$G959, $E$13:$E959, "Pigskin", $H$13:$H959, 1)</f>
        <v>2.187806667</v>
      </c>
      <c r="I6" s="28">
        <f>SUMIFS($G$13:$G959, $E$13:$E959, "Rachel", $K$13:$K959, 1)-SUMIFS($G$13:$G959, $E$13:$E959, "Pigskin", $I$13:$I959, 1)</f>
        <v>-9.129985714</v>
      </c>
      <c r="J6" s="28">
        <f>SUMIFS($G$13:$G959, $E$13:$E959, "BL", $K$13:$K959, 1)-SUMIFS($G$13:$G959, $E$13:$E959, "Pigskin", $J$13:$J959, 1)</f>
        <v>55.85914</v>
      </c>
      <c r="K6" s="20"/>
      <c r="L6" s="25">
        <f>SUMIFS($G$13:$G959, $E$13:$E959, "Angel", $K$13:$K959, 1)-SUMIFS($G$13:$G959, $E$13:$E959, "Pigskin", $L$13:$L959, 1)</f>
        <v>-13.03333333</v>
      </c>
      <c r="M6" s="28">
        <f>SUMIFS($G$13:$G959, $E$13:$E959, "Ivan", $K$13:$K959, 1)-SUMIFS($G$13:$G959, $E$13:$E959, "Pigskin", $M$13:$M959, 1)</f>
        <v>11.475</v>
      </c>
      <c r="N6" s="28">
        <f>SUMIFS($G$13:$G959, $E$13:$E959, "Esther", $K$13:$K959, 1)-SUMIFS($G$13:$G959, $E$13:$E959, "Pigskin", $N$13:$N959, 1)</f>
        <v>-24.42616952</v>
      </c>
      <c r="O6" s="26">
        <f>SUMIFS($G$13:$G959, $E$13:$E959, "Ken9", $K$13:$K959, 1)-SUMIFS($G$13:$G959, $E$13:$E959, "Pigskin", $O$13:$O959,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SUMIFS($G$13:$G959, $E$13:$E959, "Timothy", $L$13:$L959, 1)-SUMIFS($G$13:$G959, $E$13:$E959, "Angel", $H$13:$H959, 1)</f>
        <v>0</v>
      </c>
      <c r="I7" s="25">
        <f>SUMIFS($G$13:$G959, $E$13:$E959, "Rachel", $L$13:$L959, 1)-SUMIFS($G$13:$G959, $E$13:$E959, "Angel", $I$13:$I959, 1)</f>
        <v>34.67071429</v>
      </c>
      <c r="J7" s="25">
        <f>SUMIFS($G$13:$G959, $E$13:$E959, "BL", $L$13:$L959, 1)-SUMIFS($G$13:$G959, $E$13:$E959, "Angel", $J$13:$J959, 1)</f>
        <v>25.70866667</v>
      </c>
      <c r="K7" s="25">
        <f>SUMIFS($G$13:$G959, $E$13:$E959, "Pigskin", $L$13:$L959, 1)-SUMIFS($G$13:$G959, $E$13:$E959, "Angel", $K$13:$K959, 1)</f>
        <v>13.03333333</v>
      </c>
      <c r="L7" s="20"/>
      <c r="M7" s="25">
        <f>SUMIFS($G$13:$G959, $E$13:$E959, "Ivan", $L$13:$L959, 1)-SUMIFS($G$13:$G959, $E$13:$E959, "Angel", $M$13:$M959, 1)</f>
        <v>0</v>
      </c>
      <c r="N7" s="28">
        <f>SUMIFS($G$13:$G959, $E$13:$E959, "Esther", $L$13:$L959, 1)-SUMIFS($G$13:$G959, $E$13:$E959, "Angel", $N$13:$N959, 1)</f>
        <v>4.362857143</v>
      </c>
      <c r="O7" s="31">
        <f>SUMIFS($G$13:$G959, $E$13:$E959, "Ken9", $L$13:$L959, 1)-SUMIFS($G$13:$G959, $E$13:$E959, "Angel", $O$13:$O959,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SUMIFS($G$13:$G959, $E$13:$E959, "Timothy", $M$13:$M959, 1)-SUMIFS($G$13:$G959, $E$13:$E959, "Ivan", $H$13:$H959, 1)</f>
        <v>20.79016667</v>
      </c>
      <c r="I8" s="28">
        <f>SUMIFS($G$13:$G959, $E$13:$E959, "Rachel", $M$13:$M959, 1)-SUMIFS($G$13:$G959, $E$13:$E959, "Ivan", $I$13:$I959, 1)</f>
        <v>58.76070762</v>
      </c>
      <c r="J8" s="25">
        <f>SUMIFS($G$13:$G959, $E$13:$E959, "BL", $M$13:$M959, 1)-SUMIFS($G$13:$G959, $E$13:$E959, "Ivan", $J$13:$J959, 1)</f>
        <v>32.86166667</v>
      </c>
      <c r="K8" s="25">
        <f>SUMIFS($G$13:$G959, $E$13:$E959, "Pigskin", $M$13:$M959, 1)-SUMIFS($G$13:$G959, $E$13:$E959, "Ivan", $K$13:$K959, 1)</f>
        <v>-11.475</v>
      </c>
      <c r="L8" s="25">
        <f>SUMIFS($G$13:$G959, $E$13:$E959, "Angel", $M$13:$M959, 1)-SUMIFS($G$13:$G959, $E$13:$E959, "Ivan", $L$13:$L959, 1)</f>
        <v>0</v>
      </c>
      <c r="M8" s="20"/>
      <c r="N8" s="28">
        <f>SUMIFS($G$13:$G959, $E$13:$E959, "Esther", $M$13:$M959, 1)-SUMIFS($G$13:$G959, $E$13:$E959, "Ivan", $N$13:$N959, 1)</f>
        <v>5.576666667</v>
      </c>
      <c r="O8" s="31">
        <f>SUMIFS($G$13:$G959, $E$13:$E959, "Ken9", $M$13:$M959, 1)-SUMIFS($G$13:$G959, $E$13:$E959, "Ivan", $O$13:$O959,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SUMIFS($G$13:$G959, $E$13:$E959, "Timothy", $N$13:$N959, 1)-SUMIFS($G$13:$G959, $E$13:$E959, "Esther", $H$13:$H959, 1)</f>
        <v>26.72064286</v>
      </c>
      <c r="I9" s="25">
        <f>SUMIFS($G$13:$G959, $E$13:$E959, "Rachel", $N$13:$N959, 1)-SUMIFS($G$13:$G959, $E$13:$E959, "Esther", $I$13:$I959, 1)</f>
        <v>12.58952381</v>
      </c>
      <c r="J9" s="25">
        <f>SUMIFS($G$13:$G959, $E$13:$E959, "BL", $N$13:$N959, 1)-SUMIFS($G$13:$G959, $E$13:$E959, "Esther", $J$13:$J959, 1)</f>
        <v>67.95414286</v>
      </c>
      <c r="K9" s="25">
        <f>SUMIFS($G$13:$G959, $E$13:$E959, "Pigskin", $N$13:$N959, 1)-SUMIFS($G$13:$G959, $E$13:$E959, "Esther", $K$13:$K959, 1)</f>
        <v>24.42616952</v>
      </c>
      <c r="L9" s="25">
        <f>SUMIFS($G$13:$G959, $E$13:$E959, "Angel", $N$13:$N959, 1)-SUMIFS($G$13:$G959, $E$13:$E959, "Esther", $L$13:$L959, 1)</f>
        <v>-4.362857143</v>
      </c>
      <c r="M9" s="25">
        <f>SUMIFS($G$13:$G959, $E$13:$E959, "Ivan", $N$13:$N959, 1)-SUMIFS($G$13:$G959, $E$13:$E959, "Esther", $M$13:$M959, 1)</f>
        <v>-5.576666667</v>
      </c>
      <c r="N9" s="20"/>
      <c r="O9" s="31">
        <f>SUMIFS($G$13:$G959, $E$13:$E959, "Ken9", $N$13:$N959, 1)-SUMIFS($G$13:$G959, $E$13:$E959, "Esther", $O$13:$O959,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SUMIFS($G$13:$G959, $E$13:$E959, "Timothy", $O$13:$O959, 1)-SUMIFS($G$13:$G959, $E$13:$E959, "Ken9", $H$13:$H959, 1)</f>
        <v>0</v>
      </c>
      <c r="I10" s="40">
        <f>SUMIFS($G$13:$G959, $E$13:$E959, "Rachel", $O$13:$O959, 1)-SUMIFS($G$13:$G959, $E$13:$E959, "Ken9", $I$13:$I959, 1)</f>
        <v>0</v>
      </c>
      <c r="J10" s="40">
        <f>SUMIFS($G$13:$G959, $E$13:$E959, "BL", $O$13:$O959, 1)-SUMIFS($G$13:$G959, $E$13:$E959, "Ken9", $J$13:$J959, 1)</f>
        <v>0</v>
      </c>
      <c r="K10" s="40">
        <f>SUMIFS($G$13:$G959, $E$13:$E959, "Pigskin", $O$13:$O959, 1)-SUMIFS($G$13:$G959, $E$13:$E959, "Ken9", $K$13:$K959, 1)</f>
        <v>0</v>
      </c>
      <c r="L10" s="40">
        <f>SUMIFS($G$13:$G959, $E$13:$E959, "Angel", $O$13:$O959, 1)-SUMIFS($G$13:$G959, $E$13:$E959, "Ken9", $L$13:$L959, 1)</f>
        <v>0</v>
      </c>
      <c r="M10" s="40">
        <f>SUMIFS($G$13:$G959, $E$13:$E959, "Ivan", $O$13:$O959, 1)-SUMIFS($G$13:$G959, $E$13:$E959, "Ken9", $M$13:$M959, 1)</f>
        <v>0</v>
      </c>
      <c r="N10" s="40">
        <f>SUMIFS($G$13:$G959, $E$13:$E959, "Esther", $O$13:$O959, 1)-SUMIFS($G$13:$G959, $E$13:$E959, "Ken9", $N$13:$N959,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9">
        <v>45505.0</v>
      </c>
      <c r="B13" s="12" t="s">
        <v>46</v>
      </c>
      <c r="C13" s="12" t="s">
        <v>11</v>
      </c>
      <c r="D13" s="12">
        <f>3.59+5.39</f>
        <v>8.98</v>
      </c>
      <c r="E13" s="12" t="s">
        <v>14</v>
      </c>
      <c r="F13" s="10">
        <f t="shared" ref="F13:F61" si="1">D13/sum(H13:Q13)</f>
        <v>4.49</v>
      </c>
      <c r="G13" s="10">
        <f t="shared" ref="G13:G61" si="2">D13/sum(H13:Q13)</f>
        <v>4.49</v>
      </c>
      <c r="J13" s="1">
        <v>1.0</v>
      </c>
      <c r="K13" s="1">
        <v>1.0</v>
      </c>
      <c r="Z13" s="10"/>
      <c r="AA13" s="10"/>
    </row>
    <row r="14">
      <c r="A14" s="61">
        <v>45505.0</v>
      </c>
      <c r="B14" s="51" t="s">
        <v>46</v>
      </c>
      <c r="C14" s="51" t="s">
        <v>11</v>
      </c>
      <c r="D14" s="51">
        <f>52.53-8.98</f>
        <v>43.55</v>
      </c>
      <c r="E14" s="51" t="s">
        <v>14</v>
      </c>
      <c r="F14" s="10">
        <f t="shared" si="1"/>
        <v>7.258333333</v>
      </c>
      <c r="G14" s="10">
        <f t="shared" si="2"/>
        <v>7.258333333</v>
      </c>
      <c r="H14" s="52">
        <v>1.0</v>
      </c>
      <c r="I14" s="52">
        <v>1.0</v>
      </c>
      <c r="J14" s="52">
        <v>1.0</v>
      </c>
      <c r="K14" s="52">
        <v>1.0</v>
      </c>
      <c r="L14" s="54"/>
      <c r="M14" s="54">
        <v>1.0</v>
      </c>
      <c r="N14" s="52">
        <v>1.0</v>
      </c>
      <c r="Z14" s="10"/>
      <c r="AA14" s="10"/>
    </row>
    <row r="15">
      <c r="A15" s="61">
        <v>45505.0</v>
      </c>
      <c r="B15" s="12" t="s">
        <v>279</v>
      </c>
      <c r="C15" s="12" t="s">
        <v>11</v>
      </c>
      <c r="D15" s="12">
        <v>32.17</v>
      </c>
      <c r="E15" s="12" t="s">
        <v>4</v>
      </c>
      <c r="F15" s="10">
        <f t="shared" si="1"/>
        <v>4.595714286</v>
      </c>
      <c r="G15" s="10">
        <f t="shared" si="2"/>
        <v>4.595714286</v>
      </c>
      <c r="H15" s="1">
        <v>1.0</v>
      </c>
      <c r="I15" s="1">
        <v>1.0</v>
      </c>
      <c r="J15" s="1">
        <v>1.0</v>
      </c>
      <c r="K15" s="1">
        <v>1.0</v>
      </c>
      <c r="L15" s="1">
        <v>1.0</v>
      </c>
      <c r="M15" s="1">
        <v>1.0</v>
      </c>
      <c r="N15" s="1">
        <v>1.0</v>
      </c>
      <c r="Z15" s="10"/>
      <c r="AA15" s="10"/>
    </row>
    <row r="16">
      <c r="A16" s="61">
        <v>45505.0</v>
      </c>
      <c r="B16" s="51" t="s">
        <v>280</v>
      </c>
      <c r="C16" s="51" t="s">
        <v>139</v>
      </c>
      <c r="D16" s="51">
        <v>6.89</v>
      </c>
      <c r="E16" s="51" t="s">
        <v>2</v>
      </c>
      <c r="F16" s="10">
        <f t="shared" si="1"/>
        <v>6.89</v>
      </c>
      <c r="G16" s="10">
        <f t="shared" si="2"/>
        <v>6.89</v>
      </c>
      <c r="H16" s="52"/>
      <c r="I16" s="52">
        <v>1.0</v>
      </c>
      <c r="J16" s="52"/>
      <c r="K16" s="52"/>
      <c r="L16" s="53"/>
      <c r="M16" s="53"/>
      <c r="N16" s="52"/>
      <c r="Z16" s="10"/>
      <c r="AA16" s="10"/>
    </row>
    <row r="17">
      <c r="A17" s="61">
        <v>45505.0</v>
      </c>
      <c r="B17" s="51" t="s">
        <v>280</v>
      </c>
      <c r="C17" s="51" t="s">
        <v>139</v>
      </c>
      <c r="D17" s="51">
        <v>7.19</v>
      </c>
      <c r="E17" s="51" t="s">
        <v>2</v>
      </c>
      <c r="F17" s="10">
        <f t="shared" si="1"/>
        <v>7.19</v>
      </c>
      <c r="G17" s="10">
        <f t="shared" si="2"/>
        <v>7.19</v>
      </c>
      <c r="H17" s="52"/>
      <c r="I17" s="52">
        <v>1.0</v>
      </c>
      <c r="J17" s="52"/>
      <c r="K17" s="52"/>
      <c r="L17" s="54"/>
      <c r="M17" s="53"/>
      <c r="N17" s="52"/>
      <c r="Z17" s="10"/>
      <c r="AA17" s="10"/>
    </row>
    <row r="18">
      <c r="A18" s="61">
        <v>45505.0</v>
      </c>
      <c r="B18" s="51" t="s">
        <v>280</v>
      </c>
      <c r="C18" s="12" t="s">
        <v>139</v>
      </c>
      <c r="D18" s="12">
        <v>19.87</v>
      </c>
      <c r="E18" s="51" t="s">
        <v>2</v>
      </c>
      <c r="F18" s="10">
        <f t="shared" si="1"/>
        <v>19.87</v>
      </c>
      <c r="G18" s="10">
        <f t="shared" si="2"/>
        <v>19.87</v>
      </c>
      <c r="I18" s="1">
        <v>1.0</v>
      </c>
      <c r="Z18" s="10"/>
      <c r="AA18" s="10"/>
    </row>
    <row r="19">
      <c r="A19" s="61">
        <v>45505.0</v>
      </c>
      <c r="B19" s="51" t="s">
        <v>280</v>
      </c>
      <c r="C19" s="12"/>
      <c r="D19" s="12">
        <v>2.23</v>
      </c>
      <c r="E19" s="51" t="s">
        <v>2</v>
      </c>
      <c r="F19" s="10">
        <f t="shared" si="1"/>
        <v>2.23</v>
      </c>
      <c r="G19" s="10">
        <f t="shared" si="2"/>
        <v>2.23</v>
      </c>
      <c r="I19" s="1">
        <v>1.0</v>
      </c>
      <c r="Z19" s="10"/>
      <c r="AA19" s="10"/>
    </row>
    <row r="20">
      <c r="A20" s="61">
        <v>45505.0</v>
      </c>
      <c r="B20" s="51" t="s">
        <v>280</v>
      </c>
      <c r="C20" s="12"/>
      <c r="D20" s="12">
        <v>4.98</v>
      </c>
      <c r="E20" s="12" t="s">
        <v>2</v>
      </c>
      <c r="F20" s="10">
        <f t="shared" si="1"/>
        <v>4.98</v>
      </c>
      <c r="G20" s="10">
        <f t="shared" si="2"/>
        <v>4.98</v>
      </c>
      <c r="J20" s="1">
        <v>1.0</v>
      </c>
      <c r="Z20" s="10"/>
      <c r="AA20" s="10"/>
    </row>
    <row r="21">
      <c r="A21" s="61">
        <v>45505.0</v>
      </c>
      <c r="B21" s="51" t="s">
        <v>280</v>
      </c>
      <c r="C21" s="12"/>
      <c r="D21" s="12">
        <v>4.98</v>
      </c>
      <c r="E21" s="12" t="s">
        <v>2</v>
      </c>
      <c r="F21" s="67">
        <f t="shared" si="1"/>
        <v>4.98</v>
      </c>
      <c r="G21" s="10">
        <f t="shared" si="2"/>
        <v>4.98</v>
      </c>
      <c r="J21" s="1">
        <v>1.0</v>
      </c>
      <c r="Z21" s="10"/>
      <c r="AA21" s="10"/>
    </row>
    <row r="22">
      <c r="A22" s="60">
        <v>45505.0</v>
      </c>
      <c r="B22" s="1" t="s">
        <v>281</v>
      </c>
      <c r="C22" s="51" t="s">
        <v>11</v>
      </c>
      <c r="D22" s="1">
        <v>18.0</v>
      </c>
      <c r="E22" s="1" t="s">
        <v>8</v>
      </c>
      <c r="F22" s="10">
        <f t="shared" si="1"/>
        <v>3</v>
      </c>
      <c r="G22" s="10">
        <f t="shared" si="2"/>
        <v>3</v>
      </c>
      <c r="H22" s="1">
        <v>1.0</v>
      </c>
      <c r="I22" s="1">
        <v>1.0</v>
      </c>
      <c r="J22" s="1">
        <v>1.0</v>
      </c>
      <c r="K22" s="1">
        <v>1.0</v>
      </c>
      <c r="M22" s="1">
        <v>1.0</v>
      </c>
      <c r="N22" s="1">
        <v>1.0</v>
      </c>
    </row>
    <row r="23">
      <c r="A23" s="59">
        <v>45506.0</v>
      </c>
      <c r="B23" s="12" t="s">
        <v>282</v>
      </c>
      <c r="C23" s="51" t="s">
        <v>11</v>
      </c>
      <c r="D23" s="12">
        <f>43+20</f>
        <v>63</v>
      </c>
      <c r="E23" s="12" t="s">
        <v>14</v>
      </c>
      <c r="F23" s="67">
        <f t="shared" si="1"/>
        <v>10.5</v>
      </c>
      <c r="G23" s="10">
        <f t="shared" si="2"/>
        <v>10.5</v>
      </c>
      <c r="H23" s="1">
        <v>1.0</v>
      </c>
      <c r="I23" s="1">
        <v>1.0</v>
      </c>
      <c r="J23" s="1">
        <v>1.0</v>
      </c>
      <c r="K23" s="1">
        <v>1.0</v>
      </c>
      <c r="L23" s="1">
        <v>1.0</v>
      </c>
      <c r="N23" s="1">
        <v>1.0</v>
      </c>
      <c r="Z23" s="57"/>
      <c r="AA23" s="57"/>
    </row>
    <row r="24">
      <c r="A24" s="59">
        <v>45506.0</v>
      </c>
      <c r="B24" s="12" t="s">
        <v>283</v>
      </c>
      <c r="C24" s="12" t="s">
        <v>27</v>
      </c>
      <c r="D24" s="12">
        <v>134.92</v>
      </c>
      <c r="E24" s="12" t="s">
        <v>13</v>
      </c>
      <c r="F24" s="10">
        <f t="shared" si="1"/>
        <v>22.48666667</v>
      </c>
      <c r="G24" s="10">
        <f t="shared" si="2"/>
        <v>22.48666667</v>
      </c>
      <c r="H24" s="1">
        <v>1.0</v>
      </c>
      <c r="I24" s="1">
        <v>1.0</v>
      </c>
      <c r="J24" s="1">
        <v>1.0</v>
      </c>
      <c r="K24" s="1">
        <v>1.0</v>
      </c>
      <c r="L24" s="1">
        <v>1.0</v>
      </c>
      <c r="N24" s="1">
        <v>1.0</v>
      </c>
      <c r="Z24" s="10"/>
      <c r="AA24" s="10"/>
    </row>
    <row r="25">
      <c r="A25" s="61">
        <v>45507.0</v>
      </c>
      <c r="B25" s="51" t="s">
        <v>46</v>
      </c>
      <c r="C25" s="51" t="s">
        <v>11</v>
      </c>
      <c r="D25" s="51">
        <v>27.82</v>
      </c>
      <c r="E25" s="51" t="s">
        <v>2</v>
      </c>
      <c r="F25" s="10">
        <f t="shared" si="1"/>
        <v>4.636666667</v>
      </c>
      <c r="G25" s="10">
        <f t="shared" si="2"/>
        <v>4.636666667</v>
      </c>
      <c r="H25" s="52">
        <v>1.0</v>
      </c>
      <c r="I25" s="52">
        <v>1.0</v>
      </c>
      <c r="J25" s="52">
        <v>1.0</v>
      </c>
      <c r="K25" s="52">
        <v>1.0</v>
      </c>
      <c r="L25" s="54"/>
      <c r="M25" s="54">
        <v>1.0</v>
      </c>
      <c r="N25" s="52">
        <v>1.0</v>
      </c>
      <c r="Z25" s="10"/>
      <c r="AA25" s="10"/>
    </row>
    <row r="26">
      <c r="A26" s="61">
        <v>45507.0</v>
      </c>
      <c r="B26" s="12" t="s">
        <v>284</v>
      </c>
      <c r="C26" s="12" t="s">
        <v>29</v>
      </c>
      <c r="D26" s="51">
        <v>8.99</v>
      </c>
      <c r="E26" s="51" t="s">
        <v>14</v>
      </c>
      <c r="F26" s="10">
        <f t="shared" si="1"/>
        <v>2.996666667</v>
      </c>
      <c r="G26" s="10">
        <f t="shared" si="2"/>
        <v>2.996666667</v>
      </c>
      <c r="I26" s="1">
        <v>1.0</v>
      </c>
      <c r="K26" s="1">
        <v>1.0</v>
      </c>
      <c r="N26" s="1">
        <v>1.0</v>
      </c>
      <c r="Z26" s="10"/>
      <c r="AA26" s="10"/>
    </row>
    <row r="27">
      <c r="A27" s="61">
        <v>45508.0</v>
      </c>
      <c r="B27" s="12" t="s">
        <v>130</v>
      </c>
      <c r="C27" s="51" t="s">
        <v>11</v>
      </c>
      <c r="D27" s="12">
        <v>90.0</v>
      </c>
      <c r="E27" s="12" t="s">
        <v>13</v>
      </c>
      <c r="F27" s="10">
        <f t="shared" si="1"/>
        <v>18</v>
      </c>
      <c r="G27" s="10">
        <f t="shared" si="2"/>
        <v>18</v>
      </c>
      <c r="H27" s="1">
        <v>1.0</v>
      </c>
      <c r="I27" s="1">
        <v>1.0</v>
      </c>
      <c r="J27" s="1">
        <v>1.0</v>
      </c>
      <c r="K27" s="1">
        <v>1.0</v>
      </c>
      <c r="M27" s="1">
        <v>1.0</v>
      </c>
      <c r="Z27" s="53"/>
      <c r="AA27" s="53"/>
    </row>
    <row r="28">
      <c r="A28" s="61">
        <v>45509.0</v>
      </c>
      <c r="B28" s="51" t="s">
        <v>46</v>
      </c>
      <c r="C28" s="51" t="s">
        <v>11</v>
      </c>
      <c r="D28" s="63">
        <v>18.19</v>
      </c>
      <c r="E28" s="51" t="s">
        <v>7</v>
      </c>
      <c r="F28" s="10">
        <f t="shared" si="1"/>
        <v>3.031666667</v>
      </c>
      <c r="G28" s="10">
        <f t="shared" si="2"/>
        <v>3.031666667</v>
      </c>
      <c r="H28" s="52">
        <v>1.0</v>
      </c>
      <c r="I28" s="54">
        <v>1.0</v>
      </c>
      <c r="J28" s="54">
        <v>1.0</v>
      </c>
      <c r="K28" s="54">
        <v>1.0</v>
      </c>
      <c r="L28" s="54"/>
      <c r="M28" s="54">
        <v>1.0</v>
      </c>
      <c r="N28" s="54">
        <v>1.0</v>
      </c>
      <c r="Z28" s="10"/>
      <c r="AA28" s="10"/>
    </row>
    <row r="29">
      <c r="A29" s="55">
        <v>45511.0</v>
      </c>
      <c r="B29" s="12" t="s">
        <v>98</v>
      </c>
      <c r="C29" s="12" t="s">
        <v>11</v>
      </c>
      <c r="D29" s="12">
        <f>50.85*1.13</f>
        <v>57.4605</v>
      </c>
      <c r="E29" s="12" t="s">
        <v>2</v>
      </c>
      <c r="F29" s="67">
        <f t="shared" si="1"/>
        <v>19.1535</v>
      </c>
      <c r="G29" s="10">
        <f t="shared" si="2"/>
        <v>19.1535</v>
      </c>
      <c r="K29" s="1">
        <v>1.0</v>
      </c>
      <c r="M29" s="1">
        <v>1.0</v>
      </c>
      <c r="N29" s="1">
        <v>1.0</v>
      </c>
      <c r="Z29" s="10"/>
      <c r="AA29" s="10"/>
    </row>
    <row r="30">
      <c r="A30" s="61">
        <v>45511.0</v>
      </c>
      <c r="B30" s="51" t="s">
        <v>98</v>
      </c>
      <c r="C30" s="51" t="s">
        <v>11</v>
      </c>
      <c r="D30" s="51">
        <f>19.95*1.13</f>
        <v>22.5435</v>
      </c>
      <c r="E30" s="51" t="s">
        <v>2</v>
      </c>
      <c r="F30" s="10">
        <f t="shared" si="1"/>
        <v>22.5435</v>
      </c>
      <c r="G30" s="10">
        <f t="shared" si="2"/>
        <v>22.5435</v>
      </c>
      <c r="H30" s="52"/>
      <c r="I30" s="54"/>
      <c r="J30" s="54">
        <v>1.0</v>
      </c>
      <c r="K30" s="54"/>
      <c r="L30" s="53"/>
      <c r="M30" s="54"/>
      <c r="N30" s="54"/>
      <c r="Z30" s="10"/>
      <c r="AA30" s="10"/>
    </row>
    <row r="31">
      <c r="A31" s="55">
        <v>45511.0</v>
      </c>
      <c r="B31" s="12" t="s">
        <v>98</v>
      </c>
      <c r="C31" s="12" t="s">
        <v>11</v>
      </c>
      <c r="D31" s="12">
        <f>41.9*1.13</f>
        <v>47.347</v>
      </c>
      <c r="E31" s="12" t="s">
        <v>2</v>
      </c>
      <c r="F31" s="10">
        <f t="shared" si="1"/>
        <v>23.6735</v>
      </c>
      <c r="G31" s="10">
        <f t="shared" si="2"/>
        <v>23.6735</v>
      </c>
      <c r="H31" s="1">
        <v>1.0</v>
      </c>
      <c r="I31" s="1">
        <v>1.0</v>
      </c>
      <c r="Z31" s="10"/>
      <c r="AA31" s="10"/>
    </row>
    <row r="32">
      <c r="A32" s="61">
        <v>45511.0</v>
      </c>
      <c r="B32" s="51" t="s">
        <v>285</v>
      </c>
      <c r="C32" s="51" t="s">
        <v>11</v>
      </c>
      <c r="D32" s="51">
        <v>17.99</v>
      </c>
      <c r="E32" s="51" t="s">
        <v>2</v>
      </c>
      <c r="F32" s="10">
        <f t="shared" si="1"/>
        <v>3.598</v>
      </c>
      <c r="G32" s="10">
        <f t="shared" si="2"/>
        <v>3.598</v>
      </c>
      <c r="H32" s="52">
        <v>1.0</v>
      </c>
      <c r="I32" s="52">
        <v>1.0</v>
      </c>
      <c r="J32" s="52">
        <v>1.0</v>
      </c>
      <c r="K32" s="52">
        <v>1.0</v>
      </c>
      <c r="L32" s="53"/>
      <c r="M32" s="54"/>
      <c r="N32" s="52">
        <v>1.0</v>
      </c>
      <c r="Z32" s="10"/>
      <c r="AA32" s="10"/>
    </row>
    <row r="33">
      <c r="A33" s="61">
        <v>45512.0</v>
      </c>
      <c r="B33" s="12" t="s">
        <v>155</v>
      </c>
      <c r="C33" s="12" t="s">
        <v>11</v>
      </c>
      <c r="D33" s="12">
        <v>40.0</v>
      </c>
      <c r="E33" s="51" t="s">
        <v>2</v>
      </c>
      <c r="F33" s="10">
        <f t="shared" si="1"/>
        <v>13.33333333</v>
      </c>
      <c r="G33" s="10">
        <f t="shared" si="2"/>
        <v>13.33333333</v>
      </c>
      <c r="H33" s="1">
        <v>1.0</v>
      </c>
      <c r="I33" s="1">
        <v>1.0</v>
      </c>
      <c r="J33" s="1">
        <v>1.0</v>
      </c>
      <c r="Z33" s="10"/>
      <c r="AA33" s="10"/>
    </row>
    <row r="34">
      <c r="A34" s="61">
        <v>45513.0</v>
      </c>
      <c r="B34" s="51" t="s">
        <v>45</v>
      </c>
      <c r="C34" s="51" t="s">
        <v>11</v>
      </c>
      <c r="D34" s="51">
        <v>37.34</v>
      </c>
      <c r="E34" s="51" t="s">
        <v>2</v>
      </c>
      <c r="F34" s="10">
        <f t="shared" si="1"/>
        <v>12.44666667</v>
      </c>
      <c r="G34" s="10">
        <f t="shared" si="2"/>
        <v>12.44666667</v>
      </c>
      <c r="H34" s="52">
        <v>1.0</v>
      </c>
      <c r="I34" s="52">
        <v>1.0</v>
      </c>
      <c r="J34" s="52"/>
      <c r="K34" s="52">
        <v>1.0</v>
      </c>
      <c r="L34" s="54"/>
      <c r="M34" s="54"/>
      <c r="N34" s="52"/>
      <c r="Z34" s="10"/>
      <c r="AA34" s="10"/>
    </row>
    <row r="35">
      <c r="A35" s="61">
        <v>45514.0</v>
      </c>
      <c r="B35" s="12" t="s">
        <v>130</v>
      </c>
      <c r="C35" s="12" t="s">
        <v>11</v>
      </c>
      <c r="D35" s="12">
        <v>60.15</v>
      </c>
      <c r="E35" s="12" t="s">
        <v>4</v>
      </c>
      <c r="F35" s="10">
        <f t="shared" si="1"/>
        <v>15.0375</v>
      </c>
      <c r="G35" s="10">
        <f t="shared" si="2"/>
        <v>15.0375</v>
      </c>
      <c r="H35" s="1">
        <v>1.0</v>
      </c>
      <c r="I35" s="1">
        <v>1.0</v>
      </c>
      <c r="L35" s="1">
        <v>1.0</v>
      </c>
      <c r="M35" s="1">
        <v>1.0</v>
      </c>
      <c r="Z35" s="10"/>
      <c r="AA35" s="10"/>
    </row>
    <row r="36">
      <c r="A36" s="59">
        <v>45514.0</v>
      </c>
      <c r="B36" s="12" t="s">
        <v>209</v>
      </c>
      <c r="C36" s="12" t="s">
        <v>11</v>
      </c>
      <c r="D36" s="12">
        <v>60.15</v>
      </c>
      <c r="E36" s="12" t="s">
        <v>4</v>
      </c>
      <c r="F36" s="10">
        <f t="shared" si="1"/>
        <v>15.0375</v>
      </c>
      <c r="G36" s="10">
        <f t="shared" si="2"/>
        <v>15.0375</v>
      </c>
      <c r="H36" s="1">
        <v>1.0</v>
      </c>
      <c r="I36" s="1">
        <v>1.0</v>
      </c>
      <c r="L36" s="1">
        <v>1.0</v>
      </c>
      <c r="M36" s="1">
        <v>1.0</v>
      </c>
      <c r="Z36" s="10"/>
      <c r="AA36" s="10"/>
    </row>
    <row r="37">
      <c r="A37" s="61">
        <v>45515.0</v>
      </c>
      <c r="B37" s="51" t="s">
        <v>46</v>
      </c>
      <c r="C37" s="51" t="s">
        <v>11</v>
      </c>
      <c r="D37" s="63">
        <v>30.68</v>
      </c>
      <c r="E37" s="51" t="s">
        <v>2</v>
      </c>
      <c r="F37" s="10">
        <f t="shared" si="1"/>
        <v>6.136</v>
      </c>
      <c r="G37" s="10">
        <f t="shared" si="2"/>
        <v>6.136</v>
      </c>
      <c r="H37" s="52">
        <v>1.0</v>
      </c>
      <c r="I37" s="52">
        <v>1.0</v>
      </c>
      <c r="J37" s="52">
        <v>1.0</v>
      </c>
      <c r="K37" s="52">
        <v>1.0</v>
      </c>
      <c r="L37" s="53"/>
      <c r="M37" s="53"/>
      <c r="N37" s="52">
        <v>1.0</v>
      </c>
      <c r="Z37" s="10"/>
      <c r="AA37" s="10"/>
    </row>
    <row r="38">
      <c r="A38" s="61">
        <v>45515.0</v>
      </c>
      <c r="B38" s="51" t="s">
        <v>46</v>
      </c>
      <c r="C38" s="12" t="s">
        <v>11</v>
      </c>
      <c r="D38" s="12">
        <v>30.68</v>
      </c>
      <c r="E38" s="12" t="s">
        <v>2</v>
      </c>
      <c r="F38" s="10">
        <f t="shared" si="1"/>
        <v>6.136</v>
      </c>
      <c r="G38" s="10">
        <f t="shared" si="2"/>
        <v>6.136</v>
      </c>
      <c r="H38" s="1">
        <v>1.0</v>
      </c>
      <c r="I38" s="1">
        <v>1.0</v>
      </c>
      <c r="J38" s="1">
        <v>1.0</v>
      </c>
      <c r="K38" s="1">
        <v>1.0</v>
      </c>
      <c r="N38" s="1">
        <v>1.0</v>
      </c>
      <c r="Z38" s="10"/>
      <c r="AA38" s="10"/>
    </row>
    <row r="39">
      <c r="A39" s="61">
        <v>45516.0</v>
      </c>
      <c r="B39" s="51"/>
      <c r="C39" s="51" t="s">
        <v>11</v>
      </c>
      <c r="D39" s="51"/>
      <c r="E39" s="51"/>
      <c r="F39" s="10" t="str">
        <f t="shared" si="1"/>
        <v>#DIV/0!</v>
      </c>
      <c r="G39" s="10" t="str">
        <f t="shared" si="2"/>
        <v>#DIV/0!</v>
      </c>
      <c r="H39" s="52"/>
      <c r="I39" s="54"/>
      <c r="J39" s="52"/>
      <c r="K39" s="54"/>
      <c r="L39" s="54"/>
      <c r="M39" s="54"/>
      <c r="N39" s="54"/>
      <c r="Z39" s="10"/>
      <c r="AA39" s="10"/>
    </row>
    <row r="40">
      <c r="A40" s="61">
        <v>45517.0</v>
      </c>
      <c r="B40" s="51" t="s">
        <v>209</v>
      </c>
      <c r="C40" s="51" t="s">
        <v>11</v>
      </c>
      <c r="D40" s="51">
        <v>47.2</v>
      </c>
      <c r="E40" s="51" t="s">
        <v>8</v>
      </c>
      <c r="F40" s="10">
        <f t="shared" si="1"/>
        <v>15.73333333</v>
      </c>
      <c r="G40" s="10">
        <f t="shared" si="2"/>
        <v>15.73333333</v>
      </c>
      <c r="H40" s="52"/>
      <c r="I40" s="54"/>
      <c r="J40" s="52">
        <v>1.0</v>
      </c>
      <c r="K40" s="54">
        <v>1.0</v>
      </c>
      <c r="L40" s="54"/>
      <c r="M40" s="54">
        <v>1.0</v>
      </c>
      <c r="N40" s="54"/>
      <c r="Z40" s="10"/>
      <c r="AA40" s="10"/>
    </row>
    <row r="41">
      <c r="A41" s="61">
        <v>45518.0</v>
      </c>
      <c r="B41" s="51" t="s">
        <v>286</v>
      </c>
      <c r="C41" s="51" t="s">
        <v>11</v>
      </c>
      <c r="D41" s="51">
        <v>107.0</v>
      </c>
      <c r="E41" s="51" t="s">
        <v>4</v>
      </c>
      <c r="F41" s="10">
        <f t="shared" si="1"/>
        <v>17.83333333</v>
      </c>
      <c r="G41" s="10">
        <f t="shared" si="2"/>
        <v>17.83333333</v>
      </c>
      <c r="H41" s="54">
        <v>1.0</v>
      </c>
      <c r="I41" s="54">
        <v>1.0</v>
      </c>
      <c r="J41" s="54">
        <v>1.0</v>
      </c>
      <c r="K41" s="54">
        <v>1.0</v>
      </c>
      <c r="L41" s="54"/>
      <c r="M41" s="54">
        <v>1.0</v>
      </c>
      <c r="N41" s="54">
        <v>1.0</v>
      </c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</row>
    <row r="42">
      <c r="A42" s="61">
        <v>45518.0</v>
      </c>
      <c r="B42" s="51" t="s">
        <v>287</v>
      </c>
      <c r="C42" s="51" t="s">
        <v>11</v>
      </c>
      <c r="D42" s="51">
        <f>12*6</f>
        <v>72</v>
      </c>
      <c r="E42" s="51" t="s">
        <v>13</v>
      </c>
      <c r="F42" s="10">
        <f t="shared" si="1"/>
        <v>12</v>
      </c>
      <c r="G42" s="10">
        <f t="shared" si="2"/>
        <v>12</v>
      </c>
      <c r="H42" s="54">
        <v>1.0</v>
      </c>
      <c r="I42" s="54">
        <v>1.0</v>
      </c>
      <c r="J42" s="54">
        <v>1.0</v>
      </c>
      <c r="K42" s="54">
        <v>1.0</v>
      </c>
      <c r="L42" s="54"/>
      <c r="M42" s="54">
        <v>1.0</v>
      </c>
      <c r="N42" s="54">
        <v>1.0</v>
      </c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</row>
    <row r="43">
      <c r="A43" s="61">
        <v>45519.0</v>
      </c>
      <c r="B43" s="51" t="s">
        <v>46</v>
      </c>
      <c r="C43" s="51" t="s">
        <v>11</v>
      </c>
      <c r="D43" s="51">
        <v>26.16</v>
      </c>
      <c r="E43" s="51" t="s">
        <v>288</v>
      </c>
      <c r="F43" s="65">
        <f t="shared" si="1"/>
        <v>5.232</v>
      </c>
      <c r="G43" s="65">
        <f t="shared" si="2"/>
        <v>5.232</v>
      </c>
      <c r="H43" s="54">
        <v>1.0</v>
      </c>
      <c r="I43" s="54">
        <v>1.0</v>
      </c>
      <c r="J43" s="54">
        <v>1.0</v>
      </c>
      <c r="K43" s="54">
        <v>1.0</v>
      </c>
      <c r="L43" s="54"/>
      <c r="M43" s="54">
        <v>1.0</v>
      </c>
      <c r="N43" s="54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</row>
    <row r="44">
      <c r="A44" s="59">
        <v>45519.0</v>
      </c>
      <c r="B44" s="12" t="s">
        <v>289</v>
      </c>
      <c r="C44" s="12" t="s">
        <v>23</v>
      </c>
      <c r="D44" s="12">
        <f>(24.99-5)*1.13</f>
        <v>22.5887</v>
      </c>
      <c r="E44" s="12" t="s">
        <v>14</v>
      </c>
      <c r="F44" s="10">
        <f t="shared" si="1"/>
        <v>4.51774</v>
      </c>
      <c r="G44" s="10">
        <f t="shared" si="2"/>
        <v>4.51774</v>
      </c>
      <c r="H44" s="1">
        <v>1.0</v>
      </c>
      <c r="I44" s="1">
        <v>1.0</v>
      </c>
      <c r="J44" s="1">
        <v>1.0</v>
      </c>
      <c r="K44" s="1">
        <v>1.0</v>
      </c>
      <c r="N44" s="1">
        <v>1.0</v>
      </c>
      <c r="S44" s="88">
        <f>SUM(D40:D42)</f>
        <v>226.2</v>
      </c>
      <c r="Z44" s="10"/>
      <c r="AA44" s="10"/>
    </row>
    <row r="45">
      <c r="A45" s="55">
        <v>45519.0</v>
      </c>
      <c r="B45" s="12" t="s">
        <v>290</v>
      </c>
      <c r="C45" s="12" t="s">
        <v>19</v>
      </c>
      <c r="D45" s="12">
        <f t="shared" ref="D45:D46" si="3">15.69*1.13</f>
        <v>17.7297</v>
      </c>
      <c r="E45" s="12" t="s">
        <v>14</v>
      </c>
      <c r="F45" s="10">
        <f t="shared" si="1"/>
        <v>3.54594</v>
      </c>
      <c r="G45" s="10">
        <f t="shared" si="2"/>
        <v>3.54594</v>
      </c>
      <c r="H45" s="1">
        <v>1.0</v>
      </c>
      <c r="I45" s="1">
        <v>1.0</v>
      </c>
      <c r="J45" s="1">
        <v>1.0</v>
      </c>
      <c r="K45" s="1">
        <v>1.0</v>
      </c>
      <c r="N45" s="1">
        <v>1.0</v>
      </c>
      <c r="Z45" s="10"/>
      <c r="AA45" s="10"/>
    </row>
    <row r="46">
      <c r="A46" s="55">
        <v>45519.0</v>
      </c>
      <c r="B46" s="12" t="s">
        <v>290</v>
      </c>
      <c r="C46" s="12" t="s">
        <v>19</v>
      </c>
      <c r="D46" s="12">
        <f t="shared" si="3"/>
        <v>17.7297</v>
      </c>
      <c r="E46" s="12" t="s">
        <v>14</v>
      </c>
      <c r="F46" s="10">
        <f t="shared" si="1"/>
        <v>3.54594</v>
      </c>
      <c r="G46" s="10">
        <f t="shared" si="2"/>
        <v>3.54594</v>
      </c>
      <c r="H46" s="1">
        <v>1.0</v>
      </c>
      <c r="I46" s="1">
        <v>1.0</v>
      </c>
      <c r="J46" s="1">
        <v>1.0</v>
      </c>
      <c r="K46" s="1">
        <v>1.0</v>
      </c>
      <c r="N46" s="1">
        <v>1.0</v>
      </c>
      <c r="Z46" s="10"/>
      <c r="AA46" s="10"/>
    </row>
    <row r="47">
      <c r="A47" s="55">
        <v>45519.0</v>
      </c>
      <c r="B47" s="12" t="s">
        <v>291</v>
      </c>
      <c r="C47" s="12" t="s">
        <v>23</v>
      </c>
      <c r="D47" s="12">
        <f>(29.99-6)*1.13</f>
        <v>27.1087</v>
      </c>
      <c r="E47" s="12" t="s">
        <v>14</v>
      </c>
      <c r="F47" s="10">
        <f t="shared" si="1"/>
        <v>5.42174</v>
      </c>
      <c r="G47" s="10">
        <f t="shared" si="2"/>
        <v>5.42174</v>
      </c>
      <c r="H47" s="1">
        <v>1.0</v>
      </c>
      <c r="I47" s="1">
        <v>1.0</v>
      </c>
      <c r="J47" s="1">
        <v>1.0</v>
      </c>
      <c r="K47" s="1">
        <v>1.0</v>
      </c>
      <c r="N47" s="1">
        <v>1.0</v>
      </c>
      <c r="Z47" s="10"/>
      <c r="AA47" s="10"/>
    </row>
    <row r="48">
      <c r="A48" s="55">
        <v>45519.0</v>
      </c>
      <c r="B48" s="12" t="s">
        <v>292</v>
      </c>
      <c r="C48" s="12" t="s">
        <v>11</v>
      </c>
      <c r="D48" s="12">
        <v>16.99</v>
      </c>
      <c r="E48" s="12" t="s">
        <v>14</v>
      </c>
      <c r="F48" s="10">
        <f t="shared" si="1"/>
        <v>3.398</v>
      </c>
      <c r="G48" s="10">
        <f t="shared" si="2"/>
        <v>3.398</v>
      </c>
      <c r="H48" s="1">
        <v>1.0</v>
      </c>
      <c r="I48" s="1">
        <v>1.0</v>
      </c>
      <c r="J48" s="1">
        <v>1.0</v>
      </c>
      <c r="K48" s="1">
        <v>1.0</v>
      </c>
      <c r="N48" s="1">
        <v>1.0</v>
      </c>
      <c r="Z48" s="10"/>
      <c r="AA48" s="10"/>
    </row>
    <row r="49">
      <c r="A49" s="55">
        <v>45520.0</v>
      </c>
      <c r="B49" s="12" t="s">
        <v>293</v>
      </c>
      <c r="C49" s="12" t="s">
        <v>11</v>
      </c>
      <c r="D49" s="12">
        <v>18.0</v>
      </c>
      <c r="E49" s="12" t="s">
        <v>4</v>
      </c>
      <c r="F49" s="10">
        <f t="shared" si="1"/>
        <v>9</v>
      </c>
      <c r="G49" s="10">
        <f t="shared" si="2"/>
        <v>9</v>
      </c>
      <c r="H49" s="1"/>
      <c r="I49" s="1">
        <v>1.0</v>
      </c>
      <c r="J49" s="1"/>
      <c r="K49" s="1">
        <v>1.0</v>
      </c>
      <c r="M49" s="1"/>
      <c r="Z49" s="10"/>
      <c r="AA49" s="10"/>
    </row>
    <row r="50">
      <c r="A50" s="55">
        <v>45522.0</v>
      </c>
      <c r="B50" s="12" t="s">
        <v>141</v>
      </c>
      <c r="C50" s="12" t="s">
        <v>11</v>
      </c>
      <c r="D50" s="12">
        <v>172.76</v>
      </c>
      <c r="E50" s="12" t="s">
        <v>13</v>
      </c>
      <c r="F50" s="10">
        <f t="shared" si="1"/>
        <v>21.595</v>
      </c>
      <c r="G50" s="10">
        <f t="shared" si="2"/>
        <v>21.595</v>
      </c>
      <c r="H50" s="1">
        <v>1.0</v>
      </c>
      <c r="I50" s="1">
        <v>1.0</v>
      </c>
      <c r="J50" s="1">
        <v>1.0</v>
      </c>
      <c r="K50" s="1">
        <v>1.0</v>
      </c>
      <c r="L50" s="1">
        <v>2.0</v>
      </c>
      <c r="M50" s="1">
        <v>1.0</v>
      </c>
      <c r="N50" s="1">
        <v>1.0</v>
      </c>
      <c r="Z50" s="10"/>
      <c r="AA50" s="10"/>
    </row>
    <row r="51">
      <c r="A51" s="59">
        <v>45522.0</v>
      </c>
      <c r="B51" s="12" t="s">
        <v>294</v>
      </c>
      <c r="C51" s="12" t="s">
        <v>11</v>
      </c>
      <c r="D51" s="12">
        <v>12.02</v>
      </c>
      <c r="E51" s="12" t="s">
        <v>7</v>
      </c>
      <c r="F51" s="10">
        <f t="shared" si="1"/>
        <v>12.02</v>
      </c>
      <c r="G51" s="10">
        <f t="shared" si="2"/>
        <v>12.02</v>
      </c>
      <c r="K51" s="1">
        <v>1.0</v>
      </c>
      <c r="Z51" s="10"/>
      <c r="AA51" s="10"/>
    </row>
    <row r="52">
      <c r="A52" s="55">
        <v>45523.0</v>
      </c>
      <c r="B52" s="12" t="s">
        <v>46</v>
      </c>
      <c r="C52" s="12" t="s">
        <v>11</v>
      </c>
      <c r="D52" s="12">
        <f>53.73-6.59*1.13</f>
        <v>46.2833</v>
      </c>
      <c r="E52" s="12" t="s">
        <v>4</v>
      </c>
      <c r="F52" s="10">
        <f t="shared" si="1"/>
        <v>9.25666</v>
      </c>
      <c r="G52" s="10">
        <f t="shared" si="2"/>
        <v>9.25666</v>
      </c>
      <c r="H52" s="1">
        <v>1.0</v>
      </c>
      <c r="I52" s="1">
        <v>1.0</v>
      </c>
      <c r="J52" s="1">
        <v>1.0</v>
      </c>
      <c r="K52" s="1">
        <v>1.0</v>
      </c>
      <c r="M52" s="1">
        <v>1.0</v>
      </c>
      <c r="Z52" s="10"/>
      <c r="AA52" s="10"/>
    </row>
    <row r="53">
      <c r="A53" s="61">
        <v>45523.0</v>
      </c>
      <c r="B53" s="51" t="s">
        <v>46</v>
      </c>
      <c r="C53" s="51" t="s">
        <v>11</v>
      </c>
      <c r="D53" s="63">
        <f>6.59*1.13</f>
        <v>7.4467</v>
      </c>
      <c r="E53" s="51" t="s">
        <v>4</v>
      </c>
      <c r="F53" s="10">
        <f t="shared" si="1"/>
        <v>7.4467</v>
      </c>
      <c r="G53" s="10">
        <f t="shared" si="2"/>
        <v>7.4467</v>
      </c>
      <c r="H53" s="52"/>
      <c r="I53" s="52"/>
      <c r="J53" s="52">
        <v>1.0</v>
      </c>
      <c r="K53" s="52"/>
      <c r="L53" s="53"/>
      <c r="M53" s="54"/>
      <c r="N53" s="52"/>
      <c r="Z53" s="10"/>
      <c r="AA53" s="10"/>
    </row>
    <row r="54">
      <c r="A54" s="59">
        <v>45524.0</v>
      </c>
      <c r="B54" s="12" t="s">
        <v>46</v>
      </c>
      <c r="C54" s="12" t="s">
        <v>11</v>
      </c>
      <c r="D54" s="12">
        <v>33.27</v>
      </c>
      <c r="E54" s="12" t="s">
        <v>7</v>
      </c>
      <c r="F54" s="10">
        <f t="shared" si="1"/>
        <v>5.545</v>
      </c>
      <c r="G54" s="10">
        <f t="shared" si="2"/>
        <v>5.545</v>
      </c>
      <c r="H54" s="1">
        <v>1.0</v>
      </c>
      <c r="I54" s="1">
        <v>1.0</v>
      </c>
      <c r="J54" s="1">
        <v>1.0</v>
      </c>
      <c r="K54" s="1">
        <v>1.0</v>
      </c>
      <c r="M54" s="1">
        <v>1.0</v>
      </c>
      <c r="N54" s="1">
        <v>1.0</v>
      </c>
      <c r="Z54" s="10"/>
      <c r="AA54" s="10"/>
    </row>
    <row r="55">
      <c r="A55" s="61">
        <v>45525.0</v>
      </c>
      <c r="B55" s="51" t="s">
        <v>149</v>
      </c>
      <c r="C55" s="51" t="s">
        <v>11</v>
      </c>
      <c r="D55" s="51">
        <f>11.63+2.49</f>
        <v>14.12</v>
      </c>
      <c r="E55" s="51" t="s">
        <v>14</v>
      </c>
      <c r="F55" s="10">
        <f t="shared" si="1"/>
        <v>3.53</v>
      </c>
      <c r="G55" s="10">
        <f t="shared" si="2"/>
        <v>3.53</v>
      </c>
      <c r="H55" s="52">
        <v>1.0</v>
      </c>
      <c r="I55" s="52">
        <v>1.0</v>
      </c>
      <c r="J55" s="52">
        <v>1.0</v>
      </c>
      <c r="K55" s="52">
        <v>1.0</v>
      </c>
      <c r="L55" s="54"/>
      <c r="M55" s="54"/>
      <c r="N55" s="52"/>
      <c r="Z55" s="10"/>
      <c r="AA55" s="10"/>
    </row>
    <row r="56">
      <c r="A56" s="55">
        <v>45525.0</v>
      </c>
      <c r="B56" s="12" t="s">
        <v>149</v>
      </c>
      <c r="C56" s="12" t="s">
        <v>11</v>
      </c>
      <c r="D56" s="12">
        <f>3.64+0.98+2.9+7.68</f>
        <v>15.2</v>
      </c>
      <c r="E56" s="12" t="s">
        <v>14</v>
      </c>
      <c r="F56" s="10">
        <f t="shared" si="1"/>
        <v>2.533333333</v>
      </c>
      <c r="G56" s="10">
        <f t="shared" si="2"/>
        <v>2.533333333</v>
      </c>
      <c r="H56" s="1">
        <v>1.0</v>
      </c>
      <c r="I56" s="1">
        <v>1.0</v>
      </c>
      <c r="J56" s="1">
        <v>1.0</v>
      </c>
      <c r="K56" s="1">
        <v>1.0</v>
      </c>
      <c r="L56" s="1">
        <v>1.0</v>
      </c>
      <c r="N56" s="1">
        <v>1.0</v>
      </c>
      <c r="Z56" s="10"/>
      <c r="AA56" s="10"/>
    </row>
    <row r="57">
      <c r="A57" s="59">
        <v>45526.0</v>
      </c>
      <c r="B57" s="12" t="s">
        <v>46</v>
      </c>
      <c r="C57" s="12" t="s">
        <v>11</v>
      </c>
      <c r="D57" s="12">
        <v>16.11</v>
      </c>
      <c r="E57" s="12" t="s">
        <v>13</v>
      </c>
      <c r="F57" s="10">
        <f t="shared" si="1"/>
        <v>3.222</v>
      </c>
      <c r="G57" s="10">
        <f t="shared" si="2"/>
        <v>3.222</v>
      </c>
      <c r="H57" s="1">
        <v>1.0</v>
      </c>
      <c r="I57" s="1">
        <v>1.0</v>
      </c>
      <c r="J57" s="1">
        <v>1.0</v>
      </c>
      <c r="K57" s="1">
        <v>1.0</v>
      </c>
      <c r="L57" s="1">
        <v>1.0</v>
      </c>
      <c r="Z57" s="10"/>
      <c r="AA57" s="10"/>
    </row>
    <row r="58">
      <c r="A58" s="59">
        <v>45527.0</v>
      </c>
      <c r="B58" s="12" t="s">
        <v>149</v>
      </c>
      <c r="C58" s="12" t="s">
        <v>11</v>
      </c>
      <c r="D58" s="12">
        <v>47.71</v>
      </c>
      <c r="E58" s="12" t="s">
        <v>13</v>
      </c>
      <c r="F58" s="10">
        <f t="shared" si="1"/>
        <v>9.542</v>
      </c>
      <c r="G58" s="10">
        <f t="shared" si="2"/>
        <v>9.542</v>
      </c>
      <c r="H58" s="1">
        <v>1.0</v>
      </c>
      <c r="I58" s="1">
        <v>1.0</v>
      </c>
      <c r="J58" s="1">
        <v>1.0</v>
      </c>
      <c r="K58" s="1">
        <v>1.0</v>
      </c>
      <c r="N58" s="1">
        <v>1.0</v>
      </c>
      <c r="Z58" s="10"/>
      <c r="AA58" s="10"/>
    </row>
    <row r="59">
      <c r="A59" s="55">
        <v>45529.0</v>
      </c>
      <c r="B59" s="12" t="s">
        <v>295</v>
      </c>
      <c r="C59" s="12" t="s">
        <v>11</v>
      </c>
      <c r="D59" s="12">
        <v>65.19</v>
      </c>
      <c r="E59" s="12" t="s">
        <v>13</v>
      </c>
      <c r="F59" s="10">
        <f t="shared" si="1"/>
        <v>13.038</v>
      </c>
      <c r="G59" s="10">
        <f t="shared" si="2"/>
        <v>13.038</v>
      </c>
      <c r="H59" s="1">
        <v>1.0</v>
      </c>
      <c r="I59" s="1">
        <v>1.0</v>
      </c>
      <c r="J59" s="1">
        <v>1.0</v>
      </c>
      <c r="K59" s="1">
        <v>1.0</v>
      </c>
      <c r="N59" s="1">
        <v>1.0</v>
      </c>
      <c r="Z59" s="10"/>
      <c r="AA59" s="10"/>
    </row>
    <row r="60">
      <c r="A60" s="61">
        <v>45530.0</v>
      </c>
      <c r="B60" s="51" t="s">
        <v>47</v>
      </c>
      <c r="C60" s="51" t="s">
        <v>11</v>
      </c>
      <c r="D60" s="51">
        <v>32.61</v>
      </c>
      <c r="E60" s="51" t="s">
        <v>13</v>
      </c>
      <c r="F60" s="10">
        <f t="shared" si="1"/>
        <v>8.1525</v>
      </c>
      <c r="G60" s="10">
        <f t="shared" si="2"/>
        <v>8.1525</v>
      </c>
      <c r="H60" s="52">
        <v>1.0</v>
      </c>
      <c r="I60" s="52">
        <v>1.0</v>
      </c>
      <c r="J60" s="52">
        <v>1.0</v>
      </c>
      <c r="K60" s="52">
        <v>1.0</v>
      </c>
      <c r="L60" s="54"/>
      <c r="M60" s="54"/>
      <c r="N60" s="52"/>
      <c r="Z60" s="10"/>
      <c r="AA60" s="10"/>
    </row>
    <row r="61">
      <c r="A61" s="55">
        <v>45531.0</v>
      </c>
      <c r="B61" s="12" t="s">
        <v>46</v>
      </c>
      <c r="C61" s="12" t="s">
        <v>11</v>
      </c>
      <c r="D61" s="12">
        <v>28.34</v>
      </c>
      <c r="E61" s="12" t="s">
        <v>14</v>
      </c>
      <c r="F61" s="67">
        <f t="shared" si="1"/>
        <v>5.668</v>
      </c>
      <c r="G61" s="10">
        <f t="shared" si="2"/>
        <v>5.668</v>
      </c>
      <c r="H61" s="1">
        <v>1.0</v>
      </c>
      <c r="I61" s="1">
        <v>1.0</v>
      </c>
      <c r="J61" s="1">
        <v>1.0</v>
      </c>
      <c r="K61" s="1">
        <v>1.0</v>
      </c>
      <c r="N61" s="1">
        <v>1.0</v>
      </c>
      <c r="Z61" s="10"/>
      <c r="AA61" s="10"/>
    </row>
    <row r="62">
      <c r="A62" s="61">
        <v>45532.0</v>
      </c>
      <c r="B62" s="12" t="s">
        <v>120</v>
      </c>
      <c r="C62" s="12" t="s">
        <v>11</v>
      </c>
      <c r="D62" s="12">
        <v>30.54</v>
      </c>
      <c r="E62" s="12" t="s">
        <v>7</v>
      </c>
      <c r="F62" s="10">
        <f>D62/sum(H62:R62)</f>
        <v>4.362857143</v>
      </c>
      <c r="G62" s="10">
        <f>D62/sum(H62:R62)</f>
        <v>4.362857143</v>
      </c>
      <c r="H62" s="1">
        <v>1.0</v>
      </c>
      <c r="I62" s="1">
        <v>1.0</v>
      </c>
      <c r="J62" s="1">
        <v>1.0</v>
      </c>
      <c r="K62" s="1">
        <v>1.0</v>
      </c>
      <c r="L62" s="1">
        <v>1.0</v>
      </c>
      <c r="N62" s="1">
        <v>1.0</v>
      </c>
      <c r="P62" s="1">
        <v>1.0</v>
      </c>
      <c r="Z62" s="10"/>
      <c r="AA62" s="10"/>
    </row>
    <row r="63">
      <c r="A63" s="61">
        <v>45533.0</v>
      </c>
      <c r="B63" s="51" t="s">
        <v>46</v>
      </c>
      <c r="C63" s="51" t="s">
        <v>11</v>
      </c>
      <c r="D63" s="51">
        <v>15.5</v>
      </c>
      <c r="E63" s="51" t="s">
        <v>4</v>
      </c>
      <c r="F63" s="10">
        <f t="shared" ref="F63:F110" si="4">D63/sum(H63:Q63)</f>
        <v>3.1</v>
      </c>
      <c r="G63" s="10">
        <f t="shared" ref="G63:G110" si="5">D63/sum(H63:Q63)</f>
        <v>3.1</v>
      </c>
      <c r="H63" s="52">
        <v>1.0</v>
      </c>
      <c r="I63" s="52">
        <v>1.0</v>
      </c>
      <c r="J63" s="52">
        <v>1.0</v>
      </c>
      <c r="K63" s="52">
        <v>1.0</v>
      </c>
      <c r="L63" s="54"/>
      <c r="M63" s="52"/>
      <c r="N63" s="52">
        <v>1.0</v>
      </c>
      <c r="Z63" s="10"/>
      <c r="AA63" s="10"/>
    </row>
    <row r="64">
      <c r="A64" s="61">
        <v>45534.0</v>
      </c>
      <c r="B64" s="51" t="s">
        <v>46</v>
      </c>
      <c r="C64" s="51" t="s">
        <v>11</v>
      </c>
      <c r="D64" s="63">
        <v>11.16</v>
      </c>
      <c r="E64" s="51" t="s">
        <v>13</v>
      </c>
      <c r="F64" s="10">
        <f t="shared" si="4"/>
        <v>2.232</v>
      </c>
      <c r="G64" s="10">
        <f t="shared" si="5"/>
        <v>2.232</v>
      </c>
      <c r="H64" s="52">
        <v>1.0</v>
      </c>
      <c r="I64" s="52">
        <v>1.0</v>
      </c>
      <c r="J64" s="52">
        <v>1.0</v>
      </c>
      <c r="K64" s="52">
        <v>1.0</v>
      </c>
      <c r="L64" s="54"/>
      <c r="M64" s="54"/>
      <c r="N64" s="52">
        <v>1.0</v>
      </c>
      <c r="Z64" s="10"/>
      <c r="AA64" s="10"/>
    </row>
    <row r="65">
      <c r="A65" s="59"/>
      <c r="B65" s="12"/>
      <c r="C65" s="12"/>
      <c r="D65" s="12"/>
      <c r="E65" s="12"/>
      <c r="F65" s="10" t="str">
        <f t="shared" si="4"/>
        <v>#DIV/0!</v>
      </c>
      <c r="G65" s="10" t="str">
        <f t="shared" si="5"/>
        <v>#DIV/0!</v>
      </c>
      <c r="Z65" s="10"/>
      <c r="AA65" s="10"/>
    </row>
    <row r="66">
      <c r="A66" s="55"/>
      <c r="B66" s="12"/>
      <c r="C66" s="12"/>
      <c r="D66" s="12"/>
      <c r="E66" s="12"/>
      <c r="F66" s="10" t="str">
        <f t="shared" si="4"/>
        <v>#DIV/0!</v>
      </c>
      <c r="G66" s="10" t="str">
        <f t="shared" si="5"/>
        <v>#DIV/0!</v>
      </c>
      <c r="Z66" s="10"/>
      <c r="AA66" s="10"/>
    </row>
    <row r="67">
      <c r="A67" s="61"/>
      <c r="B67" s="51"/>
      <c r="C67" s="51"/>
      <c r="D67" s="63"/>
      <c r="E67" s="51"/>
      <c r="F67" s="10" t="str">
        <f t="shared" si="4"/>
        <v>#DIV/0!</v>
      </c>
      <c r="G67" s="10" t="str">
        <f t="shared" si="5"/>
        <v>#DIV/0!</v>
      </c>
      <c r="H67" s="52"/>
      <c r="I67" s="52"/>
      <c r="J67" s="52"/>
      <c r="K67" s="52"/>
      <c r="L67" s="53"/>
      <c r="M67" s="53"/>
      <c r="N67" s="52"/>
      <c r="Z67" s="10"/>
      <c r="AA67" s="10"/>
    </row>
    <row r="68">
      <c r="A68" s="55"/>
      <c r="B68" s="12"/>
      <c r="C68" s="12"/>
      <c r="D68" s="12"/>
      <c r="E68" s="12"/>
      <c r="F68" s="10" t="str">
        <f t="shared" si="4"/>
        <v>#DIV/0!</v>
      </c>
      <c r="G68" s="10" t="str">
        <f t="shared" si="5"/>
        <v>#DIV/0!</v>
      </c>
      <c r="Z68" s="10"/>
      <c r="AA68" s="10"/>
    </row>
    <row r="69">
      <c r="A69" s="59"/>
      <c r="B69" s="12"/>
      <c r="C69" s="12"/>
      <c r="D69" s="12"/>
      <c r="E69" s="12"/>
      <c r="F69" s="10" t="str">
        <f t="shared" si="4"/>
        <v>#DIV/0!</v>
      </c>
      <c r="G69" s="10" t="str">
        <f t="shared" si="5"/>
        <v>#DIV/0!</v>
      </c>
      <c r="T69" s="18"/>
      <c r="U69" s="18"/>
      <c r="V69" s="18"/>
      <c r="W69" s="18"/>
      <c r="Z69" s="10"/>
      <c r="AA69" s="10"/>
    </row>
    <row r="70">
      <c r="A70" s="59"/>
      <c r="B70" s="12"/>
      <c r="C70" s="12"/>
      <c r="D70" s="12"/>
      <c r="E70" s="12"/>
      <c r="F70" s="10" t="str">
        <f t="shared" si="4"/>
        <v>#DIV/0!</v>
      </c>
      <c r="G70" s="10" t="str">
        <f t="shared" si="5"/>
        <v>#DIV/0!</v>
      </c>
      <c r="Z70" s="10"/>
      <c r="AA70" s="10"/>
    </row>
    <row r="71">
      <c r="A71" s="59"/>
      <c r="B71" s="12"/>
      <c r="C71" s="12"/>
      <c r="D71" s="12"/>
      <c r="E71" s="12"/>
      <c r="F71" s="67" t="str">
        <f t="shared" si="4"/>
        <v>#DIV/0!</v>
      </c>
      <c r="G71" s="10" t="str">
        <f t="shared" si="5"/>
        <v>#DIV/0!</v>
      </c>
      <c r="Z71" s="10"/>
      <c r="AA71" s="10"/>
    </row>
    <row r="72">
      <c r="A72" s="55"/>
      <c r="B72" s="12"/>
      <c r="C72" s="12"/>
      <c r="D72" s="12"/>
      <c r="E72" s="12"/>
      <c r="F72" s="67" t="str">
        <f t="shared" si="4"/>
        <v>#DIV/0!</v>
      </c>
      <c r="G72" s="10" t="str">
        <f t="shared" si="5"/>
        <v>#DIV/0!</v>
      </c>
      <c r="Z72" s="10"/>
      <c r="AA72" s="10"/>
    </row>
    <row r="73">
      <c r="A73" s="55"/>
      <c r="B73" s="12"/>
      <c r="C73" s="12"/>
      <c r="D73" s="12"/>
      <c r="E73" s="12"/>
      <c r="F73" s="67" t="str">
        <f t="shared" si="4"/>
        <v>#DIV/0!</v>
      </c>
      <c r="G73" s="10" t="str">
        <f t="shared" si="5"/>
        <v>#DIV/0!</v>
      </c>
      <c r="Z73" s="10"/>
      <c r="AA73" s="10"/>
    </row>
    <row r="74">
      <c r="A74" s="61"/>
      <c r="B74" s="12"/>
      <c r="C74" s="12"/>
      <c r="D74" s="12"/>
      <c r="E74" s="12"/>
      <c r="F74" s="67" t="str">
        <f t="shared" si="4"/>
        <v>#DIV/0!</v>
      </c>
      <c r="G74" s="10" t="str">
        <f t="shared" si="5"/>
        <v>#DIV/0!</v>
      </c>
      <c r="Z74" s="10"/>
      <c r="AA74" s="10"/>
    </row>
    <row r="75">
      <c r="A75" s="59"/>
      <c r="B75" s="12"/>
      <c r="C75" s="51"/>
      <c r="D75" s="12"/>
      <c r="E75" s="12"/>
      <c r="F75" s="67" t="str">
        <f t="shared" si="4"/>
        <v>#DIV/0!</v>
      </c>
      <c r="G75" s="10" t="str">
        <f t="shared" si="5"/>
        <v>#DIV/0!</v>
      </c>
      <c r="Z75" s="64"/>
      <c r="AA75" s="64"/>
    </row>
    <row r="76">
      <c r="A76" s="55"/>
      <c r="B76" s="12"/>
      <c r="C76" s="12"/>
      <c r="D76" s="12"/>
      <c r="E76" s="12"/>
      <c r="F76" s="67" t="str">
        <f t="shared" si="4"/>
        <v>#DIV/0!</v>
      </c>
      <c r="G76" s="10" t="str">
        <f t="shared" si="5"/>
        <v>#DIV/0!</v>
      </c>
      <c r="Z76" s="10"/>
      <c r="AA76" s="10"/>
    </row>
    <row r="77">
      <c r="A77" s="59"/>
      <c r="B77" s="12"/>
      <c r="C77" s="12"/>
      <c r="D77" s="12"/>
      <c r="E77" s="12"/>
      <c r="F77" s="67" t="str">
        <f t="shared" si="4"/>
        <v>#DIV/0!</v>
      </c>
      <c r="G77" s="10" t="str">
        <f t="shared" si="5"/>
        <v>#DIV/0!</v>
      </c>
      <c r="Z77" s="10"/>
      <c r="AA77" s="10"/>
    </row>
    <row r="78">
      <c r="A78" s="59"/>
      <c r="B78" s="12"/>
      <c r="C78" s="51"/>
      <c r="D78" s="12"/>
      <c r="E78" s="12"/>
      <c r="F78" s="67" t="str">
        <f t="shared" si="4"/>
        <v>#DIV/0!</v>
      </c>
      <c r="G78" s="10" t="str">
        <f t="shared" si="5"/>
        <v>#DIV/0!</v>
      </c>
      <c r="Z78" s="64"/>
      <c r="AA78" s="64"/>
    </row>
    <row r="79">
      <c r="A79" s="59"/>
      <c r="B79" s="12"/>
      <c r="C79" s="51"/>
      <c r="D79" s="12"/>
      <c r="E79" s="12"/>
      <c r="F79" s="67" t="str">
        <f t="shared" si="4"/>
        <v>#DIV/0!</v>
      </c>
      <c r="G79" s="10" t="str">
        <f t="shared" si="5"/>
        <v>#DIV/0!</v>
      </c>
      <c r="Z79" s="64"/>
      <c r="AA79" s="64"/>
    </row>
    <row r="80">
      <c r="A80" s="59"/>
      <c r="B80" s="12"/>
      <c r="C80" s="51"/>
      <c r="D80" s="12"/>
      <c r="E80" s="12"/>
      <c r="F80" s="67" t="str">
        <f t="shared" si="4"/>
        <v>#DIV/0!</v>
      </c>
      <c r="G80" s="10" t="str">
        <f t="shared" si="5"/>
        <v>#DIV/0!</v>
      </c>
      <c r="Z80" s="64"/>
      <c r="AA80" s="64"/>
    </row>
    <row r="81">
      <c r="A81" s="55"/>
      <c r="B81" s="12"/>
      <c r="C81" s="12"/>
      <c r="D81" s="12"/>
      <c r="E81" s="12"/>
      <c r="F81" s="67" t="str">
        <f t="shared" si="4"/>
        <v>#DIV/0!</v>
      </c>
      <c r="G81" s="10" t="str">
        <f t="shared" si="5"/>
        <v>#DIV/0!</v>
      </c>
      <c r="Z81" s="10"/>
      <c r="AA81" s="10"/>
    </row>
    <row r="82">
      <c r="A82" s="59"/>
      <c r="B82" s="12"/>
      <c r="C82" s="12"/>
      <c r="D82" s="12"/>
      <c r="E82" s="12"/>
      <c r="F82" s="67" t="str">
        <f t="shared" si="4"/>
        <v>#DIV/0!</v>
      </c>
      <c r="G82" s="10" t="str">
        <f t="shared" si="5"/>
        <v>#DIV/0!</v>
      </c>
      <c r="Z82" s="10"/>
      <c r="AA82" s="10"/>
    </row>
    <row r="83">
      <c r="A83" s="59"/>
      <c r="B83" s="12"/>
      <c r="C83" s="12"/>
      <c r="D83" s="12"/>
      <c r="E83" s="12"/>
      <c r="F83" s="67" t="str">
        <f t="shared" si="4"/>
        <v>#DIV/0!</v>
      </c>
      <c r="G83" s="10" t="str">
        <f t="shared" si="5"/>
        <v>#DIV/0!</v>
      </c>
      <c r="Z83" s="10"/>
      <c r="AA83" s="10"/>
    </row>
    <row r="84">
      <c r="A84" s="59"/>
      <c r="B84" s="12"/>
      <c r="C84" s="12"/>
      <c r="D84" s="12"/>
      <c r="E84" s="12"/>
      <c r="F84" s="67" t="str">
        <f t="shared" si="4"/>
        <v>#DIV/0!</v>
      </c>
      <c r="G84" s="10" t="str">
        <f t="shared" si="5"/>
        <v>#DIV/0!</v>
      </c>
      <c r="Z84" s="10"/>
      <c r="AA84" s="10"/>
    </row>
    <row r="85">
      <c r="A85" s="55"/>
      <c r="B85" s="12"/>
      <c r="C85" s="12"/>
      <c r="D85" s="12"/>
      <c r="E85" s="12"/>
      <c r="F85" s="67" t="str">
        <f t="shared" si="4"/>
        <v>#DIV/0!</v>
      </c>
      <c r="G85" s="10" t="str">
        <f t="shared" si="5"/>
        <v>#DIV/0!</v>
      </c>
      <c r="Z85" s="10"/>
      <c r="AA85" s="10"/>
    </row>
    <row r="86">
      <c r="A86" s="55"/>
      <c r="B86" s="51"/>
      <c r="C86" s="51"/>
      <c r="D86" s="51"/>
      <c r="E86" s="12"/>
      <c r="F86" s="67" t="str">
        <f t="shared" si="4"/>
        <v>#DIV/0!</v>
      </c>
      <c r="G86" s="10" t="str">
        <f t="shared" si="5"/>
        <v>#DIV/0!</v>
      </c>
      <c r="H86" s="52"/>
      <c r="I86" s="52"/>
      <c r="J86" s="52"/>
      <c r="K86" s="52"/>
      <c r="L86" s="53"/>
      <c r="M86" s="54"/>
      <c r="N86" s="52"/>
      <c r="O86" s="54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</row>
    <row r="87">
      <c r="A87" s="55"/>
      <c r="B87" s="12"/>
      <c r="C87" s="12"/>
      <c r="D87" s="12"/>
      <c r="E87" s="12"/>
      <c r="F87" s="67" t="str">
        <f t="shared" si="4"/>
        <v>#DIV/0!</v>
      </c>
      <c r="G87" s="10" t="str">
        <f t="shared" si="5"/>
        <v>#DIV/0!</v>
      </c>
      <c r="Z87" s="10"/>
      <c r="AA87" s="10"/>
    </row>
    <row r="88">
      <c r="A88" s="59"/>
      <c r="B88" s="12"/>
      <c r="C88" s="12"/>
      <c r="D88" s="12"/>
      <c r="E88" s="12"/>
      <c r="F88" s="67" t="str">
        <f t="shared" si="4"/>
        <v>#DIV/0!</v>
      </c>
      <c r="G88" s="10" t="str">
        <f t="shared" si="5"/>
        <v>#DIV/0!</v>
      </c>
      <c r="Z88" s="10"/>
      <c r="AA88" s="10"/>
    </row>
    <row r="89">
      <c r="A89" s="61"/>
      <c r="B89" s="12"/>
      <c r="C89" s="12"/>
      <c r="D89" s="12"/>
      <c r="E89" s="12"/>
      <c r="F89" s="67" t="str">
        <f t="shared" si="4"/>
        <v>#DIV/0!</v>
      </c>
      <c r="G89" s="10" t="str">
        <f t="shared" si="5"/>
        <v>#DIV/0!</v>
      </c>
      <c r="Z89" s="10"/>
      <c r="AA89" s="10"/>
    </row>
    <row r="90">
      <c r="A90" s="61"/>
      <c r="B90" s="12"/>
      <c r="C90" s="12"/>
      <c r="D90" s="12"/>
      <c r="E90" s="12"/>
      <c r="F90" s="67" t="str">
        <f t="shared" si="4"/>
        <v>#DIV/0!</v>
      </c>
      <c r="G90" s="10" t="str">
        <f t="shared" si="5"/>
        <v>#DIV/0!</v>
      </c>
      <c r="Z90" s="10"/>
      <c r="AA90" s="10"/>
    </row>
    <row r="91">
      <c r="A91" s="59"/>
      <c r="B91" s="12"/>
      <c r="C91" s="12"/>
      <c r="D91" s="12"/>
      <c r="E91" s="12"/>
      <c r="F91" s="67" t="str">
        <f t="shared" si="4"/>
        <v>#DIV/0!</v>
      </c>
      <c r="G91" s="10" t="str">
        <f t="shared" si="5"/>
        <v>#DIV/0!</v>
      </c>
      <c r="Z91" s="10"/>
      <c r="AA91" s="10"/>
    </row>
    <row r="92">
      <c r="A92" s="59"/>
      <c r="B92" s="12"/>
      <c r="C92" s="12"/>
      <c r="D92" s="12"/>
      <c r="E92" s="12"/>
      <c r="F92" s="67" t="str">
        <f t="shared" si="4"/>
        <v>#DIV/0!</v>
      </c>
      <c r="G92" s="10" t="str">
        <f t="shared" si="5"/>
        <v>#DIV/0!</v>
      </c>
      <c r="Z92" s="10"/>
      <c r="AA92" s="10"/>
    </row>
    <row r="93">
      <c r="A93" s="59"/>
      <c r="B93" s="12"/>
      <c r="C93" s="12"/>
      <c r="D93" s="12"/>
      <c r="E93" s="12"/>
      <c r="F93" s="67" t="str">
        <f t="shared" si="4"/>
        <v>#DIV/0!</v>
      </c>
      <c r="G93" s="10" t="str">
        <f t="shared" si="5"/>
        <v>#DIV/0!</v>
      </c>
      <c r="Z93" s="10"/>
      <c r="AA93" s="10"/>
    </row>
    <row r="94">
      <c r="A94" s="59"/>
      <c r="B94" s="12"/>
      <c r="C94" s="12"/>
      <c r="D94" s="12"/>
      <c r="E94" s="12"/>
      <c r="F94" s="67" t="str">
        <f t="shared" si="4"/>
        <v>#DIV/0!</v>
      </c>
      <c r="G94" s="10" t="str">
        <f t="shared" si="5"/>
        <v>#DIV/0!</v>
      </c>
      <c r="Z94" s="10"/>
      <c r="AA94" s="10"/>
    </row>
    <row r="95">
      <c r="A95" s="12"/>
      <c r="B95" s="12"/>
      <c r="C95" s="12"/>
      <c r="D95" s="12"/>
      <c r="E95" s="12"/>
      <c r="F95" s="67" t="str">
        <f t="shared" si="4"/>
        <v>#DIV/0!</v>
      </c>
      <c r="G95" s="10" t="str">
        <f t="shared" si="5"/>
        <v>#DIV/0!</v>
      </c>
      <c r="Z95" s="10"/>
      <c r="AA95" s="10"/>
    </row>
    <row r="96">
      <c r="A96" s="61"/>
      <c r="B96" s="51"/>
      <c r="C96" s="51"/>
      <c r="D96" s="51"/>
      <c r="E96" s="51"/>
      <c r="F96" s="10" t="str">
        <f t="shared" si="4"/>
        <v>#DIV/0!</v>
      </c>
      <c r="G96" s="10" t="str">
        <f t="shared" si="5"/>
        <v>#DIV/0!</v>
      </c>
      <c r="H96" s="52"/>
      <c r="I96" s="52"/>
      <c r="J96" s="52"/>
      <c r="K96" s="52"/>
      <c r="L96" s="53"/>
      <c r="M96" s="53"/>
      <c r="N96" s="52"/>
      <c r="Z96" s="10"/>
      <c r="AA96" s="10"/>
    </row>
    <row r="97">
      <c r="A97" s="59"/>
      <c r="B97" s="12"/>
      <c r="C97" s="12"/>
      <c r="D97" s="12"/>
      <c r="E97" s="12"/>
      <c r="F97" s="10" t="str">
        <f t="shared" si="4"/>
        <v>#DIV/0!</v>
      </c>
      <c r="G97" s="10" t="str">
        <f t="shared" si="5"/>
        <v>#DIV/0!</v>
      </c>
      <c r="Z97" s="10"/>
      <c r="AA97" s="10"/>
    </row>
    <row r="98">
      <c r="A98" s="61"/>
      <c r="B98" s="51"/>
      <c r="C98" s="51"/>
      <c r="D98" s="63"/>
      <c r="E98" s="51"/>
      <c r="F98" s="10" t="str">
        <f t="shared" si="4"/>
        <v>#DIV/0!</v>
      </c>
      <c r="G98" s="10" t="str">
        <f t="shared" si="5"/>
        <v>#DIV/0!</v>
      </c>
      <c r="H98" s="54"/>
      <c r="I98" s="54"/>
      <c r="J98" s="54"/>
      <c r="K98" s="54"/>
      <c r="L98" s="52"/>
      <c r="M98" s="54"/>
      <c r="N98" s="54"/>
      <c r="Z98" s="10"/>
      <c r="AA98" s="10"/>
    </row>
    <row r="99">
      <c r="A99" s="61"/>
      <c r="B99" s="51"/>
      <c r="C99" s="51"/>
      <c r="D99" s="51"/>
      <c r="E99" s="51"/>
      <c r="F99" s="10" t="str">
        <f t="shared" si="4"/>
        <v>#DIV/0!</v>
      </c>
      <c r="G99" s="10" t="str">
        <f t="shared" si="5"/>
        <v>#DIV/0!</v>
      </c>
      <c r="H99" s="52"/>
      <c r="I99" s="52"/>
      <c r="J99" s="52"/>
      <c r="K99" s="52"/>
      <c r="L99" s="53"/>
      <c r="M99" s="54"/>
      <c r="N99" s="52"/>
      <c r="Z99" s="10"/>
      <c r="AA99" s="10"/>
    </row>
    <row r="100">
      <c r="A100" s="59"/>
      <c r="B100" s="12"/>
      <c r="C100" s="12"/>
      <c r="D100" s="12"/>
      <c r="E100" s="12"/>
      <c r="F100" s="10" t="str">
        <f t="shared" si="4"/>
        <v>#DIV/0!</v>
      </c>
      <c r="G100" s="10" t="str">
        <f t="shared" si="5"/>
        <v>#DIV/0!</v>
      </c>
      <c r="Z100" s="10"/>
      <c r="AA100" s="10"/>
    </row>
    <row r="101">
      <c r="A101" s="61"/>
      <c r="B101" s="51"/>
      <c r="C101" s="51"/>
      <c r="D101" s="51"/>
      <c r="E101" s="51"/>
      <c r="F101" s="10" t="str">
        <f t="shared" si="4"/>
        <v>#DIV/0!</v>
      </c>
      <c r="G101" s="10" t="str">
        <f t="shared" si="5"/>
        <v>#DIV/0!</v>
      </c>
      <c r="H101" s="52"/>
      <c r="I101" s="52"/>
      <c r="J101" s="52"/>
      <c r="K101" s="52"/>
      <c r="L101" s="53"/>
      <c r="M101" s="54"/>
      <c r="N101" s="52"/>
      <c r="Z101" s="10"/>
      <c r="AA101" s="10"/>
    </row>
    <row r="102">
      <c r="A102" s="61"/>
      <c r="B102" s="51"/>
      <c r="C102" s="51"/>
      <c r="D102" s="51"/>
      <c r="E102" s="51"/>
      <c r="F102" s="10" t="str">
        <f t="shared" si="4"/>
        <v>#DIV/0!</v>
      </c>
      <c r="G102" s="10" t="str">
        <f t="shared" si="5"/>
        <v>#DIV/0!</v>
      </c>
      <c r="H102" s="52"/>
      <c r="I102" s="52"/>
      <c r="J102" s="52"/>
      <c r="K102" s="52"/>
      <c r="L102" s="54"/>
      <c r="M102" s="54"/>
      <c r="N102" s="52"/>
      <c r="Z102" s="10"/>
      <c r="AA102" s="10"/>
    </row>
    <row r="103">
      <c r="A103" s="61"/>
      <c r="B103" s="51"/>
      <c r="C103" s="51"/>
      <c r="D103" s="51"/>
      <c r="E103" s="51"/>
      <c r="F103" s="10" t="str">
        <f t="shared" si="4"/>
        <v>#DIV/0!</v>
      </c>
      <c r="G103" s="10" t="str">
        <f t="shared" si="5"/>
        <v>#DIV/0!</v>
      </c>
      <c r="H103" s="66"/>
      <c r="I103" s="66"/>
      <c r="J103" s="52"/>
      <c r="K103" s="66"/>
      <c r="L103" s="54"/>
      <c r="M103" s="53"/>
      <c r="N103" s="66"/>
      <c r="Z103" s="10"/>
      <c r="AA103" s="10"/>
    </row>
    <row r="104">
      <c r="A104" s="61"/>
      <c r="B104" s="51"/>
      <c r="C104" s="51"/>
      <c r="D104" s="63"/>
      <c r="E104" s="51"/>
      <c r="F104" s="10" t="str">
        <f t="shared" si="4"/>
        <v>#DIV/0!</v>
      </c>
      <c r="G104" s="10" t="str">
        <f t="shared" si="5"/>
        <v>#DIV/0!</v>
      </c>
      <c r="H104" s="52"/>
      <c r="I104" s="54"/>
      <c r="J104" s="54"/>
      <c r="K104" s="54"/>
      <c r="L104" s="54"/>
      <c r="M104" s="54"/>
      <c r="N104" s="54"/>
      <c r="Z104" s="10"/>
      <c r="AA104" s="10"/>
    </row>
    <row r="105">
      <c r="A105" s="61"/>
      <c r="B105" s="51"/>
      <c r="C105" s="51"/>
      <c r="D105" s="51"/>
      <c r="E105" s="51"/>
      <c r="F105" s="10" t="str">
        <f t="shared" si="4"/>
        <v>#DIV/0!</v>
      </c>
      <c r="G105" s="10" t="str">
        <f t="shared" si="5"/>
        <v>#DIV/0!</v>
      </c>
      <c r="H105" s="52"/>
      <c r="I105" s="54"/>
      <c r="J105" s="54"/>
      <c r="K105" s="54"/>
      <c r="L105" s="53"/>
      <c r="M105" s="54"/>
      <c r="N105" s="54"/>
      <c r="Z105" s="10"/>
      <c r="AA105" s="10"/>
    </row>
    <row r="106">
      <c r="A106" s="61"/>
      <c r="B106" s="51"/>
      <c r="C106" s="51"/>
      <c r="D106" s="63"/>
      <c r="E106" s="51"/>
      <c r="F106" s="10" t="str">
        <f t="shared" si="4"/>
        <v>#DIV/0!</v>
      </c>
      <c r="G106" s="10" t="str">
        <f t="shared" si="5"/>
        <v>#DIV/0!</v>
      </c>
      <c r="H106" s="52"/>
      <c r="I106" s="54"/>
      <c r="J106" s="52"/>
      <c r="K106" s="54"/>
      <c r="L106" s="53"/>
      <c r="M106" s="53"/>
      <c r="N106" s="54"/>
      <c r="Z106" s="10"/>
      <c r="AA106" s="10"/>
    </row>
    <row r="107">
      <c r="C107" s="12"/>
      <c r="D107" s="12"/>
      <c r="E107" s="12"/>
      <c r="F107" s="10" t="str">
        <f t="shared" si="4"/>
        <v>#DIV/0!</v>
      </c>
      <c r="G107" s="10" t="str">
        <f t="shared" si="5"/>
        <v>#DIV/0!</v>
      </c>
      <c r="Z107" s="10"/>
      <c r="AA107" s="10"/>
    </row>
    <row r="108">
      <c r="A108" s="61"/>
      <c r="B108" s="12"/>
      <c r="C108" s="12"/>
      <c r="D108" s="12"/>
      <c r="E108" s="12"/>
      <c r="F108" s="67" t="str">
        <f t="shared" si="4"/>
        <v>#DIV/0!</v>
      </c>
      <c r="G108" s="10" t="str">
        <f t="shared" si="5"/>
        <v>#DIV/0!</v>
      </c>
      <c r="Z108" s="10"/>
      <c r="AA108" s="10"/>
    </row>
    <row r="109">
      <c r="A109" s="59"/>
      <c r="B109" s="12"/>
      <c r="C109" s="12"/>
      <c r="D109" s="12"/>
      <c r="E109" s="12"/>
      <c r="F109" s="67" t="str">
        <f t="shared" si="4"/>
        <v>#DIV/0!</v>
      </c>
      <c r="G109" s="10" t="str">
        <f t="shared" si="5"/>
        <v>#DIV/0!</v>
      </c>
      <c r="Z109" s="10"/>
      <c r="AA109" s="10"/>
    </row>
    <row r="110">
      <c r="A110" s="59"/>
      <c r="B110" s="12"/>
      <c r="C110" s="12"/>
      <c r="D110" s="12"/>
      <c r="E110" s="12"/>
      <c r="F110" s="67" t="str">
        <f t="shared" si="4"/>
        <v>#DIV/0!</v>
      </c>
      <c r="G110" s="10" t="str">
        <f t="shared" si="5"/>
        <v>#DIV/0!</v>
      </c>
      <c r="Z110" s="10"/>
      <c r="AA110" s="10"/>
    </row>
    <row r="111">
      <c r="A111" s="59"/>
      <c r="B111" s="12"/>
      <c r="C111" s="12"/>
      <c r="D111" s="12"/>
      <c r="E111" s="12"/>
      <c r="F111" s="67"/>
      <c r="G111" s="10"/>
      <c r="Z111" s="10"/>
      <c r="AA111" s="10"/>
    </row>
    <row r="112">
      <c r="A112" s="59"/>
      <c r="B112" s="12"/>
      <c r="C112" s="12"/>
      <c r="D112" s="12"/>
      <c r="E112" s="12"/>
      <c r="F112" s="67"/>
      <c r="G112" s="10"/>
      <c r="Z112" s="10"/>
      <c r="AA112" s="10"/>
    </row>
    <row r="113">
      <c r="A113" s="59"/>
      <c r="B113" s="12"/>
      <c r="C113" s="12"/>
      <c r="D113" s="12"/>
      <c r="E113" s="12"/>
      <c r="F113" s="67"/>
      <c r="G113" s="10"/>
      <c r="Z113" s="10"/>
      <c r="AA113" s="10"/>
    </row>
    <row r="114">
      <c r="A114" s="59"/>
      <c r="B114" s="12"/>
      <c r="C114" s="12"/>
      <c r="D114" s="12"/>
      <c r="E114" s="12"/>
      <c r="F114" s="67"/>
      <c r="G114" s="10"/>
      <c r="Z114" s="10"/>
      <c r="AA114" s="10"/>
    </row>
    <row r="115">
      <c r="A115" s="59"/>
      <c r="B115" s="12"/>
      <c r="C115" s="12"/>
      <c r="D115" s="12"/>
      <c r="E115" s="12"/>
      <c r="F115" s="67"/>
      <c r="G115" s="10"/>
      <c r="Z115" s="10"/>
      <c r="AA115" s="10"/>
    </row>
    <row r="116">
      <c r="A116" s="59"/>
      <c r="B116" s="12"/>
      <c r="C116" s="12"/>
      <c r="D116" s="12"/>
      <c r="E116" s="12"/>
      <c r="F116" s="67"/>
      <c r="G116" s="10"/>
      <c r="Z116" s="10"/>
      <c r="AA116" s="10"/>
    </row>
    <row r="117">
      <c r="A117" s="59"/>
      <c r="B117" s="12"/>
      <c r="C117" s="12"/>
      <c r="D117" s="12"/>
      <c r="E117" s="12"/>
      <c r="F117" s="67"/>
      <c r="G117" s="10"/>
      <c r="Z117" s="10"/>
      <c r="AA117" s="10"/>
    </row>
    <row r="118">
      <c r="A118" s="59"/>
      <c r="B118" s="12"/>
      <c r="C118" s="12"/>
      <c r="D118" s="12"/>
      <c r="E118" s="12"/>
      <c r="F118" s="67"/>
      <c r="G118" s="10"/>
      <c r="Z118" s="10"/>
      <c r="AA118" s="10"/>
    </row>
    <row r="119">
      <c r="A119" s="10"/>
      <c r="B119" s="10"/>
      <c r="C119" s="10"/>
      <c r="D119" s="10"/>
      <c r="E119" s="10"/>
      <c r="F119" s="67"/>
      <c r="G119" s="10"/>
      <c r="Z119" s="10"/>
      <c r="AA119" s="10"/>
    </row>
    <row r="120">
      <c r="A120" s="10"/>
      <c r="B120" s="10"/>
      <c r="C120" s="10"/>
      <c r="D120" s="10"/>
      <c r="E120" s="10"/>
      <c r="F120" s="67"/>
      <c r="G120" s="10"/>
      <c r="Z120" s="10"/>
      <c r="AA120" s="10"/>
    </row>
    <row r="121">
      <c r="A121" s="10"/>
      <c r="B121" s="10"/>
      <c r="C121" s="10"/>
      <c r="D121" s="10"/>
      <c r="E121" s="10"/>
      <c r="F121" s="67"/>
      <c r="G121" s="10"/>
      <c r="Z121" s="10"/>
      <c r="AA121" s="10"/>
    </row>
    <row r="122">
      <c r="A122" s="10"/>
      <c r="B122" s="10"/>
      <c r="C122" s="10"/>
      <c r="D122" s="10"/>
      <c r="E122" s="10"/>
      <c r="F122" s="67"/>
      <c r="G122" s="10"/>
      <c r="Z122" s="10"/>
      <c r="AA122" s="10"/>
    </row>
    <row r="123">
      <c r="A123" s="10"/>
      <c r="B123" s="10"/>
      <c r="C123" s="10"/>
      <c r="D123" s="10"/>
      <c r="E123" s="10"/>
      <c r="F123" s="67"/>
      <c r="G123" s="10"/>
      <c r="Z123" s="10"/>
      <c r="AA123" s="10"/>
    </row>
    <row r="124">
      <c r="A124" s="10"/>
      <c r="B124" s="10"/>
      <c r="C124" s="10"/>
      <c r="D124" s="10"/>
      <c r="E124" s="10"/>
      <c r="F124" s="67"/>
      <c r="G124" s="10"/>
      <c r="Z124" s="10"/>
      <c r="AA124" s="10"/>
    </row>
    <row r="125">
      <c r="A125" s="10"/>
      <c r="B125" s="10"/>
      <c r="C125" s="10"/>
      <c r="D125" s="10"/>
      <c r="E125" s="10"/>
      <c r="F125" s="67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>
      <c r="A126" s="10"/>
      <c r="B126" s="10"/>
      <c r="C126" s="10"/>
      <c r="D126" s="10"/>
      <c r="E126" s="10"/>
      <c r="F126" s="67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>
      <c r="A127" s="10"/>
      <c r="B127" s="10"/>
      <c r="C127" s="10"/>
      <c r="D127" s="10"/>
      <c r="E127" s="10"/>
      <c r="F127" s="67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 t="str">
        <f t="shared" ref="F144:F147" si="6">D144/sum(H144:O144)</f>
        <v>#DIV/0!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 t="str">
        <f t="shared" si="6"/>
        <v>#DIV/0!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 t="str">
        <f t="shared" si="6"/>
        <v>#DIV/0!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 t="str">
        <f t="shared" si="6"/>
        <v>#DIV/0!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59"/>
      <c r="B149" s="12"/>
      <c r="C149" s="12"/>
      <c r="D149" s="12"/>
      <c r="E149" s="12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59"/>
      <c r="B150" s="12"/>
      <c r="C150" s="10"/>
      <c r="D150" s="12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59"/>
      <c r="B151" s="12"/>
      <c r="C151" s="10"/>
      <c r="D151" s="12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B158" s="10"/>
      <c r="C158" s="10"/>
      <c r="D158" s="10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55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</sheetData>
  <autoFilter ref="$A$12:$AA$63">
    <sortState ref="A12:AA63">
      <sortCondition ref="A12:A63"/>
    </sortState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22">
      <formula1>"食物,飲品,衣服,居家,電子產品,娛樂,醫藥,交通,其他"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SUMIFS($G$13:$G957, $E$13:$E957, "Rachel", $H$13:$H957, 1)-SUMIFS($G$13:$G957, $E$13:$E957, "Timothy", $I$13:$I957, 1)</f>
        <v>-56.66612667</v>
      </c>
      <c r="J3" s="21">
        <f>SUMIFS($G$13:$G957, $E$13:$E957, "BL", $H$13:$H957, 1)-SUMIFS($G$13:$G957, $E$13:$E957, "Timothy", $J$13:$J957, 1)</f>
        <v>-20.0270381</v>
      </c>
      <c r="K3" s="21">
        <f>SUMIFS($G$13:$G957, $E$13:$E957, "Pigskin", $H$13:$H957, 1)-SUMIFS($G$13:$G957, $E$13:$E957, "Timothy", $K$13:$K957, 1)</f>
        <v>16.73814762</v>
      </c>
      <c r="L3" s="21">
        <f>SUMIFS($G$13:$G957, $E$13:$E957, "Angel", $H$13:$H957, 1)-SUMIFS($G$13:$G957, $E$13:$E957, "Timothy", $L$13:$L957, 1)</f>
        <v>-19.28057143</v>
      </c>
      <c r="M3" s="21">
        <f>SUMIFS($G$13:$G957, $E$13:$E957, "Ivan", $H$13:$H957, 1)-SUMIFS($G$13:$G957, $E$13:$E957, "Timothy", $M$13:$M957, 1)</f>
        <v>-94.1754881</v>
      </c>
      <c r="N3" s="21">
        <f>SUMIFS($G$13:$G957, $E$13:$E957, "Esther", $H$13:$H957, 1)-SUMIFS($G$13:$G957, $E$13:$E957, "Timothy", $N$13:$N957, 1)</f>
        <v>-45.63738095</v>
      </c>
      <c r="O3" s="22">
        <f>SUMIFS($G$13:$G957, $E$13:$E957, "Ken9", $H$13:$H957, 1)-SUMIFS($G$13:$G957, $E$13:$E957, "Timothy", $O$13:$O957,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SUMIFS($G$13:$G957, $E$13:$E957, "Timothy", $I$13:$I957, 1)-SUMIFS($G$13:$G957, $E$13:$E957, "Rachel", $H$13:$H957, 1)</f>
        <v>56.66612667</v>
      </c>
      <c r="I4" s="20"/>
      <c r="J4" s="25">
        <f>SUMIFS($G$13:$G957, $E$13:$E957, "BL", $I$13:$I957, 1)-SUMIFS($G$13:$G957, $E$13:$E957, "Rachel", $J$13:$J957, 1)</f>
        <v>28.44168857</v>
      </c>
      <c r="K4" s="25">
        <f>SUMIFS($G$13:$G957, $E$13:$E957, "Pigskin", $I$13:$I957, 1)-SUMIFS($G$13:$G957, $E$13:$E957, "Rachel", $K$13:$K957, 1)</f>
        <v>80.23427429</v>
      </c>
      <c r="L4" s="25">
        <f>SUMIFS($G$13:$G957, $E$13:$E957, "Angel", $I$13:$I957, 1)-SUMIFS($G$13:$G957, $E$13:$E957, "Rachel", $L$13:$L957, 1)</f>
        <v>-15.42857143</v>
      </c>
      <c r="M4" s="25">
        <f>SUMIFS($G$13:$G957, $E$13:$E957, "Ivan", $I$13:$I957, 1)-SUMIFS($G$13:$G957, $E$13:$E957, "Rachel", $M$13:$M957, 1)</f>
        <v>-7.143071429</v>
      </c>
      <c r="N4" s="25">
        <f>SUMIFS($G$13:$G957, $E$13:$E957, "Esther", $I$13:$I957, 1)-SUMIFS($G$13:$G957, $E$13:$E957, "Rachel", $N$13:$N957, 1)</f>
        <v>-37.33125429</v>
      </c>
      <c r="O4" s="26">
        <f>SUMIFS($G$13:$G957, $E$13:$E957, "Ken9", $I$13:$I957, 1)-SUMIFS($G$13:$G957, $E$13:$E957, "Rachel", $O$13:$O957,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SUMIFS($G$13:$G957, $E$13:$E957, "Timothy", $J$13:$J957, 1)-SUMIFS($G$13:$G957, $E$13:$E957, "BL", $H$13:$H957, 1)</f>
        <v>20.0270381</v>
      </c>
      <c r="I5" s="28">
        <f>SUMIFS($G$13:$G957, $E$13:$E957, "Rachel", $J$13:$J957, 1)-SUMIFS($G$13:$G957, $E$13:$E957, "BL", $I$13:$I957, 1)</f>
        <v>-28.44168857</v>
      </c>
      <c r="J5" s="20"/>
      <c r="K5" s="25">
        <f>SUMIFS($G$13:$G957, $E$13:$E957, "Pigskin", $J$13:$J957, 1)-SUMIFS($G$13:$G957, $E$13:$E957, "BL", $K$13:$K957, 1)</f>
        <v>83.83381905</v>
      </c>
      <c r="L5" s="28">
        <f>SUMIFS($G$13:$G957, $E$13:$E957, "Angel", $J$13:$J957, 1)-SUMIFS($G$13:$G957, $E$13:$E957, "BL", $L$13:$L957, 1)</f>
        <v>-119.2</v>
      </c>
      <c r="M5" s="25">
        <f>SUMIFS($G$13:$G957, $E$13:$E957, "Ivan", $J$13:$J957, 1)-SUMIFS($G$13:$G957, $E$13:$E957, "BL", $M$13:$M957, 1)</f>
        <v>-42.74845</v>
      </c>
      <c r="N5" s="28">
        <f>SUMIFS($G$13:$G957, $E$13:$E957, "Esther", $J$13:$J957, 1)-SUMIFS($G$13:$G957, $E$13:$E957, "BL", $N$13:$N957, 1)</f>
        <v>-67.87470952</v>
      </c>
      <c r="O5" s="26">
        <f>SUMIFS($G$13:$G957, $E$13:$E957, "Ken9", $J$13:$J957, 1)-SUMIFS($G$13:$G957, $E$13:$E957, "BL", $O$13:$O957,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SUMIFS($G$13:$G957, $E$13:$E957, "Timothy", $K$13:$K957, 1)-SUMIFS($G$13:$G957, $E$13:$E957, "Pigskin", $H$13:$H957, 1)</f>
        <v>-16.73814762</v>
      </c>
      <c r="I6" s="28">
        <f>SUMIFS($G$13:$G957, $E$13:$E957, "Rachel", $K$13:$K957, 1)-SUMIFS($G$13:$G957, $E$13:$E957, "Pigskin", $I$13:$I957, 1)</f>
        <v>-80.23427429</v>
      </c>
      <c r="J6" s="28">
        <f>SUMIFS($G$13:$G957, $E$13:$E957, "BL", $K$13:$K957, 1)-SUMIFS($G$13:$G957, $E$13:$E957, "Pigskin", $J$13:$J957, 1)</f>
        <v>-83.83381905</v>
      </c>
      <c r="K6" s="20"/>
      <c r="L6" s="25">
        <f>SUMIFS($G$13:$G957, $E$13:$E957, "Angel", $K$13:$K957, 1)-SUMIFS($G$13:$G957, $E$13:$E957, "Pigskin", $L$13:$L957, 1)</f>
        <v>-18.80428571</v>
      </c>
      <c r="M6" s="28">
        <f>SUMIFS($G$13:$G957, $E$13:$E957, "Ivan", $K$13:$K957, 1)-SUMIFS($G$13:$G957, $E$13:$E957, "Pigskin", $M$13:$M957, 1)</f>
        <v>-101.9628857</v>
      </c>
      <c r="N6" s="28">
        <f>SUMIFS($G$13:$G957, $E$13:$E957, "Esther", $K$13:$K957, 1)-SUMIFS($G$13:$G957, $E$13:$E957, "Pigskin", $N$13:$N957, 1)</f>
        <v>-97.75052857</v>
      </c>
      <c r="O6" s="26">
        <f>SUMIFS($G$13:$G957, $E$13:$E957, "Ken9", $K$13:$K957, 1)-SUMIFS($G$13:$G957, $E$13:$E957, "Pigskin", $O$13:$O957,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SUMIFS($G$13:$G957, $E$13:$E957, "Timothy", $L$13:$L957, 1)-SUMIFS($G$13:$G957, $E$13:$E957, "Angel", $H$13:$H957, 1)</f>
        <v>19.28057143</v>
      </c>
      <c r="I7" s="25">
        <f>SUMIFS($G$13:$G957, $E$13:$E957, "Rachel", $L$13:$L957, 1)-SUMIFS($G$13:$G957, $E$13:$E957, "Angel", $I$13:$I957, 1)</f>
        <v>15.42857143</v>
      </c>
      <c r="J7" s="25">
        <f>SUMIFS($G$13:$G957, $E$13:$E957, "BL", $L$13:$L957, 1)-SUMIFS($G$13:$G957, $E$13:$E957, "Angel", $J$13:$J957, 1)</f>
        <v>119.2</v>
      </c>
      <c r="K7" s="25">
        <f>SUMIFS($G$13:$G957, $E$13:$E957, "Pigskin", $L$13:$L957, 1)-SUMIFS($G$13:$G957, $E$13:$E957, "Angel", $K$13:$K957, 1)</f>
        <v>18.80428571</v>
      </c>
      <c r="L7" s="20"/>
      <c r="M7" s="25">
        <f>SUMIFS($G$13:$G957, $E$13:$E957, "Ivan", $L$13:$L957, 1)-SUMIFS($G$13:$G957, $E$13:$E957, "Angel", $M$13:$M957, 1)</f>
        <v>18.0235</v>
      </c>
      <c r="N7" s="28">
        <f>SUMIFS($G$13:$G957, $E$13:$E957, "Esther", $L$13:$L957, 1)-SUMIFS($G$13:$G957, $E$13:$E957, "Angel", $N$13:$N957, 1)</f>
        <v>10.14285714</v>
      </c>
      <c r="O7" s="31">
        <f>SUMIFS($G$13:$G957, $E$13:$E957, "Ken9", $L$13:$L957, 1)-SUMIFS($G$13:$G957, $E$13:$E957, "Angel", $O$13:$O957,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SUMIFS($G$13:$G957, $E$13:$E957, "Timothy", $M$13:$M957, 1)-SUMIFS($G$13:$G957, $E$13:$E957, "Ivan", $H$13:$H957, 1)</f>
        <v>94.1754881</v>
      </c>
      <c r="I8" s="28">
        <f>SUMIFS($G$13:$G957, $E$13:$E957, "Rachel", $M$13:$M957, 1)-SUMIFS($G$13:$G957, $E$13:$E957, "Ivan", $I$13:$I957, 1)</f>
        <v>7.143071429</v>
      </c>
      <c r="J8" s="25">
        <f>SUMIFS($G$13:$G957, $E$13:$E957, "BL", $M$13:$M957, 1)-SUMIFS($G$13:$G957, $E$13:$E957, "Ivan", $J$13:$J957, 1)</f>
        <v>42.74845</v>
      </c>
      <c r="K8" s="25">
        <f>SUMIFS($G$13:$G957, $E$13:$E957, "Pigskin", $M$13:$M957, 1)-SUMIFS($G$13:$G957, $E$13:$E957, "Ivan", $K$13:$K957, 1)</f>
        <v>101.9628857</v>
      </c>
      <c r="L8" s="25">
        <f>SUMIFS($G$13:$G957, $E$13:$E957, "Angel", $M$13:$M957, 1)-SUMIFS($G$13:$G957, $E$13:$E957, "Ivan", $L$13:$L957, 1)</f>
        <v>-18.0235</v>
      </c>
      <c r="M8" s="20"/>
      <c r="N8" s="28">
        <f>SUMIFS($G$13:$G957, $E$13:$E957, "Esther", $M$13:$M957, 1)-SUMIFS($G$13:$G957, $E$13:$E957, "Ivan", $N$13:$N957, 1)</f>
        <v>-28.27714286</v>
      </c>
      <c r="O8" s="31">
        <f>SUMIFS($G$13:$G957, $E$13:$E957, "Ken9", $M$13:$M957, 1)-SUMIFS($G$13:$G957, $E$13:$E957, "Ivan", $O$13:$O957,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SUMIFS($G$13:$G957, $E$13:$E957, "Timothy", $N$13:$N957, 1)-SUMIFS($G$13:$G957, $E$13:$E957, "Esther", $H$13:$H957, 1)</f>
        <v>45.63738095</v>
      </c>
      <c r="I9" s="25">
        <f>SUMIFS($G$13:$G957, $E$13:$E957, "Rachel", $N$13:$N957, 1)-SUMIFS($G$13:$G957, $E$13:$E957, "Esther", $I$13:$I957, 1)</f>
        <v>37.33125429</v>
      </c>
      <c r="J9" s="25">
        <f>SUMIFS($G$13:$G957, $E$13:$E957, "BL", $N$13:$N957, 1)-SUMIFS($G$13:$G957, $E$13:$E957, "Esther", $J$13:$J957, 1)</f>
        <v>67.87470952</v>
      </c>
      <c r="K9" s="25">
        <f>SUMIFS($G$13:$G957, $E$13:$E957, "Pigskin", $N$13:$N957, 1)-SUMIFS($G$13:$G957, $E$13:$E957, "Esther", $K$13:$K957, 1)</f>
        <v>97.75052857</v>
      </c>
      <c r="L9" s="25">
        <f>SUMIFS($G$13:$G957, $E$13:$E957, "Angel", $N$13:$N957, 1)-SUMIFS($G$13:$G957, $E$13:$E957, "Esther", $L$13:$L957, 1)</f>
        <v>-10.14285714</v>
      </c>
      <c r="M9" s="25">
        <f>SUMIFS($G$13:$G957, $E$13:$E957, "Ivan", $N$13:$N957, 1)-SUMIFS($G$13:$G957, $E$13:$E957, "Esther", $M$13:$M957, 1)</f>
        <v>28.27714286</v>
      </c>
      <c r="N9" s="20"/>
      <c r="O9" s="31">
        <f>SUMIFS($G$13:$G957, $E$13:$E957, "Ken9", $N$13:$N957, 1)-SUMIFS($G$13:$G957, $E$13:$E957, "Esther", $O$13:$O957,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SUMIFS($G$13:$G957, $E$13:$E957, "Timothy", $O$13:$O957, 1)-SUMIFS($G$13:$G957, $E$13:$E957, "Ken9", $H$13:$H957, 1)</f>
        <v>0</v>
      </c>
      <c r="I10" s="40">
        <f>SUMIFS($G$13:$G957, $E$13:$E957, "Rachel", $O$13:$O957, 1)-SUMIFS($G$13:$G957, $E$13:$E957, "Ken9", $I$13:$I957, 1)</f>
        <v>0</v>
      </c>
      <c r="J10" s="40">
        <f>SUMIFS($G$13:$G957, $E$13:$E957, "BL", $O$13:$O957, 1)-SUMIFS($G$13:$G957, $E$13:$E957, "Ken9", $J$13:$J957, 1)</f>
        <v>0</v>
      </c>
      <c r="K10" s="40">
        <f>SUMIFS($G$13:$G957, $E$13:$E957, "Pigskin", $O$13:$O957, 1)-SUMIFS($G$13:$G957, $E$13:$E957, "Ken9", $K$13:$K957, 1)</f>
        <v>0</v>
      </c>
      <c r="L10" s="40">
        <f>SUMIFS($G$13:$G957, $E$13:$E957, "Angel", $O$13:$O957, 1)-SUMIFS($G$13:$G957, $E$13:$E957, "Ken9", $L$13:$L957, 1)</f>
        <v>0</v>
      </c>
      <c r="M10" s="40">
        <f>SUMIFS($G$13:$G957, $E$13:$E957, "Ivan", $O$13:$O957, 1)-SUMIFS($G$13:$G957, $E$13:$E957, "Ken9", $M$13:$M957, 1)</f>
        <v>0</v>
      </c>
      <c r="N10" s="40">
        <f>SUMIFS($G$13:$G957, $E$13:$E957, "Esther", $O$13:$O957, 1)-SUMIFS($G$13:$G957, $E$13:$E957, "Ken9", $N$13:$N957,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9">
        <v>45472.0</v>
      </c>
      <c r="B13" s="12" t="s">
        <v>296</v>
      </c>
      <c r="C13" s="12" t="s">
        <v>11</v>
      </c>
      <c r="D13" s="12">
        <v>9.96</v>
      </c>
      <c r="E13" s="12" t="s">
        <v>297</v>
      </c>
      <c r="F13" s="10">
        <f t="shared" ref="F13:F45" si="1">D13/sum(H13:Q13)</f>
        <v>1.422857143</v>
      </c>
      <c r="G13" s="10">
        <f t="shared" ref="G13:G45" si="2">D13/sum(H13:Q13)</f>
        <v>1.422857143</v>
      </c>
      <c r="H13" s="1">
        <v>1.0</v>
      </c>
      <c r="I13" s="1">
        <v>1.0</v>
      </c>
      <c r="J13" s="1">
        <v>1.0</v>
      </c>
      <c r="K13" s="1">
        <v>1.0</v>
      </c>
      <c r="L13" s="1">
        <v>1.0</v>
      </c>
      <c r="M13" s="1">
        <v>1.0</v>
      </c>
      <c r="N13" s="1">
        <v>1.0</v>
      </c>
      <c r="Z13" s="10"/>
      <c r="AA13" s="10"/>
    </row>
    <row r="14">
      <c r="A14" s="61">
        <v>45474.0</v>
      </c>
      <c r="B14" s="51" t="s">
        <v>298</v>
      </c>
      <c r="C14" s="51" t="s">
        <v>139</v>
      </c>
      <c r="D14" s="51">
        <v>13.42</v>
      </c>
      <c r="E14" s="51" t="s">
        <v>8</v>
      </c>
      <c r="F14" s="10">
        <f t="shared" si="1"/>
        <v>13.42</v>
      </c>
      <c r="G14" s="10">
        <f t="shared" si="2"/>
        <v>13.42</v>
      </c>
      <c r="H14" s="52"/>
      <c r="I14" s="52"/>
      <c r="J14" s="52"/>
      <c r="K14" s="52">
        <v>1.0</v>
      </c>
      <c r="L14" s="54"/>
      <c r="M14" s="54"/>
      <c r="N14" s="52"/>
      <c r="Z14" s="10"/>
      <c r="AA14" s="10"/>
    </row>
    <row r="15">
      <c r="A15" s="61">
        <v>45474.0</v>
      </c>
      <c r="B15" s="51" t="s">
        <v>298</v>
      </c>
      <c r="C15" s="51" t="s">
        <v>139</v>
      </c>
      <c r="D15" s="51">
        <v>38.42</v>
      </c>
      <c r="E15" s="51" t="s">
        <v>8</v>
      </c>
      <c r="F15" s="10">
        <f t="shared" si="1"/>
        <v>38.42</v>
      </c>
      <c r="G15" s="10">
        <f t="shared" si="2"/>
        <v>38.42</v>
      </c>
      <c r="H15" s="52"/>
      <c r="I15" s="52"/>
      <c r="J15" s="52"/>
      <c r="K15" s="52"/>
      <c r="L15" s="54"/>
      <c r="M15" s="54"/>
      <c r="N15" s="52">
        <v>1.0</v>
      </c>
      <c r="Z15" s="10"/>
      <c r="AA15" s="10"/>
    </row>
    <row r="16">
      <c r="A16" s="61">
        <v>45474.0</v>
      </c>
      <c r="B16" s="51" t="s">
        <v>149</v>
      </c>
      <c r="C16" s="51" t="s">
        <v>11</v>
      </c>
      <c r="D16" s="51">
        <v>32.45</v>
      </c>
      <c r="E16" s="51" t="s">
        <v>2</v>
      </c>
      <c r="F16" s="10">
        <f t="shared" si="1"/>
        <v>4.635714286</v>
      </c>
      <c r="G16" s="10">
        <f t="shared" si="2"/>
        <v>4.635714286</v>
      </c>
      <c r="H16" s="52">
        <v>1.0</v>
      </c>
      <c r="I16" s="52">
        <v>1.0</v>
      </c>
      <c r="J16" s="52">
        <v>1.0</v>
      </c>
      <c r="K16" s="52">
        <v>1.0</v>
      </c>
      <c r="L16" s="54">
        <v>1.0</v>
      </c>
      <c r="M16" s="54">
        <v>1.0</v>
      </c>
      <c r="N16" s="52">
        <v>1.0</v>
      </c>
      <c r="Z16" s="10"/>
      <c r="AA16" s="10"/>
    </row>
    <row r="17">
      <c r="A17" s="61">
        <v>45474.0</v>
      </c>
      <c r="B17" s="51" t="s">
        <v>299</v>
      </c>
      <c r="C17" s="51" t="s">
        <v>27</v>
      </c>
      <c r="D17" s="63">
        <v>221.46</v>
      </c>
      <c r="E17" s="51" t="s">
        <v>14</v>
      </c>
      <c r="F17" s="10">
        <f t="shared" si="1"/>
        <v>36.91</v>
      </c>
      <c r="G17" s="10">
        <f t="shared" si="2"/>
        <v>36.91</v>
      </c>
      <c r="H17" s="52">
        <v>1.0</v>
      </c>
      <c r="I17" s="52">
        <v>1.0</v>
      </c>
      <c r="J17" s="52">
        <v>1.0</v>
      </c>
      <c r="K17" s="52">
        <v>1.0</v>
      </c>
      <c r="L17" s="54"/>
      <c r="M17" s="54">
        <v>1.0</v>
      </c>
      <c r="N17" s="52">
        <v>1.0</v>
      </c>
      <c r="Z17" s="10"/>
      <c r="AA17" s="10"/>
    </row>
    <row r="18">
      <c r="A18" s="55">
        <v>45475.0</v>
      </c>
      <c r="B18" s="12" t="s">
        <v>46</v>
      </c>
      <c r="C18" s="12" t="s">
        <v>11</v>
      </c>
      <c r="D18" s="12">
        <v>26.32</v>
      </c>
      <c r="E18" s="12" t="s">
        <v>13</v>
      </c>
      <c r="F18" s="67">
        <f t="shared" si="1"/>
        <v>5.264</v>
      </c>
      <c r="G18" s="10">
        <f t="shared" si="2"/>
        <v>5.264</v>
      </c>
      <c r="H18" s="1">
        <v>1.0</v>
      </c>
      <c r="I18" s="1">
        <v>1.0</v>
      </c>
      <c r="J18" s="1">
        <v>1.0</v>
      </c>
      <c r="K18" s="1">
        <v>1.0</v>
      </c>
      <c r="M18" s="1">
        <v>1.0</v>
      </c>
      <c r="Z18" s="10"/>
      <c r="AA18" s="10"/>
    </row>
    <row r="19">
      <c r="A19" s="61">
        <v>45475.0</v>
      </c>
      <c r="B19" s="51" t="s">
        <v>300</v>
      </c>
      <c r="C19" s="51" t="s">
        <v>11</v>
      </c>
      <c r="D19" s="63">
        <v>58.5</v>
      </c>
      <c r="E19" s="51" t="s">
        <v>14</v>
      </c>
      <c r="F19" s="10">
        <f t="shared" si="1"/>
        <v>8.357142857</v>
      </c>
      <c r="G19" s="10">
        <f t="shared" si="2"/>
        <v>8.357142857</v>
      </c>
      <c r="H19" s="52">
        <v>1.0</v>
      </c>
      <c r="I19" s="54">
        <v>1.0</v>
      </c>
      <c r="J19" s="54">
        <v>1.0</v>
      </c>
      <c r="K19" s="54">
        <v>1.0</v>
      </c>
      <c r="L19" s="54">
        <v>1.0</v>
      </c>
      <c r="M19" s="54">
        <v>1.0</v>
      </c>
      <c r="N19" s="54">
        <v>1.0</v>
      </c>
      <c r="Z19" s="10"/>
      <c r="AA19" s="10"/>
    </row>
    <row r="20">
      <c r="A20" s="61">
        <v>45476.0</v>
      </c>
      <c r="B20" s="51" t="s">
        <v>120</v>
      </c>
      <c r="C20" s="51" t="s">
        <v>11</v>
      </c>
      <c r="D20" s="51">
        <v>34.62</v>
      </c>
      <c r="E20" s="51" t="s">
        <v>14</v>
      </c>
      <c r="F20" s="10">
        <f t="shared" si="1"/>
        <v>6.924</v>
      </c>
      <c r="G20" s="10">
        <f t="shared" si="2"/>
        <v>6.924</v>
      </c>
      <c r="H20" s="52">
        <v>1.0</v>
      </c>
      <c r="I20" s="54">
        <v>1.0</v>
      </c>
      <c r="J20" s="54">
        <v>1.0</v>
      </c>
      <c r="K20" s="54">
        <v>1.0</v>
      </c>
      <c r="L20" s="53"/>
      <c r="M20" s="54">
        <v>1.0</v>
      </c>
      <c r="N20" s="54"/>
      <c r="Z20" s="10"/>
      <c r="AA20" s="10"/>
    </row>
    <row r="21">
      <c r="A21" s="55">
        <v>45477.0</v>
      </c>
      <c r="B21" s="12" t="s">
        <v>46</v>
      </c>
      <c r="C21" s="12" t="s">
        <v>11</v>
      </c>
      <c r="D21" s="12">
        <f>44.21-7.99</f>
        <v>36.22</v>
      </c>
      <c r="E21" s="12" t="s">
        <v>14</v>
      </c>
      <c r="F21" s="10">
        <f t="shared" si="1"/>
        <v>5.174285714</v>
      </c>
      <c r="G21" s="10">
        <f t="shared" si="2"/>
        <v>5.174285714</v>
      </c>
      <c r="H21" s="1">
        <v>1.0</v>
      </c>
      <c r="I21" s="1">
        <v>1.0</v>
      </c>
      <c r="J21" s="1">
        <v>1.0</v>
      </c>
      <c r="K21" s="1">
        <v>1.0</v>
      </c>
      <c r="L21" s="1">
        <v>1.0</v>
      </c>
      <c r="M21" s="1">
        <v>1.0</v>
      </c>
      <c r="N21" s="1">
        <v>1.0</v>
      </c>
      <c r="Z21" s="10"/>
      <c r="AA21" s="10"/>
    </row>
    <row r="22">
      <c r="A22" s="59">
        <v>45478.0</v>
      </c>
      <c r="B22" s="12" t="s">
        <v>301</v>
      </c>
      <c r="C22" s="12" t="s">
        <v>11</v>
      </c>
      <c r="D22" s="12">
        <v>21.0</v>
      </c>
      <c r="E22" s="12" t="s">
        <v>14</v>
      </c>
      <c r="F22" s="10">
        <f t="shared" si="1"/>
        <v>7</v>
      </c>
      <c r="G22" s="10">
        <f t="shared" si="2"/>
        <v>7</v>
      </c>
      <c r="I22" s="1">
        <v>1.0</v>
      </c>
      <c r="K22" s="1">
        <v>1.0</v>
      </c>
      <c r="M22" s="1">
        <v>1.0</v>
      </c>
      <c r="Z22" s="10"/>
      <c r="AA22" s="10"/>
    </row>
    <row r="23">
      <c r="A23" s="61">
        <v>45479.0</v>
      </c>
      <c r="B23" s="51" t="s">
        <v>50</v>
      </c>
      <c r="C23" s="51" t="s">
        <v>19</v>
      </c>
      <c r="D23" s="51">
        <f>15.29*1.13</f>
        <v>17.2777</v>
      </c>
      <c r="E23" s="51" t="s">
        <v>4</v>
      </c>
      <c r="F23" s="10">
        <f t="shared" si="1"/>
        <v>3.45554</v>
      </c>
      <c r="G23" s="10">
        <f t="shared" si="2"/>
        <v>3.45554</v>
      </c>
      <c r="H23" s="52">
        <v>1.0</v>
      </c>
      <c r="I23" s="52">
        <v>1.0</v>
      </c>
      <c r="J23" s="52">
        <v>1.0</v>
      </c>
      <c r="K23" s="52">
        <v>1.0</v>
      </c>
      <c r="L23" s="54"/>
      <c r="M23" s="54"/>
      <c r="N23" s="52">
        <v>1.0</v>
      </c>
      <c r="Z23" s="10"/>
      <c r="AA23" s="10"/>
    </row>
    <row r="24">
      <c r="A24" s="61">
        <v>45479.0</v>
      </c>
      <c r="B24" s="51" t="s">
        <v>302</v>
      </c>
      <c r="C24" s="51" t="s">
        <v>11</v>
      </c>
      <c r="D24" s="51">
        <v>2.99</v>
      </c>
      <c r="E24" s="51" t="s">
        <v>4</v>
      </c>
      <c r="F24" s="10">
        <f t="shared" si="1"/>
        <v>0.598</v>
      </c>
      <c r="G24" s="10">
        <f t="shared" si="2"/>
        <v>0.598</v>
      </c>
      <c r="H24" s="52">
        <v>1.0</v>
      </c>
      <c r="I24" s="52">
        <v>1.0</v>
      </c>
      <c r="J24" s="52">
        <v>1.0</v>
      </c>
      <c r="K24" s="52">
        <v>1.0</v>
      </c>
      <c r="L24" s="53"/>
      <c r="M24" s="54"/>
      <c r="N24" s="52">
        <v>1.0</v>
      </c>
      <c r="Z24" s="10"/>
      <c r="AA24" s="10"/>
    </row>
    <row r="25">
      <c r="A25" s="61">
        <v>45479.0</v>
      </c>
      <c r="B25" s="12" t="s">
        <v>303</v>
      </c>
      <c r="C25" s="12" t="s">
        <v>11</v>
      </c>
      <c r="D25" s="12">
        <v>14.99</v>
      </c>
      <c r="E25" s="12" t="s">
        <v>4</v>
      </c>
      <c r="F25" s="10">
        <f t="shared" si="1"/>
        <v>2.998</v>
      </c>
      <c r="G25" s="10">
        <f t="shared" si="2"/>
        <v>2.998</v>
      </c>
      <c r="H25" s="1">
        <v>1.0</v>
      </c>
      <c r="I25" s="1">
        <v>1.0</v>
      </c>
      <c r="J25" s="1">
        <v>1.0</v>
      </c>
      <c r="K25" s="1">
        <v>1.0</v>
      </c>
      <c r="N25" s="1">
        <v>1.0</v>
      </c>
      <c r="Z25" s="10"/>
      <c r="AA25" s="10"/>
    </row>
    <row r="26">
      <c r="A26" s="59">
        <v>45479.0</v>
      </c>
      <c r="B26" s="12" t="s">
        <v>304</v>
      </c>
      <c r="C26" s="51" t="s">
        <v>11</v>
      </c>
      <c r="D26" s="12">
        <f>12.99*1.13</f>
        <v>14.6787</v>
      </c>
      <c r="E26" s="12" t="s">
        <v>4</v>
      </c>
      <c r="F26" s="67">
        <f t="shared" si="1"/>
        <v>2.93574</v>
      </c>
      <c r="G26" s="10">
        <f t="shared" si="2"/>
        <v>2.93574</v>
      </c>
      <c r="H26" s="1">
        <v>1.0</v>
      </c>
      <c r="I26" s="1">
        <v>1.0</v>
      </c>
      <c r="J26" s="1">
        <v>1.0</v>
      </c>
      <c r="K26" s="1">
        <v>1.0</v>
      </c>
      <c r="N26" s="1">
        <v>1.0</v>
      </c>
      <c r="Z26" s="57"/>
      <c r="AA26" s="57"/>
    </row>
    <row r="27">
      <c r="A27" s="61">
        <v>45479.0</v>
      </c>
      <c r="B27" s="12" t="s">
        <v>248</v>
      </c>
      <c r="C27" s="12" t="s">
        <v>11</v>
      </c>
      <c r="D27" s="51">
        <v>14.95</v>
      </c>
      <c r="E27" s="51" t="s">
        <v>2</v>
      </c>
      <c r="F27" s="10">
        <f t="shared" si="1"/>
        <v>2.99</v>
      </c>
      <c r="G27" s="10">
        <f t="shared" si="2"/>
        <v>2.99</v>
      </c>
      <c r="H27" s="1">
        <v>1.0</v>
      </c>
      <c r="I27" s="1">
        <v>1.0</v>
      </c>
      <c r="J27" s="1">
        <v>1.0</v>
      </c>
      <c r="K27" s="1">
        <v>1.0</v>
      </c>
      <c r="N27" s="1">
        <v>1.0</v>
      </c>
      <c r="Z27" s="10"/>
      <c r="AA27" s="10"/>
    </row>
    <row r="28">
      <c r="A28" s="61">
        <v>45479.0</v>
      </c>
      <c r="B28" s="12" t="s">
        <v>46</v>
      </c>
      <c r="C28" s="51" t="s">
        <v>11</v>
      </c>
      <c r="D28" s="12">
        <f>27.11-8.99</f>
        <v>18.12</v>
      </c>
      <c r="E28" s="12" t="s">
        <v>2</v>
      </c>
      <c r="F28" s="10">
        <f t="shared" si="1"/>
        <v>4.53</v>
      </c>
      <c r="G28" s="10">
        <f t="shared" si="2"/>
        <v>4.53</v>
      </c>
      <c r="H28" s="1">
        <v>1.0</v>
      </c>
      <c r="I28" s="1">
        <v>1.0</v>
      </c>
      <c r="J28" s="1">
        <v>1.0</v>
      </c>
      <c r="K28" s="1">
        <v>1.0</v>
      </c>
      <c r="Z28" s="53"/>
      <c r="AA28" s="53"/>
    </row>
    <row r="29">
      <c r="A29" s="61">
        <v>45479.0</v>
      </c>
      <c r="B29" s="12" t="s">
        <v>141</v>
      </c>
      <c r="C29" s="12" t="s">
        <v>11</v>
      </c>
      <c r="D29" s="12">
        <v>98.9</v>
      </c>
      <c r="E29" s="12" t="s">
        <v>2</v>
      </c>
      <c r="F29" s="10">
        <f t="shared" si="1"/>
        <v>19.78</v>
      </c>
      <c r="G29" s="10">
        <f t="shared" si="2"/>
        <v>19.78</v>
      </c>
      <c r="H29" s="1">
        <v>1.0</v>
      </c>
      <c r="I29" s="1">
        <v>1.0</v>
      </c>
      <c r="K29" s="1">
        <v>1.0</v>
      </c>
      <c r="M29" s="1">
        <v>1.0</v>
      </c>
      <c r="N29" s="1">
        <v>1.0</v>
      </c>
      <c r="Z29" s="10"/>
      <c r="AA29" s="10"/>
    </row>
    <row r="30">
      <c r="A30" s="61">
        <v>45480.0</v>
      </c>
      <c r="B30" s="51" t="s">
        <v>120</v>
      </c>
      <c r="C30" s="51" t="s">
        <v>11</v>
      </c>
      <c r="D30" s="51">
        <v>11.98</v>
      </c>
      <c r="E30" s="51" t="s">
        <v>4</v>
      </c>
      <c r="F30" s="10">
        <f t="shared" si="1"/>
        <v>2.396</v>
      </c>
      <c r="G30" s="10">
        <f t="shared" si="2"/>
        <v>2.396</v>
      </c>
      <c r="H30" s="52">
        <v>1.0</v>
      </c>
      <c r="I30" s="52">
        <v>1.0</v>
      </c>
      <c r="J30" s="52">
        <v>1.0</v>
      </c>
      <c r="K30" s="52">
        <v>1.0</v>
      </c>
      <c r="L30" s="54"/>
      <c r="M30" s="54"/>
      <c r="N30" s="52">
        <v>1.0</v>
      </c>
      <c r="Z30" s="10"/>
      <c r="AA30" s="10"/>
    </row>
    <row r="31">
      <c r="A31" s="61">
        <v>45480.0</v>
      </c>
      <c r="B31" s="12" t="s">
        <v>46</v>
      </c>
      <c r="C31" s="12" t="s">
        <v>11</v>
      </c>
      <c r="D31" s="12">
        <v>22.35</v>
      </c>
      <c r="E31" s="12" t="s">
        <v>4</v>
      </c>
      <c r="F31" s="10">
        <f t="shared" si="1"/>
        <v>4.47</v>
      </c>
      <c r="G31" s="10">
        <f t="shared" si="2"/>
        <v>4.47</v>
      </c>
      <c r="H31" s="1">
        <v>1.0</v>
      </c>
      <c r="I31" s="1">
        <v>1.0</v>
      </c>
      <c r="J31" s="1">
        <v>1.0</v>
      </c>
      <c r="K31" s="1">
        <v>1.0</v>
      </c>
      <c r="N31" s="1">
        <v>1.0</v>
      </c>
      <c r="Z31" s="10"/>
      <c r="AA31" s="10"/>
    </row>
    <row r="32">
      <c r="A32" s="61">
        <v>45480.0</v>
      </c>
      <c r="B32" s="51" t="s">
        <v>213</v>
      </c>
      <c r="C32" s="51" t="s">
        <v>11</v>
      </c>
      <c r="D32" s="63">
        <v>12.12</v>
      </c>
      <c r="E32" s="51" t="s">
        <v>14</v>
      </c>
      <c r="F32" s="10">
        <f t="shared" si="1"/>
        <v>2.424</v>
      </c>
      <c r="G32" s="10">
        <f t="shared" si="2"/>
        <v>2.424</v>
      </c>
      <c r="H32" s="52">
        <v>1.0</v>
      </c>
      <c r="I32" s="52">
        <v>1.0</v>
      </c>
      <c r="J32" s="52">
        <v>1.0</v>
      </c>
      <c r="K32" s="52">
        <v>1.0</v>
      </c>
      <c r="L32" s="53"/>
      <c r="M32" s="53"/>
      <c r="N32" s="52">
        <v>1.0</v>
      </c>
      <c r="Z32" s="10"/>
      <c r="AA32" s="10"/>
    </row>
    <row r="33">
      <c r="A33" s="59">
        <v>45481.0</v>
      </c>
      <c r="B33" s="12" t="s">
        <v>213</v>
      </c>
      <c r="C33" s="12" t="s">
        <v>11</v>
      </c>
      <c r="D33" s="12">
        <v>15.34</v>
      </c>
      <c r="E33" s="12" t="s">
        <v>14</v>
      </c>
      <c r="F33" s="10">
        <f t="shared" si="1"/>
        <v>2.191428571</v>
      </c>
      <c r="G33" s="10">
        <f t="shared" si="2"/>
        <v>2.191428571</v>
      </c>
      <c r="H33" s="1">
        <v>1.0</v>
      </c>
      <c r="I33" s="1">
        <v>1.0</v>
      </c>
      <c r="J33" s="1">
        <v>1.0</v>
      </c>
      <c r="K33" s="1">
        <v>1.0</v>
      </c>
      <c r="L33" s="1">
        <v>1.0</v>
      </c>
      <c r="M33" s="1">
        <v>1.0</v>
      </c>
      <c r="N33" s="1">
        <v>1.0</v>
      </c>
      <c r="Z33" s="10"/>
      <c r="AA33" s="10"/>
    </row>
    <row r="34">
      <c r="A34" s="59">
        <v>45482.0</v>
      </c>
      <c r="B34" s="12" t="s">
        <v>47</v>
      </c>
      <c r="C34" s="12" t="s">
        <v>11</v>
      </c>
      <c r="D34" s="12">
        <v>71.0</v>
      </c>
      <c r="E34" s="12" t="s">
        <v>7</v>
      </c>
      <c r="F34" s="10">
        <f t="shared" si="1"/>
        <v>10.14285714</v>
      </c>
      <c r="G34" s="10">
        <f t="shared" si="2"/>
        <v>10.14285714</v>
      </c>
      <c r="H34" s="1">
        <v>1.0</v>
      </c>
      <c r="I34" s="1">
        <v>1.0</v>
      </c>
      <c r="J34" s="1">
        <v>1.0</v>
      </c>
      <c r="K34" s="1">
        <v>1.0</v>
      </c>
      <c r="L34" s="1">
        <v>1.0</v>
      </c>
      <c r="M34" s="1">
        <v>1.0</v>
      </c>
      <c r="N34" s="1">
        <v>1.0</v>
      </c>
      <c r="Z34" s="10"/>
      <c r="AA34" s="10"/>
    </row>
    <row r="35">
      <c r="A35" s="55">
        <v>45483.0</v>
      </c>
      <c r="B35" s="12" t="s">
        <v>305</v>
      </c>
      <c r="C35" s="12" t="s">
        <v>11</v>
      </c>
      <c r="D35" s="12">
        <v>30.0</v>
      </c>
      <c r="E35" s="12" t="s">
        <v>2</v>
      </c>
      <c r="F35" s="10">
        <f t="shared" si="1"/>
        <v>10</v>
      </c>
      <c r="G35" s="10">
        <f t="shared" si="2"/>
        <v>10</v>
      </c>
      <c r="H35" s="1">
        <v>1.0</v>
      </c>
      <c r="J35" s="1">
        <v>1.0</v>
      </c>
      <c r="K35" s="1">
        <v>1.0</v>
      </c>
      <c r="Z35" s="10"/>
      <c r="AA35" s="10"/>
    </row>
    <row r="36">
      <c r="A36" s="61">
        <v>45484.0</v>
      </c>
      <c r="B36" s="51" t="s">
        <v>120</v>
      </c>
      <c r="C36" s="51" t="s">
        <v>11</v>
      </c>
      <c r="D36" s="63">
        <f>51.5-12.88</f>
        <v>38.62</v>
      </c>
      <c r="E36" s="51" t="s">
        <v>13</v>
      </c>
      <c r="F36" s="10">
        <f t="shared" si="1"/>
        <v>7.724</v>
      </c>
      <c r="G36" s="10">
        <f t="shared" si="2"/>
        <v>7.724</v>
      </c>
      <c r="H36" s="52">
        <v>1.0</v>
      </c>
      <c r="I36" s="52">
        <v>1.0</v>
      </c>
      <c r="J36" s="52">
        <v>1.0</v>
      </c>
      <c r="K36" s="52">
        <v>1.0</v>
      </c>
      <c r="L36" s="53"/>
      <c r="M36" s="54">
        <v>1.0</v>
      </c>
      <c r="N36" s="52"/>
      <c r="Z36" s="10"/>
      <c r="AA36" s="10"/>
    </row>
    <row r="37">
      <c r="A37" s="61">
        <v>45485.0</v>
      </c>
      <c r="B37" s="51" t="s">
        <v>98</v>
      </c>
      <c r="C37" s="51" t="s">
        <v>11</v>
      </c>
      <c r="D37" s="51">
        <f>47.85*1.13</f>
        <v>54.0705</v>
      </c>
      <c r="E37" s="51" t="s">
        <v>8</v>
      </c>
      <c r="F37" s="65">
        <f t="shared" si="1"/>
        <v>18.0235</v>
      </c>
      <c r="G37" s="65">
        <f t="shared" si="2"/>
        <v>18.0235</v>
      </c>
      <c r="H37" s="54"/>
      <c r="I37" s="54"/>
      <c r="J37" s="54"/>
      <c r="K37" s="54">
        <v>1.0</v>
      </c>
      <c r="L37" s="54">
        <v>1.0</v>
      </c>
      <c r="M37" s="54">
        <v>1.0</v>
      </c>
      <c r="N37" s="54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>
      <c r="A38" s="61">
        <v>45485.0</v>
      </c>
      <c r="B38" s="51" t="s">
        <v>98</v>
      </c>
      <c r="C38" s="12" t="s">
        <v>11</v>
      </c>
      <c r="D38" s="12">
        <f>19.95*1.13</f>
        <v>22.5435</v>
      </c>
      <c r="E38" s="12" t="s">
        <v>8</v>
      </c>
      <c r="F38" s="10">
        <f t="shared" si="1"/>
        <v>22.5435</v>
      </c>
      <c r="G38" s="10">
        <f t="shared" si="2"/>
        <v>22.5435</v>
      </c>
      <c r="I38" s="1">
        <v>1.0</v>
      </c>
      <c r="Z38" s="10"/>
      <c r="AA38" s="10"/>
    </row>
    <row r="39">
      <c r="A39" s="59">
        <v>45485.0</v>
      </c>
      <c r="B39" s="12" t="s">
        <v>98</v>
      </c>
      <c r="C39" s="12" t="s">
        <v>11</v>
      </c>
      <c r="D39" s="12">
        <f>20.95*1.13</f>
        <v>23.6735</v>
      </c>
      <c r="E39" s="12" t="s">
        <v>8</v>
      </c>
      <c r="F39" s="10">
        <f t="shared" si="1"/>
        <v>11.83675</v>
      </c>
      <c r="G39" s="10">
        <f t="shared" si="2"/>
        <v>11.83675</v>
      </c>
      <c r="H39" s="1">
        <v>1.0</v>
      </c>
      <c r="J39" s="1">
        <v>1.0</v>
      </c>
      <c r="Z39" s="10"/>
      <c r="AA39" s="10"/>
    </row>
    <row r="40">
      <c r="A40" s="61">
        <v>45486.0</v>
      </c>
      <c r="B40" s="51" t="s">
        <v>306</v>
      </c>
      <c r="C40" s="51" t="s">
        <v>11</v>
      </c>
      <c r="D40" s="51">
        <v>66.11</v>
      </c>
      <c r="E40" s="51" t="s">
        <v>2</v>
      </c>
      <c r="F40" s="10">
        <f t="shared" si="1"/>
        <v>13.222</v>
      </c>
      <c r="G40" s="10">
        <f t="shared" si="2"/>
        <v>13.222</v>
      </c>
      <c r="H40" s="52"/>
      <c r="I40" s="54">
        <v>1.0</v>
      </c>
      <c r="J40" s="52">
        <v>1.0</v>
      </c>
      <c r="K40" s="54">
        <v>1.0</v>
      </c>
      <c r="L40" s="54">
        <v>1.0</v>
      </c>
      <c r="M40" s="54">
        <v>1.0</v>
      </c>
      <c r="N40" s="54"/>
      <c r="Z40" s="10"/>
      <c r="AA40" s="10"/>
    </row>
    <row r="41">
      <c r="A41" s="59">
        <v>45487.0</v>
      </c>
      <c r="B41" s="12" t="s">
        <v>307</v>
      </c>
      <c r="C41" s="12" t="s">
        <v>11</v>
      </c>
      <c r="D41" s="12">
        <v>200.0</v>
      </c>
      <c r="E41" s="12" t="s">
        <v>2</v>
      </c>
      <c r="F41" s="10">
        <f t="shared" si="1"/>
        <v>40</v>
      </c>
      <c r="G41" s="10">
        <f t="shared" si="2"/>
        <v>40</v>
      </c>
      <c r="H41" s="1">
        <v>1.0</v>
      </c>
      <c r="I41" s="1">
        <v>1.0</v>
      </c>
      <c r="J41" s="1">
        <v>1.0</v>
      </c>
      <c r="K41" s="1">
        <v>1.0</v>
      </c>
      <c r="M41" s="1">
        <v>1.0</v>
      </c>
      <c r="Z41" s="10"/>
      <c r="AA41" s="10"/>
    </row>
    <row r="42">
      <c r="A42" s="59">
        <v>45487.0</v>
      </c>
      <c r="B42" s="12" t="s">
        <v>307</v>
      </c>
      <c r="C42" s="12" t="s">
        <v>11</v>
      </c>
      <c r="D42" s="12">
        <v>70.0</v>
      </c>
      <c r="E42" s="12" t="s">
        <v>14</v>
      </c>
      <c r="F42" s="10">
        <f t="shared" si="1"/>
        <v>14</v>
      </c>
      <c r="G42" s="10">
        <f t="shared" si="2"/>
        <v>14</v>
      </c>
      <c r="H42" s="1">
        <v>1.0</v>
      </c>
      <c r="I42" s="1">
        <v>1.0</v>
      </c>
      <c r="J42" s="1">
        <v>1.0</v>
      </c>
      <c r="K42" s="1">
        <v>1.0</v>
      </c>
      <c r="M42" s="1">
        <v>1.0</v>
      </c>
      <c r="Z42" s="10"/>
      <c r="AA42" s="10"/>
    </row>
    <row r="43">
      <c r="A43" s="61">
        <v>45488.0</v>
      </c>
      <c r="B43" s="51" t="s">
        <v>120</v>
      </c>
      <c r="C43" s="51" t="s">
        <v>11</v>
      </c>
      <c r="D43" s="51">
        <v>18.09</v>
      </c>
      <c r="E43" s="51" t="s">
        <v>4</v>
      </c>
      <c r="F43" s="10">
        <f t="shared" si="1"/>
        <v>3.618</v>
      </c>
      <c r="G43" s="10">
        <f t="shared" si="2"/>
        <v>3.618</v>
      </c>
      <c r="H43" s="52">
        <v>1.0</v>
      </c>
      <c r="I43" s="52">
        <v>1.0</v>
      </c>
      <c r="J43" s="52">
        <v>1.0</v>
      </c>
      <c r="K43" s="52">
        <v>1.0</v>
      </c>
      <c r="L43" s="54"/>
      <c r="M43" s="54">
        <v>1.0</v>
      </c>
      <c r="N43" s="52"/>
      <c r="Z43" s="10"/>
      <c r="AA43" s="10"/>
    </row>
    <row r="44">
      <c r="A44" s="55">
        <v>45489.0</v>
      </c>
      <c r="B44" s="12" t="s">
        <v>120</v>
      </c>
      <c r="C44" s="12" t="s">
        <v>11</v>
      </c>
      <c r="D44" s="12">
        <f>64.2-4.99-2.99-5.99</f>
        <v>50.23</v>
      </c>
      <c r="E44" s="12" t="s">
        <v>14</v>
      </c>
      <c r="F44" s="10">
        <f t="shared" si="1"/>
        <v>10.046</v>
      </c>
      <c r="G44" s="10">
        <f t="shared" si="2"/>
        <v>10.046</v>
      </c>
      <c r="H44" s="1">
        <v>1.0</v>
      </c>
      <c r="I44" s="1">
        <v>1.0</v>
      </c>
      <c r="J44" s="1">
        <v>1.0</v>
      </c>
      <c r="K44" s="1">
        <v>1.0</v>
      </c>
      <c r="M44" s="1">
        <v>1.0</v>
      </c>
      <c r="Z44" s="10"/>
      <c r="AA44" s="10"/>
    </row>
    <row r="45">
      <c r="A45" s="59">
        <v>45490.0</v>
      </c>
      <c r="B45" s="12" t="s">
        <v>308</v>
      </c>
      <c r="C45" s="12" t="s">
        <v>11</v>
      </c>
      <c r="D45" s="12">
        <v>23.73</v>
      </c>
      <c r="E45" s="12" t="s">
        <v>14</v>
      </c>
      <c r="F45" s="10">
        <f t="shared" si="1"/>
        <v>3.955</v>
      </c>
      <c r="G45" s="10">
        <f t="shared" si="2"/>
        <v>3.955</v>
      </c>
      <c r="H45" s="1">
        <v>1.0</v>
      </c>
      <c r="I45" s="1">
        <v>1.0</v>
      </c>
      <c r="J45" s="1">
        <v>1.0</v>
      </c>
      <c r="K45" s="1">
        <v>1.0</v>
      </c>
      <c r="M45" s="1">
        <v>1.0</v>
      </c>
      <c r="N45" s="1">
        <v>1.0</v>
      </c>
      <c r="Z45" s="10"/>
      <c r="AA45" s="10"/>
    </row>
    <row r="46">
      <c r="A46" s="61">
        <v>45490.0</v>
      </c>
      <c r="B46" s="12" t="s">
        <v>46</v>
      </c>
      <c r="C46" s="12" t="s">
        <v>11</v>
      </c>
      <c r="D46" s="12">
        <f>42.43-12.99*1.13-5.99*1.13</f>
        <v>20.9826</v>
      </c>
      <c r="E46" s="12" t="s">
        <v>14</v>
      </c>
      <c r="F46" s="10">
        <f>D46/sum(H46:R46)</f>
        <v>3.4971</v>
      </c>
      <c r="G46" s="10">
        <f>D46/sum(H46:R46)</f>
        <v>3.4971</v>
      </c>
      <c r="H46" s="1">
        <v>1.0</v>
      </c>
      <c r="I46" s="1">
        <v>1.0</v>
      </c>
      <c r="J46" s="1">
        <v>1.0</v>
      </c>
      <c r="K46" s="1">
        <v>1.0</v>
      </c>
      <c r="M46" s="1">
        <v>1.0</v>
      </c>
      <c r="N46" s="1">
        <v>1.0</v>
      </c>
      <c r="Z46" s="10"/>
      <c r="AA46" s="10"/>
    </row>
    <row r="47">
      <c r="A47" s="61">
        <v>45491.0</v>
      </c>
      <c r="B47" s="51" t="s">
        <v>120</v>
      </c>
      <c r="C47" s="51" t="s">
        <v>11</v>
      </c>
      <c r="D47" s="51">
        <f>34.66-3</f>
        <v>31.66</v>
      </c>
      <c r="E47" s="51" t="s">
        <v>13</v>
      </c>
      <c r="F47" s="10">
        <f t="shared" ref="F47:F80" si="3">D47/sum(H47:Q47)</f>
        <v>6.332</v>
      </c>
      <c r="G47" s="10">
        <f t="shared" ref="G47:G80" si="4">D47/sum(H47:Q47)</f>
        <v>6.332</v>
      </c>
      <c r="H47" s="52">
        <v>1.0</v>
      </c>
      <c r="I47" s="52">
        <v>1.0</v>
      </c>
      <c r="J47" s="52">
        <v>1.0</v>
      </c>
      <c r="K47" s="52">
        <v>1.0</v>
      </c>
      <c r="L47" s="53"/>
      <c r="M47" s="53"/>
      <c r="N47" s="52">
        <v>1.0</v>
      </c>
      <c r="Z47" s="10"/>
      <c r="AA47" s="10"/>
    </row>
    <row r="48">
      <c r="A48" s="61">
        <v>45492.0</v>
      </c>
      <c r="B48" s="51" t="s">
        <v>309</v>
      </c>
      <c r="C48" s="51" t="s">
        <v>11</v>
      </c>
      <c r="D48" s="51">
        <v>20.34</v>
      </c>
      <c r="E48" s="51" t="s">
        <v>4</v>
      </c>
      <c r="F48" s="10">
        <f t="shared" si="3"/>
        <v>10.17</v>
      </c>
      <c r="G48" s="10">
        <f t="shared" si="4"/>
        <v>10.17</v>
      </c>
      <c r="H48" s="52"/>
      <c r="I48" s="52">
        <v>1.0</v>
      </c>
      <c r="J48" s="52"/>
      <c r="K48" s="52">
        <v>1.0</v>
      </c>
      <c r="L48" s="54"/>
      <c r="M48" s="53"/>
      <c r="N48" s="52"/>
      <c r="Z48" s="10"/>
      <c r="AA48" s="10"/>
    </row>
    <row r="49">
      <c r="A49" s="59">
        <v>45493.0</v>
      </c>
      <c r="B49" s="12" t="s">
        <v>310</v>
      </c>
      <c r="C49" s="12" t="s">
        <v>11</v>
      </c>
      <c r="D49" s="12">
        <v>1.98</v>
      </c>
      <c r="E49" s="12" t="s">
        <v>2</v>
      </c>
      <c r="F49" s="10">
        <f t="shared" si="3"/>
        <v>0.66</v>
      </c>
      <c r="G49" s="10">
        <f t="shared" si="4"/>
        <v>0.66</v>
      </c>
      <c r="H49" s="1">
        <v>1.0</v>
      </c>
      <c r="I49" s="1">
        <v>1.0</v>
      </c>
      <c r="K49" s="1">
        <v>1.0</v>
      </c>
      <c r="Z49" s="10"/>
      <c r="AA49" s="10"/>
    </row>
    <row r="50">
      <c r="A50" s="59">
        <v>45494.0</v>
      </c>
      <c r="B50" s="12" t="s">
        <v>149</v>
      </c>
      <c r="C50" s="12" t="s">
        <v>11</v>
      </c>
      <c r="D50" s="12">
        <f>21.71</f>
        <v>21.71</v>
      </c>
      <c r="E50" s="12" t="s">
        <v>2</v>
      </c>
      <c r="F50" s="67">
        <f t="shared" si="3"/>
        <v>3.618333333</v>
      </c>
      <c r="G50" s="10">
        <f t="shared" si="4"/>
        <v>3.618333333</v>
      </c>
      <c r="H50" s="1">
        <v>1.0</v>
      </c>
      <c r="I50" s="1">
        <v>1.0</v>
      </c>
      <c r="J50" s="1">
        <v>1.0</v>
      </c>
      <c r="K50" s="1">
        <v>1.0</v>
      </c>
      <c r="M50" s="1">
        <v>1.0</v>
      </c>
      <c r="N50" s="1">
        <v>1.0</v>
      </c>
      <c r="Z50" s="10"/>
      <c r="AA50" s="10"/>
    </row>
    <row r="51">
      <c r="A51" s="55">
        <v>45494.0</v>
      </c>
      <c r="B51" s="12" t="s">
        <v>311</v>
      </c>
      <c r="C51" s="12" t="s">
        <v>11</v>
      </c>
      <c r="D51" s="12">
        <f>(5.79+0.81)*1.13</f>
        <v>7.458</v>
      </c>
      <c r="E51" s="12" t="s">
        <v>14</v>
      </c>
      <c r="F51" s="10">
        <f t="shared" si="3"/>
        <v>7.458</v>
      </c>
      <c r="G51" s="10">
        <f t="shared" si="4"/>
        <v>7.458</v>
      </c>
      <c r="N51" s="1">
        <v>1.0</v>
      </c>
      <c r="Z51" s="10"/>
      <c r="AA51" s="10"/>
    </row>
    <row r="52">
      <c r="A52" s="55">
        <v>45495.0</v>
      </c>
      <c r="B52" s="12" t="s">
        <v>46</v>
      </c>
      <c r="C52" s="12" t="s">
        <v>11</v>
      </c>
      <c r="D52" s="12">
        <f>67.35-10.99*1.13</f>
        <v>54.9313</v>
      </c>
      <c r="E52" s="12" t="s">
        <v>4</v>
      </c>
      <c r="F52" s="10">
        <f t="shared" si="3"/>
        <v>10.98626</v>
      </c>
      <c r="G52" s="10">
        <f t="shared" si="4"/>
        <v>10.98626</v>
      </c>
      <c r="H52" s="1">
        <v>1.0</v>
      </c>
      <c r="I52" s="1">
        <v>1.0</v>
      </c>
      <c r="J52" s="1">
        <v>1.0</v>
      </c>
      <c r="K52" s="1">
        <v>1.0</v>
      </c>
      <c r="N52" s="1">
        <v>1.0</v>
      </c>
      <c r="Z52" s="10"/>
      <c r="AA52" s="10"/>
    </row>
    <row r="53">
      <c r="A53" s="55">
        <v>45495.0</v>
      </c>
      <c r="B53" s="12" t="s">
        <v>46</v>
      </c>
      <c r="C53" s="12" t="s">
        <v>11</v>
      </c>
      <c r="D53" s="12">
        <f>10.99*1.13</f>
        <v>12.4187</v>
      </c>
      <c r="E53" s="12" t="s">
        <v>4</v>
      </c>
      <c r="F53" s="10">
        <f t="shared" si="3"/>
        <v>12.4187</v>
      </c>
      <c r="G53" s="10">
        <f t="shared" si="4"/>
        <v>12.4187</v>
      </c>
      <c r="J53" s="1">
        <v>1.0</v>
      </c>
      <c r="Z53" s="10"/>
      <c r="AA53" s="10"/>
    </row>
    <row r="54">
      <c r="A54" s="61">
        <v>45496.0</v>
      </c>
      <c r="B54" s="51" t="s">
        <v>46</v>
      </c>
      <c r="C54" s="51" t="s">
        <v>11</v>
      </c>
      <c r="D54" s="51">
        <v>32.7</v>
      </c>
      <c r="E54" s="51" t="s">
        <v>14</v>
      </c>
      <c r="F54" s="10">
        <f t="shared" si="3"/>
        <v>5.45</v>
      </c>
      <c r="G54" s="10">
        <f t="shared" si="4"/>
        <v>5.45</v>
      </c>
      <c r="H54" s="52">
        <v>1.0</v>
      </c>
      <c r="I54" s="52">
        <v>1.0</v>
      </c>
      <c r="J54" s="52">
        <v>1.0</v>
      </c>
      <c r="K54" s="52">
        <v>1.0</v>
      </c>
      <c r="L54" s="54"/>
      <c r="M54" s="52">
        <v>1.0</v>
      </c>
      <c r="N54" s="52">
        <v>1.0</v>
      </c>
      <c r="Z54" s="10"/>
      <c r="AA54" s="10"/>
    </row>
    <row r="55">
      <c r="A55" s="55">
        <v>45497.0</v>
      </c>
      <c r="B55" s="12" t="s">
        <v>46</v>
      </c>
      <c r="C55" s="12" t="s">
        <v>11</v>
      </c>
      <c r="D55" s="12">
        <v>21.57</v>
      </c>
      <c r="E55" s="12" t="s">
        <v>14</v>
      </c>
      <c r="F55" s="10">
        <f t="shared" si="3"/>
        <v>3.081428571</v>
      </c>
      <c r="G55" s="10">
        <f t="shared" si="4"/>
        <v>3.081428571</v>
      </c>
      <c r="H55" s="1">
        <v>1.0</v>
      </c>
      <c r="I55" s="1">
        <v>1.0</v>
      </c>
      <c r="J55" s="1">
        <v>1.0</v>
      </c>
      <c r="K55" s="1">
        <v>1.0</v>
      </c>
      <c r="L55" s="1">
        <v>1.0</v>
      </c>
      <c r="M55" s="1">
        <v>1.0</v>
      </c>
      <c r="N55" s="1">
        <v>1.0</v>
      </c>
      <c r="Z55" s="10"/>
      <c r="AA55" s="10"/>
    </row>
    <row r="56">
      <c r="A56" s="55">
        <v>45498.0</v>
      </c>
      <c r="B56" s="12" t="s">
        <v>46</v>
      </c>
      <c r="C56" s="12" t="s">
        <v>11</v>
      </c>
      <c r="D56" s="12">
        <v>10.3</v>
      </c>
      <c r="E56" s="12" t="s">
        <v>14</v>
      </c>
      <c r="F56" s="67">
        <f t="shared" si="3"/>
        <v>2.575</v>
      </c>
      <c r="G56" s="10">
        <f t="shared" si="4"/>
        <v>2.575</v>
      </c>
      <c r="H56" s="1">
        <v>1.0</v>
      </c>
      <c r="I56" s="1">
        <v>1.0</v>
      </c>
      <c r="K56" s="1">
        <v>1.0</v>
      </c>
      <c r="N56" s="1">
        <v>1.0</v>
      </c>
      <c r="Z56" s="10"/>
      <c r="AA56" s="10"/>
    </row>
    <row r="57">
      <c r="A57" s="59">
        <v>45499.0</v>
      </c>
      <c r="B57" s="12" t="s">
        <v>141</v>
      </c>
      <c r="C57" s="12" t="s">
        <v>11</v>
      </c>
      <c r="D57" s="12">
        <v>140.0</v>
      </c>
      <c r="E57" s="12" t="s">
        <v>2</v>
      </c>
      <c r="F57" s="67">
        <f t="shared" si="3"/>
        <v>23.33333333</v>
      </c>
      <c r="G57" s="10">
        <f t="shared" si="4"/>
        <v>23.33333333</v>
      </c>
      <c r="H57" s="1">
        <v>1.0</v>
      </c>
      <c r="I57" s="1">
        <v>1.0</v>
      </c>
      <c r="J57" s="1">
        <v>1.0</v>
      </c>
      <c r="K57" s="1">
        <v>1.0</v>
      </c>
      <c r="M57" s="1">
        <v>1.0</v>
      </c>
      <c r="N57" s="1">
        <v>1.0</v>
      </c>
      <c r="Z57" s="10"/>
      <c r="AA57" s="10"/>
    </row>
    <row r="58">
      <c r="A58" s="59">
        <v>45500.0</v>
      </c>
      <c r="B58" s="12" t="s">
        <v>46</v>
      </c>
      <c r="C58" s="12" t="s">
        <v>11</v>
      </c>
      <c r="D58" s="12">
        <v>7.19</v>
      </c>
      <c r="E58" s="12" t="s">
        <v>14</v>
      </c>
      <c r="F58" s="67">
        <f t="shared" si="3"/>
        <v>1.7975</v>
      </c>
      <c r="G58" s="10">
        <f t="shared" si="4"/>
        <v>1.7975</v>
      </c>
      <c r="H58" s="1">
        <v>1.0</v>
      </c>
      <c r="I58" s="1">
        <v>1.0</v>
      </c>
      <c r="J58" s="1">
        <v>1.0</v>
      </c>
      <c r="K58" s="1">
        <v>1.0</v>
      </c>
      <c r="M58" s="1"/>
      <c r="Z58" s="10"/>
      <c r="AA58" s="10"/>
    </row>
    <row r="59">
      <c r="A59" s="59">
        <v>45501.0</v>
      </c>
      <c r="B59" s="12" t="s">
        <v>130</v>
      </c>
      <c r="C59" s="12" t="s">
        <v>11</v>
      </c>
      <c r="D59" s="12">
        <v>63.85</v>
      </c>
      <c r="E59" s="12" t="s">
        <v>13</v>
      </c>
      <c r="F59" s="10">
        <f t="shared" si="3"/>
        <v>15.9625</v>
      </c>
      <c r="G59" s="10">
        <f t="shared" si="4"/>
        <v>15.9625</v>
      </c>
      <c r="H59" s="1">
        <v>1.0</v>
      </c>
      <c r="I59" s="1">
        <v>1.0</v>
      </c>
      <c r="J59" s="1">
        <v>1.0</v>
      </c>
      <c r="M59" s="1">
        <v>1.0</v>
      </c>
      <c r="Z59" s="10"/>
      <c r="AA59" s="10"/>
    </row>
    <row r="60">
      <c r="A60" s="59">
        <v>45502.0</v>
      </c>
      <c r="B60" s="12" t="s">
        <v>46</v>
      </c>
      <c r="C60" s="12" t="s">
        <v>11</v>
      </c>
      <c r="D60" s="12">
        <f>33.17-3.59</f>
        <v>29.58</v>
      </c>
      <c r="E60" s="12" t="s">
        <v>4</v>
      </c>
      <c r="F60" s="10">
        <f t="shared" si="3"/>
        <v>3.6975</v>
      </c>
      <c r="G60" s="10">
        <f t="shared" si="4"/>
        <v>3.6975</v>
      </c>
      <c r="H60" s="1">
        <v>1.0</v>
      </c>
      <c r="I60" s="1">
        <v>1.0</v>
      </c>
      <c r="J60" s="1">
        <v>1.0</v>
      </c>
      <c r="K60" s="1">
        <v>1.0</v>
      </c>
      <c r="M60" s="1">
        <v>1.0</v>
      </c>
      <c r="N60" s="1">
        <v>1.0</v>
      </c>
      <c r="P60" s="1">
        <v>2.0</v>
      </c>
      <c r="Z60" s="10"/>
      <c r="AA60" s="10"/>
    </row>
    <row r="61">
      <c r="A61" s="59">
        <v>45502.0</v>
      </c>
      <c r="B61" s="12" t="s">
        <v>312</v>
      </c>
      <c r="C61" s="12" t="s">
        <v>11</v>
      </c>
      <c r="D61" s="12">
        <v>86.98</v>
      </c>
      <c r="E61" s="12" t="s">
        <v>14</v>
      </c>
      <c r="F61" s="10">
        <f t="shared" si="3"/>
        <v>14.49666667</v>
      </c>
      <c r="G61" s="10">
        <f t="shared" si="4"/>
        <v>14.49666667</v>
      </c>
      <c r="H61" s="1">
        <v>1.0</v>
      </c>
      <c r="I61" s="1">
        <v>1.0</v>
      </c>
      <c r="J61" s="1">
        <v>1.0</v>
      </c>
      <c r="K61" s="1">
        <v>1.0</v>
      </c>
      <c r="M61" s="1">
        <v>1.0</v>
      </c>
      <c r="N61" s="1">
        <v>1.0</v>
      </c>
      <c r="Z61" s="10"/>
      <c r="AA61" s="10"/>
    </row>
    <row r="62">
      <c r="A62" s="55">
        <v>45503.0</v>
      </c>
      <c r="B62" s="12" t="s">
        <v>313</v>
      </c>
      <c r="C62" s="12" t="s">
        <v>11</v>
      </c>
      <c r="D62" s="12">
        <v>32.17</v>
      </c>
      <c r="E62" s="12" t="s">
        <v>4</v>
      </c>
      <c r="F62" s="10">
        <f t="shared" si="3"/>
        <v>6.434</v>
      </c>
      <c r="G62" s="10">
        <f t="shared" si="4"/>
        <v>6.434</v>
      </c>
      <c r="H62" s="1">
        <v>1.0</v>
      </c>
      <c r="I62" s="1">
        <v>1.0</v>
      </c>
      <c r="J62" s="1">
        <v>1.0</v>
      </c>
      <c r="K62" s="1">
        <v>1.0</v>
      </c>
      <c r="M62" s="1">
        <v>1.0</v>
      </c>
      <c r="Z62" s="10"/>
      <c r="AA62" s="10"/>
    </row>
    <row r="63">
      <c r="A63" s="61">
        <v>45504.0</v>
      </c>
      <c r="B63" s="51" t="s">
        <v>46</v>
      </c>
      <c r="C63" s="51" t="s">
        <v>11</v>
      </c>
      <c r="D63" s="51">
        <v>30.91</v>
      </c>
      <c r="E63" s="51" t="s">
        <v>14</v>
      </c>
      <c r="F63" s="10">
        <f t="shared" si="3"/>
        <v>7.7275</v>
      </c>
      <c r="G63" s="10">
        <f t="shared" si="4"/>
        <v>7.7275</v>
      </c>
      <c r="H63" s="52">
        <v>1.0</v>
      </c>
      <c r="I63" s="52">
        <v>1.0</v>
      </c>
      <c r="J63" s="52">
        <v>1.0</v>
      </c>
      <c r="K63" s="52">
        <v>1.0</v>
      </c>
      <c r="L63" s="54"/>
      <c r="M63" s="54"/>
      <c r="N63" s="52"/>
      <c r="Z63" s="10"/>
      <c r="AA63" s="10"/>
    </row>
    <row r="64">
      <c r="A64" s="59">
        <v>45508.0</v>
      </c>
      <c r="B64" s="12" t="s">
        <v>314</v>
      </c>
      <c r="C64" s="12" t="s">
        <v>11</v>
      </c>
      <c r="D64" s="12">
        <f>2.7*1.13</f>
        <v>3.051</v>
      </c>
      <c r="E64" s="12" t="s">
        <v>4</v>
      </c>
      <c r="F64" s="10">
        <f t="shared" si="3"/>
        <v>0.5085</v>
      </c>
      <c r="G64" s="10">
        <f t="shared" si="4"/>
        <v>0.5085</v>
      </c>
      <c r="H64" s="1">
        <v>1.0</v>
      </c>
      <c r="I64" s="1">
        <v>1.0</v>
      </c>
      <c r="J64" s="1">
        <v>1.0</v>
      </c>
      <c r="K64" s="1">
        <v>1.0</v>
      </c>
      <c r="M64" s="1">
        <v>1.0</v>
      </c>
      <c r="N64" s="1">
        <v>1.0</v>
      </c>
      <c r="Z64" s="10"/>
      <c r="AA64" s="10"/>
    </row>
    <row r="65">
      <c r="A65" s="59"/>
      <c r="B65" s="12" t="s">
        <v>130</v>
      </c>
      <c r="C65" s="12" t="s">
        <v>11</v>
      </c>
      <c r="D65" s="12">
        <v>108.0</v>
      </c>
      <c r="E65" s="12" t="s">
        <v>4</v>
      </c>
      <c r="F65" s="10">
        <f t="shared" si="3"/>
        <v>15.42857143</v>
      </c>
      <c r="G65" s="10">
        <f t="shared" si="4"/>
        <v>15.42857143</v>
      </c>
      <c r="H65" s="1">
        <v>1.0</v>
      </c>
      <c r="I65" s="1">
        <v>1.0</v>
      </c>
      <c r="J65" s="1">
        <v>1.0</v>
      </c>
      <c r="K65" s="1">
        <v>1.0</v>
      </c>
      <c r="L65" s="1">
        <v>1.0</v>
      </c>
      <c r="M65" s="1">
        <v>1.0</v>
      </c>
      <c r="N65" s="1">
        <v>1.0</v>
      </c>
      <c r="Z65" s="10"/>
      <c r="AA65" s="10"/>
    </row>
    <row r="66">
      <c r="A66" s="59">
        <v>45499.0</v>
      </c>
      <c r="B66" s="12" t="s">
        <v>248</v>
      </c>
      <c r="C66" s="12" t="s">
        <v>11</v>
      </c>
      <c r="D66" s="12">
        <v>73.94</v>
      </c>
      <c r="E66" s="51" t="s">
        <v>14</v>
      </c>
      <c r="F66" s="10">
        <f t="shared" si="3"/>
        <v>12.32333333</v>
      </c>
      <c r="G66" s="10">
        <f t="shared" si="4"/>
        <v>12.32333333</v>
      </c>
      <c r="H66" s="1">
        <v>1.0</v>
      </c>
      <c r="I66" s="1">
        <v>1.0</v>
      </c>
      <c r="J66" s="1">
        <v>1.0</v>
      </c>
      <c r="K66" s="1">
        <v>1.0</v>
      </c>
      <c r="M66" s="1">
        <v>1.0</v>
      </c>
      <c r="N66" s="1">
        <v>1.0</v>
      </c>
      <c r="Z66" s="10"/>
      <c r="AA66" s="10"/>
    </row>
    <row r="67">
      <c r="A67" s="61">
        <v>45474.0</v>
      </c>
      <c r="B67" s="51" t="s">
        <v>315</v>
      </c>
      <c r="C67" s="51" t="s">
        <v>11</v>
      </c>
      <c r="D67" s="63">
        <v>37.83</v>
      </c>
      <c r="E67" s="51" t="s">
        <v>13</v>
      </c>
      <c r="F67" s="10">
        <f t="shared" si="3"/>
        <v>7.566</v>
      </c>
      <c r="G67" s="10">
        <f t="shared" si="4"/>
        <v>7.566</v>
      </c>
      <c r="H67" s="52">
        <v>1.0</v>
      </c>
      <c r="I67" s="52">
        <v>1.0</v>
      </c>
      <c r="J67" s="52">
        <v>1.0</v>
      </c>
      <c r="K67" s="52">
        <v>1.0</v>
      </c>
      <c r="L67" s="53"/>
      <c r="M67" s="54">
        <v>1.0</v>
      </c>
      <c r="N67" s="52"/>
      <c r="Z67" s="10"/>
      <c r="AA67" s="10"/>
    </row>
    <row r="68">
      <c r="A68" s="55">
        <v>45475.0</v>
      </c>
      <c r="B68" s="12" t="s">
        <v>316</v>
      </c>
      <c r="C68" s="12" t="s">
        <v>31</v>
      </c>
      <c r="D68" s="12">
        <v>44.05</v>
      </c>
      <c r="E68" s="51" t="s">
        <v>13</v>
      </c>
      <c r="F68" s="10">
        <f t="shared" si="3"/>
        <v>44.05</v>
      </c>
      <c r="G68" s="10">
        <f t="shared" si="4"/>
        <v>44.05</v>
      </c>
      <c r="N68" s="1">
        <v>1.0</v>
      </c>
      <c r="Z68" s="10"/>
      <c r="AA68" s="10"/>
    </row>
    <row r="69">
      <c r="A69" s="59"/>
      <c r="B69" s="12"/>
      <c r="C69" s="12"/>
      <c r="D69" s="12"/>
      <c r="E69" s="51"/>
      <c r="F69" s="67" t="str">
        <f t="shared" si="3"/>
        <v>#DIV/0!</v>
      </c>
      <c r="G69" s="10" t="str">
        <f t="shared" si="4"/>
        <v>#DIV/0!</v>
      </c>
      <c r="Z69" s="10"/>
      <c r="AA69" s="10"/>
    </row>
    <row r="70">
      <c r="A70" s="55"/>
      <c r="B70" s="12" t="s">
        <v>317</v>
      </c>
      <c r="C70" s="12" t="s">
        <v>25</v>
      </c>
      <c r="D70" s="118">
        <v>39.5</v>
      </c>
      <c r="E70" s="51" t="s">
        <v>13</v>
      </c>
      <c r="F70" s="67">
        <f t="shared" si="3"/>
        <v>39.5</v>
      </c>
      <c r="G70" s="10">
        <f t="shared" si="4"/>
        <v>39.5</v>
      </c>
      <c r="I70" s="1">
        <v>1.0</v>
      </c>
      <c r="Z70" s="10"/>
      <c r="AA70" s="10"/>
    </row>
    <row r="71">
      <c r="A71" s="55"/>
      <c r="B71" s="12" t="s">
        <v>318</v>
      </c>
      <c r="C71" s="12" t="s">
        <v>23</v>
      </c>
      <c r="D71" s="118">
        <f>30.79*1.13</f>
        <v>34.7927</v>
      </c>
      <c r="E71" s="51" t="s">
        <v>13</v>
      </c>
      <c r="F71" s="67">
        <f t="shared" si="3"/>
        <v>11.59756667</v>
      </c>
      <c r="G71" s="10">
        <f t="shared" si="4"/>
        <v>11.59756667</v>
      </c>
      <c r="J71" s="1">
        <v>1.0</v>
      </c>
      <c r="K71" s="1">
        <v>1.0</v>
      </c>
      <c r="N71" s="1">
        <v>1.0</v>
      </c>
      <c r="Z71" s="10"/>
      <c r="AA71" s="10"/>
    </row>
    <row r="72">
      <c r="A72" s="61"/>
      <c r="B72" s="12" t="s">
        <v>319</v>
      </c>
      <c r="C72" s="12" t="s">
        <v>25</v>
      </c>
      <c r="D72" s="118">
        <f>15.99*1.13</f>
        <v>18.0687</v>
      </c>
      <c r="E72" s="51" t="s">
        <v>13</v>
      </c>
      <c r="F72" s="67">
        <f t="shared" si="3"/>
        <v>18.0687</v>
      </c>
      <c r="G72" s="10">
        <f t="shared" si="4"/>
        <v>18.0687</v>
      </c>
      <c r="M72" s="1">
        <v>1.0</v>
      </c>
      <c r="Z72" s="10"/>
      <c r="AA72" s="10"/>
    </row>
    <row r="73">
      <c r="A73" s="59"/>
      <c r="B73" s="12" t="s">
        <v>320</v>
      </c>
      <c r="C73" s="51" t="s">
        <v>25</v>
      </c>
      <c r="D73" s="118">
        <v>119.2</v>
      </c>
      <c r="E73" s="51" t="s">
        <v>13</v>
      </c>
      <c r="F73" s="67">
        <f t="shared" si="3"/>
        <v>119.2</v>
      </c>
      <c r="G73" s="10">
        <f t="shared" si="4"/>
        <v>119.2</v>
      </c>
      <c r="L73" s="1">
        <v>1.0</v>
      </c>
      <c r="Z73" s="64"/>
      <c r="AA73" s="64"/>
    </row>
    <row r="74">
      <c r="A74" s="55"/>
      <c r="B74" s="12" t="s">
        <v>321</v>
      </c>
      <c r="C74" s="12" t="s">
        <v>25</v>
      </c>
      <c r="D74" s="118">
        <f>9.99*1.13</f>
        <v>11.2887</v>
      </c>
      <c r="E74" s="51" t="s">
        <v>13</v>
      </c>
      <c r="F74" s="67">
        <f t="shared" si="3"/>
        <v>11.2887</v>
      </c>
      <c r="G74" s="10">
        <f t="shared" si="4"/>
        <v>11.2887</v>
      </c>
      <c r="H74" s="1">
        <v>1.0</v>
      </c>
      <c r="Z74" s="10"/>
      <c r="AA74" s="10"/>
    </row>
    <row r="75">
      <c r="A75" s="59"/>
      <c r="B75" s="12" t="s">
        <v>322</v>
      </c>
      <c r="C75" s="12" t="s">
        <v>23</v>
      </c>
      <c r="D75" s="118">
        <v>12.4</v>
      </c>
      <c r="E75" s="51" t="s">
        <v>13</v>
      </c>
      <c r="F75" s="67">
        <f t="shared" si="3"/>
        <v>2.48</v>
      </c>
      <c r="G75" s="10">
        <f t="shared" si="4"/>
        <v>2.48</v>
      </c>
      <c r="H75" s="1">
        <v>1.0</v>
      </c>
      <c r="I75" s="1">
        <v>1.0</v>
      </c>
      <c r="J75" s="1">
        <v>1.0</v>
      </c>
      <c r="K75" s="1">
        <v>1.0</v>
      </c>
      <c r="N75" s="1">
        <v>1.0</v>
      </c>
      <c r="Z75" s="10"/>
      <c r="AA75" s="10"/>
    </row>
    <row r="76">
      <c r="A76" s="59"/>
      <c r="B76" s="12"/>
      <c r="C76" s="51"/>
      <c r="D76" s="118"/>
      <c r="E76" s="51"/>
      <c r="F76" s="67" t="str">
        <f t="shared" si="3"/>
        <v>#DIV/0!</v>
      </c>
      <c r="G76" s="10" t="str">
        <f t="shared" si="4"/>
        <v>#DIV/0!</v>
      </c>
      <c r="Z76" s="64"/>
      <c r="AA76" s="64"/>
    </row>
    <row r="77">
      <c r="A77" s="59"/>
      <c r="B77" s="12"/>
      <c r="C77" s="51"/>
      <c r="D77" s="118"/>
      <c r="E77" s="51"/>
      <c r="F77" s="67" t="str">
        <f t="shared" si="3"/>
        <v>#DIV/0!</v>
      </c>
      <c r="G77" s="10" t="str">
        <f t="shared" si="4"/>
        <v>#DIV/0!</v>
      </c>
      <c r="Z77" s="64"/>
      <c r="AA77" s="64"/>
    </row>
    <row r="78">
      <c r="A78" s="59"/>
      <c r="B78" s="12" t="s">
        <v>323</v>
      </c>
      <c r="C78" s="51" t="s">
        <v>25</v>
      </c>
      <c r="D78" s="118">
        <v>13.55</v>
      </c>
      <c r="E78" s="51" t="s">
        <v>13</v>
      </c>
      <c r="F78" s="67">
        <f t="shared" si="3"/>
        <v>13.55</v>
      </c>
      <c r="G78" s="10">
        <f t="shared" si="4"/>
        <v>13.55</v>
      </c>
      <c r="H78" s="1">
        <v>1.0</v>
      </c>
      <c r="Z78" s="64"/>
      <c r="AA78" s="64"/>
    </row>
    <row r="79">
      <c r="A79" s="55"/>
      <c r="B79" s="12" t="s">
        <v>324</v>
      </c>
      <c r="C79" s="12" t="s">
        <v>25</v>
      </c>
      <c r="D79" s="118">
        <v>67.79</v>
      </c>
      <c r="E79" s="51" t="s">
        <v>13</v>
      </c>
      <c r="F79" s="67">
        <f t="shared" si="3"/>
        <v>13.558</v>
      </c>
      <c r="G79" s="10">
        <f t="shared" si="4"/>
        <v>13.558</v>
      </c>
      <c r="H79" s="1">
        <v>1.0</v>
      </c>
      <c r="I79" s="1">
        <v>1.0</v>
      </c>
      <c r="J79" s="1">
        <v>1.0</v>
      </c>
      <c r="K79" s="1">
        <v>1.0</v>
      </c>
      <c r="N79" s="1">
        <v>1.0</v>
      </c>
      <c r="Z79" s="10"/>
      <c r="AA79" s="10"/>
    </row>
    <row r="80">
      <c r="A80" s="59"/>
      <c r="B80" s="12"/>
      <c r="C80" s="12"/>
      <c r="D80" s="118"/>
      <c r="E80" s="51"/>
      <c r="F80" s="67">
        <f t="shared" si="3"/>
        <v>0</v>
      </c>
      <c r="G80" s="10">
        <f t="shared" si="4"/>
        <v>0</v>
      </c>
      <c r="I80" s="1">
        <v>1.0</v>
      </c>
      <c r="Z80" s="10"/>
      <c r="AA80" s="10"/>
    </row>
    <row r="81">
      <c r="A81" s="59"/>
      <c r="F81" s="67" t="str">
        <f>D80/sum(H81:Q81)</f>
        <v>#DIV/0!</v>
      </c>
      <c r="G81" s="10" t="str">
        <f>D80/sum(H81:Q81)</f>
        <v>#DIV/0!</v>
      </c>
      <c r="Z81" s="10"/>
      <c r="AA81" s="10"/>
    </row>
    <row r="82">
      <c r="A82" s="59"/>
      <c r="B82" s="12"/>
      <c r="C82" s="12"/>
      <c r="D82" s="12"/>
      <c r="E82" s="51"/>
      <c r="F82" s="67" t="str">
        <f t="shared" ref="F82:F108" si="5">D82/sum(H82:Q82)</f>
        <v>#DIV/0!</v>
      </c>
      <c r="G82" s="10" t="str">
        <f t="shared" ref="G82:G108" si="6">D82/sum(H82:Q82)</f>
        <v>#DIV/0!</v>
      </c>
      <c r="Z82" s="10"/>
      <c r="AA82" s="10"/>
    </row>
    <row r="83">
      <c r="A83" s="55"/>
      <c r="B83" s="12"/>
      <c r="C83" s="12"/>
      <c r="D83" s="12"/>
      <c r="E83" s="51"/>
      <c r="F83" s="67" t="str">
        <f t="shared" si="5"/>
        <v>#DIV/0!</v>
      </c>
      <c r="G83" s="10" t="str">
        <f t="shared" si="6"/>
        <v>#DIV/0!</v>
      </c>
      <c r="Z83" s="10"/>
      <c r="AA83" s="10"/>
    </row>
    <row r="84">
      <c r="A84" s="55"/>
      <c r="B84" s="51"/>
      <c r="C84" s="51"/>
      <c r="D84" s="51"/>
      <c r="E84" s="51"/>
      <c r="F84" s="67" t="str">
        <f t="shared" si="5"/>
        <v>#DIV/0!</v>
      </c>
      <c r="G84" s="10" t="str">
        <f t="shared" si="6"/>
        <v>#DIV/0!</v>
      </c>
      <c r="H84" s="52"/>
      <c r="I84" s="52"/>
      <c r="J84" s="52"/>
      <c r="K84" s="52"/>
      <c r="L84" s="53"/>
      <c r="M84" s="54"/>
      <c r="N84" s="52"/>
      <c r="O84" s="54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>
      <c r="A85" s="55"/>
      <c r="B85" s="12"/>
      <c r="C85" s="12"/>
      <c r="D85" s="12"/>
      <c r="E85" s="51"/>
      <c r="F85" s="67" t="str">
        <f t="shared" si="5"/>
        <v>#DIV/0!</v>
      </c>
      <c r="G85" s="10" t="str">
        <f t="shared" si="6"/>
        <v>#DIV/0!</v>
      </c>
      <c r="Z85" s="10"/>
      <c r="AA85" s="10"/>
    </row>
    <row r="86">
      <c r="A86" s="59"/>
      <c r="B86" s="12"/>
      <c r="C86" s="12"/>
      <c r="D86" s="12"/>
      <c r="E86" s="12"/>
      <c r="F86" s="67" t="str">
        <f t="shared" si="5"/>
        <v>#DIV/0!</v>
      </c>
      <c r="G86" s="10" t="str">
        <f t="shared" si="6"/>
        <v>#DIV/0!</v>
      </c>
      <c r="Z86" s="10"/>
      <c r="AA86" s="10"/>
    </row>
    <row r="87">
      <c r="A87" s="61"/>
      <c r="B87" s="12"/>
      <c r="C87" s="12"/>
      <c r="D87" s="12"/>
      <c r="E87" s="12"/>
      <c r="F87" s="67" t="str">
        <f t="shared" si="5"/>
        <v>#DIV/0!</v>
      </c>
      <c r="G87" s="10" t="str">
        <f t="shared" si="6"/>
        <v>#DIV/0!</v>
      </c>
      <c r="Z87" s="10"/>
      <c r="AA87" s="10"/>
    </row>
    <row r="88">
      <c r="A88" s="61"/>
      <c r="B88" s="12"/>
      <c r="C88" s="12"/>
      <c r="D88" s="12"/>
      <c r="E88" s="12"/>
      <c r="F88" s="67" t="str">
        <f t="shared" si="5"/>
        <v>#DIV/0!</v>
      </c>
      <c r="G88" s="10" t="str">
        <f t="shared" si="6"/>
        <v>#DIV/0!</v>
      </c>
      <c r="Z88" s="10"/>
      <c r="AA88" s="10"/>
    </row>
    <row r="89">
      <c r="A89" s="59"/>
      <c r="B89" s="12"/>
      <c r="C89" s="12"/>
      <c r="D89" s="12"/>
      <c r="E89" s="12"/>
      <c r="F89" s="67" t="str">
        <f t="shared" si="5"/>
        <v>#DIV/0!</v>
      </c>
      <c r="G89" s="10" t="str">
        <f t="shared" si="6"/>
        <v>#DIV/0!</v>
      </c>
      <c r="Z89" s="10"/>
      <c r="AA89" s="10"/>
    </row>
    <row r="90">
      <c r="A90" s="59"/>
      <c r="B90" s="12"/>
      <c r="C90" s="12"/>
      <c r="D90" s="12"/>
      <c r="E90" s="12"/>
      <c r="F90" s="67" t="str">
        <f t="shared" si="5"/>
        <v>#DIV/0!</v>
      </c>
      <c r="G90" s="10" t="str">
        <f t="shared" si="6"/>
        <v>#DIV/0!</v>
      </c>
      <c r="Z90" s="10"/>
      <c r="AA90" s="10"/>
    </row>
    <row r="91">
      <c r="A91" s="59"/>
      <c r="B91" s="12"/>
      <c r="C91" s="12"/>
      <c r="D91" s="12"/>
      <c r="E91" s="12"/>
      <c r="F91" s="67" t="str">
        <f t="shared" si="5"/>
        <v>#DIV/0!</v>
      </c>
      <c r="G91" s="10" t="str">
        <f t="shared" si="6"/>
        <v>#DIV/0!</v>
      </c>
      <c r="Z91" s="10"/>
      <c r="AA91" s="10"/>
    </row>
    <row r="92">
      <c r="A92" s="59"/>
      <c r="B92" s="12"/>
      <c r="C92" s="12"/>
      <c r="D92" s="12"/>
      <c r="E92" s="12"/>
      <c r="F92" s="67" t="str">
        <f t="shared" si="5"/>
        <v>#DIV/0!</v>
      </c>
      <c r="G92" s="10" t="str">
        <f t="shared" si="6"/>
        <v>#DIV/0!</v>
      </c>
      <c r="Z92" s="10"/>
      <c r="AA92" s="10"/>
    </row>
    <row r="93">
      <c r="A93" s="12"/>
      <c r="B93" s="12"/>
      <c r="C93" s="12"/>
      <c r="D93" s="12"/>
      <c r="E93" s="12"/>
      <c r="F93" s="67" t="str">
        <f t="shared" si="5"/>
        <v>#DIV/0!</v>
      </c>
      <c r="G93" s="10" t="str">
        <f t="shared" si="6"/>
        <v>#DIV/0!</v>
      </c>
      <c r="Z93" s="10"/>
      <c r="AA93" s="10"/>
    </row>
    <row r="94">
      <c r="A94" s="61"/>
      <c r="B94" s="51"/>
      <c r="C94" s="51"/>
      <c r="D94" s="51"/>
      <c r="E94" s="51"/>
      <c r="F94" s="10" t="str">
        <f t="shared" si="5"/>
        <v>#DIV/0!</v>
      </c>
      <c r="G94" s="10" t="str">
        <f t="shared" si="6"/>
        <v>#DIV/0!</v>
      </c>
      <c r="H94" s="52"/>
      <c r="I94" s="52"/>
      <c r="J94" s="52"/>
      <c r="K94" s="52"/>
      <c r="L94" s="53"/>
      <c r="M94" s="53"/>
      <c r="N94" s="52"/>
      <c r="Z94" s="10"/>
      <c r="AA94" s="10"/>
    </row>
    <row r="95">
      <c r="A95" s="59"/>
      <c r="B95" s="12"/>
      <c r="C95" s="12"/>
      <c r="D95" s="12"/>
      <c r="E95" s="12"/>
      <c r="F95" s="10" t="str">
        <f t="shared" si="5"/>
        <v>#DIV/0!</v>
      </c>
      <c r="G95" s="10" t="str">
        <f t="shared" si="6"/>
        <v>#DIV/0!</v>
      </c>
      <c r="Z95" s="10"/>
      <c r="AA95" s="10"/>
    </row>
    <row r="96">
      <c r="A96" s="61"/>
      <c r="B96" s="51"/>
      <c r="C96" s="51"/>
      <c r="D96" s="63"/>
      <c r="E96" s="51"/>
      <c r="F96" s="10" t="str">
        <f t="shared" si="5"/>
        <v>#DIV/0!</v>
      </c>
      <c r="G96" s="10" t="str">
        <f t="shared" si="6"/>
        <v>#DIV/0!</v>
      </c>
      <c r="H96" s="54"/>
      <c r="I96" s="54"/>
      <c r="J96" s="54"/>
      <c r="K96" s="54"/>
      <c r="L96" s="52"/>
      <c r="M96" s="54"/>
      <c r="N96" s="54"/>
      <c r="Z96" s="10"/>
      <c r="AA96" s="10"/>
    </row>
    <row r="97">
      <c r="A97" s="61"/>
      <c r="B97" s="51"/>
      <c r="C97" s="51"/>
      <c r="D97" s="51"/>
      <c r="E97" s="51"/>
      <c r="F97" s="10" t="str">
        <f t="shared" si="5"/>
        <v>#DIV/0!</v>
      </c>
      <c r="G97" s="10" t="str">
        <f t="shared" si="6"/>
        <v>#DIV/0!</v>
      </c>
      <c r="H97" s="52"/>
      <c r="I97" s="52"/>
      <c r="J97" s="52"/>
      <c r="K97" s="52"/>
      <c r="L97" s="53"/>
      <c r="M97" s="54"/>
      <c r="N97" s="52"/>
      <c r="Z97" s="10"/>
      <c r="AA97" s="10"/>
    </row>
    <row r="98">
      <c r="A98" s="59"/>
      <c r="B98" s="12"/>
      <c r="C98" s="12"/>
      <c r="D98" s="12"/>
      <c r="E98" s="12"/>
      <c r="F98" s="10" t="str">
        <f t="shared" si="5"/>
        <v>#DIV/0!</v>
      </c>
      <c r="G98" s="10" t="str">
        <f t="shared" si="6"/>
        <v>#DIV/0!</v>
      </c>
      <c r="Z98" s="10"/>
      <c r="AA98" s="10"/>
    </row>
    <row r="99">
      <c r="A99" s="61"/>
      <c r="B99" s="51"/>
      <c r="C99" s="51"/>
      <c r="D99" s="51"/>
      <c r="E99" s="51"/>
      <c r="F99" s="10" t="str">
        <f t="shared" si="5"/>
        <v>#DIV/0!</v>
      </c>
      <c r="G99" s="10" t="str">
        <f t="shared" si="6"/>
        <v>#DIV/0!</v>
      </c>
      <c r="H99" s="52"/>
      <c r="I99" s="52"/>
      <c r="J99" s="52"/>
      <c r="K99" s="52"/>
      <c r="L99" s="53"/>
      <c r="M99" s="54"/>
      <c r="N99" s="52"/>
      <c r="Z99" s="10"/>
      <c r="AA99" s="10"/>
    </row>
    <row r="100">
      <c r="A100" s="61"/>
      <c r="B100" s="51"/>
      <c r="C100" s="51"/>
      <c r="D100" s="51"/>
      <c r="E100" s="51"/>
      <c r="F100" s="10" t="str">
        <f t="shared" si="5"/>
        <v>#DIV/0!</v>
      </c>
      <c r="G100" s="10" t="str">
        <f t="shared" si="6"/>
        <v>#DIV/0!</v>
      </c>
      <c r="H100" s="52"/>
      <c r="I100" s="52"/>
      <c r="J100" s="52"/>
      <c r="K100" s="52"/>
      <c r="L100" s="54"/>
      <c r="M100" s="54"/>
      <c r="N100" s="52"/>
      <c r="Z100" s="10"/>
      <c r="AA100" s="10"/>
    </row>
    <row r="101">
      <c r="A101" s="61"/>
      <c r="B101" s="51"/>
      <c r="C101" s="51"/>
      <c r="D101" s="51"/>
      <c r="E101" s="51"/>
      <c r="F101" s="10" t="str">
        <f t="shared" si="5"/>
        <v>#DIV/0!</v>
      </c>
      <c r="G101" s="10" t="str">
        <f t="shared" si="6"/>
        <v>#DIV/0!</v>
      </c>
      <c r="H101" s="66"/>
      <c r="I101" s="66"/>
      <c r="J101" s="52"/>
      <c r="K101" s="66"/>
      <c r="L101" s="54"/>
      <c r="M101" s="53"/>
      <c r="N101" s="66"/>
      <c r="Z101" s="10"/>
      <c r="AA101" s="10"/>
    </row>
    <row r="102">
      <c r="A102" s="61"/>
      <c r="B102" s="51"/>
      <c r="C102" s="51"/>
      <c r="D102" s="63"/>
      <c r="E102" s="51"/>
      <c r="F102" s="10" t="str">
        <f t="shared" si="5"/>
        <v>#DIV/0!</v>
      </c>
      <c r="G102" s="10" t="str">
        <f t="shared" si="6"/>
        <v>#DIV/0!</v>
      </c>
      <c r="H102" s="52"/>
      <c r="I102" s="54"/>
      <c r="J102" s="54"/>
      <c r="K102" s="54"/>
      <c r="L102" s="54"/>
      <c r="M102" s="54"/>
      <c r="N102" s="54"/>
      <c r="Z102" s="10"/>
      <c r="AA102" s="10"/>
    </row>
    <row r="103">
      <c r="A103" s="61"/>
      <c r="B103" s="51"/>
      <c r="C103" s="51"/>
      <c r="D103" s="51"/>
      <c r="E103" s="51"/>
      <c r="F103" s="10" t="str">
        <f t="shared" si="5"/>
        <v>#DIV/0!</v>
      </c>
      <c r="G103" s="10" t="str">
        <f t="shared" si="6"/>
        <v>#DIV/0!</v>
      </c>
      <c r="H103" s="52"/>
      <c r="I103" s="54"/>
      <c r="J103" s="54"/>
      <c r="K103" s="54"/>
      <c r="L103" s="53"/>
      <c r="M103" s="54"/>
      <c r="N103" s="54"/>
      <c r="Z103" s="10"/>
      <c r="AA103" s="10"/>
    </row>
    <row r="104">
      <c r="A104" s="61"/>
      <c r="B104" s="51"/>
      <c r="C104" s="51"/>
      <c r="D104" s="63"/>
      <c r="E104" s="51"/>
      <c r="F104" s="10" t="str">
        <f t="shared" si="5"/>
        <v>#DIV/0!</v>
      </c>
      <c r="G104" s="10" t="str">
        <f t="shared" si="6"/>
        <v>#DIV/0!</v>
      </c>
      <c r="H104" s="52"/>
      <c r="I104" s="54"/>
      <c r="J104" s="52"/>
      <c r="K104" s="54"/>
      <c r="L104" s="53"/>
      <c r="M104" s="53"/>
      <c r="N104" s="54"/>
      <c r="Z104" s="10"/>
      <c r="AA104" s="10"/>
    </row>
    <row r="105">
      <c r="C105" s="12"/>
      <c r="D105" s="12"/>
      <c r="E105" s="12"/>
      <c r="F105" s="10" t="str">
        <f t="shared" si="5"/>
        <v>#DIV/0!</v>
      </c>
      <c r="G105" s="10" t="str">
        <f t="shared" si="6"/>
        <v>#DIV/0!</v>
      </c>
      <c r="Z105" s="10"/>
      <c r="AA105" s="10"/>
    </row>
    <row r="106">
      <c r="A106" s="61"/>
      <c r="B106" s="12"/>
      <c r="C106" s="12"/>
      <c r="D106" s="12"/>
      <c r="E106" s="12"/>
      <c r="F106" s="67" t="str">
        <f t="shared" si="5"/>
        <v>#DIV/0!</v>
      </c>
      <c r="G106" s="10" t="str">
        <f t="shared" si="6"/>
        <v>#DIV/0!</v>
      </c>
      <c r="Z106" s="10"/>
      <c r="AA106" s="10"/>
    </row>
    <row r="107">
      <c r="A107" s="59"/>
      <c r="B107" s="12"/>
      <c r="C107" s="12"/>
      <c r="D107" s="12"/>
      <c r="E107" s="12"/>
      <c r="F107" s="67" t="str">
        <f t="shared" si="5"/>
        <v>#DIV/0!</v>
      </c>
      <c r="G107" s="10" t="str">
        <f t="shared" si="6"/>
        <v>#DIV/0!</v>
      </c>
      <c r="Z107" s="10"/>
      <c r="AA107" s="10"/>
    </row>
    <row r="108">
      <c r="A108" s="59"/>
      <c r="B108" s="12"/>
      <c r="C108" s="12"/>
      <c r="D108" s="12"/>
      <c r="E108" s="12"/>
      <c r="F108" s="67" t="str">
        <f t="shared" si="5"/>
        <v>#DIV/0!</v>
      </c>
      <c r="G108" s="10" t="str">
        <f t="shared" si="6"/>
        <v>#DIV/0!</v>
      </c>
      <c r="Z108" s="10"/>
      <c r="AA108" s="10"/>
    </row>
    <row r="109">
      <c r="A109" s="59"/>
      <c r="B109" s="12"/>
      <c r="C109" s="12"/>
      <c r="D109" s="12"/>
      <c r="E109" s="12"/>
      <c r="F109" s="67"/>
      <c r="G109" s="10"/>
      <c r="Z109" s="10"/>
      <c r="AA109" s="10"/>
    </row>
    <row r="110">
      <c r="A110" s="59"/>
      <c r="B110" s="12"/>
      <c r="C110" s="12"/>
      <c r="D110" s="12"/>
      <c r="E110" s="12"/>
      <c r="F110" s="67"/>
      <c r="G110" s="10"/>
      <c r="Z110" s="10"/>
      <c r="AA110" s="10"/>
    </row>
    <row r="111">
      <c r="A111" s="59"/>
      <c r="B111" s="12"/>
      <c r="C111" s="12"/>
      <c r="D111" s="12"/>
      <c r="E111" s="12"/>
      <c r="F111" s="67"/>
      <c r="G111" s="10"/>
      <c r="Z111" s="10"/>
      <c r="AA111" s="10"/>
    </row>
    <row r="112">
      <c r="A112" s="59"/>
      <c r="B112" s="12"/>
      <c r="C112" s="12"/>
      <c r="D112" s="12"/>
      <c r="E112" s="12"/>
      <c r="F112" s="67"/>
      <c r="G112" s="10"/>
      <c r="Z112" s="10"/>
      <c r="AA112" s="10"/>
    </row>
    <row r="113">
      <c r="A113" s="59"/>
      <c r="B113" s="12"/>
      <c r="C113" s="12"/>
      <c r="D113" s="12"/>
      <c r="E113" s="12"/>
      <c r="F113" s="67"/>
      <c r="G113" s="10"/>
      <c r="Z113" s="10"/>
      <c r="AA113" s="10"/>
    </row>
    <row r="114">
      <c r="A114" s="59"/>
      <c r="B114" s="12"/>
      <c r="C114" s="12"/>
      <c r="D114" s="12"/>
      <c r="E114" s="12"/>
      <c r="F114" s="67"/>
      <c r="G114" s="10"/>
      <c r="Z114" s="10"/>
      <c r="AA114" s="10"/>
    </row>
    <row r="115">
      <c r="A115" s="59"/>
      <c r="B115" s="12"/>
      <c r="C115" s="12"/>
      <c r="D115" s="12"/>
      <c r="E115" s="12"/>
      <c r="F115" s="67"/>
      <c r="G115" s="10"/>
      <c r="Z115" s="10"/>
      <c r="AA115" s="10"/>
    </row>
    <row r="116">
      <c r="A116" s="59"/>
      <c r="B116" s="12"/>
      <c r="C116" s="12"/>
      <c r="D116" s="12"/>
      <c r="E116" s="12"/>
      <c r="F116" s="67"/>
      <c r="G116" s="10"/>
      <c r="Z116" s="10"/>
      <c r="AA116" s="10"/>
    </row>
    <row r="117">
      <c r="A117" s="10"/>
      <c r="B117" s="10"/>
      <c r="C117" s="10"/>
      <c r="D117" s="10"/>
      <c r="E117" s="10"/>
      <c r="F117" s="67"/>
      <c r="G117" s="10"/>
      <c r="Z117" s="10"/>
      <c r="AA117" s="10"/>
    </row>
    <row r="118">
      <c r="A118" s="10"/>
      <c r="B118" s="10"/>
      <c r="C118" s="10"/>
      <c r="D118" s="10"/>
      <c r="E118" s="10"/>
      <c r="F118" s="67"/>
      <c r="G118" s="10"/>
      <c r="Z118" s="10"/>
      <c r="AA118" s="10"/>
    </row>
    <row r="119">
      <c r="A119" s="10"/>
      <c r="B119" s="10"/>
      <c r="C119" s="10"/>
      <c r="D119" s="10"/>
      <c r="E119" s="10"/>
      <c r="F119" s="67"/>
      <c r="G119" s="10"/>
      <c r="Z119" s="10"/>
      <c r="AA119" s="10"/>
    </row>
    <row r="120">
      <c r="A120" s="10"/>
      <c r="B120" s="10"/>
      <c r="C120" s="10"/>
      <c r="D120" s="10"/>
      <c r="E120" s="10"/>
      <c r="F120" s="67"/>
      <c r="G120" s="10"/>
      <c r="Z120" s="10"/>
      <c r="AA120" s="10"/>
    </row>
    <row r="121">
      <c r="A121" s="10"/>
      <c r="B121" s="10"/>
      <c r="C121" s="10"/>
      <c r="D121" s="10"/>
      <c r="E121" s="10"/>
      <c r="F121" s="67"/>
      <c r="G121" s="10"/>
      <c r="Z121" s="10"/>
      <c r="AA121" s="10"/>
    </row>
    <row r="122">
      <c r="A122" s="10"/>
      <c r="B122" s="10"/>
      <c r="C122" s="10"/>
      <c r="D122" s="10"/>
      <c r="E122" s="10"/>
      <c r="F122" s="67"/>
      <c r="G122" s="10"/>
      <c r="Z122" s="10"/>
      <c r="AA122" s="10"/>
    </row>
    <row r="123">
      <c r="A123" s="10"/>
      <c r="B123" s="10"/>
      <c r="C123" s="10"/>
      <c r="D123" s="10"/>
      <c r="E123" s="10"/>
      <c r="F123" s="67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>
      <c r="A124" s="10"/>
      <c r="B124" s="10"/>
      <c r="C124" s="10"/>
      <c r="D124" s="10"/>
      <c r="E124" s="10"/>
      <c r="F124" s="67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>
      <c r="A125" s="10"/>
      <c r="B125" s="10"/>
      <c r="C125" s="10"/>
      <c r="D125" s="10"/>
      <c r="E125" s="10"/>
      <c r="F125" s="67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>
      <c r="A126" s="10"/>
      <c r="B126" s="10"/>
      <c r="C126" s="10"/>
      <c r="D126" s="10"/>
      <c r="E126" s="10"/>
      <c r="F126" s="67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>
      <c r="A127" s="10"/>
      <c r="B127" s="10"/>
      <c r="C127" s="10"/>
      <c r="D127" s="10"/>
      <c r="E127" s="10"/>
      <c r="F127" s="67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 t="str">
        <f t="shared" ref="F142:F145" si="7">D142/sum(H142:O142)</f>
        <v>#DIV/0!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 t="str">
        <f t="shared" si="7"/>
        <v>#DIV/0!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 t="str">
        <f t="shared" si="7"/>
        <v>#DIV/0!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 t="str">
        <f t="shared" si="7"/>
        <v>#DIV/0!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59"/>
      <c r="B147" s="12"/>
      <c r="C147" s="12"/>
      <c r="D147" s="12"/>
      <c r="E147" s="12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59"/>
      <c r="B148" s="12"/>
      <c r="C148" s="10"/>
      <c r="D148" s="12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59"/>
      <c r="B149" s="12"/>
      <c r="C149" s="10"/>
      <c r="D149" s="12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B158" s="10"/>
      <c r="C158" s="10"/>
      <c r="D158" s="10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55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</sheetData>
  <autoFilter ref="$A$12:$AA$108"/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68 C70:C75 C78:C80 C83:C120">
      <formula1>"食物,飲品,衣服,居家,電子產品,娛樂,醫藥,交通,其他"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19" t="s">
        <v>325</v>
      </c>
      <c r="B1" s="4"/>
      <c r="C1" s="4"/>
      <c r="D1" s="4"/>
      <c r="E1" s="4"/>
      <c r="F1" s="5"/>
    </row>
    <row r="2">
      <c r="A2" s="120" t="s">
        <v>326</v>
      </c>
      <c r="B2" s="121" t="s">
        <v>2</v>
      </c>
      <c r="C2" s="122" t="s">
        <v>4</v>
      </c>
      <c r="D2" s="123" t="s">
        <v>43</v>
      </c>
      <c r="E2" s="124" t="s">
        <v>14</v>
      </c>
      <c r="F2" s="125" t="s">
        <v>7</v>
      </c>
      <c r="G2" s="18"/>
    </row>
    <row r="3">
      <c r="A3" s="126" t="s">
        <v>11</v>
      </c>
      <c r="B3" s="6">
        <f>SUMIFS($F$26:$F1517,$C$26:$C1517,"食物",$H$26:$H1517,"1")</f>
        <v>333.8893024</v>
      </c>
      <c r="C3" s="6">
        <f>SUMIFS($F$26:$F1517,$C$26:$C1517,"食物",$I$26:$I1517,"1")</f>
        <v>364.9880524</v>
      </c>
      <c r="D3" s="6">
        <f>SUMIFS($F$26:$F1517,$C$26:$C1517,"食物",$J$26:$J1517,"1")</f>
        <v>336.5150024</v>
      </c>
      <c r="E3" s="6">
        <f>SUMIFS($F$26:$F1517,$C$26:$C1517,"食物",$K$26:$K1517,"1")</f>
        <v>354.5055524</v>
      </c>
      <c r="F3" s="127">
        <f>SUMIFS($F$26:$F1517,$C$26:$C1517,"食物",$N$26:$N1517,"1")</f>
        <v>187.2570524</v>
      </c>
    </row>
    <row r="4">
      <c r="A4" s="126" t="s">
        <v>19</v>
      </c>
      <c r="B4" s="6">
        <f>SUMIFS($F$26:$F1517,$C$26:$C1517,"飲品",$H$26:$H1517,"1")</f>
        <v>3.45554</v>
      </c>
      <c r="C4" s="6">
        <f>SUMIFS($F$26:$F1517,$C$26:$C1517,"飲品",$I$26:$I1517,"1")</f>
        <v>3.45554</v>
      </c>
      <c r="D4" s="6">
        <f>SUMIFS($F$26:$F1517,$C$26:$C1517,"飲品",$J$26:$J1517,"1")</f>
        <v>3.45554</v>
      </c>
      <c r="E4" s="6">
        <f>SUMIFS($F$26:$F1517,$C$26:$C1517,"飲品",$K$26:$K1517,"1")</f>
        <v>3.45554</v>
      </c>
      <c r="F4" s="127">
        <f>SUMIFS($F$26:$F1517,$C$26:$C1517,"飲品",$N$26:$N1517,"1")</f>
        <v>3.45554</v>
      </c>
    </row>
    <row r="5">
      <c r="A5" s="126" t="s">
        <v>21</v>
      </c>
      <c r="B5" s="6">
        <f>SUMIFS($F$26:$F1517,$C$26:$C1517,"衣物",$H$26:$H1517,"1")</f>
        <v>0</v>
      </c>
      <c r="C5" s="6">
        <f>SUMIFS($F$26:$F1517,$C$26:$C1517,"衣物",$I$26:$I1517,"1")</f>
        <v>0</v>
      </c>
      <c r="D5" s="6">
        <f>SUMIFS($F$26:$F1517,$C$26:$C1517,"衣物",$J$26:$J1517,"1")</f>
        <v>0</v>
      </c>
      <c r="E5" s="6">
        <f>SUMIFS($F$26:$F1517,$C$26:$C1517,"衣物",$K$26:$K1517,"1")</f>
        <v>0</v>
      </c>
      <c r="F5" s="127">
        <f>SUMIFS($F$26:$F1517,$C$26:$C1517,"衣物",$N$26:$N1517,"1")</f>
        <v>0</v>
      </c>
    </row>
    <row r="6">
      <c r="A6" s="126" t="s">
        <v>327</v>
      </c>
      <c r="B6" s="6">
        <f>SUMIFS($F$26:$F1517,$C$26:$C1517,"居家",$H$26:$H1517,"1")</f>
        <v>2.48</v>
      </c>
      <c r="C6" s="6">
        <f>SUMIFS($F$26:$F1517,$C$26:$C1517,"居家",$I$26:$I1517,"1")</f>
        <v>2.48</v>
      </c>
      <c r="D6" s="6">
        <f>SUMIFS($F$26:$F1517,$C$26:$C1517,"居家",$J$26:$J1517,"1")</f>
        <v>14.07756667</v>
      </c>
      <c r="E6" s="6">
        <f>SUMIFS($F$26:$F1517,$C$26:$C1517,"居家",$K$26:$K1517,"1")</f>
        <v>14.07756667</v>
      </c>
      <c r="F6" s="127">
        <f>SUMIFS($F$26:$F1517,$C$26:$C1517,"居家",$N$26:$N1517,"1")</f>
        <v>14.07756667</v>
      </c>
    </row>
    <row r="7">
      <c r="A7" s="126" t="s">
        <v>25</v>
      </c>
      <c r="B7" s="6">
        <f>SUMIFS($F$26:$F1517,$C$26:$C1517,"電子產品",$H$26:$H1517,"1")</f>
        <v>38.3967</v>
      </c>
      <c r="C7" s="6">
        <f>SUMIFS($F$26:$F1517,$C$26:$C1517,"電子產品",$I$26:$I1517,"1")</f>
        <v>53.058</v>
      </c>
      <c r="D7" s="6">
        <f>SUMIFS($F$26:$F1517,$C$26:$C1517,"電子產品",$J$26:$J1517,"1")</f>
        <v>13.558</v>
      </c>
      <c r="E7" s="6">
        <f>SUMIFS($F$26:$F1517,$C$26:$C1517,"電子產品",$K$26:$K1517,"1")</f>
        <v>13.558</v>
      </c>
      <c r="F7" s="127">
        <f>SUMIFS($F$26:$F1517,$C$26:$C1517,"電子產品",$N$26:$N1517,"1")</f>
        <v>13.558</v>
      </c>
    </row>
    <row r="8">
      <c r="A8" s="126" t="s">
        <v>27</v>
      </c>
      <c r="B8" s="6">
        <f>SUMIFS($F$26:$F1517,$C$26:$C1517,"娛樂",$H$26:$H1517,"1")</f>
        <v>36.91</v>
      </c>
      <c r="C8" s="6">
        <f>SUMIFS($F$26:$F1517,$C$26:$C1517,"娛樂",$I$26:$I1517,"1")</f>
        <v>36.91</v>
      </c>
      <c r="D8" s="6">
        <f>SUMIFS($F$26:$F1517,$C$26:$C1517,"娛樂",$J$26:$J1517,"1")</f>
        <v>36.91</v>
      </c>
      <c r="E8" s="6">
        <f>SUMIFS($F$26:$F1517,$C$26:$C1517,"娛樂",$K$26:$K1517,"1")</f>
        <v>36.91</v>
      </c>
      <c r="F8" s="127">
        <f>SUMIFS($F$26:$F1517,$C$26:$C1517,"娛樂",$N$26:$N1517,"1")</f>
        <v>36.91</v>
      </c>
    </row>
    <row r="9">
      <c r="A9" s="126" t="s">
        <v>29</v>
      </c>
      <c r="B9" s="6">
        <f>SUMIFS($F$26:$F1517,$C$26:$C1517,"交通",$H$26:$H1517,"1")</f>
        <v>0</v>
      </c>
      <c r="C9" s="6">
        <f>SUMIFS($F$26:$F1517,$C$26:$C1517,"交通",$I$26:$I1517,"1")</f>
        <v>0</v>
      </c>
      <c r="D9" s="6">
        <f>SUMIFS($F$26:$F1517,$C$26:$C1517,"交通",$J$26:$J1517,"1")</f>
        <v>0</v>
      </c>
      <c r="E9" s="6">
        <f>SUMIFS($F$26:$F1517,$C$26:$C1517,"交通",$K$26:$K1517,"1")</f>
        <v>0</v>
      </c>
      <c r="F9" s="127">
        <f>SUMIFS($F$26:$F1517,$C$26:$C1517,"交通",$N$26:$N1517,"1")</f>
        <v>0</v>
      </c>
    </row>
    <row r="10">
      <c r="A10" s="126" t="s">
        <v>31</v>
      </c>
      <c r="B10" s="6">
        <f>SUMIFS($F$26:$F1517,$C$26:$C1517,"醫藥",$H$26:$H1517,"1")</f>
        <v>0</v>
      </c>
      <c r="C10" s="6">
        <f>SUMIFS($F$26:$F1517,$C$26:$C1517,"醫藥",$I$26:$I1517,"1")</f>
        <v>0</v>
      </c>
      <c r="D10" s="6">
        <f>SUMIFS($F$26:$F1517,$C$26:$C1517,"醫藥",$J$26:$J1517,"1")</f>
        <v>0</v>
      </c>
      <c r="E10" s="6">
        <f>SUMIFS($F$26:$F1517,$C$26:$C1517,"醫藥",$K$26:$K1517,"1")</f>
        <v>0</v>
      </c>
      <c r="F10" s="127">
        <f>SUMIFS($F$26:$F1517,$C$26:$C1517,"醫藥",$N$26:$N1517,"1")</f>
        <v>44.05</v>
      </c>
    </row>
    <row r="11">
      <c r="A11" s="128" t="s">
        <v>33</v>
      </c>
      <c r="B11" s="129">
        <f>SUMIFS($F$26:$F1517,$C$26:$C1517,"其他",$H$26:$H1517,"1")</f>
        <v>0</v>
      </c>
      <c r="C11" s="129">
        <f>SUMIFS($F$26:$F1517,$C$26:$C1517,"其他",$I$26:$I1517,"1")</f>
        <v>0</v>
      </c>
      <c r="D11" s="129">
        <f>SUMIFS($F$26:$F1517,$C$26:$C1517,"其他",$J$26:$J1517,"1")</f>
        <v>0</v>
      </c>
      <c r="E11" s="129">
        <f>SUMIFS($F$26:$F1517,$C$26:$C1517,"其他",$K$26:$K1517,"1")</f>
        <v>0</v>
      </c>
      <c r="F11" s="130">
        <f>SUMIFS($F$26:$F1517,$C$26:$C1517,"其他",$N$26:$N1517,"1")</f>
        <v>0</v>
      </c>
    </row>
    <row r="12">
      <c r="A12" s="131" t="s">
        <v>328</v>
      </c>
      <c r="B12" s="6">
        <f t="shared" ref="B12:F12" si="1">SUM(B2:B11)</f>
        <v>415.1315424</v>
      </c>
      <c r="C12" s="6">
        <f t="shared" si="1"/>
        <v>460.8915924</v>
      </c>
      <c r="D12" s="6">
        <f t="shared" si="1"/>
        <v>404.516109</v>
      </c>
      <c r="E12" s="6">
        <f t="shared" si="1"/>
        <v>422.506659</v>
      </c>
      <c r="F12" s="6">
        <f t="shared" si="1"/>
        <v>299.308159</v>
      </c>
    </row>
    <row r="25">
      <c r="A25" s="132" t="str">
        <f>IFERROR(__xludf.DUMMYFUNCTION("IMPORTRANGE(""https://docs.google.com/spreadsheets/d/1dZpkWD3REnvVALQwbfOZZpKYnujFN1S_8pHjXVTirOc/edit#gid=1977712179"", ""Daily Expense_July!A12:N"")
"),"Date")</f>
        <v>Date</v>
      </c>
      <c r="B25" s="132" t="str">
        <f>IFERROR(__xludf.DUMMYFUNCTION("""COMPUTED_VALUE"""),"Item")</f>
        <v>Item</v>
      </c>
      <c r="C25" s="132" t="str">
        <f>IFERROR(__xludf.DUMMYFUNCTION("""COMPUTED_VALUE"""),"Type")</f>
        <v>Type</v>
      </c>
      <c r="D25" s="132" t="str">
        <f>IFERROR(__xludf.DUMMYFUNCTION("""COMPUTED_VALUE"""),"Price")</f>
        <v>Price</v>
      </c>
      <c r="E25" s="132" t="str">
        <f>IFERROR(__xludf.DUMMYFUNCTION("""COMPUTED_VALUE"""),"Paid by")</f>
        <v>Paid by</v>
      </c>
      <c r="F25" s="132" t="str">
        <f>IFERROR(__xludf.DUMMYFUNCTION("""COMPUTED_VALUE"""),"For Record 請勿清除")</f>
        <v>For Record 請勿清除</v>
      </c>
      <c r="G25" s="132" t="str">
        <f>IFERROR(__xludf.DUMMYFUNCTION("""COMPUTED_VALUE"""),"Average 清算後可清除")</f>
        <v>Average 清算後可清除</v>
      </c>
      <c r="H25" s="132" t="str">
        <f>IFERROR(__xludf.DUMMYFUNCTION("""COMPUTED_VALUE"""),"Timothy")</f>
        <v>Timothy</v>
      </c>
      <c r="I25" s="132" t="str">
        <f>IFERROR(__xludf.DUMMYFUNCTION("""COMPUTED_VALUE"""),"Rachel")</f>
        <v>Rachel</v>
      </c>
      <c r="J25" s="132" t="str">
        <f>IFERROR(__xludf.DUMMYFUNCTION("""COMPUTED_VALUE"""),"Bryan")</f>
        <v>Bryan</v>
      </c>
      <c r="K25" s="132" t="str">
        <f>IFERROR(__xludf.DUMMYFUNCTION("""COMPUTED_VALUE"""),"Pigskin")</f>
        <v>Pigskin</v>
      </c>
      <c r="L25" s="132" t="str">
        <f>IFERROR(__xludf.DUMMYFUNCTION("""COMPUTED_VALUE"""),"Angel")</f>
        <v>Angel</v>
      </c>
      <c r="M25" s="132" t="str">
        <f>IFERROR(__xludf.DUMMYFUNCTION("""COMPUTED_VALUE"""),"Ivan")</f>
        <v>Ivan</v>
      </c>
      <c r="N25" s="132" t="str">
        <f>IFERROR(__xludf.DUMMYFUNCTION("""COMPUTED_VALUE"""),"Esther")</f>
        <v>Esther</v>
      </c>
      <c r="O25" s="132"/>
      <c r="P25" s="132"/>
      <c r="Q25" s="132" t="str">
        <f>IFERROR(__xludf.DUMMYFUNCTION("IMPORTRANGE(""https://docs.google.com/spreadsheets/d/1dZpkWD3REnvVALQwbfOZZpKYnujFN1S_8pHjXVTirOc/edit#gid=1388060777"", ""Monthly Constant Expense!A:I"")"),"Month")</f>
        <v>Month</v>
      </c>
      <c r="R25" s="132" t="str">
        <f>IFERROR(__xludf.DUMMYFUNCTION("""COMPUTED_VALUE"""),"Item")</f>
        <v>Item</v>
      </c>
      <c r="S25" s="132" t="str">
        <f>IFERROR(__xludf.DUMMYFUNCTION("""COMPUTED_VALUE"""),"Total Price")</f>
        <v>Total Price</v>
      </c>
      <c r="T25" s="132" t="str">
        <f>IFERROR(__xludf.DUMMYFUNCTION("""COMPUTED_VALUE"""),"Per person")</f>
        <v>Per person</v>
      </c>
      <c r="U25" s="132" t="str">
        <f>IFERROR(__xludf.DUMMYFUNCTION("""COMPUTED_VALUE"""),"Timothy")</f>
        <v>Timothy</v>
      </c>
      <c r="V25" s="132" t="str">
        <f>IFERROR(__xludf.DUMMYFUNCTION("""COMPUTED_VALUE"""),"Rachel")</f>
        <v>Rachel</v>
      </c>
      <c r="W25" s="132" t="str">
        <f>IFERROR(__xludf.DUMMYFUNCTION("""COMPUTED_VALUE"""),"Bryan")</f>
        <v>Bryan</v>
      </c>
      <c r="X25" s="132" t="str">
        <f>IFERROR(__xludf.DUMMYFUNCTION("""COMPUTED_VALUE"""),"Pigskin")</f>
        <v>Pigskin</v>
      </c>
      <c r="Y25" s="132" t="str">
        <f>IFERROR(__xludf.DUMMYFUNCTION("""COMPUTED_VALUE"""),"Apple")</f>
        <v>Apple</v>
      </c>
      <c r="Z25" s="132"/>
    </row>
    <row r="26">
      <c r="A26" s="133">
        <f>IFERROR(__xludf.DUMMYFUNCTION("""COMPUTED_VALUE"""),45472.0)</f>
        <v>45472</v>
      </c>
      <c r="B26" s="132" t="str">
        <f>IFERROR(__xludf.DUMMYFUNCTION("""COMPUTED_VALUE"""),"EGG")</f>
        <v>EGG</v>
      </c>
      <c r="C26" s="132" t="str">
        <f>IFERROR(__xludf.DUMMYFUNCTION("""COMPUTED_VALUE"""),"食物")</f>
        <v>食物</v>
      </c>
      <c r="D26" s="132">
        <f>IFERROR(__xludf.DUMMYFUNCTION("""COMPUTED_VALUE"""),9.96)</f>
        <v>9.96</v>
      </c>
      <c r="E26" s="132" t="str">
        <f>IFERROR(__xludf.DUMMYFUNCTION("""COMPUTED_VALUE"""),"timothy")</f>
        <v>timothy</v>
      </c>
      <c r="F26" s="132">
        <f>IFERROR(__xludf.DUMMYFUNCTION("""COMPUTED_VALUE"""),1.422857142857143)</f>
        <v>1.422857143</v>
      </c>
      <c r="G26" s="132">
        <f>IFERROR(__xludf.DUMMYFUNCTION("""COMPUTED_VALUE"""),1.422857142857143)</f>
        <v>1.422857143</v>
      </c>
      <c r="H26" s="132">
        <f>IFERROR(__xludf.DUMMYFUNCTION("""COMPUTED_VALUE"""),1.0)</f>
        <v>1</v>
      </c>
      <c r="I26" s="132">
        <f>IFERROR(__xludf.DUMMYFUNCTION("""COMPUTED_VALUE"""),1.0)</f>
        <v>1</v>
      </c>
      <c r="J26" s="132">
        <f>IFERROR(__xludf.DUMMYFUNCTION("""COMPUTED_VALUE"""),1.0)</f>
        <v>1</v>
      </c>
      <c r="K26" s="132">
        <f>IFERROR(__xludf.DUMMYFUNCTION("""COMPUTED_VALUE"""),1.0)</f>
        <v>1</v>
      </c>
      <c r="L26" s="132">
        <f>IFERROR(__xludf.DUMMYFUNCTION("""COMPUTED_VALUE"""),1.0)</f>
        <v>1</v>
      </c>
      <c r="M26" s="132">
        <f>IFERROR(__xludf.DUMMYFUNCTION("""COMPUTED_VALUE"""),1.0)</f>
        <v>1</v>
      </c>
      <c r="N26" s="132">
        <f>IFERROR(__xludf.DUMMYFUNCTION("""COMPUTED_VALUE"""),1.0)</f>
        <v>1</v>
      </c>
      <c r="O26" s="132"/>
      <c r="P26" s="132"/>
      <c r="Q26" s="134">
        <f>IFERROR(__xludf.DUMMYFUNCTION("""COMPUTED_VALUE"""),45200.0)</f>
        <v>45200</v>
      </c>
      <c r="R26" s="132" t="str">
        <f>IFERROR(__xludf.DUMMYFUNCTION("""COMPUTED_VALUE"""),"2 months rent")</f>
        <v>2 months rent</v>
      </c>
      <c r="S26" s="132">
        <f>IFERROR(__xludf.DUMMYFUNCTION("""COMPUTED_VALUE"""),7200.0)</f>
        <v>7200</v>
      </c>
      <c r="T26" s="132">
        <f>IFERROR(__xludf.DUMMYFUNCTION("""COMPUTED_VALUE"""),1440.0)</f>
        <v>1440</v>
      </c>
      <c r="U26" s="132" t="str">
        <f>IFERROR(__xludf.DUMMYFUNCTION("""COMPUTED_VALUE"""),"Paid")</f>
        <v>Paid</v>
      </c>
      <c r="V26" s="132" t="str">
        <f>IFERROR(__xludf.DUMMYFUNCTION("""COMPUTED_VALUE"""),"Paid")</f>
        <v>Paid</v>
      </c>
      <c r="W26" s="132" t="str">
        <f>IFERROR(__xludf.DUMMYFUNCTION("""COMPUTED_VALUE"""),"Paid")</f>
        <v>Paid</v>
      </c>
      <c r="X26" s="132" t="str">
        <f>IFERROR(__xludf.DUMMYFUNCTION("""COMPUTED_VALUE"""),"Paid")</f>
        <v>Paid</v>
      </c>
      <c r="Y26" s="132" t="str">
        <f>IFERROR(__xludf.DUMMYFUNCTION("""COMPUTED_VALUE"""),"Paid")</f>
        <v>Paid</v>
      </c>
      <c r="Z26" s="132"/>
    </row>
    <row r="27">
      <c r="A27" s="133">
        <f>IFERROR(__xludf.DUMMYFUNCTION("""COMPUTED_VALUE"""),45474.0)</f>
        <v>45474</v>
      </c>
      <c r="B27" s="132" t="str">
        <f>IFERROR(__xludf.DUMMYFUNCTION("""COMPUTED_VALUE"""),"Cross")</f>
        <v>Cross</v>
      </c>
      <c r="C27" s="132" t="str">
        <f>IFERROR(__xludf.DUMMYFUNCTION("""COMPUTED_VALUE"""),"衣服")</f>
        <v>衣服</v>
      </c>
      <c r="D27" s="132">
        <f>IFERROR(__xludf.DUMMYFUNCTION("""COMPUTED_VALUE"""),13.42)</f>
        <v>13.42</v>
      </c>
      <c r="E27" s="132" t="str">
        <f>IFERROR(__xludf.DUMMYFUNCTION("""COMPUTED_VALUE"""),"Ivan")</f>
        <v>Ivan</v>
      </c>
      <c r="F27" s="132">
        <f>IFERROR(__xludf.DUMMYFUNCTION("""COMPUTED_VALUE"""),13.42)</f>
        <v>13.42</v>
      </c>
      <c r="G27" s="132">
        <f>IFERROR(__xludf.DUMMYFUNCTION("""COMPUTED_VALUE"""),13.42)</f>
        <v>13.42</v>
      </c>
      <c r="H27" s="132"/>
      <c r="I27" s="132"/>
      <c r="J27" s="132"/>
      <c r="K27" s="132">
        <f>IFERROR(__xludf.DUMMYFUNCTION("""COMPUTED_VALUE"""),1.0)</f>
        <v>1</v>
      </c>
      <c r="L27" s="132"/>
      <c r="M27" s="132"/>
      <c r="N27" s="132"/>
      <c r="O27" s="132"/>
      <c r="P27" s="132"/>
      <c r="Q27" s="132"/>
      <c r="R27" s="132" t="str">
        <f>IFERROR(__xludf.DUMMYFUNCTION("""COMPUTED_VALUE"""),"Housing Insurance")</f>
        <v>Housing Insurance</v>
      </c>
      <c r="S27" s="132">
        <f>IFERROR(__xludf.DUMMYFUNCTION("""COMPUTED_VALUE"""),676.3)</f>
        <v>676.3</v>
      </c>
      <c r="T27" s="132">
        <f>IFERROR(__xludf.DUMMYFUNCTION("""COMPUTED_VALUE"""),135.26)</f>
        <v>135.26</v>
      </c>
      <c r="U27" s="132" t="str">
        <f>IFERROR(__xludf.DUMMYFUNCTION("""COMPUTED_VALUE"""),"Paid")</f>
        <v>Paid</v>
      </c>
      <c r="V27" s="132" t="str">
        <f>IFERROR(__xludf.DUMMYFUNCTION("""COMPUTED_VALUE"""),"Paid")</f>
        <v>Paid</v>
      </c>
      <c r="W27" s="132" t="str">
        <f>IFERROR(__xludf.DUMMYFUNCTION("""COMPUTED_VALUE"""),"Paid")</f>
        <v>Paid</v>
      </c>
      <c r="X27" s="132" t="str">
        <f>IFERROR(__xludf.DUMMYFUNCTION("""COMPUTED_VALUE"""),"Paid")</f>
        <v>Paid</v>
      </c>
      <c r="Y27" s="132"/>
      <c r="Z27" s="132"/>
    </row>
    <row r="28">
      <c r="A28" s="133">
        <f>IFERROR(__xludf.DUMMYFUNCTION("""COMPUTED_VALUE"""),45474.0)</f>
        <v>45474</v>
      </c>
      <c r="B28" s="132" t="str">
        <f>IFERROR(__xludf.DUMMYFUNCTION("""COMPUTED_VALUE"""),"Cross")</f>
        <v>Cross</v>
      </c>
      <c r="C28" s="132" t="str">
        <f>IFERROR(__xludf.DUMMYFUNCTION("""COMPUTED_VALUE"""),"衣服")</f>
        <v>衣服</v>
      </c>
      <c r="D28" s="132">
        <f>IFERROR(__xludf.DUMMYFUNCTION("""COMPUTED_VALUE"""),38.42)</f>
        <v>38.42</v>
      </c>
      <c r="E28" s="132" t="str">
        <f>IFERROR(__xludf.DUMMYFUNCTION("""COMPUTED_VALUE"""),"Ivan")</f>
        <v>Ivan</v>
      </c>
      <c r="F28" s="132">
        <f>IFERROR(__xludf.DUMMYFUNCTION("""COMPUTED_VALUE"""),38.42)</f>
        <v>38.42</v>
      </c>
      <c r="G28" s="132">
        <f>IFERROR(__xludf.DUMMYFUNCTION("""COMPUTED_VALUE"""),38.42)</f>
        <v>38.42</v>
      </c>
      <c r="H28" s="132"/>
      <c r="I28" s="132"/>
      <c r="J28" s="132"/>
      <c r="K28" s="132"/>
      <c r="L28" s="132"/>
      <c r="M28" s="132"/>
      <c r="N28" s="132">
        <f>IFERROR(__xludf.DUMMYFUNCTION("""COMPUTED_VALUE"""),1.0)</f>
        <v>1</v>
      </c>
      <c r="O28" s="132"/>
      <c r="P28" s="132"/>
      <c r="Q28" s="132"/>
      <c r="R28" s="132" t="str">
        <f>IFERROR(__xludf.DUMMYFUNCTION("""COMPUTED_VALUE"""),"Rent (up-front)")</f>
        <v>Rent (up-front)</v>
      </c>
      <c r="S28" s="132">
        <f>IFERROR(__xludf.DUMMYFUNCTION("""COMPUTED_VALUE"""),14400.0)</f>
        <v>14400</v>
      </c>
      <c r="T28" s="132">
        <f>IFERROR(__xludf.DUMMYFUNCTION("""COMPUTED_VALUE"""),2880.0)</f>
        <v>2880</v>
      </c>
      <c r="U28" s="132" t="str">
        <f>IFERROR(__xludf.DUMMYFUNCTION("""COMPUTED_VALUE"""),"Paid")</f>
        <v>Paid</v>
      </c>
      <c r="V28" s="132" t="str">
        <f>IFERROR(__xludf.DUMMYFUNCTION("""COMPUTED_VALUE"""),"Paid")</f>
        <v>Paid</v>
      </c>
      <c r="W28" s="132" t="str">
        <f>IFERROR(__xludf.DUMMYFUNCTION("""COMPUTED_VALUE"""),"Paid")</f>
        <v>Paid</v>
      </c>
      <c r="X28" s="132" t="str">
        <f>IFERROR(__xludf.DUMMYFUNCTION("""COMPUTED_VALUE"""),"Paid")</f>
        <v>Paid</v>
      </c>
      <c r="Y28" s="132" t="str">
        <f>IFERROR(__xludf.DUMMYFUNCTION("""COMPUTED_VALUE"""),"Paid")</f>
        <v>Paid</v>
      </c>
      <c r="Z28" s="132"/>
    </row>
    <row r="29">
      <c r="A29" s="133">
        <f>IFERROR(__xludf.DUMMYFUNCTION("""COMPUTED_VALUE"""),45474.0)</f>
        <v>45474</v>
      </c>
      <c r="B29" s="132" t="str">
        <f>IFERROR(__xludf.DUMMYFUNCTION("""COMPUTED_VALUE"""),"Tnt")</f>
        <v>Tnt</v>
      </c>
      <c r="C29" s="132" t="str">
        <f>IFERROR(__xludf.DUMMYFUNCTION("""COMPUTED_VALUE"""),"食物")</f>
        <v>食物</v>
      </c>
      <c r="D29" s="132">
        <f>IFERROR(__xludf.DUMMYFUNCTION("""COMPUTED_VALUE"""),32.45)</f>
        <v>32.45</v>
      </c>
      <c r="E29" s="132" t="str">
        <f>IFERROR(__xludf.DUMMYFUNCTION("""COMPUTED_VALUE"""),"Timothy")</f>
        <v>Timothy</v>
      </c>
      <c r="F29" s="132">
        <f>IFERROR(__xludf.DUMMYFUNCTION("""COMPUTED_VALUE"""),4.635714285714286)</f>
        <v>4.635714286</v>
      </c>
      <c r="G29" s="132">
        <f>IFERROR(__xludf.DUMMYFUNCTION("""COMPUTED_VALUE"""),4.635714285714286)</f>
        <v>4.635714286</v>
      </c>
      <c r="H29" s="132">
        <f>IFERROR(__xludf.DUMMYFUNCTION("""COMPUTED_VALUE"""),1.0)</f>
        <v>1</v>
      </c>
      <c r="I29" s="132">
        <f>IFERROR(__xludf.DUMMYFUNCTION("""COMPUTED_VALUE"""),1.0)</f>
        <v>1</v>
      </c>
      <c r="J29" s="132">
        <f>IFERROR(__xludf.DUMMYFUNCTION("""COMPUTED_VALUE"""),1.0)</f>
        <v>1</v>
      </c>
      <c r="K29" s="132">
        <f>IFERROR(__xludf.DUMMYFUNCTION("""COMPUTED_VALUE"""),1.0)</f>
        <v>1</v>
      </c>
      <c r="L29" s="132">
        <f>IFERROR(__xludf.DUMMYFUNCTION("""COMPUTED_VALUE"""),1.0)</f>
        <v>1</v>
      </c>
      <c r="M29" s="132">
        <f>IFERROR(__xludf.DUMMYFUNCTION("""COMPUTED_VALUE"""),1.0)</f>
        <v>1</v>
      </c>
      <c r="N29" s="132">
        <f>IFERROR(__xludf.DUMMYFUNCTION("""COMPUTED_VALUE"""),1.0)</f>
        <v>1</v>
      </c>
      <c r="O29" s="132"/>
      <c r="P29" s="132"/>
      <c r="Q29" s="132"/>
      <c r="R29" s="132" t="str">
        <f>IFERROR(__xludf.DUMMYFUNCTION("""COMPUTED_VALUE"""),"Key Deposit")</f>
        <v>Key Deposit</v>
      </c>
      <c r="S29" s="132">
        <f>IFERROR(__xludf.DUMMYFUNCTION("""COMPUTED_VALUE"""),200.0)</f>
        <v>200</v>
      </c>
      <c r="T29" s="132">
        <f>IFERROR(__xludf.DUMMYFUNCTION("""COMPUTED_VALUE"""),40.0)</f>
        <v>40</v>
      </c>
      <c r="U29" s="132" t="str">
        <f>IFERROR(__xludf.DUMMYFUNCTION("""COMPUTED_VALUE"""),"Paid")</f>
        <v>Paid</v>
      </c>
      <c r="V29" s="132" t="str">
        <f>IFERROR(__xludf.DUMMYFUNCTION("""COMPUTED_VALUE"""),"Paid")</f>
        <v>Paid</v>
      </c>
      <c r="W29" s="132" t="str">
        <f>IFERROR(__xludf.DUMMYFUNCTION("""COMPUTED_VALUE"""),"Paid")</f>
        <v>Paid</v>
      </c>
      <c r="X29" s="132" t="str">
        <f>IFERROR(__xludf.DUMMYFUNCTION("""COMPUTED_VALUE"""),"Paid")</f>
        <v>Paid</v>
      </c>
      <c r="Y29" s="132" t="str">
        <f>IFERROR(__xludf.DUMMYFUNCTION("""COMPUTED_VALUE"""),"Paid")</f>
        <v>Paid</v>
      </c>
      <c r="Z29" s="132"/>
    </row>
    <row r="30">
      <c r="A30" s="133">
        <f>IFERROR(__xludf.DUMMYFUNCTION("""COMPUTED_VALUE"""),45474.0)</f>
        <v>45474</v>
      </c>
      <c r="B30" s="132" t="str">
        <f>IFERROR(__xludf.DUMMYFUNCTION("""COMPUTED_VALUE"""),"Firework")</f>
        <v>Firework</v>
      </c>
      <c r="C30" s="132" t="str">
        <f>IFERROR(__xludf.DUMMYFUNCTION("""COMPUTED_VALUE"""),"娛樂")</f>
        <v>娛樂</v>
      </c>
      <c r="D30" s="135">
        <f>IFERROR(__xludf.DUMMYFUNCTION("""COMPUTED_VALUE"""),221.46)</f>
        <v>221.46</v>
      </c>
      <c r="E30" s="132" t="str">
        <f>IFERROR(__xludf.DUMMYFUNCTION("""COMPUTED_VALUE"""),"Pigskin")</f>
        <v>Pigskin</v>
      </c>
      <c r="F30" s="132">
        <f>IFERROR(__xludf.DUMMYFUNCTION("""COMPUTED_VALUE"""),36.910000000000004)</f>
        <v>36.91</v>
      </c>
      <c r="G30" s="132">
        <f>IFERROR(__xludf.DUMMYFUNCTION("""COMPUTED_VALUE"""),36.910000000000004)</f>
        <v>36.91</v>
      </c>
      <c r="H30" s="132">
        <f>IFERROR(__xludf.DUMMYFUNCTION("""COMPUTED_VALUE"""),1.0)</f>
        <v>1</v>
      </c>
      <c r="I30" s="132">
        <f>IFERROR(__xludf.DUMMYFUNCTION("""COMPUTED_VALUE"""),1.0)</f>
        <v>1</v>
      </c>
      <c r="J30" s="132">
        <f>IFERROR(__xludf.DUMMYFUNCTION("""COMPUTED_VALUE"""),1.0)</f>
        <v>1</v>
      </c>
      <c r="K30" s="132">
        <f>IFERROR(__xludf.DUMMYFUNCTION("""COMPUTED_VALUE"""),1.0)</f>
        <v>1</v>
      </c>
      <c r="L30" s="132"/>
      <c r="M30" s="132">
        <f>IFERROR(__xludf.DUMMYFUNCTION("""COMPUTED_VALUE"""),1.0)</f>
        <v>1</v>
      </c>
      <c r="N30" s="132">
        <f>IFERROR(__xludf.DUMMYFUNCTION("""COMPUTED_VALUE"""),1.0)</f>
        <v>1</v>
      </c>
      <c r="O30" s="132"/>
      <c r="P30" s="132"/>
      <c r="Q30" s="132"/>
      <c r="R30" s="132" t="str">
        <f>IFERROR(__xludf.DUMMYFUNCTION("""COMPUTED_VALUE"""),"Furniture Deposit")</f>
        <v>Furniture Deposit</v>
      </c>
      <c r="S30" s="132">
        <f>IFERROR(__xludf.DUMMYFUNCTION("""COMPUTED_VALUE"""),800.0)</f>
        <v>800</v>
      </c>
      <c r="T30" s="132">
        <f>IFERROR(__xludf.DUMMYFUNCTION("""COMPUTED_VALUE"""),160.0)</f>
        <v>160</v>
      </c>
      <c r="U30" s="132" t="str">
        <f>IFERROR(__xludf.DUMMYFUNCTION("""COMPUTED_VALUE"""),"Paid")</f>
        <v>Paid</v>
      </c>
      <c r="V30" s="132" t="str">
        <f>IFERROR(__xludf.DUMMYFUNCTION("""COMPUTED_VALUE"""),"Paid")</f>
        <v>Paid</v>
      </c>
      <c r="W30" s="132" t="str">
        <f>IFERROR(__xludf.DUMMYFUNCTION("""COMPUTED_VALUE"""),"Paid")</f>
        <v>Paid</v>
      </c>
      <c r="X30" s="132" t="str">
        <f>IFERROR(__xludf.DUMMYFUNCTION("""COMPUTED_VALUE"""),"Paid")</f>
        <v>Paid</v>
      </c>
      <c r="Y30" s="132" t="str">
        <f>IFERROR(__xludf.DUMMYFUNCTION("""COMPUTED_VALUE"""),"Paid")</f>
        <v>Paid</v>
      </c>
      <c r="Z30" s="132"/>
    </row>
    <row r="31">
      <c r="A31" s="136">
        <f>IFERROR(__xludf.DUMMYFUNCTION("""COMPUTED_VALUE"""),45475.0)</f>
        <v>45475</v>
      </c>
      <c r="B31" s="132" t="str">
        <f>IFERROR(__xludf.DUMMYFUNCTION("""COMPUTED_VALUE"""),"Foody")</f>
        <v>Foody</v>
      </c>
      <c r="C31" s="132" t="str">
        <f>IFERROR(__xludf.DUMMYFUNCTION("""COMPUTED_VALUE"""),"食物")</f>
        <v>食物</v>
      </c>
      <c r="D31" s="132">
        <f>IFERROR(__xludf.DUMMYFUNCTION("""COMPUTED_VALUE"""),26.32)</f>
        <v>26.32</v>
      </c>
      <c r="E31" s="132" t="str">
        <f>IFERROR(__xludf.DUMMYFUNCTION("""COMPUTED_VALUE"""),"BL")</f>
        <v>BL</v>
      </c>
      <c r="F31" s="132">
        <f>IFERROR(__xludf.DUMMYFUNCTION("""COMPUTED_VALUE"""),5.264)</f>
        <v>5.264</v>
      </c>
      <c r="G31" s="132">
        <f>IFERROR(__xludf.DUMMYFUNCTION("""COMPUTED_VALUE"""),5.264)</f>
        <v>5.264</v>
      </c>
      <c r="H31" s="132">
        <f>IFERROR(__xludf.DUMMYFUNCTION("""COMPUTED_VALUE"""),1.0)</f>
        <v>1</v>
      </c>
      <c r="I31" s="132">
        <f>IFERROR(__xludf.DUMMYFUNCTION("""COMPUTED_VALUE"""),1.0)</f>
        <v>1</v>
      </c>
      <c r="J31" s="132">
        <f>IFERROR(__xludf.DUMMYFUNCTION("""COMPUTED_VALUE"""),1.0)</f>
        <v>1</v>
      </c>
      <c r="K31" s="132">
        <f>IFERROR(__xludf.DUMMYFUNCTION("""COMPUTED_VALUE"""),1.0)</f>
        <v>1</v>
      </c>
      <c r="L31" s="132"/>
      <c r="M31" s="132">
        <f>IFERROR(__xludf.DUMMYFUNCTION("""COMPUTED_VALUE"""),1.0)</f>
        <v>1</v>
      </c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>
      <c r="A32" s="133">
        <f>IFERROR(__xludf.DUMMYFUNCTION("""COMPUTED_VALUE"""),45475.0)</f>
        <v>45475</v>
      </c>
      <c r="B32" s="132" t="str">
        <f>IFERROR(__xludf.DUMMYFUNCTION("""COMPUTED_VALUE"""),"3A ")</f>
        <v>3A </v>
      </c>
      <c r="C32" s="132" t="str">
        <f>IFERROR(__xludf.DUMMYFUNCTION("""COMPUTED_VALUE"""),"食物")</f>
        <v>食物</v>
      </c>
      <c r="D32" s="135">
        <f>IFERROR(__xludf.DUMMYFUNCTION("""COMPUTED_VALUE"""),58.5)</f>
        <v>58.5</v>
      </c>
      <c r="E32" s="132" t="str">
        <f>IFERROR(__xludf.DUMMYFUNCTION("""COMPUTED_VALUE"""),"Pigskin")</f>
        <v>Pigskin</v>
      </c>
      <c r="F32" s="132">
        <f>IFERROR(__xludf.DUMMYFUNCTION("""COMPUTED_VALUE"""),8.357142857142858)</f>
        <v>8.357142857</v>
      </c>
      <c r="G32" s="132">
        <f>IFERROR(__xludf.DUMMYFUNCTION("""COMPUTED_VALUE"""),8.357142857142858)</f>
        <v>8.357142857</v>
      </c>
      <c r="H32" s="132">
        <f>IFERROR(__xludf.DUMMYFUNCTION("""COMPUTED_VALUE"""),1.0)</f>
        <v>1</v>
      </c>
      <c r="I32" s="132">
        <f>IFERROR(__xludf.DUMMYFUNCTION("""COMPUTED_VALUE"""),1.0)</f>
        <v>1</v>
      </c>
      <c r="J32" s="132">
        <f>IFERROR(__xludf.DUMMYFUNCTION("""COMPUTED_VALUE"""),1.0)</f>
        <v>1</v>
      </c>
      <c r="K32" s="132">
        <f>IFERROR(__xludf.DUMMYFUNCTION("""COMPUTED_VALUE"""),1.0)</f>
        <v>1</v>
      </c>
      <c r="L32" s="132">
        <f>IFERROR(__xludf.DUMMYFUNCTION("""COMPUTED_VALUE"""),1.0)</f>
        <v>1</v>
      </c>
      <c r="M32" s="132">
        <f>IFERROR(__xludf.DUMMYFUNCTION("""COMPUTED_VALUE"""),1.0)</f>
        <v>1</v>
      </c>
      <c r="N32" s="132">
        <f>IFERROR(__xludf.DUMMYFUNCTION("""COMPUTED_VALUE"""),1.0)</f>
        <v>1</v>
      </c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>
      <c r="A33" s="133">
        <f>IFERROR(__xludf.DUMMYFUNCTION("""COMPUTED_VALUE"""),45476.0)</f>
        <v>45476</v>
      </c>
      <c r="B33" s="132" t="str">
        <f>IFERROR(__xludf.DUMMYFUNCTION("""COMPUTED_VALUE"""),"foody")</f>
        <v>foody</v>
      </c>
      <c r="C33" s="132" t="str">
        <f>IFERROR(__xludf.DUMMYFUNCTION("""COMPUTED_VALUE"""),"食物")</f>
        <v>食物</v>
      </c>
      <c r="D33" s="132">
        <f>IFERROR(__xludf.DUMMYFUNCTION("""COMPUTED_VALUE"""),34.62)</f>
        <v>34.62</v>
      </c>
      <c r="E33" s="132" t="str">
        <f>IFERROR(__xludf.DUMMYFUNCTION("""COMPUTED_VALUE"""),"Pigskin")</f>
        <v>Pigskin</v>
      </c>
      <c r="F33" s="132">
        <f>IFERROR(__xludf.DUMMYFUNCTION("""COMPUTED_VALUE"""),6.9239999999999995)</f>
        <v>6.924</v>
      </c>
      <c r="G33" s="132">
        <f>IFERROR(__xludf.DUMMYFUNCTION("""COMPUTED_VALUE"""),6.9239999999999995)</f>
        <v>6.924</v>
      </c>
      <c r="H33" s="132">
        <f>IFERROR(__xludf.DUMMYFUNCTION("""COMPUTED_VALUE"""),1.0)</f>
        <v>1</v>
      </c>
      <c r="I33" s="132">
        <f>IFERROR(__xludf.DUMMYFUNCTION("""COMPUTED_VALUE"""),1.0)</f>
        <v>1</v>
      </c>
      <c r="J33" s="132">
        <f>IFERROR(__xludf.DUMMYFUNCTION("""COMPUTED_VALUE"""),1.0)</f>
        <v>1</v>
      </c>
      <c r="K33" s="132">
        <f>IFERROR(__xludf.DUMMYFUNCTION("""COMPUTED_VALUE"""),1.0)</f>
        <v>1</v>
      </c>
      <c r="L33" s="132"/>
      <c r="M33" s="132">
        <f>IFERROR(__xludf.DUMMYFUNCTION("""COMPUTED_VALUE"""),1.0)</f>
        <v>1</v>
      </c>
      <c r="N33" s="132"/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>
      <c r="A34" s="136">
        <f>IFERROR(__xludf.DUMMYFUNCTION("""COMPUTED_VALUE"""),45477.0)</f>
        <v>45477</v>
      </c>
      <c r="B34" s="132" t="str">
        <f>IFERROR(__xludf.DUMMYFUNCTION("""COMPUTED_VALUE"""),"Foody")</f>
        <v>Foody</v>
      </c>
      <c r="C34" s="132" t="str">
        <f>IFERROR(__xludf.DUMMYFUNCTION("""COMPUTED_VALUE"""),"食物")</f>
        <v>食物</v>
      </c>
      <c r="D34" s="132">
        <f>IFERROR(__xludf.DUMMYFUNCTION("""COMPUTED_VALUE"""),36.22)</f>
        <v>36.22</v>
      </c>
      <c r="E34" s="132" t="str">
        <f>IFERROR(__xludf.DUMMYFUNCTION("""COMPUTED_VALUE"""),"Pigskin")</f>
        <v>Pigskin</v>
      </c>
      <c r="F34" s="132">
        <f>IFERROR(__xludf.DUMMYFUNCTION("""COMPUTED_VALUE"""),5.174285714285714)</f>
        <v>5.174285714</v>
      </c>
      <c r="G34" s="132">
        <f>IFERROR(__xludf.DUMMYFUNCTION("""COMPUTED_VALUE"""),5.174285714285714)</f>
        <v>5.174285714</v>
      </c>
      <c r="H34" s="132">
        <f>IFERROR(__xludf.DUMMYFUNCTION("""COMPUTED_VALUE"""),1.0)</f>
        <v>1</v>
      </c>
      <c r="I34" s="132">
        <f>IFERROR(__xludf.DUMMYFUNCTION("""COMPUTED_VALUE"""),1.0)</f>
        <v>1</v>
      </c>
      <c r="J34" s="132">
        <f>IFERROR(__xludf.DUMMYFUNCTION("""COMPUTED_VALUE"""),1.0)</f>
        <v>1</v>
      </c>
      <c r="K34" s="132">
        <f>IFERROR(__xludf.DUMMYFUNCTION("""COMPUTED_VALUE"""),1.0)</f>
        <v>1</v>
      </c>
      <c r="L34" s="132">
        <f>IFERROR(__xludf.DUMMYFUNCTION("""COMPUTED_VALUE"""),1.0)</f>
        <v>1</v>
      </c>
      <c r="M34" s="132">
        <f>IFERROR(__xludf.DUMMYFUNCTION("""COMPUTED_VALUE"""),1.0)</f>
        <v>1</v>
      </c>
      <c r="N34" s="132">
        <f>IFERROR(__xludf.DUMMYFUNCTION("""COMPUTED_VALUE"""),1.0)</f>
        <v>1</v>
      </c>
      <c r="O34" s="132"/>
      <c r="P34" s="132"/>
      <c r="Q34" s="132"/>
      <c r="R34" s="132"/>
      <c r="S34" s="132">
        <f>IFERROR(__xludf.DUMMYFUNCTION("""COMPUTED_VALUE"""),23276.3)</f>
        <v>23276.3</v>
      </c>
      <c r="T34" s="132">
        <f>IFERROR(__xludf.DUMMYFUNCTION("""COMPUTED_VALUE"""),4655.26)</f>
        <v>4655.26</v>
      </c>
      <c r="U34" s="132"/>
      <c r="V34" s="132"/>
      <c r="W34" s="132"/>
      <c r="X34" s="132"/>
      <c r="Y34" s="132"/>
      <c r="Z34" s="132"/>
    </row>
    <row r="35">
      <c r="A35" s="133">
        <f>IFERROR(__xludf.DUMMYFUNCTION("""COMPUTED_VALUE"""),45478.0)</f>
        <v>45478</v>
      </c>
      <c r="B35" s="132" t="str">
        <f>IFERROR(__xludf.DUMMYFUNCTION("""COMPUTED_VALUE"""),"Siumei")</f>
        <v>Siumei</v>
      </c>
      <c r="C35" s="132" t="str">
        <f>IFERROR(__xludf.DUMMYFUNCTION("""COMPUTED_VALUE"""),"食物")</f>
        <v>食物</v>
      </c>
      <c r="D35" s="132">
        <f>IFERROR(__xludf.DUMMYFUNCTION("""COMPUTED_VALUE"""),21.0)</f>
        <v>21</v>
      </c>
      <c r="E35" s="132" t="str">
        <f>IFERROR(__xludf.DUMMYFUNCTION("""COMPUTED_VALUE"""),"Pigskin")</f>
        <v>Pigskin</v>
      </c>
      <c r="F35" s="132">
        <f>IFERROR(__xludf.DUMMYFUNCTION("""COMPUTED_VALUE"""),7.0)</f>
        <v>7</v>
      </c>
      <c r="G35" s="132">
        <f>IFERROR(__xludf.DUMMYFUNCTION("""COMPUTED_VALUE"""),7.0)</f>
        <v>7</v>
      </c>
      <c r="H35" s="132"/>
      <c r="I35" s="132">
        <f>IFERROR(__xludf.DUMMYFUNCTION("""COMPUTED_VALUE"""),1.0)</f>
        <v>1</v>
      </c>
      <c r="J35" s="132"/>
      <c r="K35" s="132">
        <f>IFERROR(__xludf.DUMMYFUNCTION("""COMPUTED_VALUE"""),1.0)</f>
        <v>1</v>
      </c>
      <c r="L35" s="132"/>
      <c r="M35" s="132">
        <f>IFERROR(__xludf.DUMMYFUNCTION("""COMPUTED_VALUE"""),1.0)</f>
        <v>1</v>
      </c>
      <c r="N35" s="132"/>
      <c r="O35" s="132"/>
      <c r="P35" s="132"/>
      <c r="Q35" s="134"/>
      <c r="R35" s="132"/>
      <c r="S35" s="132"/>
      <c r="T35" s="132"/>
      <c r="U35" s="132"/>
      <c r="V35" s="132"/>
      <c r="W35" s="132"/>
      <c r="X35" s="132"/>
      <c r="Y35" s="132"/>
      <c r="Z35" s="132"/>
    </row>
    <row r="36">
      <c r="A36" s="133">
        <f>IFERROR(__xludf.DUMMYFUNCTION("""COMPUTED_VALUE"""),45479.0)</f>
        <v>45479</v>
      </c>
      <c r="B36" s="132" t="str">
        <f>IFERROR(__xludf.DUMMYFUNCTION("""COMPUTED_VALUE"""),"Costco")</f>
        <v>Costco</v>
      </c>
      <c r="C36" s="132" t="str">
        <f>IFERROR(__xludf.DUMMYFUNCTION("""COMPUTED_VALUE"""),"飲品")</f>
        <v>飲品</v>
      </c>
      <c r="D36" s="132">
        <f>IFERROR(__xludf.DUMMYFUNCTION("""COMPUTED_VALUE"""),17.277699999999996)</f>
        <v>17.2777</v>
      </c>
      <c r="E36" s="132" t="str">
        <f>IFERROR(__xludf.DUMMYFUNCTION("""COMPUTED_VALUE"""),"Rachel")</f>
        <v>Rachel</v>
      </c>
      <c r="F36" s="132">
        <f>IFERROR(__xludf.DUMMYFUNCTION("""COMPUTED_VALUE"""),3.455539999999999)</f>
        <v>3.45554</v>
      </c>
      <c r="G36" s="132">
        <f>IFERROR(__xludf.DUMMYFUNCTION("""COMPUTED_VALUE"""),3.455539999999999)</f>
        <v>3.45554</v>
      </c>
      <c r="H36" s="132">
        <f>IFERROR(__xludf.DUMMYFUNCTION("""COMPUTED_VALUE"""),1.0)</f>
        <v>1</v>
      </c>
      <c r="I36" s="132">
        <f>IFERROR(__xludf.DUMMYFUNCTION("""COMPUTED_VALUE"""),1.0)</f>
        <v>1</v>
      </c>
      <c r="J36" s="132">
        <f>IFERROR(__xludf.DUMMYFUNCTION("""COMPUTED_VALUE"""),1.0)</f>
        <v>1</v>
      </c>
      <c r="K36" s="132">
        <f>IFERROR(__xludf.DUMMYFUNCTION("""COMPUTED_VALUE"""),1.0)</f>
        <v>1</v>
      </c>
      <c r="L36" s="132"/>
      <c r="M36" s="132"/>
      <c r="N36" s="132">
        <f>IFERROR(__xludf.DUMMYFUNCTION("""COMPUTED_VALUE"""),1.0)</f>
        <v>1</v>
      </c>
      <c r="O36" s="132"/>
      <c r="P36" s="132"/>
      <c r="Q36" s="134">
        <f>IFERROR(__xludf.DUMMYFUNCTION("""COMPUTED_VALUE"""),45231.0)</f>
        <v>45231</v>
      </c>
      <c r="R36" s="132" t="str">
        <f>IFERROR(__xludf.DUMMYFUNCTION("""COMPUTED_VALUE"""),"Rent")</f>
        <v>Rent</v>
      </c>
      <c r="S36" s="132">
        <f>IFERROR(__xludf.DUMMYFUNCTION("""COMPUTED_VALUE"""),3600.0)</f>
        <v>3600</v>
      </c>
      <c r="T36" s="132">
        <f>IFERROR(__xludf.DUMMYFUNCTION("""COMPUTED_VALUE"""),720.0)</f>
        <v>720</v>
      </c>
      <c r="U36" s="132" t="str">
        <f>IFERROR(__xludf.DUMMYFUNCTION("""COMPUTED_VALUE"""),"Paid")</f>
        <v>Paid</v>
      </c>
      <c r="V36" s="132" t="str">
        <f>IFERROR(__xludf.DUMMYFUNCTION("""COMPUTED_VALUE"""),"Paid")</f>
        <v>Paid</v>
      </c>
      <c r="W36" s="132" t="str">
        <f>IFERROR(__xludf.DUMMYFUNCTION("""COMPUTED_VALUE"""),"Paid")</f>
        <v>Paid</v>
      </c>
      <c r="X36" s="132" t="str">
        <f>IFERROR(__xludf.DUMMYFUNCTION("""COMPUTED_VALUE"""),"Paid")</f>
        <v>Paid</v>
      </c>
      <c r="Y36" s="132" t="str">
        <f>IFERROR(__xludf.DUMMYFUNCTION("""COMPUTED_VALUE"""),"Paid")</f>
        <v>Paid</v>
      </c>
      <c r="Z36" s="132"/>
    </row>
    <row r="37">
      <c r="A37" s="133">
        <f>IFERROR(__xludf.DUMMYFUNCTION("""COMPUTED_VALUE"""),45479.0)</f>
        <v>45479</v>
      </c>
      <c r="B37" s="132" t="str">
        <f>IFERROR(__xludf.DUMMYFUNCTION("""COMPUTED_VALUE"""),"salt")</f>
        <v>salt</v>
      </c>
      <c r="C37" s="132" t="str">
        <f>IFERROR(__xludf.DUMMYFUNCTION("""COMPUTED_VALUE"""),"食物")</f>
        <v>食物</v>
      </c>
      <c r="D37" s="132">
        <f>IFERROR(__xludf.DUMMYFUNCTION("""COMPUTED_VALUE"""),2.99)</f>
        <v>2.99</v>
      </c>
      <c r="E37" s="132" t="str">
        <f>IFERROR(__xludf.DUMMYFUNCTION("""COMPUTED_VALUE"""),"Rachel")</f>
        <v>Rachel</v>
      </c>
      <c r="F37" s="132">
        <f>IFERROR(__xludf.DUMMYFUNCTION("""COMPUTED_VALUE"""),0.5980000000000001)</f>
        <v>0.598</v>
      </c>
      <c r="G37" s="132">
        <f>IFERROR(__xludf.DUMMYFUNCTION("""COMPUTED_VALUE"""),0.5980000000000001)</f>
        <v>0.598</v>
      </c>
      <c r="H37" s="132">
        <f>IFERROR(__xludf.DUMMYFUNCTION("""COMPUTED_VALUE"""),1.0)</f>
        <v>1</v>
      </c>
      <c r="I37" s="132">
        <f>IFERROR(__xludf.DUMMYFUNCTION("""COMPUTED_VALUE"""),1.0)</f>
        <v>1</v>
      </c>
      <c r="J37" s="132">
        <f>IFERROR(__xludf.DUMMYFUNCTION("""COMPUTED_VALUE"""),1.0)</f>
        <v>1</v>
      </c>
      <c r="K37" s="132">
        <f>IFERROR(__xludf.DUMMYFUNCTION("""COMPUTED_VALUE"""),1.0)</f>
        <v>1</v>
      </c>
      <c r="L37" s="132"/>
      <c r="M37" s="132"/>
      <c r="N37" s="132">
        <f>IFERROR(__xludf.DUMMYFUNCTION("""COMPUTED_VALUE"""),1.0)</f>
        <v>1</v>
      </c>
      <c r="O37" s="132"/>
      <c r="P37" s="132"/>
      <c r="Q37" s="132"/>
      <c r="R37" s="132" t="str">
        <f>IFERROR(__xludf.DUMMYFUNCTION("""COMPUTED_VALUE"""),"Water")</f>
        <v>Water</v>
      </c>
      <c r="S37" s="132"/>
      <c r="T37" s="132"/>
      <c r="U37" s="132"/>
      <c r="V37" s="132"/>
      <c r="W37" s="132"/>
      <c r="X37" s="132"/>
      <c r="Y37" s="132"/>
      <c r="Z37" s="132"/>
    </row>
    <row r="38">
      <c r="A38" s="133">
        <f>IFERROR(__xludf.DUMMYFUNCTION("""COMPUTED_VALUE"""),45479.0)</f>
        <v>45479</v>
      </c>
      <c r="B38" s="132" t="str">
        <f>IFERROR(__xludf.DUMMYFUNCTION("""COMPUTED_VALUE"""),"shrimp")</f>
        <v>shrimp</v>
      </c>
      <c r="C38" s="132" t="str">
        <f>IFERROR(__xludf.DUMMYFUNCTION("""COMPUTED_VALUE"""),"食物")</f>
        <v>食物</v>
      </c>
      <c r="D38" s="132">
        <f>IFERROR(__xludf.DUMMYFUNCTION("""COMPUTED_VALUE"""),14.99)</f>
        <v>14.99</v>
      </c>
      <c r="E38" s="132" t="str">
        <f>IFERROR(__xludf.DUMMYFUNCTION("""COMPUTED_VALUE"""),"Rachel")</f>
        <v>Rachel</v>
      </c>
      <c r="F38" s="132">
        <f>IFERROR(__xludf.DUMMYFUNCTION("""COMPUTED_VALUE"""),2.998)</f>
        <v>2.998</v>
      </c>
      <c r="G38" s="132">
        <f>IFERROR(__xludf.DUMMYFUNCTION("""COMPUTED_VALUE"""),2.998)</f>
        <v>2.998</v>
      </c>
      <c r="H38" s="132">
        <f>IFERROR(__xludf.DUMMYFUNCTION("""COMPUTED_VALUE"""),1.0)</f>
        <v>1</v>
      </c>
      <c r="I38" s="132">
        <f>IFERROR(__xludf.DUMMYFUNCTION("""COMPUTED_VALUE"""),1.0)</f>
        <v>1</v>
      </c>
      <c r="J38" s="132">
        <f>IFERROR(__xludf.DUMMYFUNCTION("""COMPUTED_VALUE"""),1.0)</f>
        <v>1</v>
      </c>
      <c r="K38" s="132">
        <f>IFERROR(__xludf.DUMMYFUNCTION("""COMPUTED_VALUE"""),1.0)</f>
        <v>1</v>
      </c>
      <c r="L38" s="132"/>
      <c r="M38" s="132"/>
      <c r="N38" s="132">
        <f>IFERROR(__xludf.DUMMYFUNCTION("""COMPUTED_VALUE"""),1.0)</f>
        <v>1</v>
      </c>
      <c r="O38" s="132"/>
      <c r="P38" s="132"/>
      <c r="Q38" s="132"/>
      <c r="R38" s="132" t="str">
        <f>IFERROR(__xludf.DUMMYFUNCTION("""COMPUTED_VALUE"""),"Heat (19/10-16/11)")</f>
        <v>Heat (19/10-16/11)</v>
      </c>
      <c r="S38" s="132">
        <f>IFERROR(__xludf.DUMMYFUNCTION("""COMPUTED_VALUE"""),136.95000000000002)</f>
        <v>136.95</v>
      </c>
      <c r="T38" s="132"/>
      <c r="U38" s="132">
        <f>IFERROR(__xludf.DUMMYFUNCTION("""COMPUTED_VALUE"""),40.53)</f>
        <v>40.53</v>
      </c>
      <c r="V38" s="132">
        <f>IFERROR(__xludf.DUMMYFUNCTION("""COMPUTED_VALUE"""),40.53)</f>
        <v>40.53</v>
      </c>
      <c r="W38" s="132">
        <f>IFERROR(__xludf.DUMMYFUNCTION("""COMPUTED_VALUE"""),25.15)</f>
        <v>25.15</v>
      </c>
      <c r="X38" s="132">
        <f>IFERROR(__xludf.DUMMYFUNCTION("""COMPUTED_VALUE"""),25.15)</f>
        <v>25.15</v>
      </c>
      <c r="Y38" s="132">
        <f>IFERROR(__xludf.DUMMYFUNCTION("""COMPUTED_VALUE"""),5.59)</f>
        <v>5.59</v>
      </c>
      <c r="Z38" s="132"/>
    </row>
    <row r="39">
      <c r="A39" s="133">
        <f>IFERROR(__xludf.DUMMYFUNCTION("""COMPUTED_VALUE"""),45479.0)</f>
        <v>45479</v>
      </c>
      <c r="B39" s="132" t="str">
        <f>IFERROR(__xludf.DUMMYFUNCTION("""COMPUTED_VALUE"""),"Oreo")</f>
        <v>Oreo</v>
      </c>
      <c r="C39" s="132" t="str">
        <f>IFERROR(__xludf.DUMMYFUNCTION("""COMPUTED_VALUE"""),"食物")</f>
        <v>食物</v>
      </c>
      <c r="D39" s="132">
        <f>IFERROR(__xludf.DUMMYFUNCTION("""COMPUTED_VALUE"""),14.6787)</f>
        <v>14.6787</v>
      </c>
      <c r="E39" s="132" t="str">
        <f>IFERROR(__xludf.DUMMYFUNCTION("""COMPUTED_VALUE"""),"Rachel")</f>
        <v>Rachel</v>
      </c>
      <c r="F39" s="132">
        <f>IFERROR(__xludf.DUMMYFUNCTION("""COMPUTED_VALUE"""),2.93574)</f>
        <v>2.93574</v>
      </c>
      <c r="G39" s="132">
        <f>IFERROR(__xludf.DUMMYFUNCTION("""COMPUTED_VALUE"""),2.93574)</f>
        <v>2.93574</v>
      </c>
      <c r="H39" s="132">
        <f>IFERROR(__xludf.DUMMYFUNCTION("""COMPUTED_VALUE"""),1.0)</f>
        <v>1</v>
      </c>
      <c r="I39" s="132">
        <f>IFERROR(__xludf.DUMMYFUNCTION("""COMPUTED_VALUE"""),1.0)</f>
        <v>1</v>
      </c>
      <c r="J39" s="132">
        <f>IFERROR(__xludf.DUMMYFUNCTION("""COMPUTED_VALUE"""),1.0)</f>
        <v>1</v>
      </c>
      <c r="K39" s="132">
        <f>IFERROR(__xludf.DUMMYFUNCTION("""COMPUTED_VALUE"""),1.0)</f>
        <v>1</v>
      </c>
      <c r="L39" s="132"/>
      <c r="M39" s="132"/>
      <c r="N39" s="132">
        <f>IFERROR(__xludf.DUMMYFUNCTION("""COMPUTED_VALUE"""),1.0)</f>
        <v>1</v>
      </c>
      <c r="O39" s="132"/>
      <c r="P39" s="132"/>
      <c r="Q39" s="132"/>
      <c r="R39" s="132" t="str">
        <f>IFERROR(__xludf.DUMMYFUNCTION("""COMPUTED_VALUE"""),"Electricity")</f>
        <v>Electricity</v>
      </c>
      <c r="S39" s="132"/>
      <c r="T39" s="132"/>
      <c r="U39" s="132" t="str">
        <f>IFERROR(__xludf.DUMMYFUNCTION("""COMPUTED_VALUE"""),"Paid")</f>
        <v>Paid</v>
      </c>
      <c r="V39" s="132" t="str">
        <f>IFERROR(__xludf.DUMMYFUNCTION("""COMPUTED_VALUE"""),"Paid")</f>
        <v>Paid</v>
      </c>
      <c r="W39" s="132" t="str">
        <f>IFERROR(__xludf.DUMMYFUNCTION("""COMPUTED_VALUE"""),"Paid")</f>
        <v>Paid</v>
      </c>
      <c r="X39" s="132" t="str">
        <f>IFERROR(__xludf.DUMMYFUNCTION("""COMPUTED_VALUE"""),"Paid")</f>
        <v>Paid</v>
      </c>
      <c r="Y39" s="132" t="str">
        <f>IFERROR(__xludf.DUMMYFUNCTION("""COMPUTED_VALUE"""),"Paid")</f>
        <v>Paid</v>
      </c>
      <c r="Z39" s="132"/>
    </row>
    <row r="40">
      <c r="A40" s="133">
        <f>IFERROR(__xludf.DUMMYFUNCTION("""COMPUTED_VALUE"""),45479.0)</f>
        <v>45479</v>
      </c>
      <c r="B40" s="132" t="str">
        <f>IFERROR(__xludf.DUMMYFUNCTION("""COMPUTED_VALUE"""),"Nofrills")</f>
        <v>Nofrills</v>
      </c>
      <c r="C40" s="132" t="str">
        <f>IFERROR(__xludf.DUMMYFUNCTION("""COMPUTED_VALUE"""),"食物")</f>
        <v>食物</v>
      </c>
      <c r="D40" s="132">
        <f>IFERROR(__xludf.DUMMYFUNCTION("""COMPUTED_VALUE"""),14.95)</f>
        <v>14.95</v>
      </c>
      <c r="E40" s="132" t="str">
        <f>IFERROR(__xludf.DUMMYFUNCTION("""COMPUTED_VALUE"""),"Timothy")</f>
        <v>Timothy</v>
      </c>
      <c r="F40" s="132">
        <f>IFERROR(__xludf.DUMMYFUNCTION("""COMPUTED_VALUE"""),2.9899999999999998)</f>
        <v>2.99</v>
      </c>
      <c r="G40" s="132">
        <f>IFERROR(__xludf.DUMMYFUNCTION("""COMPUTED_VALUE"""),2.9899999999999998)</f>
        <v>2.99</v>
      </c>
      <c r="H40" s="132">
        <f>IFERROR(__xludf.DUMMYFUNCTION("""COMPUTED_VALUE"""),1.0)</f>
        <v>1</v>
      </c>
      <c r="I40" s="132">
        <f>IFERROR(__xludf.DUMMYFUNCTION("""COMPUTED_VALUE"""),1.0)</f>
        <v>1</v>
      </c>
      <c r="J40" s="132">
        <f>IFERROR(__xludf.DUMMYFUNCTION("""COMPUTED_VALUE"""),1.0)</f>
        <v>1</v>
      </c>
      <c r="K40" s="132">
        <f>IFERROR(__xludf.DUMMYFUNCTION("""COMPUTED_VALUE"""),1.0)</f>
        <v>1</v>
      </c>
      <c r="L40" s="132"/>
      <c r="M40" s="132"/>
      <c r="N40" s="132">
        <f>IFERROR(__xludf.DUMMYFUNCTION("""COMPUTED_VALUE"""),1.0)</f>
        <v>1</v>
      </c>
      <c r="O40" s="132"/>
      <c r="P40" s="132"/>
      <c r="Q40" s="132"/>
      <c r="R40" s="132" t="str">
        <f>IFERROR(__xludf.DUMMYFUNCTION("""COMPUTED_VALUE"""),"Internet")</f>
        <v>Internet</v>
      </c>
      <c r="S40" s="132">
        <f>IFERROR(__xludf.DUMMYFUNCTION("""COMPUTED_VALUE"""),56.5)</f>
        <v>56.5</v>
      </c>
      <c r="T40" s="132"/>
      <c r="U40" s="132" t="str">
        <f>IFERROR(__xludf.DUMMYFUNCTION("""COMPUTED_VALUE"""),"Paid")</f>
        <v>Paid</v>
      </c>
      <c r="V40" s="132" t="str">
        <f>IFERROR(__xludf.DUMMYFUNCTION("""COMPUTED_VALUE"""),"Paid")</f>
        <v>Paid</v>
      </c>
      <c r="W40" s="132" t="str">
        <f>IFERROR(__xludf.DUMMYFUNCTION("""COMPUTED_VALUE"""),"Paid")</f>
        <v>Paid</v>
      </c>
      <c r="X40" s="132" t="str">
        <f>IFERROR(__xludf.DUMMYFUNCTION("""COMPUTED_VALUE"""),"Paid")</f>
        <v>Paid</v>
      </c>
      <c r="Y40" s="132" t="str">
        <f>IFERROR(__xludf.DUMMYFUNCTION("""COMPUTED_VALUE"""),"Paid")</f>
        <v>Paid</v>
      </c>
      <c r="Z40" s="132"/>
    </row>
    <row r="41">
      <c r="A41" s="133">
        <f>IFERROR(__xludf.DUMMYFUNCTION("""COMPUTED_VALUE"""),45479.0)</f>
        <v>45479</v>
      </c>
      <c r="B41" s="132" t="str">
        <f>IFERROR(__xludf.DUMMYFUNCTION("""COMPUTED_VALUE"""),"Foody")</f>
        <v>Foody</v>
      </c>
      <c r="C41" s="132" t="str">
        <f>IFERROR(__xludf.DUMMYFUNCTION("""COMPUTED_VALUE"""),"食物")</f>
        <v>食物</v>
      </c>
      <c r="D41" s="132">
        <f>IFERROR(__xludf.DUMMYFUNCTION("""COMPUTED_VALUE"""),18.119999999999997)</f>
        <v>18.12</v>
      </c>
      <c r="E41" s="132" t="str">
        <f>IFERROR(__xludf.DUMMYFUNCTION("""COMPUTED_VALUE"""),"Timothy")</f>
        <v>Timothy</v>
      </c>
      <c r="F41" s="132">
        <f>IFERROR(__xludf.DUMMYFUNCTION("""COMPUTED_VALUE"""),4.529999999999999)</f>
        <v>4.53</v>
      </c>
      <c r="G41" s="132">
        <f>IFERROR(__xludf.DUMMYFUNCTION("""COMPUTED_VALUE"""),4.529999999999999)</f>
        <v>4.53</v>
      </c>
      <c r="H41" s="132">
        <f>IFERROR(__xludf.DUMMYFUNCTION("""COMPUTED_VALUE"""),1.0)</f>
        <v>1</v>
      </c>
      <c r="I41" s="132">
        <f>IFERROR(__xludf.DUMMYFUNCTION("""COMPUTED_VALUE"""),1.0)</f>
        <v>1</v>
      </c>
      <c r="J41" s="132">
        <f>IFERROR(__xludf.DUMMYFUNCTION("""COMPUTED_VALUE"""),1.0)</f>
        <v>1</v>
      </c>
      <c r="K41" s="132">
        <f>IFERROR(__xludf.DUMMYFUNCTION("""COMPUTED_VALUE"""),1.0)</f>
        <v>1</v>
      </c>
      <c r="L41" s="132"/>
      <c r="M41" s="132"/>
      <c r="N41" s="132"/>
      <c r="O41" s="132"/>
      <c r="P41" s="132"/>
      <c r="Q41" s="132"/>
      <c r="R41" s="132"/>
      <c r="S41" s="132">
        <f>IFERROR(__xludf.DUMMYFUNCTION("""COMPUTED_VALUE"""),3793.45)</f>
        <v>3793.45</v>
      </c>
      <c r="T41" s="132">
        <f>IFERROR(__xludf.DUMMYFUNCTION("""COMPUTED_VALUE"""),720.0)</f>
        <v>720</v>
      </c>
      <c r="U41" s="132"/>
      <c r="V41" s="132"/>
      <c r="W41" s="132"/>
      <c r="X41" s="132"/>
      <c r="Y41" s="132"/>
      <c r="Z41" s="132"/>
    </row>
    <row r="42">
      <c r="A42" s="133">
        <f>IFERROR(__xludf.DUMMYFUNCTION("""COMPUTED_VALUE"""),45479.0)</f>
        <v>45479</v>
      </c>
      <c r="B42" s="132" t="str">
        <f>IFERROR(__xludf.DUMMYFUNCTION("""COMPUTED_VALUE"""),"Deer garden")</f>
        <v>Deer garden</v>
      </c>
      <c r="C42" s="132" t="str">
        <f>IFERROR(__xludf.DUMMYFUNCTION("""COMPUTED_VALUE"""),"食物")</f>
        <v>食物</v>
      </c>
      <c r="D42" s="132">
        <f>IFERROR(__xludf.DUMMYFUNCTION("""COMPUTED_VALUE"""),98.9)</f>
        <v>98.9</v>
      </c>
      <c r="E42" s="132" t="str">
        <f>IFERROR(__xludf.DUMMYFUNCTION("""COMPUTED_VALUE"""),"Timothy")</f>
        <v>Timothy</v>
      </c>
      <c r="F42" s="132">
        <f>IFERROR(__xludf.DUMMYFUNCTION("""COMPUTED_VALUE"""),19.78)</f>
        <v>19.78</v>
      </c>
      <c r="G42" s="132">
        <f>IFERROR(__xludf.DUMMYFUNCTION("""COMPUTED_VALUE"""),19.78)</f>
        <v>19.78</v>
      </c>
      <c r="H42" s="132">
        <f>IFERROR(__xludf.DUMMYFUNCTION("""COMPUTED_VALUE"""),1.0)</f>
        <v>1</v>
      </c>
      <c r="I42" s="132">
        <f>IFERROR(__xludf.DUMMYFUNCTION("""COMPUTED_VALUE"""),1.0)</f>
        <v>1</v>
      </c>
      <c r="J42" s="132"/>
      <c r="K42" s="132">
        <f>IFERROR(__xludf.DUMMYFUNCTION("""COMPUTED_VALUE"""),1.0)</f>
        <v>1</v>
      </c>
      <c r="L42" s="132"/>
      <c r="M42" s="132">
        <f>IFERROR(__xludf.DUMMYFUNCTION("""COMPUTED_VALUE"""),1.0)</f>
        <v>1</v>
      </c>
      <c r="N42" s="132">
        <f>IFERROR(__xludf.DUMMYFUNCTION("""COMPUTED_VALUE"""),1.0)</f>
        <v>1</v>
      </c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3">
        <f>IFERROR(__xludf.DUMMYFUNCTION("""COMPUTED_VALUE"""),45480.0)</f>
        <v>45480</v>
      </c>
      <c r="B43" s="132" t="str">
        <f>IFERROR(__xludf.DUMMYFUNCTION("""COMPUTED_VALUE"""),"foody")</f>
        <v>foody</v>
      </c>
      <c r="C43" s="132" t="str">
        <f>IFERROR(__xludf.DUMMYFUNCTION("""COMPUTED_VALUE"""),"食物")</f>
        <v>食物</v>
      </c>
      <c r="D43" s="132">
        <f>IFERROR(__xludf.DUMMYFUNCTION("""COMPUTED_VALUE"""),11.98)</f>
        <v>11.98</v>
      </c>
      <c r="E43" s="132" t="str">
        <f>IFERROR(__xludf.DUMMYFUNCTION("""COMPUTED_VALUE"""),"Rachel")</f>
        <v>Rachel</v>
      </c>
      <c r="F43" s="132">
        <f>IFERROR(__xludf.DUMMYFUNCTION("""COMPUTED_VALUE"""),2.396)</f>
        <v>2.396</v>
      </c>
      <c r="G43" s="132">
        <f>IFERROR(__xludf.DUMMYFUNCTION("""COMPUTED_VALUE"""),2.396)</f>
        <v>2.396</v>
      </c>
      <c r="H43" s="132">
        <f>IFERROR(__xludf.DUMMYFUNCTION("""COMPUTED_VALUE"""),1.0)</f>
        <v>1</v>
      </c>
      <c r="I43" s="132">
        <f>IFERROR(__xludf.DUMMYFUNCTION("""COMPUTED_VALUE"""),1.0)</f>
        <v>1</v>
      </c>
      <c r="J43" s="132">
        <f>IFERROR(__xludf.DUMMYFUNCTION("""COMPUTED_VALUE"""),1.0)</f>
        <v>1</v>
      </c>
      <c r="K43" s="132">
        <f>IFERROR(__xludf.DUMMYFUNCTION("""COMPUTED_VALUE"""),1.0)</f>
        <v>1</v>
      </c>
      <c r="L43" s="132"/>
      <c r="M43" s="132"/>
      <c r="N43" s="132">
        <f>IFERROR(__xludf.DUMMYFUNCTION("""COMPUTED_VALUE"""),1.0)</f>
        <v>1</v>
      </c>
      <c r="O43" s="132"/>
      <c r="P43" s="132"/>
      <c r="Q43" s="134">
        <f>IFERROR(__xludf.DUMMYFUNCTION("""COMPUTED_VALUE"""),45261.0)</f>
        <v>45261</v>
      </c>
      <c r="R43" s="132" t="str">
        <f>IFERROR(__xludf.DUMMYFUNCTION("""COMPUTED_VALUE"""),"Rent")</f>
        <v>Rent</v>
      </c>
      <c r="S43" s="132">
        <f>IFERROR(__xludf.DUMMYFUNCTION("""COMPUTED_VALUE"""),3600.0)</f>
        <v>3600</v>
      </c>
      <c r="T43" s="132">
        <f>IFERROR(__xludf.DUMMYFUNCTION("""COMPUTED_VALUE"""),720.0)</f>
        <v>720</v>
      </c>
      <c r="U43" s="132" t="str">
        <f>IFERROR(__xludf.DUMMYFUNCTION("""COMPUTED_VALUE"""),"Paid")</f>
        <v>Paid</v>
      </c>
      <c r="V43" s="132" t="str">
        <f>IFERROR(__xludf.DUMMYFUNCTION("""COMPUTED_VALUE"""),"Paid")</f>
        <v>Paid</v>
      </c>
      <c r="W43" s="132" t="str">
        <f>IFERROR(__xludf.DUMMYFUNCTION("""COMPUTED_VALUE"""),"Paid")</f>
        <v>Paid</v>
      </c>
      <c r="X43" s="132" t="str">
        <f>IFERROR(__xludf.DUMMYFUNCTION("""COMPUTED_VALUE"""),"Paid")</f>
        <v>Paid</v>
      </c>
      <c r="Y43" s="132" t="str">
        <f>IFERROR(__xludf.DUMMYFUNCTION("""COMPUTED_VALUE"""),"Paid")</f>
        <v>Paid</v>
      </c>
      <c r="Z43" s="132"/>
    </row>
    <row r="44">
      <c r="A44" s="133">
        <f>IFERROR(__xludf.DUMMYFUNCTION("""COMPUTED_VALUE"""),45480.0)</f>
        <v>45480</v>
      </c>
      <c r="B44" s="132" t="str">
        <f>IFERROR(__xludf.DUMMYFUNCTION("""COMPUTED_VALUE"""),"Foody")</f>
        <v>Foody</v>
      </c>
      <c r="C44" s="132" t="str">
        <f>IFERROR(__xludf.DUMMYFUNCTION("""COMPUTED_VALUE"""),"食物")</f>
        <v>食物</v>
      </c>
      <c r="D44" s="132">
        <f>IFERROR(__xludf.DUMMYFUNCTION("""COMPUTED_VALUE"""),22.35)</f>
        <v>22.35</v>
      </c>
      <c r="E44" s="132" t="str">
        <f>IFERROR(__xludf.DUMMYFUNCTION("""COMPUTED_VALUE"""),"Rachel")</f>
        <v>Rachel</v>
      </c>
      <c r="F44" s="132">
        <f>IFERROR(__xludf.DUMMYFUNCTION("""COMPUTED_VALUE"""),4.470000000000001)</f>
        <v>4.47</v>
      </c>
      <c r="G44" s="132">
        <f>IFERROR(__xludf.DUMMYFUNCTION("""COMPUTED_VALUE"""),4.470000000000001)</f>
        <v>4.47</v>
      </c>
      <c r="H44" s="132">
        <f>IFERROR(__xludf.DUMMYFUNCTION("""COMPUTED_VALUE"""),1.0)</f>
        <v>1</v>
      </c>
      <c r="I44" s="132">
        <f>IFERROR(__xludf.DUMMYFUNCTION("""COMPUTED_VALUE"""),1.0)</f>
        <v>1</v>
      </c>
      <c r="J44" s="132">
        <f>IFERROR(__xludf.DUMMYFUNCTION("""COMPUTED_VALUE"""),1.0)</f>
        <v>1</v>
      </c>
      <c r="K44" s="132">
        <f>IFERROR(__xludf.DUMMYFUNCTION("""COMPUTED_VALUE"""),1.0)</f>
        <v>1</v>
      </c>
      <c r="L44" s="132"/>
      <c r="M44" s="132"/>
      <c r="N44" s="132">
        <f>IFERROR(__xludf.DUMMYFUNCTION("""COMPUTED_VALUE"""),1.0)</f>
        <v>1</v>
      </c>
      <c r="O44" s="132"/>
      <c r="P44" s="132"/>
      <c r="Q44" s="132"/>
      <c r="R44" s="132" t="str">
        <f>IFERROR(__xludf.DUMMYFUNCTION("""COMPUTED_VALUE"""),"Water")</f>
        <v>Water</v>
      </c>
      <c r="S44" s="132">
        <f>IFERROR(__xludf.DUMMYFUNCTION("""COMPUTED_VALUE"""),284.24)</f>
        <v>284.24</v>
      </c>
      <c r="T44" s="132">
        <f>IFERROR(__xludf.DUMMYFUNCTION("""COMPUTED_VALUE"""),56.848)</f>
        <v>56.848</v>
      </c>
      <c r="U44" s="132" t="str">
        <f>IFERROR(__xludf.DUMMYFUNCTION("""COMPUTED_VALUE"""),"Paid")</f>
        <v>Paid</v>
      </c>
      <c r="V44" s="132" t="str">
        <f>IFERROR(__xludf.DUMMYFUNCTION("""COMPUTED_VALUE"""),"Paid")</f>
        <v>Paid</v>
      </c>
      <c r="W44" s="132" t="str">
        <f>IFERROR(__xludf.DUMMYFUNCTION("""COMPUTED_VALUE"""),"Paid")</f>
        <v>Paid</v>
      </c>
      <c r="X44" s="132" t="str">
        <f>IFERROR(__xludf.DUMMYFUNCTION("""COMPUTED_VALUE"""),"Paid")</f>
        <v>Paid</v>
      </c>
      <c r="Y44" s="132" t="str">
        <f>IFERROR(__xludf.DUMMYFUNCTION("""COMPUTED_VALUE"""),"Paid")</f>
        <v>Paid</v>
      </c>
      <c r="Z44" s="132"/>
    </row>
    <row r="45">
      <c r="A45" s="133">
        <f>IFERROR(__xludf.DUMMYFUNCTION("""COMPUTED_VALUE"""),45480.0)</f>
        <v>45480</v>
      </c>
      <c r="B45" s="132" t="str">
        <f>IFERROR(__xludf.DUMMYFUNCTION("""COMPUTED_VALUE"""),"Food basic")</f>
        <v>Food basic</v>
      </c>
      <c r="C45" s="132" t="str">
        <f>IFERROR(__xludf.DUMMYFUNCTION("""COMPUTED_VALUE"""),"食物")</f>
        <v>食物</v>
      </c>
      <c r="D45" s="135">
        <f>IFERROR(__xludf.DUMMYFUNCTION("""COMPUTED_VALUE"""),12.12)</f>
        <v>12.12</v>
      </c>
      <c r="E45" s="132" t="str">
        <f>IFERROR(__xludf.DUMMYFUNCTION("""COMPUTED_VALUE"""),"Pigskin")</f>
        <v>Pigskin</v>
      </c>
      <c r="F45" s="132">
        <f>IFERROR(__xludf.DUMMYFUNCTION("""COMPUTED_VALUE"""),2.424)</f>
        <v>2.424</v>
      </c>
      <c r="G45" s="132">
        <f>IFERROR(__xludf.DUMMYFUNCTION("""COMPUTED_VALUE"""),2.424)</f>
        <v>2.424</v>
      </c>
      <c r="H45" s="132">
        <f>IFERROR(__xludf.DUMMYFUNCTION("""COMPUTED_VALUE"""),1.0)</f>
        <v>1</v>
      </c>
      <c r="I45" s="132">
        <f>IFERROR(__xludf.DUMMYFUNCTION("""COMPUTED_VALUE"""),1.0)</f>
        <v>1</v>
      </c>
      <c r="J45" s="132">
        <f>IFERROR(__xludf.DUMMYFUNCTION("""COMPUTED_VALUE"""),1.0)</f>
        <v>1</v>
      </c>
      <c r="K45" s="132">
        <f>IFERROR(__xludf.DUMMYFUNCTION("""COMPUTED_VALUE"""),1.0)</f>
        <v>1</v>
      </c>
      <c r="L45" s="132"/>
      <c r="M45" s="132"/>
      <c r="N45" s="132">
        <f>IFERROR(__xludf.DUMMYFUNCTION("""COMPUTED_VALUE"""),1.0)</f>
        <v>1</v>
      </c>
      <c r="O45" s="132"/>
      <c r="P45" s="132"/>
      <c r="Q45" s="132"/>
      <c r="R45" s="132" t="str">
        <f>IFERROR(__xludf.DUMMYFUNCTION("""COMPUTED_VALUE"""),"Heat(17/11-14/12)")</f>
        <v>Heat(17/11-14/12)</v>
      </c>
      <c r="S45" s="132">
        <f>IFERROR(__xludf.DUMMYFUNCTION("""COMPUTED_VALUE"""),149.7)</f>
        <v>149.7</v>
      </c>
      <c r="T45" s="132">
        <f>IFERROR(__xludf.DUMMYFUNCTION("""COMPUTED_VALUE"""),29.939999999999998)</f>
        <v>29.94</v>
      </c>
      <c r="U45" s="132" t="str">
        <f>IFERROR(__xludf.DUMMYFUNCTION("""COMPUTED_VALUE"""),"Paid")</f>
        <v>Paid</v>
      </c>
      <c r="V45" s="132" t="str">
        <f>IFERROR(__xludf.DUMMYFUNCTION("""COMPUTED_VALUE"""),"Paid")</f>
        <v>Paid</v>
      </c>
      <c r="W45" s="132" t="str">
        <f>IFERROR(__xludf.DUMMYFUNCTION("""COMPUTED_VALUE"""),"Paid")</f>
        <v>Paid</v>
      </c>
      <c r="X45" s="132" t="str">
        <f>IFERROR(__xludf.DUMMYFUNCTION("""COMPUTED_VALUE"""),"Paid")</f>
        <v>Paid</v>
      </c>
      <c r="Y45" s="132" t="str">
        <f>IFERROR(__xludf.DUMMYFUNCTION("""COMPUTED_VALUE"""),"Paid")</f>
        <v>Paid</v>
      </c>
      <c r="Z45" s="132"/>
    </row>
    <row r="46">
      <c r="A46" s="133">
        <f>IFERROR(__xludf.DUMMYFUNCTION("""COMPUTED_VALUE"""),45481.0)</f>
        <v>45481</v>
      </c>
      <c r="B46" s="132" t="str">
        <f>IFERROR(__xludf.DUMMYFUNCTION("""COMPUTED_VALUE"""),"Food basic")</f>
        <v>Food basic</v>
      </c>
      <c r="C46" s="132" t="str">
        <f>IFERROR(__xludf.DUMMYFUNCTION("""COMPUTED_VALUE"""),"食物")</f>
        <v>食物</v>
      </c>
      <c r="D46" s="132">
        <f>IFERROR(__xludf.DUMMYFUNCTION("""COMPUTED_VALUE"""),15.34)</f>
        <v>15.34</v>
      </c>
      <c r="E46" s="132" t="str">
        <f>IFERROR(__xludf.DUMMYFUNCTION("""COMPUTED_VALUE"""),"Pigskin")</f>
        <v>Pigskin</v>
      </c>
      <c r="F46" s="132">
        <f>IFERROR(__xludf.DUMMYFUNCTION("""COMPUTED_VALUE"""),2.1914285714285713)</f>
        <v>2.191428571</v>
      </c>
      <c r="G46" s="132">
        <f>IFERROR(__xludf.DUMMYFUNCTION("""COMPUTED_VALUE"""),2.1914285714285713)</f>
        <v>2.191428571</v>
      </c>
      <c r="H46" s="132">
        <f>IFERROR(__xludf.DUMMYFUNCTION("""COMPUTED_VALUE"""),1.0)</f>
        <v>1</v>
      </c>
      <c r="I46" s="132">
        <f>IFERROR(__xludf.DUMMYFUNCTION("""COMPUTED_VALUE"""),1.0)</f>
        <v>1</v>
      </c>
      <c r="J46" s="132">
        <f>IFERROR(__xludf.DUMMYFUNCTION("""COMPUTED_VALUE"""),1.0)</f>
        <v>1</v>
      </c>
      <c r="K46" s="132">
        <f>IFERROR(__xludf.DUMMYFUNCTION("""COMPUTED_VALUE"""),1.0)</f>
        <v>1</v>
      </c>
      <c r="L46" s="132">
        <f>IFERROR(__xludf.DUMMYFUNCTION("""COMPUTED_VALUE"""),1.0)</f>
        <v>1</v>
      </c>
      <c r="M46" s="132">
        <f>IFERROR(__xludf.DUMMYFUNCTION("""COMPUTED_VALUE"""),1.0)</f>
        <v>1</v>
      </c>
      <c r="N46" s="132">
        <f>IFERROR(__xludf.DUMMYFUNCTION("""COMPUTED_VALUE"""),1.0)</f>
        <v>1</v>
      </c>
      <c r="O46" s="132"/>
      <c r="P46" s="132"/>
      <c r="Q46" s="132"/>
      <c r="R46" s="132" t="str">
        <f>IFERROR(__xludf.DUMMYFUNCTION("""COMPUTED_VALUE"""),"Electricity")</f>
        <v>Electricity</v>
      </c>
      <c r="S46" s="132">
        <f>IFERROR(__xludf.DUMMYFUNCTION("""COMPUTED_VALUE"""),107.46)</f>
        <v>107.46</v>
      </c>
      <c r="T46" s="132">
        <f>IFERROR(__xludf.DUMMYFUNCTION("""COMPUTED_VALUE"""),21.491999999999997)</f>
        <v>21.492</v>
      </c>
      <c r="U46" s="132" t="str">
        <f>IFERROR(__xludf.DUMMYFUNCTION("""COMPUTED_VALUE"""),"Paid")</f>
        <v>Paid</v>
      </c>
      <c r="V46" s="132" t="str">
        <f>IFERROR(__xludf.DUMMYFUNCTION("""COMPUTED_VALUE"""),"Paid")</f>
        <v>Paid</v>
      </c>
      <c r="W46" s="132" t="str">
        <f>IFERROR(__xludf.DUMMYFUNCTION("""COMPUTED_VALUE"""),"Paid")</f>
        <v>Paid</v>
      </c>
      <c r="X46" s="132" t="str">
        <f>IFERROR(__xludf.DUMMYFUNCTION("""COMPUTED_VALUE"""),"Paid")</f>
        <v>Paid</v>
      </c>
      <c r="Y46" s="132" t="str">
        <f>IFERROR(__xludf.DUMMYFUNCTION("""COMPUTED_VALUE"""),"Paid")</f>
        <v>Paid</v>
      </c>
      <c r="Z46" s="132"/>
    </row>
    <row r="47">
      <c r="A47" s="133">
        <f>IFERROR(__xludf.DUMMYFUNCTION("""COMPUTED_VALUE"""),45482.0)</f>
        <v>45482</v>
      </c>
      <c r="B47" s="132" t="str">
        <f>IFERROR(__xludf.DUMMYFUNCTION("""COMPUTED_VALUE"""),"tnt")</f>
        <v>tnt</v>
      </c>
      <c r="C47" s="132" t="str">
        <f>IFERROR(__xludf.DUMMYFUNCTION("""COMPUTED_VALUE"""),"食物")</f>
        <v>食物</v>
      </c>
      <c r="D47" s="132">
        <f>IFERROR(__xludf.DUMMYFUNCTION("""COMPUTED_VALUE"""),71.0)</f>
        <v>71</v>
      </c>
      <c r="E47" s="132" t="str">
        <f>IFERROR(__xludf.DUMMYFUNCTION("""COMPUTED_VALUE"""),"Esther")</f>
        <v>Esther</v>
      </c>
      <c r="F47" s="132">
        <f>IFERROR(__xludf.DUMMYFUNCTION("""COMPUTED_VALUE"""),10.142857142857142)</f>
        <v>10.14285714</v>
      </c>
      <c r="G47" s="132">
        <f>IFERROR(__xludf.DUMMYFUNCTION("""COMPUTED_VALUE"""),10.142857142857142)</f>
        <v>10.14285714</v>
      </c>
      <c r="H47" s="132">
        <f>IFERROR(__xludf.DUMMYFUNCTION("""COMPUTED_VALUE"""),1.0)</f>
        <v>1</v>
      </c>
      <c r="I47" s="132">
        <f>IFERROR(__xludf.DUMMYFUNCTION("""COMPUTED_VALUE"""),1.0)</f>
        <v>1</v>
      </c>
      <c r="J47" s="132">
        <f>IFERROR(__xludf.DUMMYFUNCTION("""COMPUTED_VALUE"""),1.0)</f>
        <v>1</v>
      </c>
      <c r="K47" s="132">
        <f>IFERROR(__xludf.DUMMYFUNCTION("""COMPUTED_VALUE"""),1.0)</f>
        <v>1</v>
      </c>
      <c r="L47" s="132">
        <f>IFERROR(__xludf.DUMMYFUNCTION("""COMPUTED_VALUE"""),1.0)</f>
        <v>1</v>
      </c>
      <c r="M47" s="132">
        <f>IFERROR(__xludf.DUMMYFUNCTION("""COMPUTED_VALUE"""),1.0)</f>
        <v>1</v>
      </c>
      <c r="N47" s="132">
        <f>IFERROR(__xludf.DUMMYFUNCTION("""COMPUTED_VALUE"""),1.0)</f>
        <v>1</v>
      </c>
      <c r="O47" s="132"/>
      <c r="P47" s="132"/>
      <c r="Q47" s="132"/>
      <c r="R47" s="132" t="str">
        <f>IFERROR(__xludf.DUMMYFUNCTION("""COMPUTED_VALUE"""),"Internet")</f>
        <v>Internet</v>
      </c>
      <c r="S47" s="132">
        <f>IFERROR(__xludf.DUMMYFUNCTION("""COMPUTED_VALUE"""),56.5)</f>
        <v>56.5</v>
      </c>
      <c r="T47" s="132">
        <f>IFERROR(__xludf.DUMMYFUNCTION("""COMPUTED_VALUE"""),11.3)</f>
        <v>11.3</v>
      </c>
      <c r="U47" s="132" t="str">
        <f>IFERROR(__xludf.DUMMYFUNCTION("""COMPUTED_VALUE"""),"Paid")</f>
        <v>Paid</v>
      </c>
      <c r="V47" s="132" t="str">
        <f>IFERROR(__xludf.DUMMYFUNCTION("""COMPUTED_VALUE"""),"Paid")</f>
        <v>Paid</v>
      </c>
      <c r="W47" s="132" t="str">
        <f>IFERROR(__xludf.DUMMYFUNCTION("""COMPUTED_VALUE"""),"Paid")</f>
        <v>Paid</v>
      </c>
      <c r="X47" s="132" t="str">
        <f>IFERROR(__xludf.DUMMYFUNCTION("""COMPUTED_VALUE"""),"Paid")</f>
        <v>Paid</v>
      </c>
      <c r="Y47" s="132" t="str">
        <f>IFERROR(__xludf.DUMMYFUNCTION("""COMPUTED_VALUE"""),"Paid")</f>
        <v>Paid</v>
      </c>
      <c r="Z47" s="132"/>
    </row>
    <row r="48">
      <c r="A48" s="136">
        <f>IFERROR(__xludf.DUMMYFUNCTION("""COMPUTED_VALUE"""),45483.0)</f>
        <v>45483</v>
      </c>
      <c r="B48" s="132" t="str">
        <f>IFERROR(__xludf.DUMMYFUNCTION("""COMPUTED_VALUE"""),"Pizza")</f>
        <v>Pizza</v>
      </c>
      <c r="C48" s="132" t="str">
        <f>IFERROR(__xludf.DUMMYFUNCTION("""COMPUTED_VALUE"""),"食物")</f>
        <v>食物</v>
      </c>
      <c r="D48" s="132">
        <f>IFERROR(__xludf.DUMMYFUNCTION("""COMPUTED_VALUE"""),30.0)</f>
        <v>30</v>
      </c>
      <c r="E48" s="132" t="str">
        <f>IFERROR(__xludf.DUMMYFUNCTION("""COMPUTED_VALUE"""),"Timothy")</f>
        <v>Timothy</v>
      </c>
      <c r="F48" s="132">
        <f>IFERROR(__xludf.DUMMYFUNCTION("""COMPUTED_VALUE"""),10.0)</f>
        <v>10</v>
      </c>
      <c r="G48" s="132">
        <f>IFERROR(__xludf.DUMMYFUNCTION("""COMPUTED_VALUE"""),10.0)</f>
        <v>10</v>
      </c>
      <c r="H48" s="132">
        <f>IFERROR(__xludf.DUMMYFUNCTION("""COMPUTED_VALUE"""),1.0)</f>
        <v>1</v>
      </c>
      <c r="I48" s="132"/>
      <c r="J48" s="132">
        <f>IFERROR(__xludf.DUMMYFUNCTION("""COMPUTED_VALUE"""),1.0)</f>
        <v>1</v>
      </c>
      <c r="K48" s="132">
        <f>IFERROR(__xludf.DUMMYFUNCTION("""COMPUTED_VALUE"""),1.0)</f>
        <v>1</v>
      </c>
      <c r="L48" s="132"/>
      <c r="M48" s="132"/>
      <c r="N48" s="132"/>
      <c r="O48" s="132"/>
      <c r="P48" s="132"/>
      <c r="Q48" s="132"/>
      <c r="R48" s="132"/>
      <c r="S48" s="132">
        <f>IFERROR(__xludf.DUMMYFUNCTION("""COMPUTED_VALUE"""),4197.9)</f>
        <v>4197.9</v>
      </c>
      <c r="T48" s="132">
        <f>IFERROR(__xludf.DUMMYFUNCTION("""COMPUTED_VALUE"""),839.5799999999999)</f>
        <v>839.58</v>
      </c>
      <c r="U48" s="132"/>
      <c r="V48" s="132"/>
      <c r="W48" s="132"/>
      <c r="X48" s="132"/>
      <c r="Y48" s="132"/>
      <c r="Z48" s="132"/>
    </row>
    <row r="49">
      <c r="A49" s="133">
        <f>IFERROR(__xludf.DUMMYFUNCTION("""COMPUTED_VALUE"""),45484.0)</f>
        <v>45484</v>
      </c>
      <c r="B49" s="132" t="str">
        <f>IFERROR(__xludf.DUMMYFUNCTION("""COMPUTED_VALUE"""),"foody")</f>
        <v>foody</v>
      </c>
      <c r="C49" s="132" t="str">
        <f>IFERROR(__xludf.DUMMYFUNCTION("""COMPUTED_VALUE"""),"食物")</f>
        <v>食物</v>
      </c>
      <c r="D49" s="135">
        <f>IFERROR(__xludf.DUMMYFUNCTION("""COMPUTED_VALUE"""),38.62)</f>
        <v>38.62</v>
      </c>
      <c r="E49" s="132" t="str">
        <f>IFERROR(__xludf.DUMMYFUNCTION("""COMPUTED_VALUE"""),"BL")</f>
        <v>BL</v>
      </c>
      <c r="F49" s="132">
        <f>IFERROR(__xludf.DUMMYFUNCTION("""COMPUTED_VALUE"""),7.723999999999999)</f>
        <v>7.724</v>
      </c>
      <c r="G49" s="132">
        <f>IFERROR(__xludf.DUMMYFUNCTION("""COMPUTED_VALUE"""),7.723999999999999)</f>
        <v>7.724</v>
      </c>
      <c r="H49" s="132">
        <f>IFERROR(__xludf.DUMMYFUNCTION("""COMPUTED_VALUE"""),1.0)</f>
        <v>1</v>
      </c>
      <c r="I49" s="132">
        <f>IFERROR(__xludf.DUMMYFUNCTION("""COMPUTED_VALUE"""),1.0)</f>
        <v>1</v>
      </c>
      <c r="J49" s="132">
        <f>IFERROR(__xludf.DUMMYFUNCTION("""COMPUTED_VALUE"""),1.0)</f>
        <v>1</v>
      </c>
      <c r="K49" s="132">
        <f>IFERROR(__xludf.DUMMYFUNCTION("""COMPUTED_VALUE"""),1.0)</f>
        <v>1</v>
      </c>
      <c r="L49" s="132"/>
      <c r="M49" s="132">
        <f>IFERROR(__xludf.DUMMYFUNCTION("""COMPUTED_VALUE"""),1.0)</f>
        <v>1</v>
      </c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>
      <c r="A50" s="133">
        <f>IFERROR(__xludf.DUMMYFUNCTION("""COMPUTED_VALUE"""),45485.0)</f>
        <v>45485</v>
      </c>
      <c r="B50" s="132" t="str">
        <f>IFERROR(__xludf.DUMMYFUNCTION("""COMPUTED_VALUE"""),"Jsan")</f>
        <v>Jsan</v>
      </c>
      <c r="C50" s="132" t="str">
        <f>IFERROR(__xludf.DUMMYFUNCTION("""COMPUTED_VALUE"""),"食物")</f>
        <v>食物</v>
      </c>
      <c r="D50" s="132">
        <f>IFERROR(__xludf.DUMMYFUNCTION("""COMPUTED_VALUE"""),54.070499999999996)</f>
        <v>54.0705</v>
      </c>
      <c r="E50" s="132" t="str">
        <f>IFERROR(__xludf.DUMMYFUNCTION("""COMPUTED_VALUE"""),"Ivan")</f>
        <v>Ivan</v>
      </c>
      <c r="F50" s="132">
        <f>IFERROR(__xludf.DUMMYFUNCTION("""COMPUTED_VALUE"""),18.0235)</f>
        <v>18.0235</v>
      </c>
      <c r="G50" s="132">
        <f>IFERROR(__xludf.DUMMYFUNCTION("""COMPUTED_VALUE"""),18.0235)</f>
        <v>18.0235</v>
      </c>
      <c r="H50" s="132"/>
      <c r="I50" s="132"/>
      <c r="J50" s="132"/>
      <c r="K50" s="132">
        <f>IFERROR(__xludf.DUMMYFUNCTION("""COMPUTED_VALUE"""),1.0)</f>
        <v>1</v>
      </c>
      <c r="L50" s="132">
        <f>IFERROR(__xludf.DUMMYFUNCTION("""COMPUTED_VALUE"""),1.0)</f>
        <v>1</v>
      </c>
      <c r="M50" s="132">
        <f>IFERROR(__xludf.DUMMYFUNCTION("""COMPUTED_VALUE"""),1.0)</f>
        <v>1</v>
      </c>
      <c r="N50" s="132"/>
      <c r="O50" s="132"/>
      <c r="P50" s="132"/>
      <c r="Q50" s="134">
        <f>IFERROR(__xludf.DUMMYFUNCTION("""COMPUTED_VALUE"""),45292.0)</f>
        <v>45292</v>
      </c>
      <c r="R50" s="132" t="str">
        <f>IFERROR(__xludf.DUMMYFUNCTION("""COMPUTED_VALUE"""),"Rent")</f>
        <v>Rent</v>
      </c>
      <c r="S50" s="132">
        <f>IFERROR(__xludf.DUMMYFUNCTION("""COMPUTED_VALUE"""),3600.0)</f>
        <v>3600</v>
      </c>
      <c r="T50" s="132">
        <f>IFERROR(__xludf.DUMMYFUNCTION("""COMPUTED_VALUE"""),720.0)</f>
        <v>720</v>
      </c>
      <c r="U50" s="132" t="str">
        <f>IFERROR(__xludf.DUMMYFUNCTION("""COMPUTED_VALUE"""),"Paid")</f>
        <v>Paid</v>
      </c>
      <c r="V50" s="132" t="str">
        <f>IFERROR(__xludf.DUMMYFUNCTION("""COMPUTED_VALUE"""),"Paid")</f>
        <v>Paid</v>
      </c>
      <c r="W50" s="132" t="str">
        <f>IFERROR(__xludf.DUMMYFUNCTION("""COMPUTED_VALUE"""),"Paid")</f>
        <v>Paid</v>
      </c>
      <c r="X50" s="132" t="str">
        <f>IFERROR(__xludf.DUMMYFUNCTION("""COMPUTED_VALUE"""),"Paid")</f>
        <v>Paid</v>
      </c>
      <c r="Y50" s="132" t="str">
        <f>IFERROR(__xludf.DUMMYFUNCTION("""COMPUTED_VALUE"""),"Paid")</f>
        <v>Paid</v>
      </c>
      <c r="Z50" s="132"/>
    </row>
    <row r="51">
      <c r="A51" s="133">
        <f>IFERROR(__xludf.DUMMYFUNCTION("""COMPUTED_VALUE"""),45485.0)</f>
        <v>45485</v>
      </c>
      <c r="B51" s="132" t="str">
        <f>IFERROR(__xludf.DUMMYFUNCTION("""COMPUTED_VALUE"""),"Jsan")</f>
        <v>Jsan</v>
      </c>
      <c r="C51" s="132" t="str">
        <f>IFERROR(__xludf.DUMMYFUNCTION("""COMPUTED_VALUE"""),"食物")</f>
        <v>食物</v>
      </c>
      <c r="D51" s="132">
        <f>IFERROR(__xludf.DUMMYFUNCTION("""COMPUTED_VALUE"""),22.543499999999998)</f>
        <v>22.5435</v>
      </c>
      <c r="E51" s="132" t="str">
        <f>IFERROR(__xludf.DUMMYFUNCTION("""COMPUTED_VALUE"""),"Ivan")</f>
        <v>Ivan</v>
      </c>
      <c r="F51" s="132">
        <f>IFERROR(__xludf.DUMMYFUNCTION("""COMPUTED_VALUE"""),22.543499999999998)</f>
        <v>22.5435</v>
      </c>
      <c r="G51" s="132">
        <f>IFERROR(__xludf.DUMMYFUNCTION("""COMPUTED_VALUE"""),22.543499999999998)</f>
        <v>22.5435</v>
      </c>
      <c r="H51" s="132"/>
      <c r="I51" s="132">
        <f>IFERROR(__xludf.DUMMYFUNCTION("""COMPUTED_VALUE"""),1.0)</f>
        <v>1</v>
      </c>
      <c r="J51" s="132"/>
      <c r="K51" s="132"/>
      <c r="L51" s="132"/>
      <c r="M51" s="132"/>
      <c r="N51" s="132"/>
      <c r="O51" s="132"/>
      <c r="P51" s="132"/>
      <c r="Q51" s="132"/>
      <c r="R51" s="132" t="str">
        <f>IFERROR(__xludf.DUMMYFUNCTION("""COMPUTED_VALUE"""),"Water")</f>
        <v>Water</v>
      </c>
      <c r="S51" s="132"/>
      <c r="T51" s="132"/>
      <c r="U51" s="132"/>
      <c r="V51" s="132"/>
      <c r="W51" s="132"/>
      <c r="X51" s="132"/>
      <c r="Y51" s="132"/>
      <c r="Z51" s="132"/>
    </row>
    <row r="52">
      <c r="A52" s="133">
        <f>IFERROR(__xludf.DUMMYFUNCTION("""COMPUTED_VALUE"""),45485.0)</f>
        <v>45485</v>
      </c>
      <c r="B52" s="132" t="str">
        <f>IFERROR(__xludf.DUMMYFUNCTION("""COMPUTED_VALUE"""),"Jsan")</f>
        <v>Jsan</v>
      </c>
      <c r="C52" s="132" t="str">
        <f>IFERROR(__xludf.DUMMYFUNCTION("""COMPUTED_VALUE"""),"食物")</f>
        <v>食物</v>
      </c>
      <c r="D52" s="132">
        <f>IFERROR(__xludf.DUMMYFUNCTION("""COMPUTED_VALUE"""),23.673499999999997)</f>
        <v>23.6735</v>
      </c>
      <c r="E52" s="132" t="str">
        <f>IFERROR(__xludf.DUMMYFUNCTION("""COMPUTED_VALUE"""),"Ivan")</f>
        <v>Ivan</v>
      </c>
      <c r="F52" s="132">
        <f>IFERROR(__xludf.DUMMYFUNCTION("""COMPUTED_VALUE"""),11.836749999999999)</f>
        <v>11.83675</v>
      </c>
      <c r="G52" s="132">
        <f>IFERROR(__xludf.DUMMYFUNCTION("""COMPUTED_VALUE"""),11.836749999999999)</f>
        <v>11.83675</v>
      </c>
      <c r="H52" s="132">
        <f>IFERROR(__xludf.DUMMYFUNCTION("""COMPUTED_VALUE"""),1.0)</f>
        <v>1</v>
      </c>
      <c r="I52" s="132"/>
      <c r="J52" s="132">
        <f>IFERROR(__xludf.DUMMYFUNCTION("""COMPUTED_VALUE"""),1.0)</f>
        <v>1</v>
      </c>
      <c r="K52" s="132"/>
      <c r="L52" s="132"/>
      <c r="M52" s="132"/>
      <c r="N52" s="132"/>
      <c r="O52" s="132"/>
      <c r="P52" s="132"/>
      <c r="Q52" s="132"/>
      <c r="R52" s="132" t="str">
        <f>IFERROR(__xludf.DUMMYFUNCTION("""COMPUTED_VALUE"""),"Heat")</f>
        <v>Heat</v>
      </c>
      <c r="S52" s="132">
        <f>IFERROR(__xludf.DUMMYFUNCTION("""COMPUTED_VALUE"""),210.09)</f>
        <v>210.09</v>
      </c>
      <c r="T52" s="132">
        <f>IFERROR(__xludf.DUMMYFUNCTION("""COMPUTED_VALUE"""),42.018)</f>
        <v>42.018</v>
      </c>
      <c r="U52" s="132" t="str">
        <f>IFERROR(__xludf.DUMMYFUNCTION("""COMPUTED_VALUE"""),"Paid")</f>
        <v>Paid</v>
      </c>
      <c r="V52" s="132" t="str">
        <f>IFERROR(__xludf.DUMMYFUNCTION("""COMPUTED_VALUE"""),"Paid")</f>
        <v>Paid</v>
      </c>
      <c r="W52" s="132" t="str">
        <f>IFERROR(__xludf.DUMMYFUNCTION("""COMPUTED_VALUE"""),"Paid")</f>
        <v>Paid</v>
      </c>
      <c r="X52" s="132" t="str">
        <f>IFERROR(__xludf.DUMMYFUNCTION("""COMPUTED_VALUE"""),"Paid")</f>
        <v>Paid</v>
      </c>
      <c r="Y52" s="132" t="str">
        <f>IFERROR(__xludf.DUMMYFUNCTION("""COMPUTED_VALUE"""),"Paid")</f>
        <v>Paid</v>
      </c>
      <c r="Z52" s="132"/>
    </row>
    <row r="53">
      <c r="A53" s="133">
        <f>IFERROR(__xludf.DUMMYFUNCTION("""COMPUTED_VALUE"""),45486.0)</f>
        <v>45486</v>
      </c>
      <c r="B53" s="132" t="str">
        <f>IFERROR(__xludf.DUMMYFUNCTION("""COMPUTED_VALUE"""),"sam woo")</f>
        <v>sam woo</v>
      </c>
      <c r="C53" s="132" t="str">
        <f>IFERROR(__xludf.DUMMYFUNCTION("""COMPUTED_VALUE"""),"食物")</f>
        <v>食物</v>
      </c>
      <c r="D53" s="132">
        <f>IFERROR(__xludf.DUMMYFUNCTION("""COMPUTED_VALUE"""),66.11)</f>
        <v>66.11</v>
      </c>
      <c r="E53" s="132" t="str">
        <f>IFERROR(__xludf.DUMMYFUNCTION("""COMPUTED_VALUE"""),"Timothy")</f>
        <v>Timothy</v>
      </c>
      <c r="F53" s="132">
        <f>IFERROR(__xludf.DUMMYFUNCTION("""COMPUTED_VALUE"""),13.222)</f>
        <v>13.222</v>
      </c>
      <c r="G53" s="132">
        <f>IFERROR(__xludf.DUMMYFUNCTION("""COMPUTED_VALUE"""),13.222)</f>
        <v>13.222</v>
      </c>
      <c r="H53" s="132"/>
      <c r="I53" s="132">
        <f>IFERROR(__xludf.DUMMYFUNCTION("""COMPUTED_VALUE"""),1.0)</f>
        <v>1</v>
      </c>
      <c r="J53" s="132">
        <f>IFERROR(__xludf.DUMMYFUNCTION("""COMPUTED_VALUE"""),1.0)</f>
        <v>1</v>
      </c>
      <c r="K53" s="132">
        <f>IFERROR(__xludf.DUMMYFUNCTION("""COMPUTED_VALUE"""),1.0)</f>
        <v>1</v>
      </c>
      <c r="L53" s="132">
        <f>IFERROR(__xludf.DUMMYFUNCTION("""COMPUTED_VALUE"""),1.0)</f>
        <v>1</v>
      </c>
      <c r="M53" s="132">
        <f>IFERROR(__xludf.DUMMYFUNCTION("""COMPUTED_VALUE"""),1.0)</f>
        <v>1</v>
      </c>
      <c r="N53" s="132"/>
      <c r="O53" s="132"/>
      <c r="P53" s="132"/>
      <c r="Q53" s="132"/>
      <c r="R53" s="132" t="str">
        <f>IFERROR(__xludf.DUMMYFUNCTION("""COMPUTED_VALUE"""),"Electricity")</f>
        <v>Electricity</v>
      </c>
      <c r="S53" s="132">
        <f>IFERROR(__xludf.DUMMYFUNCTION("""COMPUTED_VALUE"""),111.7)</f>
        <v>111.7</v>
      </c>
      <c r="T53" s="132">
        <f>IFERROR(__xludf.DUMMYFUNCTION("""COMPUTED_VALUE"""),22.34)</f>
        <v>22.34</v>
      </c>
      <c r="U53" s="132" t="str">
        <f>IFERROR(__xludf.DUMMYFUNCTION("""COMPUTED_VALUE"""),"Paid")</f>
        <v>Paid</v>
      </c>
      <c r="V53" s="132" t="str">
        <f>IFERROR(__xludf.DUMMYFUNCTION("""COMPUTED_VALUE"""),"Paid")</f>
        <v>Paid</v>
      </c>
      <c r="W53" s="132" t="str">
        <f>IFERROR(__xludf.DUMMYFUNCTION("""COMPUTED_VALUE"""),"Paid")</f>
        <v>Paid</v>
      </c>
      <c r="X53" s="132" t="str">
        <f>IFERROR(__xludf.DUMMYFUNCTION("""COMPUTED_VALUE"""),"Paid")</f>
        <v>Paid</v>
      </c>
      <c r="Y53" s="132" t="str">
        <f>IFERROR(__xludf.DUMMYFUNCTION("""COMPUTED_VALUE"""),"Paid")</f>
        <v>Paid</v>
      </c>
      <c r="Z53" s="132"/>
    </row>
    <row r="54">
      <c r="A54" s="133">
        <f>IFERROR(__xludf.DUMMYFUNCTION("""COMPUTED_VALUE"""),45487.0)</f>
        <v>45487</v>
      </c>
      <c r="B54" s="132" t="str">
        <f>IFERROR(__xludf.DUMMYFUNCTION("""COMPUTED_VALUE"""),"gyubee")</f>
        <v>gyubee</v>
      </c>
      <c r="C54" s="132" t="str">
        <f>IFERROR(__xludf.DUMMYFUNCTION("""COMPUTED_VALUE"""),"食物")</f>
        <v>食物</v>
      </c>
      <c r="D54" s="132">
        <f>IFERROR(__xludf.DUMMYFUNCTION("""COMPUTED_VALUE"""),200.0)</f>
        <v>200</v>
      </c>
      <c r="E54" s="132" t="str">
        <f>IFERROR(__xludf.DUMMYFUNCTION("""COMPUTED_VALUE"""),"Timothy")</f>
        <v>Timothy</v>
      </c>
      <c r="F54" s="132">
        <f>IFERROR(__xludf.DUMMYFUNCTION("""COMPUTED_VALUE"""),40.0)</f>
        <v>40</v>
      </c>
      <c r="G54" s="132">
        <f>IFERROR(__xludf.DUMMYFUNCTION("""COMPUTED_VALUE"""),40.0)</f>
        <v>40</v>
      </c>
      <c r="H54" s="132">
        <f>IFERROR(__xludf.DUMMYFUNCTION("""COMPUTED_VALUE"""),1.0)</f>
        <v>1</v>
      </c>
      <c r="I54" s="132">
        <f>IFERROR(__xludf.DUMMYFUNCTION("""COMPUTED_VALUE"""),1.0)</f>
        <v>1</v>
      </c>
      <c r="J54" s="132">
        <f>IFERROR(__xludf.DUMMYFUNCTION("""COMPUTED_VALUE"""),1.0)</f>
        <v>1</v>
      </c>
      <c r="K54" s="132">
        <f>IFERROR(__xludf.DUMMYFUNCTION("""COMPUTED_VALUE"""),1.0)</f>
        <v>1</v>
      </c>
      <c r="L54" s="132"/>
      <c r="M54" s="132">
        <f>IFERROR(__xludf.DUMMYFUNCTION("""COMPUTED_VALUE"""),1.0)</f>
        <v>1</v>
      </c>
      <c r="N54" s="132"/>
      <c r="O54" s="132"/>
      <c r="P54" s="132"/>
      <c r="Q54" s="132"/>
      <c r="R54" s="132" t="str">
        <f>IFERROR(__xludf.DUMMYFUNCTION("""COMPUTED_VALUE"""),"Internet")</f>
        <v>Internet</v>
      </c>
      <c r="S54" s="132">
        <f>IFERROR(__xludf.DUMMYFUNCTION("""COMPUTED_VALUE"""),56.5)</f>
        <v>56.5</v>
      </c>
      <c r="T54" s="132">
        <f>IFERROR(__xludf.DUMMYFUNCTION("""COMPUTED_VALUE"""),11.3)</f>
        <v>11.3</v>
      </c>
      <c r="U54" s="132" t="str">
        <f>IFERROR(__xludf.DUMMYFUNCTION("""COMPUTED_VALUE"""),"Paid")</f>
        <v>Paid</v>
      </c>
      <c r="V54" s="132" t="str">
        <f>IFERROR(__xludf.DUMMYFUNCTION("""COMPUTED_VALUE"""),"Paid")</f>
        <v>Paid</v>
      </c>
      <c r="W54" s="132" t="str">
        <f>IFERROR(__xludf.DUMMYFUNCTION("""COMPUTED_VALUE"""),"Paid")</f>
        <v>Paid</v>
      </c>
      <c r="X54" s="132" t="str">
        <f>IFERROR(__xludf.DUMMYFUNCTION("""COMPUTED_VALUE"""),"Paid")</f>
        <v>Paid</v>
      </c>
      <c r="Y54" s="132" t="str">
        <f>IFERROR(__xludf.DUMMYFUNCTION("""COMPUTED_VALUE"""),"Paid")</f>
        <v>Paid</v>
      </c>
      <c r="Z54" s="132"/>
    </row>
    <row r="55">
      <c r="A55" s="133">
        <f>IFERROR(__xludf.DUMMYFUNCTION("""COMPUTED_VALUE"""),45487.0)</f>
        <v>45487</v>
      </c>
      <c r="B55" s="132" t="str">
        <f>IFERROR(__xludf.DUMMYFUNCTION("""COMPUTED_VALUE"""),"gyubee")</f>
        <v>gyubee</v>
      </c>
      <c r="C55" s="132" t="str">
        <f>IFERROR(__xludf.DUMMYFUNCTION("""COMPUTED_VALUE"""),"食物")</f>
        <v>食物</v>
      </c>
      <c r="D55" s="132">
        <f>IFERROR(__xludf.DUMMYFUNCTION("""COMPUTED_VALUE"""),70.0)</f>
        <v>70</v>
      </c>
      <c r="E55" s="132" t="str">
        <f>IFERROR(__xludf.DUMMYFUNCTION("""COMPUTED_VALUE"""),"Pigskin")</f>
        <v>Pigskin</v>
      </c>
      <c r="F55" s="132">
        <f>IFERROR(__xludf.DUMMYFUNCTION("""COMPUTED_VALUE"""),14.0)</f>
        <v>14</v>
      </c>
      <c r="G55" s="132">
        <f>IFERROR(__xludf.DUMMYFUNCTION("""COMPUTED_VALUE"""),14.0)</f>
        <v>14</v>
      </c>
      <c r="H55" s="132">
        <f>IFERROR(__xludf.DUMMYFUNCTION("""COMPUTED_VALUE"""),1.0)</f>
        <v>1</v>
      </c>
      <c r="I55" s="132">
        <f>IFERROR(__xludf.DUMMYFUNCTION("""COMPUTED_VALUE"""),1.0)</f>
        <v>1</v>
      </c>
      <c r="J55" s="132">
        <f>IFERROR(__xludf.DUMMYFUNCTION("""COMPUTED_VALUE"""),1.0)</f>
        <v>1</v>
      </c>
      <c r="K55" s="132">
        <f>IFERROR(__xludf.DUMMYFUNCTION("""COMPUTED_VALUE"""),1.0)</f>
        <v>1</v>
      </c>
      <c r="L55" s="132"/>
      <c r="M55" s="132">
        <f>IFERROR(__xludf.DUMMYFUNCTION("""COMPUTED_VALUE"""),1.0)</f>
        <v>1</v>
      </c>
      <c r="N55" s="132"/>
      <c r="O55" s="132"/>
      <c r="P55" s="132"/>
      <c r="Q55" s="132"/>
      <c r="R55" s="132"/>
      <c r="S55" s="132">
        <f>IFERROR(__xludf.DUMMYFUNCTION("""COMPUTED_VALUE"""),3978.29)</f>
        <v>3978.29</v>
      </c>
      <c r="T55" s="132">
        <f>IFERROR(__xludf.DUMMYFUNCTION("""COMPUTED_VALUE"""),795.658)</f>
        <v>795.658</v>
      </c>
      <c r="U55" s="132"/>
      <c r="V55" s="132"/>
      <c r="W55" s="132"/>
      <c r="X55" s="132"/>
      <c r="Y55" s="132"/>
      <c r="Z55" s="132"/>
    </row>
    <row r="56">
      <c r="A56" s="133">
        <f>IFERROR(__xludf.DUMMYFUNCTION("""COMPUTED_VALUE"""),45488.0)</f>
        <v>45488</v>
      </c>
      <c r="B56" s="132" t="str">
        <f>IFERROR(__xludf.DUMMYFUNCTION("""COMPUTED_VALUE"""),"foody")</f>
        <v>foody</v>
      </c>
      <c r="C56" s="132" t="str">
        <f>IFERROR(__xludf.DUMMYFUNCTION("""COMPUTED_VALUE"""),"食物")</f>
        <v>食物</v>
      </c>
      <c r="D56" s="132">
        <f>IFERROR(__xludf.DUMMYFUNCTION("""COMPUTED_VALUE"""),18.09)</f>
        <v>18.09</v>
      </c>
      <c r="E56" s="132" t="str">
        <f>IFERROR(__xludf.DUMMYFUNCTION("""COMPUTED_VALUE"""),"Rachel")</f>
        <v>Rachel</v>
      </c>
      <c r="F56" s="132">
        <f>IFERROR(__xludf.DUMMYFUNCTION("""COMPUTED_VALUE"""),3.618)</f>
        <v>3.618</v>
      </c>
      <c r="G56" s="132">
        <f>IFERROR(__xludf.DUMMYFUNCTION("""COMPUTED_VALUE"""),3.618)</f>
        <v>3.618</v>
      </c>
      <c r="H56" s="132">
        <f>IFERROR(__xludf.DUMMYFUNCTION("""COMPUTED_VALUE"""),1.0)</f>
        <v>1</v>
      </c>
      <c r="I56" s="132">
        <f>IFERROR(__xludf.DUMMYFUNCTION("""COMPUTED_VALUE"""),1.0)</f>
        <v>1</v>
      </c>
      <c r="J56" s="132">
        <f>IFERROR(__xludf.DUMMYFUNCTION("""COMPUTED_VALUE"""),1.0)</f>
        <v>1</v>
      </c>
      <c r="K56" s="132">
        <f>IFERROR(__xludf.DUMMYFUNCTION("""COMPUTED_VALUE"""),1.0)</f>
        <v>1</v>
      </c>
      <c r="L56" s="132"/>
      <c r="M56" s="132">
        <f>IFERROR(__xludf.DUMMYFUNCTION("""COMPUTED_VALUE"""),1.0)</f>
        <v>1</v>
      </c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6">
        <f>IFERROR(__xludf.DUMMYFUNCTION("""COMPUTED_VALUE"""),45489.0)</f>
        <v>45489</v>
      </c>
      <c r="B57" s="132" t="str">
        <f>IFERROR(__xludf.DUMMYFUNCTION("""COMPUTED_VALUE"""),"foody")</f>
        <v>foody</v>
      </c>
      <c r="C57" s="132" t="str">
        <f>IFERROR(__xludf.DUMMYFUNCTION("""COMPUTED_VALUE"""),"食物")</f>
        <v>食物</v>
      </c>
      <c r="D57" s="132">
        <f>IFERROR(__xludf.DUMMYFUNCTION("""COMPUTED_VALUE"""),50.23)</f>
        <v>50.23</v>
      </c>
      <c r="E57" s="132" t="str">
        <f>IFERROR(__xludf.DUMMYFUNCTION("""COMPUTED_VALUE"""),"Pigskin")</f>
        <v>Pigskin</v>
      </c>
      <c r="F57" s="132">
        <f>IFERROR(__xludf.DUMMYFUNCTION("""COMPUTED_VALUE"""),10.046)</f>
        <v>10.046</v>
      </c>
      <c r="G57" s="132">
        <f>IFERROR(__xludf.DUMMYFUNCTION("""COMPUTED_VALUE"""),10.046)</f>
        <v>10.046</v>
      </c>
      <c r="H57" s="132">
        <f>IFERROR(__xludf.DUMMYFUNCTION("""COMPUTED_VALUE"""),1.0)</f>
        <v>1</v>
      </c>
      <c r="I57" s="132">
        <f>IFERROR(__xludf.DUMMYFUNCTION("""COMPUTED_VALUE"""),1.0)</f>
        <v>1</v>
      </c>
      <c r="J57" s="132">
        <f>IFERROR(__xludf.DUMMYFUNCTION("""COMPUTED_VALUE"""),1.0)</f>
        <v>1</v>
      </c>
      <c r="K57" s="132">
        <f>IFERROR(__xludf.DUMMYFUNCTION("""COMPUTED_VALUE"""),1.0)</f>
        <v>1</v>
      </c>
      <c r="L57" s="132"/>
      <c r="M57" s="132">
        <f>IFERROR(__xludf.DUMMYFUNCTION("""COMPUTED_VALUE"""),1.0)</f>
        <v>1</v>
      </c>
      <c r="N57" s="132"/>
      <c r="O57" s="132"/>
      <c r="P57" s="132"/>
      <c r="Q57" s="134">
        <f>IFERROR(__xludf.DUMMYFUNCTION("""COMPUTED_VALUE"""),45323.0)</f>
        <v>45323</v>
      </c>
      <c r="R57" s="132" t="str">
        <f>IFERROR(__xludf.DUMMYFUNCTION("""COMPUTED_VALUE"""),"Rent")</f>
        <v>Rent</v>
      </c>
      <c r="S57" s="132">
        <f>IFERROR(__xludf.DUMMYFUNCTION("""COMPUTED_VALUE"""),3600.0)</f>
        <v>3600</v>
      </c>
      <c r="T57" s="132">
        <f>IFERROR(__xludf.DUMMYFUNCTION("""COMPUTED_VALUE"""),720.0)</f>
        <v>720</v>
      </c>
      <c r="U57" s="132" t="str">
        <f>IFERROR(__xludf.DUMMYFUNCTION("""COMPUTED_VALUE"""),"Paid")</f>
        <v>Paid</v>
      </c>
      <c r="V57" s="132" t="str">
        <f>IFERROR(__xludf.DUMMYFUNCTION("""COMPUTED_VALUE"""),"Paid")</f>
        <v>Paid</v>
      </c>
      <c r="W57" s="132" t="str">
        <f>IFERROR(__xludf.DUMMYFUNCTION("""COMPUTED_VALUE"""),"Paid")</f>
        <v>Paid</v>
      </c>
      <c r="X57" s="132" t="str">
        <f>IFERROR(__xludf.DUMMYFUNCTION("""COMPUTED_VALUE"""),"Paid")</f>
        <v>Paid</v>
      </c>
      <c r="Y57" s="132" t="str">
        <f>IFERROR(__xludf.DUMMYFUNCTION("""COMPUTED_VALUE"""),"Paid")</f>
        <v>Paid</v>
      </c>
      <c r="Z57" s="132"/>
    </row>
    <row r="58">
      <c r="A58" s="133">
        <f>IFERROR(__xludf.DUMMYFUNCTION("""COMPUTED_VALUE"""),45490.0)</f>
        <v>45490</v>
      </c>
      <c r="B58" s="132" t="str">
        <f>IFERROR(__xludf.DUMMYFUNCTION("""COMPUTED_VALUE"""),"Charsiu")</f>
        <v>Charsiu</v>
      </c>
      <c r="C58" s="132" t="str">
        <f>IFERROR(__xludf.DUMMYFUNCTION("""COMPUTED_VALUE"""),"食物")</f>
        <v>食物</v>
      </c>
      <c r="D58" s="132">
        <f>IFERROR(__xludf.DUMMYFUNCTION("""COMPUTED_VALUE"""),23.73)</f>
        <v>23.73</v>
      </c>
      <c r="E58" s="132" t="str">
        <f>IFERROR(__xludf.DUMMYFUNCTION("""COMPUTED_VALUE"""),"Pigskin")</f>
        <v>Pigskin</v>
      </c>
      <c r="F58" s="132">
        <f>IFERROR(__xludf.DUMMYFUNCTION("""COMPUTED_VALUE"""),3.955)</f>
        <v>3.955</v>
      </c>
      <c r="G58" s="132">
        <f>IFERROR(__xludf.DUMMYFUNCTION("""COMPUTED_VALUE"""),3.955)</f>
        <v>3.955</v>
      </c>
      <c r="H58" s="132">
        <f>IFERROR(__xludf.DUMMYFUNCTION("""COMPUTED_VALUE"""),1.0)</f>
        <v>1</v>
      </c>
      <c r="I58" s="132">
        <f>IFERROR(__xludf.DUMMYFUNCTION("""COMPUTED_VALUE"""),1.0)</f>
        <v>1</v>
      </c>
      <c r="J58" s="132">
        <f>IFERROR(__xludf.DUMMYFUNCTION("""COMPUTED_VALUE"""),1.0)</f>
        <v>1</v>
      </c>
      <c r="K58" s="132">
        <f>IFERROR(__xludf.DUMMYFUNCTION("""COMPUTED_VALUE"""),1.0)</f>
        <v>1</v>
      </c>
      <c r="L58" s="132"/>
      <c r="M58" s="132">
        <f>IFERROR(__xludf.DUMMYFUNCTION("""COMPUTED_VALUE"""),1.0)</f>
        <v>1</v>
      </c>
      <c r="N58" s="132">
        <f>IFERROR(__xludf.DUMMYFUNCTION("""COMPUTED_VALUE"""),1.0)</f>
        <v>1</v>
      </c>
      <c r="O58" s="132"/>
      <c r="P58" s="132"/>
      <c r="Q58" s="132"/>
      <c r="R58" s="132" t="str">
        <f>IFERROR(__xludf.DUMMYFUNCTION("""COMPUTED_VALUE"""),"Water")</f>
        <v>Water</v>
      </c>
      <c r="S58" s="132"/>
      <c r="T58" s="132"/>
      <c r="U58" s="132"/>
      <c r="V58" s="132"/>
      <c r="W58" s="132"/>
      <c r="X58" s="132"/>
      <c r="Y58" s="132"/>
      <c r="Z58" s="132"/>
    </row>
    <row r="59">
      <c r="A59" s="133">
        <f>IFERROR(__xludf.DUMMYFUNCTION("""COMPUTED_VALUE"""),45490.0)</f>
        <v>45490</v>
      </c>
      <c r="B59" s="132" t="str">
        <f>IFERROR(__xludf.DUMMYFUNCTION("""COMPUTED_VALUE"""),"Foody")</f>
        <v>Foody</v>
      </c>
      <c r="C59" s="132" t="str">
        <f>IFERROR(__xludf.DUMMYFUNCTION("""COMPUTED_VALUE"""),"食物")</f>
        <v>食物</v>
      </c>
      <c r="D59" s="132">
        <f>IFERROR(__xludf.DUMMYFUNCTION("""COMPUTED_VALUE"""),20.9826)</f>
        <v>20.9826</v>
      </c>
      <c r="E59" s="132" t="str">
        <f>IFERROR(__xludf.DUMMYFUNCTION("""COMPUTED_VALUE"""),"Pigskin")</f>
        <v>Pigskin</v>
      </c>
      <c r="F59" s="132">
        <f>IFERROR(__xludf.DUMMYFUNCTION("""COMPUTED_VALUE"""),3.4971)</f>
        <v>3.4971</v>
      </c>
      <c r="G59" s="132">
        <f>IFERROR(__xludf.DUMMYFUNCTION("""COMPUTED_VALUE"""),3.4971)</f>
        <v>3.4971</v>
      </c>
      <c r="H59" s="132">
        <f>IFERROR(__xludf.DUMMYFUNCTION("""COMPUTED_VALUE"""),1.0)</f>
        <v>1</v>
      </c>
      <c r="I59" s="132">
        <f>IFERROR(__xludf.DUMMYFUNCTION("""COMPUTED_VALUE"""),1.0)</f>
        <v>1</v>
      </c>
      <c r="J59" s="132">
        <f>IFERROR(__xludf.DUMMYFUNCTION("""COMPUTED_VALUE"""),1.0)</f>
        <v>1</v>
      </c>
      <c r="K59" s="132">
        <f>IFERROR(__xludf.DUMMYFUNCTION("""COMPUTED_VALUE"""),1.0)</f>
        <v>1</v>
      </c>
      <c r="L59" s="132"/>
      <c r="M59" s="132">
        <f>IFERROR(__xludf.DUMMYFUNCTION("""COMPUTED_VALUE"""),1.0)</f>
        <v>1</v>
      </c>
      <c r="N59" s="132">
        <f>IFERROR(__xludf.DUMMYFUNCTION("""COMPUTED_VALUE"""),1.0)</f>
        <v>1</v>
      </c>
      <c r="O59" s="132"/>
      <c r="P59" s="132"/>
      <c r="Q59" s="132"/>
      <c r="R59" s="132" t="str">
        <f>IFERROR(__xludf.DUMMYFUNCTION("""COMPUTED_VALUE"""),"Heat")</f>
        <v>Heat</v>
      </c>
      <c r="S59" s="132">
        <f>IFERROR(__xludf.DUMMYFUNCTION("""COMPUTED_VALUE"""),198.76)</f>
        <v>198.76</v>
      </c>
      <c r="T59" s="135">
        <f>IFERROR(__xludf.DUMMYFUNCTION("""COMPUTED_VALUE"""),33.126666666666665)</f>
        <v>33.12666667</v>
      </c>
      <c r="U59" s="132" t="str">
        <f>IFERROR(__xludf.DUMMYFUNCTION("""COMPUTED_VALUE"""),"Paid")</f>
        <v>Paid</v>
      </c>
      <c r="V59" s="132" t="str">
        <f>IFERROR(__xludf.DUMMYFUNCTION("""COMPUTED_VALUE"""),"Paid")</f>
        <v>Paid</v>
      </c>
      <c r="W59" s="132" t="str">
        <f>IFERROR(__xludf.DUMMYFUNCTION("""COMPUTED_VALUE"""),"Paid")</f>
        <v>Paid</v>
      </c>
      <c r="X59" s="132" t="str">
        <f>IFERROR(__xludf.DUMMYFUNCTION("""COMPUTED_VALUE"""),"Paid")</f>
        <v>Paid</v>
      </c>
      <c r="Y59" s="132" t="str">
        <f>IFERROR(__xludf.DUMMYFUNCTION("""COMPUTED_VALUE"""),"Paid")</f>
        <v>Paid</v>
      </c>
      <c r="Z59" s="132"/>
    </row>
    <row r="60">
      <c r="A60" s="133">
        <f>IFERROR(__xludf.DUMMYFUNCTION("""COMPUTED_VALUE"""),45491.0)</f>
        <v>45491</v>
      </c>
      <c r="B60" s="132" t="str">
        <f>IFERROR(__xludf.DUMMYFUNCTION("""COMPUTED_VALUE"""),"foody")</f>
        <v>foody</v>
      </c>
      <c r="C60" s="132" t="str">
        <f>IFERROR(__xludf.DUMMYFUNCTION("""COMPUTED_VALUE"""),"食物")</f>
        <v>食物</v>
      </c>
      <c r="D60" s="132">
        <f>IFERROR(__xludf.DUMMYFUNCTION("""COMPUTED_VALUE"""),31.659999999999997)</f>
        <v>31.66</v>
      </c>
      <c r="E60" s="132" t="str">
        <f>IFERROR(__xludf.DUMMYFUNCTION("""COMPUTED_VALUE"""),"BL")</f>
        <v>BL</v>
      </c>
      <c r="F60" s="132">
        <f>IFERROR(__xludf.DUMMYFUNCTION("""COMPUTED_VALUE"""),6.331999999999999)</f>
        <v>6.332</v>
      </c>
      <c r="G60" s="132">
        <f>IFERROR(__xludf.DUMMYFUNCTION("""COMPUTED_VALUE"""),6.331999999999999)</f>
        <v>6.332</v>
      </c>
      <c r="H60" s="132">
        <f>IFERROR(__xludf.DUMMYFUNCTION("""COMPUTED_VALUE"""),1.0)</f>
        <v>1</v>
      </c>
      <c r="I60" s="132">
        <f>IFERROR(__xludf.DUMMYFUNCTION("""COMPUTED_VALUE"""),1.0)</f>
        <v>1</v>
      </c>
      <c r="J60" s="132">
        <f>IFERROR(__xludf.DUMMYFUNCTION("""COMPUTED_VALUE"""),1.0)</f>
        <v>1</v>
      </c>
      <c r="K60" s="132">
        <f>IFERROR(__xludf.DUMMYFUNCTION("""COMPUTED_VALUE"""),1.0)</f>
        <v>1</v>
      </c>
      <c r="L60" s="132"/>
      <c r="M60" s="132"/>
      <c r="N60" s="132">
        <f>IFERROR(__xludf.DUMMYFUNCTION("""COMPUTED_VALUE"""),1.0)</f>
        <v>1</v>
      </c>
      <c r="O60" s="132"/>
      <c r="P60" s="132"/>
      <c r="Q60" s="132"/>
      <c r="R60" s="132" t="str">
        <f>IFERROR(__xludf.DUMMYFUNCTION("""COMPUTED_VALUE"""),"Electricity")</f>
        <v>Electricity</v>
      </c>
      <c r="S60" s="132">
        <f>IFERROR(__xludf.DUMMYFUNCTION("""COMPUTED_VALUE"""),117.83)</f>
        <v>117.83</v>
      </c>
      <c r="T60" s="135">
        <f>IFERROR(__xludf.DUMMYFUNCTION("""COMPUTED_VALUE"""),19.638333333333332)</f>
        <v>19.63833333</v>
      </c>
      <c r="U60" s="132" t="str">
        <f>IFERROR(__xludf.DUMMYFUNCTION("""COMPUTED_VALUE"""),"Paid")</f>
        <v>Paid</v>
      </c>
      <c r="V60" s="132" t="str">
        <f>IFERROR(__xludf.DUMMYFUNCTION("""COMPUTED_VALUE"""),"Paid")</f>
        <v>Paid</v>
      </c>
      <c r="W60" s="132" t="str">
        <f>IFERROR(__xludf.DUMMYFUNCTION("""COMPUTED_VALUE"""),"Paid")</f>
        <v>Paid</v>
      </c>
      <c r="X60" s="132" t="str">
        <f>IFERROR(__xludf.DUMMYFUNCTION("""COMPUTED_VALUE"""),"Paid")</f>
        <v>Paid</v>
      </c>
      <c r="Y60" s="132" t="str">
        <f>IFERROR(__xludf.DUMMYFUNCTION("""COMPUTED_VALUE"""),"Paid")</f>
        <v>Paid</v>
      </c>
      <c r="Z60" s="132"/>
    </row>
    <row r="61">
      <c r="A61" s="133">
        <f>IFERROR(__xludf.DUMMYFUNCTION("""COMPUTED_VALUE"""),45492.0)</f>
        <v>45492</v>
      </c>
      <c r="B61" s="132" t="str">
        <f>IFERROR(__xludf.DUMMYFUNCTION("""COMPUTED_VALUE"""),"法棍")</f>
        <v>法棍</v>
      </c>
      <c r="C61" s="132" t="str">
        <f>IFERROR(__xludf.DUMMYFUNCTION("""COMPUTED_VALUE"""),"食物")</f>
        <v>食物</v>
      </c>
      <c r="D61" s="132">
        <f>IFERROR(__xludf.DUMMYFUNCTION("""COMPUTED_VALUE"""),20.34)</f>
        <v>20.34</v>
      </c>
      <c r="E61" s="132" t="str">
        <f>IFERROR(__xludf.DUMMYFUNCTION("""COMPUTED_VALUE"""),"Rachel")</f>
        <v>Rachel</v>
      </c>
      <c r="F61" s="132">
        <f>IFERROR(__xludf.DUMMYFUNCTION("""COMPUTED_VALUE"""),10.17)</f>
        <v>10.17</v>
      </c>
      <c r="G61" s="132">
        <f>IFERROR(__xludf.DUMMYFUNCTION("""COMPUTED_VALUE"""),10.17)</f>
        <v>10.17</v>
      </c>
      <c r="H61" s="132"/>
      <c r="I61" s="132">
        <f>IFERROR(__xludf.DUMMYFUNCTION("""COMPUTED_VALUE"""),1.0)</f>
        <v>1</v>
      </c>
      <c r="J61" s="132"/>
      <c r="K61" s="132">
        <f>IFERROR(__xludf.DUMMYFUNCTION("""COMPUTED_VALUE"""),1.0)</f>
        <v>1</v>
      </c>
      <c r="L61" s="132"/>
      <c r="M61" s="132"/>
      <c r="N61" s="132"/>
      <c r="O61" s="132"/>
      <c r="P61" s="132"/>
      <c r="Q61" s="132"/>
      <c r="R61" s="132" t="str">
        <f>IFERROR(__xludf.DUMMYFUNCTION("""COMPUTED_VALUE"""),"Internet")</f>
        <v>Internet</v>
      </c>
      <c r="S61" s="132">
        <f>IFERROR(__xludf.DUMMYFUNCTION("""COMPUTED_VALUE"""),56.5)</f>
        <v>56.5</v>
      </c>
      <c r="T61" s="135">
        <f>IFERROR(__xludf.DUMMYFUNCTION("""COMPUTED_VALUE"""),9.416666666666666)</f>
        <v>9.416666667</v>
      </c>
      <c r="U61" s="132" t="str">
        <f>IFERROR(__xludf.DUMMYFUNCTION("""COMPUTED_VALUE"""),"Paid")</f>
        <v>Paid</v>
      </c>
      <c r="V61" s="132" t="str">
        <f>IFERROR(__xludf.DUMMYFUNCTION("""COMPUTED_VALUE"""),"Paid")</f>
        <v>Paid</v>
      </c>
      <c r="W61" s="132" t="str">
        <f>IFERROR(__xludf.DUMMYFUNCTION("""COMPUTED_VALUE"""),"Paid")</f>
        <v>Paid</v>
      </c>
      <c r="X61" s="132" t="str">
        <f>IFERROR(__xludf.DUMMYFUNCTION("""COMPUTED_VALUE"""),"Paid")</f>
        <v>Paid</v>
      </c>
      <c r="Y61" s="132" t="str">
        <f>IFERROR(__xludf.DUMMYFUNCTION("""COMPUTED_VALUE"""),"Paid")</f>
        <v>Paid</v>
      </c>
      <c r="Z61" s="132"/>
    </row>
    <row r="62">
      <c r="A62" s="133">
        <f>IFERROR(__xludf.DUMMYFUNCTION("""COMPUTED_VALUE"""),45493.0)</f>
        <v>45493</v>
      </c>
      <c r="B62" s="132" t="str">
        <f>IFERROR(__xludf.DUMMYFUNCTION("""COMPUTED_VALUE"""),"Lettuce")</f>
        <v>Lettuce</v>
      </c>
      <c r="C62" s="132" t="str">
        <f>IFERROR(__xludf.DUMMYFUNCTION("""COMPUTED_VALUE"""),"食物")</f>
        <v>食物</v>
      </c>
      <c r="D62" s="132">
        <f>IFERROR(__xludf.DUMMYFUNCTION("""COMPUTED_VALUE"""),1.98)</f>
        <v>1.98</v>
      </c>
      <c r="E62" s="132" t="str">
        <f>IFERROR(__xludf.DUMMYFUNCTION("""COMPUTED_VALUE"""),"Timothy")</f>
        <v>Timothy</v>
      </c>
      <c r="F62" s="132">
        <f>IFERROR(__xludf.DUMMYFUNCTION("""COMPUTED_VALUE"""),0.66)</f>
        <v>0.66</v>
      </c>
      <c r="G62" s="132">
        <f>IFERROR(__xludf.DUMMYFUNCTION("""COMPUTED_VALUE"""),0.66)</f>
        <v>0.66</v>
      </c>
      <c r="H62" s="132">
        <f>IFERROR(__xludf.DUMMYFUNCTION("""COMPUTED_VALUE"""),1.0)</f>
        <v>1</v>
      </c>
      <c r="I62" s="132">
        <f>IFERROR(__xludf.DUMMYFUNCTION("""COMPUTED_VALUE"""),1.0)</f>
        <v>1</v>
      </c>
      <c r="J62" s="132"/>
      <c r="K62" s="132">
        <f>IFERROR(__xludf.DUMMYFUNCTION("""COMPUTED_VALUE"""),1.0)</f>
        <v>1</v>
      </c>
      <c r="L62" s="132"/>
      <c r="M62" s="132"/>
      <c r="N62" s="132"/>
      <c r="O62" s="132"/>
      <c r="P62" s="132"/>
      <c r="Q62" s="132"/>
      <c r="R62" s="132"/>
      <c r="S62" s="132">
        <f>IFERROR(__xludf.DUMMYFUNCTION("""COMPUTED_VALUE"""),3973.09)</f>
        <v>3973.09</v>
      </c>
      <c r="T62" s="132">
        <f>IFERROR(__xludf.DUMMYFUNCTION("""COMPUTED_VALUE"""),782.1816666666666)</f>
        <v>782.1816667</v>
      </c>
      <c r="U62" s="132"/>
      <c r="V62" s="132"/>
      <c r="W62" s="132"/>
      <c r="X62" s="132"/>
      <c r="Y62" s="132"/>
      <c r="Z62" s="132"/>
    </row>
    <row r="63">
      <c r="A63" s="133">
        <f>IFERROR(__xludf.DUMMYFUNCTION("""COMPUTED_VALUE"""),45494.0)</f>
        <v>45494</v>
      </c>
      <c r="B63" s="132" t="str">
        <f>IFERROR(__xludf.DUMMYFUNCTION("""COMPUTED_VALUE"""),"Tnt")</f>
        <v>Tnt</v>
      </c>
      <c r="C63" s="132" t="str">
        <f>IFERROR(__xludf.DUMMYFUNCTION("""COMPUTED_VALUE"""),"食物")</f>
        <v>食物</v>
      </c>
      <c r="D63" s="132">
        <f>IFERROR(__xludf.DUMMYFUNCTION("""COMPUTED_VALUE"""),21.71)</f>
        <v>21.71</v>
      </c>
      <c r="E63" s="132" t="str">
        <f>IFERROR(__xludf.DUMMYFUNCTION("""COMPUTED_VALUE"""),"Timothy")</f>
        <v>Timothy</v>
      </c>
      <c r="F63" s="132">
        <f>IFERROR(__xludf.DUMMYFUNCTION("""COMPUTED_VALUE"""),3.6183333333333336)</f>
        <v>3.618333333</v>
      </c>
      <c r="G63" s="132">
        <f>IFERROR(__xludf.DUMMYFUNCTION("""COMPUTED_VALUE"""),3.6183333333333336)</f>
        <v>3.618333333</v>
      </c>
      <c r="H63" s="132">
        <f>IFERROR(__xludf.DUMMYFUNCTION("""COMPUTED_VALUE"""),1.0)</f>
        <v>1</v>
      </c>
      <c r="I63" s="132">
        <f>IFERROR(__xludf.DUMMYFUNCTION("""COMPUTED_VALUE"""),1.0)</f>
        <v>1</v>
      </c>
      <c r="J63" s="132">
        <f>IFERROR(__xludf.DUMMYFUNCTION("""COMPUTED_VALUE"""),1.0)</f>
        <v>1</v>
      </c>
      <c r="K63" s="132">
        <f>IFERROR(__xludf.DUMMYFUNCTION("""COMPUTED_VALUE"""),1.0)</f>
        <v>1</v>
      </c>
      <c r="L63" s="132"/>
      <c r="M63" s="132">
        <f>IFERROR(__xludf.DUMMYFUNCTION("""COMPUTED_VALUE"""),1.0)</f>
        <v>1</v>
      </c>
      <c r="N63" s="132">
        <f>IFERROR(__xludf.DUMMYFUNCTION("""COMPUTED_VALUE"""),1.0)</f>
        <v>1</v>
      </c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6">
        <f>IFERROR(__xludf.DUMMYFUNCTION("""COMPUTED_VALUE"""),45494.0)</f>
        <v>45494</v>
      </c>
      <c r="B64" s="132" t="str">
        <f>IFERROR(__xludf.DUMMYFUNCTION("""COMPUTED_VALUE"""),"Mgay")</f>
        <v>Mgay</v>
      </c>
      <c r="C64" s="132" t="str">
        <f>IFERROR(__xludf.DUMMYFUNCTION("""COMPUTED_VALUE"""),"食物")</f>
        <v>食物</v>
      </c>
      <c r="D64" s="132">
        <f>IFERROR(__xludf.DUMMYFUNCTION("""COMPUTED_VALUE"""),7.457999999999999)</f>
        <v>7.458</v>
      </c>
      <c r="E64" s="132" t="str">
        <f>IFERROR(__xludf.DUMMYFUNCTION("""COMPUTED_VALUE"""),"Pigskin")</f>
        <v>Pigskin</v>
      </c>
      <c r="F64" s="132">
        <f>IFERROR(__xludf.DUMMYFUNCTION("""COMPUTED_VALUE"""),7.457999999999999)</f>
        <v>7.458</v>
      </c>
      <c r="G64" s="132">
        <f>IFERROR(__xludf.DUMMYFUNCTION("""COMPUTED_VALUE"""),7.457999999999999)</f>
        <v>7.458</v>
      </c>
      <c r="H64" s="132"/>
      <c r="I64" s="132"/>
      <c r="J64" s="132"/>
      <c r="K64" s="132"/>
      <c r="L64" s="132"/>
      <c r="M64" s="132"/>
      <c r="N64" s="132">
        <f>IFERROR(__xludf.DUMMYFUNCTION("""COMPUTED_VALUE"""),1.0)</f>
        <v>1</v>
      </c>
      <c r="O64" s="132"/>
      <c r="P64" s="132"/>
      <c r="Q64" s="134">
        <f>IFERROR(__xludf.DUMMYFUNCTION("""COMPUTED_VALUE"""),45352.0)</f>
        <v>45352</v>
      </c>
      <c r="R64" s="132" t="str">
        <f>IFERROR(__xludf.DUMMYFUNCTION("""COMPUTED_VALUE"""),"Rent")</f>
        <v>Rent</v>
      </c>
      <c r="S64" s="132">
        <f>IFERROR(__xludf.DUMMYFUNCTION("""COMPUTED_VALUE"""),3600.0)</f>
        <v>3600</v>
      </c>
      <c r="T64" s="132">
        <f>IFERROR(__xludf.DUMMYFUNCTION("""COMPUTED_VALUE"""),720.0)</f>
        <v>720</v>
      </c>
      <c r="U64" s="132" t="str">
        <f>IFERROR(__xludf.DUMMYFUNCTION("""COMPUTED_VALUE"""),"Paid")</f>
        <v>Paid</v>
      </c>
      <c r="V64" s="132" t="str">
        <f>IFERROR(__xludf.DUMMYFUNCTION("""COMPUTED_VALUE"""),"Paid")</f>
        <v>Paid</v>
      </c>
      <c r="W64" s="132" t="str">
        <f>IFERROR(__xludf.DUMMYFUNCTION("""COMPUTED_VALUE"""),"Paid")</f>
        <v>Paid</v>
      </c>
      <c r="X64" s="132" t="str">
        <f>IFERROR(__xludf.DUMMYFUNCTION("""COMPUTED_VALUE"""),"Paid")</f>
        <v>Paid</v>
      </c>
      <c r="Y64" s="132" t="str">
        <f>IFERROR(__xludf.DUMMYFUNCTION("""COMPUTED_VALUE"""),"Paid")</f>
        <v>Paid</v>
      </c>
      <c r="Z64" s="132"/>
    </row>
    <row r="65">
      <c r="A65" s="136">
        <f>IFERROR(__xludf.DUMMYFUNCTION("""COMPUTED_VALUE"""),45495.0)</f>
        <v>45495</v>
      </c>
      <c r="B65" s="132" t="str">
        <f>IFERROR(__xludf.DUMMYFUNCTION("""COMPUTED_VALUE"""),"Foody")</f>
        <v>Foody</v>
      </c>
      <c r="C65" s="132" t="str">
        <f>IFERROR(__xludf.DUMMYFUNCTION("""COMPUTED_VALUE"""),"食物")</f>
        <v>食物</v>
      </c>
      <c r="D65" s="132">
        <f>IFERROR(__xludf.DUMMYFUNCTION("""COMPUTED_VALUE"""),54.93129999999999)</f>
        <v>54.9313</v>
      </c>
      <c r="E65" s="132" t="str">
        <f>IFERROR(__xludf.DUMMYFUNCTION("""COMPUTED_VALUE"""),"Rachel")</f>
        <v>Rachel</v>
      </c>
      <c r="F65" s="132">
        <f>IFERROR(__xludf.DUMMYFUNCTION("""COMPUTED_VALUE"""),10.986259999999998)</f>
        <v>10.98626</v>
      </c>
      <c r="G65" s="132">
        <f>IFERROR(__xludf.DUMMYFUNCTION("""COMPUTED_VALUE"""),10.986259999999998)</f>
        <v>10.98626</v>
      </c>
      <c r="H65" s="132">
        <f>IFERROR(__xludf.DUMMYFUNCTION("""COMPUTED_VALUE"""),1.0)</f>
        <v>1</v>
      </c>
      <c r="I65" s="132">
        <f>IFERROR(__xludf.DUMMYFUNCTION("""COMPUTED_VALUE"""),1.0)</f>
        <v>1</v>
      </c>
      <c r="J65" s="132">
        <f>IFERROR(__xludf.DUMMYFUNCTION("""COMPUTED_VALUE"""),1.0)</f>
        <v>1</v>
      </c>
      <c r="K65" s="132">
        <f>IFERROR(__xludf.DUMMYFUNCTION("""COMPUTED_VALUE"""),1.0)</f>
        <v>1</v>
      </c>
      <c r="L65" s="132"/>
      <c r="M65" s="132"/>
      <c r="N65" s="132">
        <f>IFERROR(__xludf.DUMMYFUNCTION("""COMPUTED_VALUE"""),1.0)</f>
        <v>1</v>
      </c>
      <c r="O65" s="132"/>
      <c r="P65" s="132"/>
      <c r="Q65" s="132"/>
      <c r="R65" s="132" t="str">
        <f>IFERROR(__xludf.DUMMYFUNCTION("""COMPUTED_VALUE"""),"Water")</f>
        <v>Water</v>
      </c>
      <c r="S65" s="132"/>
      <c r="T65" s="132">
        <f>IFERROR(__xludf.DUMMYFUNCTION("""COMPUTED_VALUE"""),0.0)</f>
        <v>0</v>
      </c>
      <c r="U65" s="132"/>
      <c r="V65" s="132"/>
      <c r="W65" s="132"/>
      <c r="X65" s="132"/>
      <c r="Y65" s="132"/>
      <c r="Z65" s="132"/>
    </row>
    <row r="66">
      <c r="A66" s="136">
        <f>IFERROR(__xludf.DUMMYFUNCTION("""COMPUTED_VALUE"""),45495.0)</f>
        <v>45495</v>
      </c>
      <c r="B66" s="132" t="str">
        <f>IFERROR(__xludf.DUMMYFUNCTION("""COMPUTED_VALUE"""),"Foody")</f>
        <v>Foody</v>
      </c>
      <c r="C66" s="132" t="str">
        <f>IFERROR(__xludf.DUMMYFUNCTION("""COMPUTED_VALUE"""),"食物")</f>
        <v>食物</v>
      </c>
      <c r="D66" s="132">
        <f>IFERROR(__xludf.DUMMYFUNCTION("""COMPUTED_VALUE"""),12.4187)</f>
        <v>12.4187</v>
      </c>
      <c r="E66" s="132" t="str">
        <f>IFERROR(__xludf.DUMMYFUNCTION("""COMPUTED_VALUE"""),"Rachel")</f>
        <v>Rachel</v>
      </c>
      <c r="F66" s="132">
        <f>IFERROR(__xludf.DUMMYFUNCTION("""COMPUTED_VALUE"""),12.4187)</f>
        <v>12.4187</v>
      </c>
      <c r="G66" s="132">
        <f>IFERROR(__xludf.DUMMYFUNCTION("""COMPUTED_VALUE"""),12.4187)</f>
        <v>12.4187</v>
      </c>
      <c r="H66" s="132"/>
      <c r="I66" s="132"/>
      <c r="J66" s="132">
        <f>IFERROR(__xludf.DUMMYFUNCTION("""COMPUTED_VALUE"""),1.0)</f>
        <v>1</v>
      </c>
      <c r="K66" s="132"/>
      <c r="L66" s="132"/>
      <c r="M66" s="132"/>
      <c r="N66" s="132"/>
      <c r="O66" s="132"/>
      <c r="P66" s="132"/>
      <c r="Q66" s="132"/>
      <c r="R66" s="132" t="str">
        <f>IFERROR(__xludf.DUMMYFUNCTION("""COMPUTED_VALUE"""),"Heat")</f>
        <v>Heat</v>
      </c>
      <c r="S66" s="132">
        <f>IFERROR(__xludf.DUMMYFUNCTION("""COMPUTED_VALUE"""),173.22)</f>
        <v>173.22</v>
      </c>
      <c r="T66" s="132">
        <f>IFERROR(__xludf.DUMMYFUNCTION("""COMPUTED_VALUE"""),34.644)</f>
        <v>34.644</v>
      </c>
      <c r="U66" s="132" t="str">
        <f>IFERROR(__xludf.DUMMYFUNCTION("""COMPUTED_VALUE"""),"Paid")</f>
        <v>Paid</v>
      </c>
      <c r="V66" s="132" t="str">
        <f>IFERROR(__xludf.DUMMYFUNCTION("""COMPUTED_VALUE"""),"Paid")</f>
        <v>Paid</v>
      </c>
      <c r="W66" s="132" t="str">
        <f>IFERROR(__xludf.DUMMYFUNCTION("""COMPUTED_VALUE"""),"Paid")</f>
        <v>Paid</v>
      </c>
      <c r="X66" s="132" t="str">
        <f>IFERROR(__xludf.DUMMYFUNCTION("""COMPUTED_VALUE"""),"Paid")</f>
        <v>Paid</v>
      </c>
      <c r="Y66" s="132" t="str">
        <f>IFERROR(__xludf.DUMMYFUNCTION("""COMPUTED_VALUE"""),"Paid")</f>
        <v>Paid</v>
      </c>
      <c r="Z66" s="132"/>
    </row>
    <row r="67">
      <c r="A67" s="133">
        <f>IFERROR(__xludf.DUMMYFUNCTION("""COMPUTED_VALUE"""),45496.0)</f>
        <v>45496</v>
      </c>
      <c r="B67" s="132" t="str">
        <f>IFERROR(__xludf.DUMMYFUNCTION("""COMPUTED_VALUE"""),"Foody")</f>
        <v>Foody</v>
      </c>
      <c r="C67" s="132" t="str">
        <f>IFERROR(__xludf.DUMMYFUNCTION("""COMPUTED_VALUE"""),"食物")</f>
        <v>食物</v>
      </c>
      <c r="D67" s="132">
        <f>IFERROR(__xludf.DUMMYFUNCTION("""COMPUTED_VALUE"""),32.7)</f>
        <v>32.7</v>
      </c>
      <c r="E67" s="132" t="str">
        <f>IFERROR(__xludf.DUMMYFUNCTION("""COMPUTED_VALUE"""),"Pigskin")</f>
        <v>Pigskin</v>
      </c>
      <c r="F67" s="132">
        <f>IFERROR(__xludf.DUMMYFUNCTION("""COMPUTED_VALUE"""),5.45)</f>
        <v>5.45</v>
      </c>
      <c r="G67" s="132">
        <f>IFERROR(__xludf.DUMMYFUNCTION("""COMPUTED_VALUE"""),5.45)</f>
        <v>5.45</v>
      </c>
      <c r="H67" s="132">
        <f>IFERROR(__xludf.DUMMYFUNCTION("""COMPUTED_VALUE"""),1.0)</f>
        <v>1</v>
      </c>
      <c r="I67" s="132">
        <f>IFERROR(__xludf.DUMMYFUNCTION("""COMPUTED_VALUE"""),1.0)</f>
        <v>1</v>
      </c>
      <c r="J67" s="132">
        <f>IFERROR(__xludf.DUMMYFUNCTION("""COMPUTED_VALUE"""),1.0)</f>
        <v>1</v>
      </c>
      <c r="K67" s="132">
        <f>IFERROR(__xludf.DUMMYFUNCTION("""COMPUTED_VALUE"""),1.0)</f>
        <v>1</v>
      </c>
      <c r="L67" s="132"/>
      <c r="M67" s="132">
        <f>IFERROR(__xludf.DUMMYFUNCTION("""COMPUTED_VALUE"""),1.0)</f>
        <v>1</v>
      </c>
      <c r="N67" s="132">
        <f>IFERROR(__xludf.DUMMYFUNCTION("""COMPUTED_VALUE"""),1.0)</f>
        <v>1</v>
      </c>
      <c r="O67" s="132"/>
      <c r="P67" s="132"/>
      <c r="Q67" s="132"/>
      <c r="R67" s="132" t="str">
        <f>IFERROR(__xludf.DUMMYFUNCTION("""COMPUTED_VALUE"""),"Electricity")</f>
        <v>Electricity</v>
      </c>
      <c r="S67" s="132">
        <f>IFERROR(__xludf.DUMMYFUNCTION("""COMPUTED_VALUE"""),97.82)</f>
        <v>97.82</v>
      </c>
      <c r="T67" s="132">
        <f>IFERROR(__xludf.DUMMYFUNCTION("""COMPUTED_VALUE"""),19.564)</f>
        <v>19.564</v>
      </c>
      <c r="U67" s="132" t="str">
        <f>IFERROR(__xludf.DUMMYFUNCTION("""COMPUTED_VALUE"""),"Paid")</f>
        <v>Paid</v>
      </c>
      <c r="V67" s="132" t="str">
        <f>IFERROR(__xludf.DUMMYFUNCTION("""COMPUTED_VALUE"""),"Paid")</f>
        <v>Paid</v>
      </c>
      <c r="W67" s="132" t="str">
        <f>IFERROR(__xludf.DUMMYFUNCTION("""COMPUTED_VALUE"""),"Paid")</f>
        <v>Paid</v>
      </c>
      <c r="X67" s="132" t="str">
        <f>IFERROR(__xludf.DUMMYFUNCTION("""COMPUTED_VALUE"""),"Paid")</f>
        <v>Paid</v>
      </c>
      <c r="Y67" s="132" t="str">
        <f>IFERROR(__xludf.DUMMYFUNCTION("""COMPUTED_VALUE"""),"Paid")</f>
        <v>Paid</v>
      </c>
      <c r="Z67" s="132"/>
    </row>
    <row r="68">
      <c r="A68" s="136">
        <f>IFERROR(__xludf.DUMMYFUNCTION("""COMPUTED_VALUE"""),45497.0)</f>
        <v>45497</v>
      </c>
      <c r="B68" s="132" t="str">
        <f>IFERROR(__xludf.DUMMYFUNCTION("""COMPUTED_VALUE"""),"Foody")</f>
        <v>Foody</v>
      </c>
      <c r="C68" s="132" t="str">
        <f>IFERROR(__xludf.DUMMYFUNCTION("""COMPUTED_VALUE"""),"食物")</f>
        <v>食物</v>
      </c>
      <c r="D68" s="132">
        <f>IFERROR(__xludf.DUMMYFUNCTION("""COMPUTED_VALUE"""),21.57)</f>
        <v>21.57</v>
      </c>
      <c r="E68" s="132" t="str">
        <f>IFERROR(__xludf.DUMMYFUNCTION("""COMPUTED_VALUE"""),"Pigskin")</f>
        <v>Pigskin</v>
      </c>
      <c r="F68" s="132">
        <f>IFERROR(__xludf.DUMMYFUNCTION("""COMPUTED_VALUE"""),3.0814285714285714)</f>
        <v>3.081428571</v>
      </c>
      <c r="G68" s="132">
        <f>IFERROR(__xludf.DUMMYFUNCTION("""COMPUTED_VALUE"""),3.0814285714285714)</f>
        <v>3.081428571</v>
      </c>
      <c r="H68" s="132">
        <f>IFERROR(__xludf.DUMMYFUNCTION("""COMPUTED_VALUE"""),1.0)</f>
        <v>1</v>
      </c>
      <c r="I68" s="132">
        <f>IFERROR(__xludf.DUMMYFUNCTION("""COMPUTED_VALUE"""),1.0)</f>
        <v>1</v>
      </c>
      <c r="J68" s="132">
        <f>IFERROR(__xludf.DUMMYFUNCTION("""COMPUTED_VALUE"""),1.0)</f>
        <v>1</v>
      </c>
      <c r="K68" s="132">
        <f>IFERROR(__xludf.DUMMYFUNCTION("""COMPUTED_VALUE"""),1.0)</f>
        <v>1</v>
      </c>
      <c r="L68" s="132">
        <f>IFERROR(__xludf.DUMMYFUNCTION("""COMPUTED_VALUE"""),1.0)</f>
        <v>1</v>
      </c>
      <c r="M68" s="132">
        <f>IFERROR(__xludf.DUMMYFUNCTION("""COMPUTED_VALUE"""),1.0)</f>
        <v>1</v>
      </c>
      <c r="N68" s="132">
        <f>IFERROR(__xludf.DUMMYFUNCTION("""COMPUTED_VALUE"""),1.0)</f>
        <v>1</v>
      </c>
      <c r="O68" s="132"/>
      <c r="P68" s="132"/>
      <c r="Q68" s="132"/>
      <c r="R68" s="132" t="str">
        <f>IFERROR(__xludf.DUMMYFUNCTION("""COMPUTED_VALUE"""),"Internet")</f>
        <v>Internet</v>
      </c>
      <c r="S68" s="132">
        <f>IFERROR(__xludf.DUMMYFUNCTION("""COMPUTED_VALUE"""),56.5)</f>
        <v>56.5</v>
      </c>
      <c r="T68" s="132">
        <f>IFERROR(__xludf.DUMMYFUNCTION("""COMPUTED_VALUE"""),11.3)</f>
        <v>11.3</v>
      </c>
      <c r="U68" s="132" t="str">
        <f>IFERROR(__xludf.DUMMYFUNCTION("""COMPUTED_VALUE"""),"Paid")</f>
        <v>Paid</v>
      </c>
      <c r="V68" s="132" t="str">
        <f>IFERROR(__xludf.DUMMYFUNCTION("""COMPUTED_VALUE"""),"Paid")</f>
        <v>Paid</v>
      </c>
      <c r="W68" s="132" t="str">
        <f>IFERROR(__xludf.DUMMYFUNCTION("""COMPUTED_VALUE"""),"Paid")</f>
        <v>Paid</v>
      </c>
      <c r="X68" s="132" t="str">
        <f>IFERROR(__xludf.DUMMYFUNCTION("""COMPUTED_VALUE"""),"Paid")</f>
        <v>Paid</v>
      </c>
      <c r="Y68" s="132" t="str">
        <f>IFERROR(__xludf.DUMMYFUNCTION("""COMPUTED_VALUE"""),"Paid")</f>
        <v>Paid</v>
      </c>
      <c r="Z68" s="132"/>
    </row>
    <row r="69">
      <c r="A69" s="136">
        <f>IFERROR(__xludf.DUMMYFUNCTION("""COMPUTED_VALUE"""),45498.0)</f>
        <v>45498</v>
      </c>
      <c r="B69" s="132" t="str">
        <f>IFERROR(__xludf.DUMMYFUNCTION("""COMPUTED_VALUE"""),"Foody")</f>
        <v>Foody</v>
      </c>
      <c r="C69" s="132" t="str">
        <f>IFERROR(__xludf.DUMMYFUNCTION("""COMPUTED_VALUE"""),"食物")</f>
        <v>食物</v>
      </c>
      <c r="D69" s="132">
        <f>IFERROR(__xludf.DUMMYFUNCTION("""COMPUTED_VALUE"""),10.3)</f>
        <v>10.3</v>
      </c>
      <c r="E69" s="132" t="str">
        <f>IFERROR(__xludf.DUMMYFUNCTION("""COMPUTED_VALUE"""),"Pigskin")</f>
        <v>Pigskin</v>
      </c>
      <c r="F69" s="132">
        <f>IFERROR(__xludf.DUMMYFUNCTION("""COMPUTED_VALUE"""),2.575)</f>
        <v>2.575</v>
      </c>
      <c r="G69" s="132">
        <f>IFERROR(__xludf.DUMMYFUNCTION("""COMPUTED_VALUE"""),2.575)</f>
        <v>2.575</v>
      </c>
      <c r="H69" s="132">
        <f>IFERROR(__xludf.DUMMYFUNCTION("""COMPUTED_VALUE"""),1.0)</f>
        <v>1</v>
      </c>
      <c r="I69" s="132">
        <f>IFERROR(__xludf.DUMMYFUNCTION("""COMPUTED_VALUE"""),1.0)</f>
        <v>1</v>
      </c>
      <c r="J69" s="132"/>
      <c r="K69" s="132">
        <f>IFERROR(__xludf.DUMMYFUNCTION("""COMPUTED_VALUE"""),1.0)</f>
        <v>1</v>
      </c>
      <c r="L69" s="132"/>
      <c r="M69" s="132"/>
      <c r="N69" s="132">
        <f>IFERROR(__xludf.DUMMYFUNCTION("""COMPUTED_VALUE"""),1.0)</f>
        <v>1</v>
      </c>
      <c r="O69" s="132"/>
      <c r="P69" s="132"/>
      <c r="Q69" s="132"/>
      <c r="R69" s="132"/>
      <c r="S69" s="132">
        <f>IFERROR(__xludf.DUMMYFUNCTION("""COMPUTED_VALUE"""),3927.54)</f>
        <v>3927.54</v>
      </c>
      <c r="T69" s="132">
        <f>IFERROR(__xludf.DUMMYFUNCTION("""COMPUTED_VALUE"""),785.5079999999999)</f>
        <v>785.508</v>
      </c>
      <c r="U69" s="132"/>
      <c r="V69" s="132"/>
      <c r="W69" s="132"/>
      <c r="X69" s="132"/>
      <c r="Y69" s="132"/>
      <c r="Z69" s="132"/>
    </row>
    <row r="70">
      <c r="A70" s="133">
        <f>IFERROR(__xludf.DUMMYFUNCTION("""COMPUTED_VALUE"""),45499.0)</f>
        <v>45499</v>
      </c>
      <c r="B70" s="132" t="str">
        <f>IFERROR(__xludf.DUMMYFUNCTION("""COMPUTED_VALUE"""),"Deer garden")</f>
        <v>Deer garden</v>
      </c>
      <c r="C70" s="132" t="str">
        <f>IFERROR(__xludf.DUMMYFUNCTION("""COMPUTED_VALUE"""),"食物")</f>
        <v>食物</v>
      </c>
      <c r="D70" s="132">
        <f>IFERROR(__xludf.DUMMYFUNCTION("""COMPUTED_VALUE"""),140.0)</f>
        <v>140</v>
      </c>
      <c r="E70" s="132" t="str">
        <f>IFERROR(__xludf.DUMMYFUNCTION("""COMPUTED_VALUE"""),"Timothy")</f>
        <v>Timothy</v>
      </c>
      <c r="F70" s="132">
        <f>IFERROR(__xludf.DUMMYFUNCTION("""COMPUTED_VALUE"""),23.333333333333332)</f>
        <v>23.33333333</v>
      </c>
      <c r="G70" s="132">
        <f>IFERROR(__xludf.DUMMYFUNCTION("""COMPUTED_VALUE"""),23.333333333333332)</f>
        <v>23.33333333</v>
      </c>
      <c r="H70" s="132">
        <f>IFERROR(__xludf.DUMMYFUNCTION("""COMPUTED_VALUE"""),1.0)</f>
        <v>1</v>
      </c>
      <c r="I70" s="132">
        <f>IFERROR(__xludf.DUMMYFUNCTION("""COMPUTED_VALUE"""),1.0)</f>
        <v>1</v>
      </c>
      <c r="J70" s="132">
        <f>IFERROR(__xludf.DUMMYFUNCTION("""COMPUTED_VALUE"""),1.0)</f>
        <v>1</v>
      </c>
      <c r="K70" s="132">
        <f>IFERROR(__xludf.DUMMYFUNCTION("""COMPUTED_VALUE"""),1.0)</f>
        <v>1</v>
      </c>
      <c r="L70" s="132"/>
      <c r="M70" s="132">
        <f>IFERROR(__xludf.DUMMYFUNCTION("""COMPUTED_VALUE"""),1.0)</f>
        <v>1</v>
      </c>
      <c r="N70" s="132">
        <f>IFERROR(__xludf.DUMMYFUNCTION("""COMPUTED_VALUE"""),1.0)</f>
        <v>1</v>
      </c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3">
        <f>IFERROR(__xludf.DUMMYFUNCTION("""COMPUTED_VALUE"""),45500.0)</f>
        <v>45500</v>
      </c>
      <c r="B71" s="132" t="str">
        <f>IFERROR(__xludf.DUMMYFUNCTION("""COMPUTED_VALUE"""),"Foody")</f>
        <v>Foody</v>
      </c>
      <c r="C71" s="132" t="str">
        <f>IFERROR(__xludf.DUMMYFUNCTION("""COMPUTED_VALUE"""),"食物")</f>
        <v>食物</v>
      </c>
      <c r="D71" s="132">
        <f>IFERROR(__xludf.DUMMYFUNCTION("""COMPUTED_VALUE"""),7.19)</f>
        <v>7.19</v>
      </c>
      <c r="E71" s="132" t="str">
        <f>IFERROR(__xludf.DUMMYFUNCTION("""COMPUTED_VALUE"""),"Pigskin")</f>
        <v>Pigskin</v>
      </c>
      <c r="F71" s="132">
        <f>IFERROR(__xludf.DUMMYFUNCTION("""COMPUTED_VALUE"""),1.7975)</f>
        <v>1.7975</v>
      </c>
      <c r="G71" s="132">
        <f>IFERROR(__xludf.DUMMYFUNCTION("""COMPUTED_VALUE"""),1.7975)</f>
        <v>1.7975</v>
      </c>
      <c r="H71" s="132">
        <f>IFERROR(__xludf.DUMMYFUNCTION("""COMPUTED_VALUE"""),1.0)</f>
        <v>1</v>
      </c>
      <c r="I71" s="132">
        <f>IFERROR(__xludf.DUMMYFUNCTION("""COMPUTED_VALUE"""),1.0)</f>
        <v>1</v>
      </c>
      <c r="J71" s="132">
        <f>IFERROR(__xludf.DUMMYFUNCTION("""COMPUTED_VALUE"""),1.0)</f>
        <v>1</v>
      </c>
      <c r="K71" s="132">
        <f>IFERROR(__xludf.DUMMYFUNCTION("""COMPUTED_VALUE"""),1.0)</f>
        <v>1</v>
      </c>
      <c r="L71" s="132"/>
      <c r="M71" s="132"/>
      <c r="N71" s="132"/>
      <c r="O71" s="132"/>
      <c r="P71" s="132"/>
      <c r="Q71" s="134">
        <f>IFERROR(__xludf.DUMMYFUNCTION("""COMPUTED_VALUE"""),45383.0)</f>
        <v>45383</v>
      </c>
      <c r="R71" s="132" t="str">
        <f>IFERROR(__xludf.DUMMYFUNCTION("""COMPUTED_VALUE"""),"Rent")</f>
        <v>Rent</v>
      </c>
      <c r="S71" s="132">
        <f>IFERROR(__xludf.DUMMYFUNCTION("""COMPUTED_VALUE"""),3600.0)</f>
        <v>3600</v>
      </c>
      <c r="T71" s="132">
        <f>IFERROR(__xludf.DUMMYFUNCTION("""COMPUTED_VALUE"""),720.0)</f>
        <v>720</v>
      </c>
      <c r="U71" s="132" t="str">
        <f>IFERROR(__xludf.DUMMYFUNCTION("""COMPUTED_VALUE"""),"Paid")</f>
        <v>Paid</v>
      </c>
      <c r="V71" s="132" t="str">
        <f>IFERROR(__xludf.DUMMYFUNCTION("""COMPUTED_VALUE"""),"Paid")</f>
        <v>Paid</v>
      </c>
      <c r="W71" s="132" t="str">
        <f>IFERROR(__xludf.DUMMYFUNCTION("""COMPUTED_VALUE"""),"Paid")</f>
        <v>Paid</v>
      </c>
      <c r="X71" s="132" t="str">
        <f>IFERROR(__xludf.DUMMYFUNCTION("""COMPUTED_VALUE"""),"Paid")</f>
        <v>Paid</v>
      </c>
      <c r="Y71" s="132" t="str">
        <f>IFERROR(__xludf.DUMMYFUNCTION("""COMPUTED_VALUE"""),"Paid")</f>
        <v>Paid</v>
      </c>
      <c r="Z71" s="132"/>
    </row>
    <row r="72">
      <c r="A72" s="133">
        <f>IFERROR(__xludf.DUMMYFUNCTION("""COMPUTED_VALUE"""),45501.0)</f>
        <v>45501</v>
      </c>
      <c r="B72" s="132" t="str">
        <f>IFERROR(__xludf.DUMMYFUNCTION("""COMPUTED_VALUE"""),"Octopus")</f>
        <v>Octopus</v>
      </c>
      <c r="C72" s="132" t="str">
        <f>IFERROR(__xludf.DUMMYFUNCTION("""COMPUTED_VALUE"""),"食物")</f>
        <v>食物</v>
      </c>
      <c r="D72" s="132">
        <f>IFERROR(__xludf.DUMMYFUNCTION("""COMPUTED_VALUE"""),63.85)</f>
        <v>63.85</v>
      </c>
      <c r="E72" s="132" t="str">
        <f>IFERROR(__xludf.DUMMYFUNCTION("""COMPUTED_VALUE"""),"BL")</f>
        <v>BL</v>
      </c>
      <c r="F72" s="132">
        <f>IFERROR(__xludf.DUMMYFUNCTION("""COMPUTED_VALUE"""),15.9625)</f>
        <v>15.9625</v>
      </c>
      <c r="G72" s="132">
        <f>IFERROR(__xludf.DUMMYFUNCTION("""COMPUTED_VALUE"""),15.9625)</f>
        <v>15.9625</v>
      </c>
      <c r="H72" s="132">
        <f>IFERROR(__xludf.DUMMYFUNCTION("""COMPUTED_VALUE"""),1.0)</f>
        <v>1</v>
      </c>
      <c r="I72" s="132">
        <f>IFERROR(__xludf.DUMMYFUNCTION("""COMPUTED_VALUE"""),1.0)</f>
        <v>1</v>
      </c>
      <c r="J72" s="132">
        <f>IFERROR(__xludf.DUMMYFUNCTION("""COMPUTED_VALUE"""),1.0)</f>
        <v>1</v>
      </c>
      <c r="K72" s="132"/>
      <c r="L72" s="132"/>
      <c r="M72" s="132">
        <f>IFERROR(__xludf.DUMMYFUNCTION("""COMPUTED_VALUE"""),1.0)</f>
        <v>1</v>
      </c>
      <c r="N72" s="132"/>
      <c r="O72" s="132"/>
      <c r="P72" s="132"/>
      <c r="Q72" s="132"/>
      <c r="R72" s="132" t="str">
        <f>IFERROR(__xludf.DUMMYFUNCTION("""COMPUTED_VALUE"""),"o")</f>
        <v>o</v>
      </c>
      <c r="S72" s="132"/>
      <c r="T72" s="132"/>
      <c r="U72" s="132"/>
      <c r="V72" s="132"/>
      <c r="W72" s="132"/>
      <c r="X72" s="132"/>
      <c r="Y72" s="132"/>
      <c r="Z72" s="132"/>
    </row>
    <row r="73">
      <c r="A73" s="133">
        <f>IFERROR(__xludf.DUMMYFUNCTION("""COMPUTED_VALUE"""),45502.0)</f>
        <v>45502</v>
      </c>
      <c r="B73" s="132" t="str">
        <f>IFERROR(__xludf.DUMMYFUNCTION("""COMPUTED_VALUE"""),"Foody")</f>
        <v>Foody</v>
      </c>
      <c r="C73" s="132" t="str">
        <f>IFERROR(__xludf.DUMMYFUNCTION("""COMPUTED_VALUE"""),"食物")</f>
        <v>食物</v>
      </c>
      <c r="D73" s="132">
        <f>IFERROR(__xludf.DUMMYFUNCTION("""COMPUTED_VALUE"""),29.580000000000002)</f>
        <v>29.58</v>
      </c>
      <c r="E73" s="132" t="str">
        <f>IFERROR(__xludf.DUMMYFUNCTION("""COMPUTED_VALUE"""),"Rachel")</f>
        <v>Rachel</v>
      </c>
      <c r="F73" s="132">
        <f>IFERROR(__xludf.DUMMYFUNCTION("""COMPUTED_VALUE"""),3.6975000000000002)</f>
        <v>3.6975</v>
      </c>
      <c r="G73" s="132">
        <f>IFERROR(__xludf.DUMMYFUNCTION("""COMPUTED_VALUE"""),3.6975000000000002)</f>
        <v>3.6975</v>
      </c>
      <c r="H73" s="132">
        <f>IFERROR(__xludf.DUMMYFUNCTION("""COMPUTED_VALUE"""),1.0)</f>
        <v>1</v>
      </c>
      <c r="I73" s="132">
        <f>IFERROR(__xludf.DUMMYFUNCTION("""COMPUTED_VALUE"""),1.0)</f>
        <v>1</v>
      </c>
      <c r="J73" s="132">
        <f>IFERROR(__xludf.DUMMYFUNCTION("""COMPUTED_VALUE"""),1.0)</f>
        <v>1</v>
      </c>
      <c r="K73" s="132">
        <f>IFERROR(__xludf.DUMMYFUNCTION("""COMPUTED_VALUE"""),1.0)</f>
        <v>1</v>
      </c>
      <c r="L73" s="132"/>
      <c r="M73" s="132">
        <f>IFERROR(__xludf.DUMMYFUNCTION("""COMPUTED_VALUE"""),1.0)</f>
        <v>1</v>
      </c>
      <c r="N73" s="132">
        <f>IFERROR(__xludf.DUMMYFUNCTION("""COMPUTED_VALUE"""),1.0)</f>
        <v>1</v>
      </c>
      <c r="O73" s="132"/>
      <c r="P73" s="132"/>
      <c r="Q73" s="132"/>
      <c r="R73" s="132" t="str">
        <f>IFERROR(__xludf.DUMMYFUNCTION("""COMPUTED_VALUE"""),"Heat")</f>
        <v>Heat</v>
      </c>
      <c r="S73" s="132">
        <f>IFERROR(__xludf.DUMMYFUNCTION("""COMPUTED_VALUE"""),169.33)</f>
        <v>169.33</v>
      </c>
      <c r="T73" s="132">
        <f>IFERROR(__xludf.DUMMYFUNCTION("""COMPUTED_VALUE"""),33.866)</f>
        <v>33.866</v>
      </c>
      <c r="U73" s="132" t="str">
        <f>IFERROR(__xludf.DUMMYFUNCTION("""COMPUTED_VALUE"""),"Paid")</f>
        <v>Paid</v>
      </c>
      <c r="V73" s="132" t="str">
        <f>IFERROR(__xludf.DUMMYFUNCTION("""COMPUTED_VALUE"""),"Paid")</f>
        <v>Paid</v>
      </c>
      <c r="W73" s="132" t="str">
        <f>IFERROR(__xludf.DUMMYFUNCTION("""COMPUTED_VALUE"""),"Paid")</f>
        <v>Paid</v>
      </c>
      <c r="X73" s="132" t="str">
        <f>IFERROR(__xludf.DUMMYFUNCTION("""COMPUTED_VALUE"""),"Paid")</f>
        <v>Paid</v>
      </c>
      <c r="Y73" s="132" t="str">
        <f>IFERROR(__xludf.DUMMYFUNCTION("""COMPUTED_VALUE"""),"Paid")</f>
        <v>Paid</v>
      </c>
      <c r="Z73" s="132"/>
    </row>
    <row r="74">
      <c r="A74" s="133">
        <f>IFERROR(__xludf.DUMMYFUNCTION("""COMPUTED_VALUE"""),45502.0)</f>
        <v>45502</v>
      </c>
      <c r="B74" s="132" t="str">
        <f>IFERROR(__xludf.DUMMYFUNCTION("""COMPUTED_VALUE"""),"Yinji")</f>
        <v>Yinji</v>
      </c>
      <c r="C74" s="132" t="str">
        <f>IFERROR(__xludf.DUMMYFUNCTION("""COMPUTED_VALUE"""),"食物")</f>
        <v>食物</v>
      </c>
      <c r="D74" s="132">
        <f>IFERROR(__xludf.DUMMYFUNCTION("""COMPUTED_VALUE"""),86.98)</f>
        <v>86.98</v>
      </c>
      <c r="E74" s="132" t="str">
        <f>IFERROR(__xludf.DUMMYFUNCTION("""COMPUTED_VALUE"""),"Pigskin")</f>
        <v>Pigskin</v>
      </c>
      <c r="F74" s="132">
        <f>IFERROR(__xludf.DUMMYFUNCTION("""COMPUTED_VALUE"""),14.496666666666668)</f>
        <v>14.49666667</v>
      </c>
      <c r="G74" s="132">
        <f>IFERROR(__xludf.DUMMYFUNCTION("""COMPUTED_VALUE"""),14.496666666666668)</f>
        <v>14.49666667</v>
      </c>
      <c r="H74" s="132">
        <f>IFERROR(__xludf.DUMMYFUNCTION("""COMPUTED_VALUE"""),1.0)</f>
        <v>1</v>
      </c>
      <c r="I74" s="132">
        <f>IFERROR(__xludf.DUMMYFUNCTION("""COMPUTED_VALUE"""),1.0)</f>
        <v>1</v>
      </c>
      <c r="J74" s="132">
        <f>IFERROR(__xludf.DUMMYFUNCTION("""COMPUTED_VALUE"""),1.0)</f>
        <v>1</v>
      </c>
      <c r="K74" s="132">
        <f>IFERROR(__xludf.DUMMYFUNCTION("""COMPUTED_VALUE"""),1.0)</f>
        <v>1</v>
      </c>
      <c r="L74" s="132"/>
      <c r="M74" s="132">
        <f>IFERROR(__xludf.DUMMYFUNCTION("""COMPUTED_VALUE"""),1.0)</f>
        <v>1</v>
      </c>
      <c r="N74" s="132">
        <f>IFERROR(__xludf.DUMMYFUNCTION("""COMPUTED_VALUE"""),1.0)</f>
        <v>1</v>
      </c>
      <c r="O74" s="132"/>
      <c r="P74" s="132"/>
      <c r="Q74" s="132"/>
      <c r="R74" s="132" t="str">
        <f>IFERROR(__xludf.DUMMYFUNCTION("""COMPUTED_VALUE"""),"Electricity")</f>
        <v>Electricity</v>
      </c>
      <c r="S74" s="132">
        <f>IFERROR(__xludf.DUMMYFUNCTION("""COMPUTED_VALUE"""),104.26)</f>
        <v>104.26</v>
      </c>
      <c r="T74" s="132">
        <f>IFERROR(__xludf.DUMMYFUNCTION("""COMPUTED_VALUE"""),20.852)</f>
        <v>20.852</v>
      </c>
      <c r="U74" s="132" t="str">
        <f>IFERROR(__xludf.DUMMYFUNCTION("""COMPUTED_VALUE"""),"Paid")</f>
        <v>Paid</v>
      </c>
      <c r="V74" s="132" t="str">
        <f>IFERROR(__xludf.DUMMYFUNCTION("""COMPUTED_VALUE"""),"Paid")</f>
        <v>Paid</v>
      </c>
      <c r="W74" s="132" t="str">
        <f>IFERROR(__xludf.DUMMYFUNCTION("""COMPUTED_VALUE"""),"Paid")</f>
        <v>Paid</v>
      </c>
      <c r="X74" s="132" t="str">
        <f>IFERROR(__xludf.DUMMYFUNCTION("""COMPUTED_VALUE"""),"Paid")</f>
        <v>Paid</v>
      </c>
      <c r="Y74" s="132" t="str">
        <f>IFERROR(__xludf.DUMMYFUNCTION("""COMPUTED_VALUE"""),"Paid")</f>
        <v>Paid</v>
      </c>
      <c r="Z74" s="132"/>
    </row>
    <row r="75">
      <c r="A75" s="136">
        <f>IFERROR(__xludf.DUMMYFUNCTION("""COMPUTED_VALUE"""),45503.0)</f>
        <v>45503</v>
      </c>
      <c r="B75" s="132" t="str">
        <f>IFERROR(__xludf.DUMMYFUNCTION("""COMPUTED_VALUE"""),"糖記")</f>
        <v>糖記</v>
      </c>
      <c r="C75" s="132" t="str">
        <f>IFERROR(__xludf.DUMMYFUNCTION("""COMPUTED_VALUE"""),"食物")</f>
        <v>食物</v>
      </c>
      <c r="D75" s="132">
        <f>IFERROR(__xludf.DUMMYFUNCTION("""COMPUTED_VALUE"""),32.17)</f>
        <v>32.17</v>
      </c>
      <c r="E75" s="132" t="str">
        <f>IFERROR(__xludf.DUMMYFUNCTION("""COMPUTED_VALUE"""),"Rachel")</f>
        <v>Rachel</v>
      </c>
      <c r="F75" s="132">
        <f>IFERROR(__xludf.DUMMYFUNCTION("""COMPUTED_VALUE"""),6.434)</f>
        <v>6.434</v>
      </c>
      <c r="G75" s="132">
        <f>IFERROR(__xludf.DUMMYFUNCTION("""COMPUTED_VALUE"""),6.434)</f>
        <v>6.434</v>
      </c>
      <c r="H75" s="132">
        <f>IFERROR(__xludf.DUMMYFUNCTION("""COMPUTED_VALUE"""),1.0)</f>
        <v>1</v>
      </c>
      <c r="I75" s="132">
        <f>IFERROR(__xludf.DUMMYFUNCTION("""COMPUTED_VALUE"""),1.0)</f>
        <v>1</v>
      </c>
      <c r="J75" s="132">
        <f>IFERROR(__xludf.DUMMYFUNCTION("""COMPUTED_VALUE"""),1.0)</f>
        <v>1</v>
      </c>
      <c r="K75" s="132">
        <f>IFERROR(__xludf.DUMMYFUNCTION("""COMPUTED_VALUE"""),1.0)</f>
        <v>1</v>
      </c>
      <c r="L75" s="132"/>
      <c r="M75" s="132">
        <f>IFERROR(__xludf.DUMMYFUNCTION("""COMPUTED_VALUE"""),1.0)</f>
        <v>1</v>
      </c>
      <c r="N75" s="132"/>
      <c r="O75" s="132"/>
      <c r="P75" s="132"/>
      <c r="Q75" s="132"/>
      <c r="R75" s="132" t="str">
        <f>IFERROR(__xludf.DUMMYFUNCTION("""COMPUTED_VALUE"""),"Internet")</f>
        <v>Internet</v>
      </c>
      <c r="S75" s="132">
        <f>IFERROR(__xludf.DUMMYFUNCTION("""COMPUTED_VALUE"""),56.5)</f>
        <v>56.5</v>
      </c>
      <c r="T75" s="132">
        <f>IFERROR(__xludf.DUMMYFUNCTION("""COMPUTED_VALUE"""),11.3)</f>
        <v>11.3</v>
      </c>
      <c r="U75" s="132" t="str">
        <f>IFERROR(__xludf.DUMMYFUNCTION("""COMPUTED_VALUE"""),"Paid")</f>
        <v>Paid</v>
      </c>
      <c r="V75" s="132" t="str">
        <f>IFERROR(__xludf.DUMMYFUNCTION("""COMPUTED_VALUE"""),"Paid")</f>
        <v>Paid</v>
      </c>
      <c r="W75" s="132" t="str">
        <f>IFERROR(__xludf.DUMMYFUNCTION("""COMPUTED_VALUE"""),"Paid")</f>
        <v>Paid</v>
      </c>
      <c r="X75" s="132" t="str">
        <f>IFERROR(__xludf.DUMMYFUNCTION("""COMPUTED_VALUE"""),"Paid")</f>
        <v>Paid</v>
      </c>
      <c r="Y75" s="132" t="str">
        <f>IFERROR(__xludf.DUMMYFUNCTION("""COMPUTED_VALUE"""),"Paid")</f>
        <v>Paid</v>
      </c>
      <c r="Z75" s="132"/>
    </row>
    <row r="76">
      <c r="A76" s="133">
        <f>IFERROR(__xludf.DUMMYFUNCTION("""COMPUTED_VALUE"""),45504.0)</f>
        <v>45504</v>
      </c>
      <c r="B76" s="132" t="str">
        <f>IFERROR(__xludf.DUMMYFUNCTION("""COMPUTED_VALUE"""),"Foody")</f>
        <v>Foody</v>
      </c>
      <c r="C76" s="132" t="str">
        <f>IFERROR(__xludf.DUMMYFUNCTION("""COMPUTED_VALUE"""),"食物")</f>
        <v>食物</v>
      </c>
      <c r="D76" s="132">
        <f>IFERROR(__xludf.DUMMYFUNCTION("""COMPUTED_VALUE"""),30.91)</f>
        <v>30.91</v>
      </c>
      <c r="E76" s="132" t="str">
        <f>IFERROR(__xludf.DUMMYFUNCTION("""COMPUTED_VALUE"""),"Pigskin")</f>
        <v>Pigskin</v>
      </c>
      <c r="F76" s="132">
        <f>IFERROR(__xludf.DUMMYFUNCTION("""COMPUTED_VALUE"""),7.7275)</f>
        <v>7.7275</v>
      </c>
      <c r="G76" s="132">
        <f>IFERROR(__xludf.DUMMYFUNCTION("""COMPUTED_VALUE"""),7.7275)</f>
        <v>7.7275</v>
      </c>
      <c r="H76" s="132">
        <f>IFERROR(__xludf.DUMMYFUNCTION("""COMPUTED_VALUE"""),1.0)</f>
        <v>1</v>
      </c>
      <c r="I76" s="132">
        <f>IFERROR(__xludf.DUMMYFUNCTION("""COMPUTED_VALUE"""),1.0)</f>
        <v>1</v>
      </c>
      <c r="J76" s="132">
        <f>IFERROR(__xludf.DUMMYFUNCTION("""COMPUTED_VALUE"""),1.0)</f>
        <v>1</v>
      </c>
      <c r="K76" s="132">
        <f>IFERROR(__xludf.DUMMYFUNCTION("""COMPUTED_VALUE"""),1.0)</f>
        <v>1</v>
      </c>
      <c r="L76" s="132"/>
      <c r="M76" s="132"/>
      <c r="N76" s="132"/>
      <c r="O76" s="132"/>
      <c r="P76" s="132"/>
      <c r="Q76" s="132"/>
      <c r="R76" s="132"/>
      <c r="S76" s="132">
        <f>IFERROR(__xludf.DUMMYFUNCTION("""COMPUTED_VALUE"""),3930.09)</f>
        <v>3930.09</v>
      </c>
      <c r="T76" s="132">
        <f>IFERROR(__xludf.DUMMYFUNCTION("""COMPUTED_VALUE"""),786.0179999999999)</f>
        <v>786.018</v>
      </c>
      <c r="U76" s="132"/>
      <c r="V76" s="132"/>
      <c r="W76" s="132"/>
      <c r="X76" s="132"/>
      <c r="Y76" s="132"/>
      <c r="Z76" s="132"/>
    </row>
    <row r="77">
      <c r="A77" s="133">
        <f>IFERROR(__xludf.DUMMYFUNCTION("""COMPUTED_VALUE"""),45508.0)</f>
        <v>45508</v>
      </c>
      <c r="B77" s="132" t="str">
        <f>IFERROR(__xludf.DUMMYFUNCTION("""COMPUTED_VALUE"""),"百力滋")</f>
        <v>百力滋</v>
      </c>
      <c r="C77" s="132" t="str">
        <f>IFERROR(__xludf.DUMMYFUNCTION("""COMPUTED_VALUE"""),"食物")</f>
        <v>食物</v>
      </c>
      <c r="D77" s="132">
        <f>IFERROR(__xludf.DUMMYFUNCTION("""COMPUTED_VALUE"""),3.0509999999999997)</f>
        <v>3.051</v>
      </c>
      <c r="E77" s="132" t="str">
        <f>IFERROR(__xludf.DUMMYFUNCTION("""COMPUTED_VALUE"""),"Rachel")</f>
        <v>Rachel</v>
      </c>
      <c r="F77" s="132">
        <f>IFERROR(__xludf.DUMMYFUNCTION("""COMPUTED_VALUE"""),0.5085)</f>
        <v>0.5085</v>
      </c>
      <c r="G77" s="132">
        <f>IFERROR(__xludf.DUMMYFUNCTION("""COMPUTED_VALUE"""),0.5085)</f>
        <v>0.5085</v>
      </c>
      <c r="H77" s="132">
        <f>IFERROR(__xludf.DUMMYFUNCTION("""COMPUTED_VALUE"""),1.0)</f>
        <v>1</v>
      </c>
      <c r="I77" s="132">
        <f>IFERROR(__xludf.DUMMYFUNCTION("""COMPUTED_VALUE"""),1.0)</f>
        <v>1</v>
      </c>
      <c r="J77" s="132">
        <f>IFERROR(__xludf.DUMMYFUNCTION("""COMPUTED_VALUE"""),1.0)</f>
        <v>1</v>
      </c>
      <c r="K77" s="132">
        <f>IFERROR(__xludf.DUMMYFUNCTION("""COMPUTED_VALUE"""),1.0)</f>
        <v>1</v>
      </c>
      <c r="L77" s="132"/>
      <c r="M77" s="132">
        <f>IFERROR(__xludf.DUMMYFUNCTION("""COMPUTED_VALUE"""),1.0)</f>
        <v>1</v>
      </c>
      <c r="N77" s="132">
        <f>IFERROR(__xludf.DUMMYFUNCTION("""COMPUTED_VALUE"""),1.0)</f>
        <v>1</v>
      </c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3"/>
      <c r="B78" s="132" t="str">
        <f>IFERROR(__xludf.DUMMYFUNCTION("""COMPUTED_VALUE"""),"Octopus")</f>
        <v>Octopus</v>
      </c>
      <c r="C78" s="132" t="str">
        <f>IFERROR(__xludf.DUMMYFUNCTION("""COMPUTED_VALUE"""),"食物")</f>
        <v>食物</v>
      </c>
      <c r="D78" s="132">
        <f>IFERROR(__xludf.DUMMYFUNCTION("""COMPUTED_VALUE"""),108.0)</f>
        <v>108</v>
      </c>
      <c r="E78" s="132" t="str">
        <f>IFERROR(__xludf.DUMMYFUNCTION("""COMPUTED_VALUE"""),"Rachel")</f>
        <v>Rachel</v>
      </c>
      <c r="F78" s="132">
        <f>IFERROR(__xludf.DUMMYFUNCTION("""COMPUTED_VALUE"""),15.428571428571429)</f>
        <v>15.42857143</v>
      </c>
      <c r="G78" s="132">
        <f>IFERROR(__xludf.DUMMYFUNCTION("""COMPUTED_VALUE"""),15.428571428571429)</f>
        <v>15.42857143</v>
      </c>
      <c r="H78" s="132">
        <f>IFERROR(__xludf.DUMMYFUNCTION("""COMPUTED_VALUE"""),1.0)</f>
        <v>1</v>
      </c>
      <c r="I78" s="132">
        <f>IFERROR(__xludf.DUMMYFUNCTION("""COMPUTED_VALUE"""),1.0)</f>
        <v>1</v>
      </c>
      <c r="J78" s="132">
        <f>IFERROR(__xludf.DUMMYFUNCTION("""COMPUTED_VALUE"""),1.0)</f>
        <v>1</v>
      </c>
      <c r="K78" s="132">
        <f>IFERROR(__xludf.DUMMYFUNCTION("""COMPUTED_VALUE"""),1.0)</f>
        <v>1</v>
      </c>
      <c r="L78" s="132">
        <f>IFERROR(__xludf.DUMMYFUNCTION("""COMPUTED_VALUE"""),1.0)</f>
        <v>1</v>
      </c>
      <c r="M78" s="132">
        <f>IFERROR(__xludf.DUMMYFUNCTION("""COMPUTED_VALUE"""),1.0)</f>
        <v>1</v>
      </c>
      <c r="N78" s="132">
        <f>IFERROR(__xludf.DUMMYFUNCTION("""COMPUTED_VALUE"""),1.0)</f>
        <v>1</v>
      </c>
      <c r="O78" s="132"/>
      <c r="P78" s="132"/>
      <c r="Q78" s="134">
        <f>IFERROR(__xludf.DUMMYFUNCTION("""COMPUTED_VALUE"""),45413.0)</f>
        <v>45413</v>
      </c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3">
        <f>IFERROR(__xludf.DUMMYFUNCTION("""COMPUTED_VALUE"""),45499.0)</f>
        <v>45499</v>
      </c>
      <c r="B79" s="132" t="str">
        <f>IFERROR(__xludf.DUMMYFUNCTION("""COMPUTED_VALUE"""),"Nofrills")</f>
        <v>Nofrills</v>
      </c>
      <c r="C79" s="132" t="str">
        <f>IFERROR(__xludf.DUMMYFUNCTION("""COMPUTED_VALUE"""),"食物")</f>
        <v>食物</v>
      </c>
      <c r="D79" s="132">
        <f>IFERROR(__xludf.DUMMYFUNCTION("""COMPUTED_VALUE"""),73.94)</f>
        <v>73.94</v>
      </c>
      <c r="E79" s="132" t="str">
        <f>IFERROR(__xludf.DUMMYFUNCTION("""COMPUTED_VALUE"""),"Pigskin")</f>
        <v>Pigskin</v>
      </c>
      <c r="F79" s="132">
        <f>IFERROR(__xludf.DUMMYFUNCTION("""COMPUTED_VALUE"""),12.323333333333332)</f>
        <v>12.32333333</v>
      </c>
      <c r="G79" s="132">
        <f>IFERROR(__xludf.DUMMYFUNCTION("""COMPUTED_VALUE"""),12.323333333333332)</f>
        <v>12.32333333</v>
      </c>
      <c r="H79" s="132">
        <f>IFERROR(__xludf.DUMMYFUNCTION("""COMPUTED_VALUE"""),1.0)</f>
        <v>1</v>
      </c>
      <c r="I79" s="132">
        <f>IFERROR(__xludf.DUMMYFUNCTION("""COMPUTED_VALUE"""),1.0)</f>
        <v>1</v>
      </c>
      <c r="J79" s="132">
        <f>IFERROR(__xludf.DUMMYFUNCTION("""COMPUTED_VALUE"""),1.0)</f>
        <v>1</v>
      </c>
      <c r="K79" s="132">
        <f>IFERROR(__xludf.DUMMYFUNCTION("""COMPUTED_VALUE"""),1.0)</f>
        <v>1</v>
      </c>
      <c r="L79" s="132"/>
      <c r="M79" s="132">
        <f>IFERROR(__xludf.DUMMYFUNCTION("""COMPUTED_VALUE"""),1.0)</f>
        <v>1</v>
      </c>
      <c r="N79" s="132">
        <f>IFERROR(__xludf.DUMMYFUNCTION("""COMPUTED_VALUE"""),1.0)</f>
        <v>1</v>
      </c>
      <c r="O79" s="132"/>
      <c r="P79" s="132"/>
      <c r="Q79" s="132"/>
      <c r="R79" s="132" t="str">
        <f>IFERROR(__xludf.DUMMYFUNCTION("""COMPUTED_VALUE"""),"Water")</f>
        <v>Water</v>
      </c>
      <c r="S79" s="132">
        <f>IFERROR(__xludf.DUMMYFUNCTION("""COMPUTED_VALUE"""),428.7)</f>
        <v>428.7</v>
      </c>
      <c r="T79" s="132">
        <f>IFERROR(__xludf.DUMMYFUNCTION("""COMPUTED_VALUE"""),85.74)</f>
        <v>85.74</v>
      </c>
      <c r="U79" s="132" t="str">
        <f>IFERROR(__xludf.DUMMYFUNCTION("""COMPUTED_VALUE"""),"Paid")</f>
        <v>Paid</v>
      </c>
      <c r="V79" s="132" t="str">
        <f>IFERROR(__xludf.DUMMYFUNCTION("""COMPUTED_VALUE"""),"Paid")</f>
        <v>Paid</v>
      </c>
      <c r="W79" s="132" t="str">
        <f>IFERROR(__xludf.DUMMYFUNCTION("""COMPUTED_VALUE"""),"Paid")</f>
        <v>Paid</v>
      </c>
      <c r="X79" s="132" t="str">
        <f>IFERROR(__xludf.DUMMYFUNCTION("""COMPUTED_VALUE"""),"Paid")</f>
        <v>Paid</v>
      </c>
      <c r="Y79" s="132" t="str">
        <f>IFERROR(__xludf.DUMMYFUNCTION("""COMPUTED_VALUE"""),"Paid")</f>
        <v>Paid</v>
      </c>
      <c r="Z79" s="132"/>
    </row>
    <row r="80">
      <c r="A80" s="133">
        <f>IFERROR(__xludf.DUMMYFUNCTION("""COMPUTED_VALUE"""),45474.0)</f>
        <v>45474</v>
      </c>
      <c r="B80" s="132" t="str">
        <f>IFERROR(__xludf.DUMMYFUNCTION("""COMPUTED_VALUE"""),"Golden bubble")</f>
        <v>Golden bubble</v>
      </c>
      <c r="C80" s="132" t="str">
        <f>IFERROR(__xludf.DUMMYFUNCTION("""COMPUTED_VALUE"""),"食物")</f>
        <v>食物</v>
      </c>
      <c r="D80" s="135">
        <f>IFERROR(__xludf.DUMMYFUNCTION("""COMPUTED_VALUE"""),37.83)</f>
        <v>37.83</v>
      </c>
      <c r="E80" s="132" t="str">
        <f>IFERROR(__xludf.DUMMYFUNCTION("""COMPUTED_VALUE"""),"BL")</f>
        <v>BL</v>
      </c>
      <c r="F80" s="132">
        <f>IFERROR(__xludf.DUMMYFUNCTION("""COMPUTED_VALUE"""),7.566)</f>
        <v>7.566</v>
      </c>
      <c r="G80" s="132">
        <f>IFERROR(__xludf.DUMMYFUNCTION("""COMPUTED_VALUE"""),7.566)</f>
        <v>7.566</v>
      </c>
      <c r="H80" s="132">
        <f>IFERROR(__xludf.DUMMYFUNCTION("""COMPUTED_VALUE"""),1.0)</f>
        <v>1</v>
      </c>
      <c r="I80" s="132">
        <f>IFERROR(__xludf.DUMMYFUNCTION("""COMPUTED_VALUE"""),1.0)</f>
        <v>1</v>
      </c>
      <c r="J80" s="132">
        <f>IFERROR(__xludf.DUMMYFUNCTION("""COMPUTED_VALUE"""),1.0)</f>
        <v>1</v>
      </c>
      <c r="K80" s="132">
        <f>IFERROR(__xludf.DUMMYFUNCTION("""COMPUTED_VALUE"""),1.0)</f>
        <v>1</v>
      </c>
      <c r="L80" s="132"/>
      <c r="M80" s="132">
        <f>IFERROR(__xludf.DUMMYFUNCTION("""COMPUTED_VALUE"""),1.0)</f>
        <v>1</v>
      </c>
      <c r="N80" s="132"/>
      <c r="O80" s="132"/>
      <c r="P80" s="132"/>
      <c r="Q80" s="132"/>
      <c r="R80" s="132" t="str">
        <f>IFERROR(__xludf.DUMMYFUNCTION("""COMPUTED_VALUE"""),"Heat")</f>
        <v>Heat</v>
      </c>
      <c r="S80" s="132">
        <f>IFERROR(__xludf.DUMMYFUNCTION("""COMPUTED_VALUE"""),109.38)</f>
        <v>109.38</v>
      </c>
      <c r="T80" s="132">
        <f>IFERROR(__xludf.DUMMYFUNCTION("""COMPUTED_VALUE"""),21.875999999999998)</f>
        <v>21.876</v>
      </c>
      <c r="U80" s="132" t="str">
        <f>IFERROR(__xludf.DUMMYFUNCTION("""COMPUTED_VALUE"""),"Paid")</f>
        <v>Paid</v>
      </c>
      <c r="V80" s="132" t="str">
        <f>IFERROR(__xludf.DUMMYFUNCTION("""COMPUTED_VALUE"""),"Paid")</f>
        <v>Paid</v>
      </c>
      <c r="W80" s="132" t="str">
        <f>IFERROR(__xludf.DUMMYFUNCTION("""COMPUTED_VALUE"""),"Paid")</f>
        <v>Paid</v>
      </c>
      <c r="X80" s="132" t="str">
        <f>IFERROR(__xludf.DUMMYFUNCTION("""COMPUTED_VALUE"""),"Paid")</f>
        <v>Paid</v>
      </c>
      <c r="Y80" s="132" t="str">
        <f>IFERROR(__xludf.DUMMYFUNCTION("""COMPUTED_VALUE"""),"Paid")</f>
        <v>Paid</v>
      </c>
      <c r="Z80" s="132"/>
    </row>
    <row r="81">
      <c r="A81" s="136">
        <f>IFERROR(__xludf.DUMMYFUNCTION("""COMPUTED_VALUE"""),45475.0)</f>
        <v>45475</v>
      </c>
      <c r="B81" s="132" t="str">
        <f>IFERROR(__xludf.DUMMYFUNCTION("""COMPUTED_VALUE"""),"Jamieson cranberry")</f>
        <v>Jamieson cranberry</v>
      </c>
      <c r="C81" s="132" t="str">
        <f>IFERROR(__xludf.DUMMYFUNCTION("""COMPUTED_VALUE"""),"醫藥")</f>
        <v>醫藥</v>
      </c>
      <c r="D81" s="132">
        <f>IFERROR(__xludf.DUMMYFUNCTION("""COMPUTED_VALUE"""),44.05)</f>
        <v>44.05</v>
      </c>
      <c r="E81" s="132" t="str">
        <f>IFERROR(__xludf.DUMMYFUNCTION("""COMPUTED_VALUE"""),"BL")</f>
        <v>BL</v>
      </c>
      <c r="F81" s="132">
        <f>IFERROR(__xludf.DUMMYFUNCTION("""COMPUTED_VALUE"""),44.05)</f>
        <v>44.05</v>
      </c>
      <c r="G81" s="132">
        <f>IFERROR(__xludf.DUMMYFUNCTION("""COMPUTED_VALUE"""),44.05)</f>
        <v>44.05</v>
      </c>
      <c r="H81" s="132"/>
      <c r="I81" s="132"/>
      <c r="J81" s="132"/>
      <c r="K81" s="132"/>
      <c r="L81" s="132"/>
      <c r="M81" s="132"/>
      <c r="N81" s="132">
        <f>IFERROR(__xludf.DUMMYFUNCTION("""COMPUTED_VALUE"""),1.0)</f>
        <v>1</v>
      </c>
      <c r="O81" s="132"/>
      <c r="P81" s="132"/>
      <c r="Q81" s="132"/>
      <c r="R81" s="132" t="str">
        <f>IFERROR(__xludf.DUMMYFUNCTION("""COMPUTED_VALUE"""),"Electricity")</f>
        <v>Electricity</v>
      </c>
      <c r="S81" s="132">
        <f>IFERROR(__xludf.DUMMYFUNCTION("""COMPUTED_VALUE"""),97.82)</f>
        <v>97.82</v>
      </c>
      <c r="T81" s="132">
        <f>IFERROR(__xludf.DUMMYFUNCTION("""COMPUTED_VALUE"""),19.564)</f>
        <v>19.564</v>
      </c>
      <c r="U81" s="132" t="str">
        <f>IFERROR(__xludf.DUMMYFUNCTION("""COMPUTED_VALUE"""),"Paid")</f>
        <v>Paid</v>
      </c>
      <c r="V81" s="132" t="str">
        <f>IFERROR(__xludf.DUMMYFUNCTION("""COMPUTED_VALUE"""),"Paid")</f>
        <v>Paid</v>
      </c>
      <c r="W81" s="132" t="str">
        <f>IFERROR(__xludf.DUMMYFUNCTION("""COMPUTED_VALUE"""),"Paid")</f>
        <v>Paid</v>
      </c>
      <c r="X81" s="132" t="str">
        <f>IFERROR(__xludf.DUMMYFUNCTION("""COMPUTED_VALUE"""),"Paid")</f>
        <v>Paid</v>
      </c>
      <c r="Y81" s="132" t="str">
        <f>IFERROR(__xludf.DUMMYFUNCTION("""COMPUTED_VALUE"""),"Paid")</f>
        <v>Paid</v>
      </c>
      <c r="Z81" s="132"/>
    </row>
    <row r="82">
      <c r="A82" s="133"/>
      <c r="B82" s="132"/>
      <c r="C82" s="132"/>
      <c r="D82" s="132"/>
      <c r="E82" s="132"/>
      <c r="F82" s="132" t="str">
        <f>IFERROR(__xludf.DUMMYFUNCTION("""COMPUTED_VALUE"""),"#DIV/0!")</f>
        <v>#DIV/0!</v>
      </c>
      <c r="G82" s="132" t="str">
        <f>IFERROR(__xludf.DUMMYFUNCTION("""COMPUTED_VALUE"""),"#DIV/0!")</f>
        <v>#DIV/0!</v>
      </c>
      <c r="H82" s="132"/>
      <c r="I82" s="132"/>
      <c r="J82" s="132"/>
      <c r="K82" s="132"/>
      <c r="L82" s="132"/>
      <c r="M82" s="132"/>
      <c r="N82" s="132"/>
      <c r="O82" s="132"/>
      <c r="P82" s="132"/>
      <c r="Q82" s="132"/>
      <c r="R82" s="132" t="str">
        <f>IFERROR(__xludf.DUMMYFUNCTION("""COMPUTED_VALUE"""),"Internet")</f>
        <v>Internet</v>
      </c>
      <c r="S82" s="132">
        <f>IFERROR(__xludf.DUMMYFUNCTION("""COMPUTED_VALUE"""),56.5)</f>
        <v>56.5</v>
      </c>
      <c r="T82" s="132">
        <f>IFERROR(__xludf.DUMMYFUNCTION("""COMPUTED_VALUE"""),11.3)</f>
        <v>11.3</v>
      </c>
      <c r="U82" s="132" t="str">
        <f>IFERROR(__xludf.DUMMYFUNCTION("""COMPUTED_VALUE"""),"Paid")</f>
        <v>Paid</v>
      </c>
      <c r="V82" s="132" t="str">
        <f>IFERROR(__xludf.DUMMYFUNCTION("""COMPUTED_VALUE"""),"Paid")</f>
        <v>Paid</v>
      </c>
      <c r="W82" s="132" t="str">
        <f>IFERROR(__xludf.DUMMYFUNCTION("""COMPUTED_VALUE"""),"Paid")</f>
        <v>Paid</v>
      </c>
      <c r="X82" s="132" t="str">
        <f>IFERROR(__xludf.DUMMYFUNCTION("""COMPUTED_VALUE"""),"Paid")</f>
        <v>Paid</v>
      </c>
      <c r="Y82" s="132" t="str">
        <f>IFERROR(__xludf.DUMMYFUNCTION("""COMPUTED_VALUE"""),"Paid")</f>
        <v>Paid</v>
      </c>
      <c r="Z82" s="132"/>
    </row>
    <row r="83">
      <c r="A83" s="136"/>
      <c r="B83" s="132" t="str">
        <f>IFERROR(__xludf.DUMMYFUNCTION("""COMPUTED_VALUE"""),"Handheld light")</f>
        <v>Handheld light</v>
      </c>
      <c r="C83" s="132" t="str">
        <f>IFERROR(__xludf.DUMMYFUNCTION("""COMPUTED_VALUE"""),"電子產品")</f>
        <v>電子產品</v>
      </c>
      <c r="D83" s="135">
        <f>IFERROR(__xludf.DUMMYFUNCTION("""COMPUTED_VALUE"""),39.5)</f>
        <v>39.5</v>
      </c>
      <c r="E83" s="132" t="str">
        <f>IFERROR(__xludf.DUMMYFUNCTION("""COMPUTED_VALUE"""),"BL")</f>
        <v>BL</v>
      </c>
      <c r="F83" s="132">
        <f>IFERROR(__xludf.DUMMYFUNCTION("""COMPUTED_VALUE"""),39.5)</f>
        <v>39.5</v>
      </c>
      <c r="G83" s="132">
        <f>IFERROR(__xludf.DUMMYFUNCTION("""COMPUTED_VALUE"""),39.5)</f>
        <v>39.5</v>
      </c>
      <c r="H83" s="132"/>
      <c r="I83" s="132">
        <f>IFERROR(__xludf.DUMMYFUNCTION("""COMPUTED_VALUE"""),1.0)</f>
        <v>1</v>
      </c>
      <c r="J83" s="132"/>
      <c r="K83" s="132"/>
      <c r="L83" s="132"/>
      <c r="M83" s="132"/>
      <c r="N83" s="132"/>
      <c r="O83" s="132"/>
      <c r="P83" s="132"/>
      <c r="Q83" s="132"/>
      <c r="R83" s="132"/>
      <c r="S83" s="132">
        <f>IFERROR(__xludf.DUMMYFUNCTION("""COMPUTED_VALUE"""),692.3999999999999)</f>
        <v>692.4</v>
      </c>
      <c r="T83" s="132">
        <f>IFERROR(__xludf.DUMMYFUNCTION("""COMPUTED_VALUE"""),138.48)</f>
        <v>138.48</v>
      </c>
      <c r="U83" s="132"/>
      <c r="V83" s="132"/>
      <c r="W83" s="132"/>
      <c r="X83" s="132"/>
      <c r="Y83" s="132"/>
      <c r="Z83" s="132"/>
    </row>
    <row r="84">
      <c r="A84" s="136"/>
      <c r="B84" s="132" t="str">
        <f>IFERROR(__xludf.DUMMYFUNCTION("""COMPUTED_VALUE"""),"Bath stone")</f>
        <v>Bath stone</v>
      </c>
      <c r="C84" s="132" t="str">
        <f>IFERROR(__xludf.DUMMYFUNCTION("""COMPUTED_VALUE"""),"居家")</f>
        <v>居家</v>
      </c>
      <c r="D84" s="135">
        <f>IFERROR(__xludf.DUMMYFUNCTION("""COMPUTED_VALUE"""),34.792699999999996)</f>
        <v>34.7927</v>
      </c>
      <c r="E84" s="132" t="str">
        <f>IFERROR(__xludf.DUMMYFUNCTION("""COMPUTED_VALUE"""),"BL")</f>
        <v>BL</v>
      </c>
      <c r="F84" s="132">
        <f>IFERROR(__xludf.DUMMYFUNCTION("""COMPUTED_VALUE"""),11.597566666666665)</f>
        <v>11.59756667</v>
      </c>
      <c r="G84" s="132">
        <f>IFERROR(__xludf.DUMMYFUNCTION("""COMPUTED_VALUE"""),11.597566666666665)</f>
        <v>11.59756667</v>
      </c>
      <c r="H84" s="132"/>
      <c r="I84" s="132"/>
      <c r="J84" s="132">
        <f>IFERROR(__xludf.DUMMYFUNCTION("""COMPUTED_VALUE"""),1.0)</f>
        <v>1</v>
      </c>
      <c r="K84" s="132">
        <f>IFERROR(__xludf.DUMMYFUNCTION("""COMPUTED_VALUE"""),1.0)</f>
        <v>1</v>
      </c>
      <c r="L84" s="132"/>
      <c r="M84" s="132"/>
      <c r="N84" s="132">
        <f>IFERROR(__xludf.DUMMYFUNCTION("""COMPUTED_VALUE"""),1.0)</f>
        <v>1</v>
      </c>
      <c r="O84" s="132"/>
      <c r="P84" s="132"/>
      <c r="Q84" s="134">
        <f>IFERROR(__xludf.DUMMYFUNCTION("""COMPUTED_VALUE"""),45444.0)</f>
        <v>45444</v>
      </c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3"/>
      <c r="B85" s="132" t="str">
        <f>IFERROR(__xludf.DUMMYFUNCTION("""COMPUTED_VALUE"""),"Mouse")</f>
        <v>Mouse</v>
      </c>
      <c r="C85" s="132" t="str">
        <f>IFERROR(__xludf.DUMMYFUNCTION("""COMPUTED_VALUE"""),"電子產品")</f>
        <v>電子產品</v>
      </c>
      <c r="D85" s="135">
        <f>IFERROR(__xludf.DUMMYFUNCTION("""COMPUTED_VALUE"""),18.0687)</f>
        <v>18.0687</v>
      </c>
      <c r="E85" s="132" t="str">
        <f>IFERROR(__xludf.DUMMYFUNCTION("""COMPUTED_VALUE"""),"BL")</f>
        <v>BL</v>
      </c>
      <c r="F85" s="132">
        <f>IFERROR(__xludf.DUMMYFUNCTION("""COMPUTED_VALUE"""),18.0687)</f>
        <v>18.0687</v>
      </c>
      <c r="G85" s="132">
        <f>IFERROR(__xludf.DUMMYFUNCTION("""COMPUTED_VALUE"""),18.0687)</f>
        <v>18.0687</v>
      </c>
      <c r="H85" s="132"/>
      <c r="I85" s="132"/>
      <c r="J85" s="132"/>
      <c r="K85" s="132"/>
      <c r="L85" s="132"/>
      <c r="M85" s="132">
        <f>IFERROR(__xludf.DUMMYFUNCTION("""COMPUTED_VALUE"""),1.0)</f>
        <v>1</v>
      </c>
      <c r="N85" s="132"/>
      <c r="O85" s="132"/>
      <c r="P85" s="132"/>
      <c r="Q85" s="132"/>
      <c r="R85" s="132" t="str">
        <f>IFERROR(__xludf.DUMMYFUNCTION("""COMPUTED_VALUE"""),"Water")</f>
        <v>Water</v>
      </c>
      <c r="S85" s="132"/>
      <c r="T85" s="132">
        <f>IFERROR(__xludf.DUMMYFUNCTION("""COMPUTED_VALUE"""),0.0)</f>
        <v>0</v>
      </c>
      <c r="U85" s="132"/>
      <c r="V85" s="132"/>
      <c r="W85" s="132"/>
      <c r="X85" s="132"/>
      <c r="Y85" s="132"/>
      <c r="Z85" s="132"/>
    </row>
    <row r="86">
      <c r="A86" s="133"/>
      <c r="B86" s="132" t="str">
        <f>IFERROR(__xludf.DUMMYFUNCTION("""COMPUTED_VALUE"""),"Monitor")</f>
        <v>Monitor</v>
      </c>
      <c r="C86" s="132" t="str">
        <f>IFERROR(__xludf.DUMMYFUNCTION("""COMPUTED_VALUE"""),"電子產品")</f>
        <v>電子產品</v>
      </c>
      <c r="D86" s="135">
        <f>IFERROR(__xludf.DUMMYFUNCTION("""COMPUTED_VALUE"""),119.2)</f>
        <v>119.2</v>
      </c>
      <c r="E86" s="132" t="str">
        <f>IFERROR(__xludf.DUMMYFUNCTION("""COMPUTED_VALUE"""),"BL")</f>
        <v>BL</v>
      </c>
      <c r="F86" s="132">
        <f>IFERROR(__xludf.DUMMYFUNCTION("""COMPUTED_VALUE"""),119.2)</f>
        <v>119.2</v>
      </c>
      <c r="G86" s="132">
        <f>IFERROR(__xludf.DUMMYFUNCTION("""COMPUTED_VALUE"""),119.2)</f>
        <v>119.2</v>
      </c>
      <c r="H86" s="132"/>
      <c r="I86" s="132"/>
      <c r="J86" s="132"/>
      <c r="K86" s="132"/>
      <c r="L86" s="132">
        <f>IFERROR(__xludf.DUMMYFUNCTION("""COMPUTED_VALUE"""),1.0)</f>
        <v>1</v>
      </c>
      <c r="M86" s="132"/>
      <c r="N86" s="132"/>
      <c r="O86" s="132"/>
      <c r="P86" s="132"/>
      <c r="Q86" s="132"/>
      <c r="R86" s="132" t="str">
        <f>IFERROR(__xludf.DUMMYFUNCTION("""COMPUTED_VALUE"""),"Heat")</f>
        <v>Heat</v>
      </c>
      <c r="S86" s="132">
        <f>IFERROR(__xludf.DUMMYFUNCTION("""COMPUTED_VALUE"""),91.03)</f>
        <v>91.03</v>
      </c>
      <c r="T86" s="132">
        <f>IFERROR(__xludf.DUMMYFUNCTION("""COMPUTED_VALUE"""),18.206)</f>
        <v>18.206</v>
      </c>
      <c r="U86" s="132" t="str">
        <f>IFERROR(__xludf.DUMMYFUNCTION("""COMPUTED_VALUE"""),"Paid")</f>
        <v>Paid</v>
      </c>
      <c r="V86" s="132" t="str">
        <f>IFERROR(__xludf.DUMMYFUNCTION("""COMPUTED_VALUE"""),"Paid")</f>
        <v>Paid</v>
      </c>
      <c r="W86" s="132" t="str">
        <f>IFERROR(__xludf.DUMMYFUNCTION("""COMPUTED_VALUE"""),"Paid")</f>
        <v>Paid</v>
      </c>
      <c r="X86" s="132" t="str">
        <f>IFERROR(__xludf.DUMMYFUNCTION("""COMPUTED_VALUE"""),"Paid")</f>
        <v>Paid</v>
      </c>
      <c r="Y86" s="132" t="str">
        <f>IFERROR(__xludf.DUMMYFUNCTION("""COMPUTED_VALUE"""),"Paid")</f>
        <v>Paid</v>
      </c>
      <c r="Z86" s="132"/>
    </row>
    <row r="87">
      <c r="A87" s="136"/>
      <c r="B87" s="132" t="str">
        <f>IFERROR(__xludf.DUMMYFUNCTION("""COMPUTED_VALUE"""),"sony earbuds")</f>
        <v>sony earbuds</v>
      </c>
      <c r="C87" s="132" t="str">
        <f>IFERROR(__xludf.DUMMYFUNCTION("""COMPUTED_VALUE"""),"電子產品")</f>
        <v>電子產品</v>
      </c>
      <c r="D87" s="135">
        <f>IFERROR(__xludf.DUMMYFUNCTION("""COMPUTED_VALUE"""),11.288699999999999)</f>
        <v>11.2887</v>
      </c>
      <c r="E87" s="132" t="str">
        <f>IFERROR(__xludf.DUMMYFUNCTION("""COMPUTED_VALUE"""),"BL")</f>
        <v>BL</v>
      </c>
      <c r="F87" s="132">
        <f>IFERROR(__xludf.DUMMYFUNCTION("""COMPUTED_VALUE"""),11.288699999999999)</f>
        <v>11.2887</v>
      </c>
      <c r="G87" s="132">
        <f>IFERROR(__xludf.DUMMYFUNCTION("""COMPUTED_VALUE"""),11.288699999999999)</f>
        <v>11.2887</v>
      </c>
      <c r="H87" s="132">
        <f>IFERROR(__xludf.DUMMYFUNCTION("""COMPUTED_VALUE"""),1.0)</f>
        <v>1</v>
      </c>
      <c r="I87" s="132"/>
      <c r="J87" s="132"/>
      <c r="K87" s="132"/>
      <c r="L87" s="132"/>
      <c r="M87" s="132"/>
      <c r="N87" s="132"/>
      <c r="O87" s="132"/>
      <c r="P87" s="132"/>
      <c r="Q87" s="132"/>
      <c r="R87" s="132" t="str">
        <f>IFERROR(__xludf.DUMMYFUNCTION("""COMPUTED_VALUE"""),"Electricity")</f>
        <v>Electricity</v>
      </c>
      <c r="S87" s="132">
        <f>IFERROR(__xludf.DUMMYFUNCTION("""COMPUTED_VALUE"""),122.11)</f>
        <v>122.11</v>
      </c>
      <c r="T87" s="132">
        <f>IFERROR(__xludf.DUMMYFUNCTION("""COMPUTED_VALUE"""),24.422)</f>
        <v>24.422</v>
      </c>
      <c r="U87" s="132" t="str">
        <f>IFERROR(__xludf.DUMMYFUNCTION("""COMPUTED_VALUE"""),"Paid")</f>
        <v>Paid</v>
      </c>
      <c r="V87" s="132" t="str">
        <f>IFERROR(__xludf.DUMMYFUNCTION("""COMPUTED_VALUE"""),"Paid")</f>
        <v>Paid</v>
      </c>
      <c r="W87" s="132" t="str">
        <f>IFERROR(__xludf.DUMMYFUNCTION("""COMPUTED_VALUE"""),"Paid")</f>
        <v>Paid</v>
      </c>
      <c r="X87" s="132" t="str">
        <f>IFERROR(__xludf.DUMMYFUNCTION("""COMPUTED_VALUE"""),"Paid")</f>
        <v>Paid</v>
      </c>
      <c r="Y87" s="132" t="str">
        <f>IFERROR(__xludf.DUMMYFUNCTION("""COMPUTED_VALUE"""),"Paid")</f>
        <v>Paid</v>
      </c>
      <c r="Z87" s="132"/>
    </row>
    <row r="88">
      <c r="A88" s="133"/>
      <c r="B88" s="132" t="str">
        <f>IFERROR(__xludf.DUMMYFUNCTION("""COMPUTED_VALUE"""),"Grater")</f>
        <v>Grater</v>
      </c>
      <c r="C88" s="132" t="str">
        <f>IFERROR(__xludf.DUMMYFUNCTION("""COMPUTED_VALUE"""),"居家")</f>
        <v>居家</v>
      </c>
      <c r="D88" s="135">
        <f>IFERROR(__xludf.DUMMYFUNCTION("""COMPUTED_VALUE"""),12.4)</f>
        <v>12.4</v>
      </c>
      <c r="E88" s="132" t="str">
        <f>IFERROR(__xludf.DUMMYFUNCTION("""COMPUTED_VALUE"""),"BL")</f>
        <v>BL</v>
      </c>
      <c r="F88" s="132">
        <f>IFERROR(__xludf.DUMMYFUNCTION("""COMPUTED_VALUE"""),2.48)</f>
        <v>2.48</v>
      </c>
      <c r="G88" s="132">
        <f>IFERROR(__xludf.DUMMYFUNCTION("""COMPUTED_VALUE"""),2.48)</f>
        <v>2.48</v>
      </c>
      <c r="H88" s="132">
        <f>IFERROR(__xludf.DUMMYFUNCTION("""COMPUTED_VALUE"""),1.0)</f>
        <v>1</v>
      </c>
      <c r="I88" s="132">
        <f>IFERROR(__xludf.DUMMYFUNCTION("""COMPUTED_VALUE"""),1.0)</f>
        <v>1</v>
      </c>
      <c r="J88" s="132">
        <f>IFERROR(__xludf.DUMMYFUNCTION("""COMPUTED_VALUE"""),1.0)</f>
        <v>1</v>
      </c>
      <c r="K88" s="132">
        <f>IFERROR(__xludf.DUMMYFUNCTION("""COMPUTED_VALUE"""),1.0)</f>
        <v>1</v>
      </c>
      <c r="L88" s="132"/>
      <c r="M88" s="132"/>
      <c r="N88" s="132">
        <f>IFERROR(__xludf.DUMMYFUNCTION("""COMPUTED_VALUE"""),1.0)</f>
        <v>1</v>
      </c>
      <c r="O88" s="132"/>
      <c r="P88" s="132"/>
      <c r="Q88" s="132"/>
      <c r="R88" s="132" t="str">
        <f>IFERROR(__xludf.DUMMYFUNCTION("""COMPUTED_VALUE"""),"Internet")</f>
        <v>Internet</v>
      </c>
      <c r="S88" s="132">
        <f>IFERROR(__xludf.DUMMYFUNCTION("""COMPUTED_VALUE"""),56.5)</f>
        <v>56.5</v>
      </c>
      <c r="T88" s="132">
        <f>IFERROR(__xludf.DUMMYFUNCTION("""COMPUTED_VALUE"""),11.3)</f>
        <v>11.3</v>
      </c>
      <c r="U88" s="132" t="str">
        <f>IFERROR(__xludf.DUMMYFUNCTION("""COMPUTED_VALUE"""),"Paid")</f>
        <v>Paid</v>
      </c>
      <c r="V88" s="132" t="str">
        <f>IFERROR(__xludf.DUMMYFUNCTION("""COMPUTED_VALUE"""),"Paid")</f>
        <v>Paid</v>
      </c>
      <c r="W88" s="132" t="str">
        <f>IFERROR(__xludf.DUMMYFUNCTION("""COMPUTED_VALUE"""),"Paid")</f>
        <v>Paid</v>
      </c>
      <c r="X88" s="132" t="str">
        <f>IFERROR(__xludf.DUMMYFUNCTION("""COMPUTED_VALUE"""),"Paid")</f>
        <v>Paid</v>
      </c>
      <c r="Y88" s="132" t="str">
        <f>IFERROR(__xludf.DUMMYFUNCTION("""COMPUTED_VALUE"""),"Paid")</f>
        <v>Paid</v>
      </c>
      <c r="Z88" s="132"/>
    </row>
    <row r="89">
      <c r="A89" s="133"/>
      <c r="B89" s="132"/>
      <c r="C89" s="132"/>
      <c r="D89" s="135"/>
      <c r="E89" s="132"/>
      <c r="F89" s="132" t="str">
        <f>IFERROR(__xludf.DUMMYFUNCTION("""COMPUTED_VALUE"""),"#DIV/0!")</f>
        <v>#DIV/0!</v>
      </c>
      <c r="G89" s="132" t="str">
        <f>IFERROR(__xludf.DUMMYFUNCTION("""COMPUTED_VALUE"""),"#DIV/0!")</f>
        <v>#DIV/0!</v>
      </c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>
        <f>IFERROR(__xludf.DUMMYFUNCTION("""COMPUTED_VALUE"""),269.64)</f>
        <v>269.64</v>
      </c>
      <c r="T89" s="132">
        <f>IFERROR(__xludf.DUMMYFUNCTION("""COMPUTED_VALUE"""),53.928)</f>
        <v>53.928</v>
      </c>
      <c r="U89" s="132"/>
      <c r="V89" s="132"/>
      <c r="W89" s="132"/>
      <c r="X89" s="132"/>
      <c r="Y89" s="132"/>
      <c r="Z89" s="132"/>
    </row>
    <row r="90">
      <c r="A90" s="133"/>
      <c r="B90" s="132"/>
      <c r="C90" s="132"/>
      <c r="D90" s="135"/>
      <c r="E90" s="132"/>
      <c r="F90" s="132" t="str">
        <f>IFERROR(__xludf.DUMMYFUNCTION("""COMPUTED_VALUE"""),"#DIV/0!")</f>
        <v>#DIV/0!</v>
      </c>
      <c r="G90" s="132" t="str">
        <f>IFERROR(__xludf.DUMMYFUNCTION("""COMPUTED_VALUE"""),"#DIV/0!")</f>
        <v>#DIV/0!</v>
      </c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3"/>
      <c r="B91" s="132" t="str">
        <f>IFERROR(__xludf.DUMMYFUNCTION("""COMPUTED_VALUE"""),"DVI cable")</f>
        <v>DVI cable</v>
      </c>
      <c r="C91" s="132" t="str">
        <f>IFERROR(__xludf.DUMMYFUNCTION("""COMPUTED_VALUE"""),"電子產品")</f>
        <v>電子產品</v>
      </c>
      <c r="D91" s="135">
        <f>IFERROR(__xludf.DUMMYFUNCTION("""COMPUTED_VALUE"""),13.55)</f>
        <v>13.55</v>
      </c>
      <c r="E91" s="132" t="str">
        <f>IFERROR(__xludf.DUMMYFUNCTION("""COMPUTED_VALUE"""),"BL")</f>
        <v>BL</v>
      </c>
      <c r="F91" s="132">
        <f>IFERROR(__xludf.DUMMYFUNCTION("""COMPUTED_VALUE"""),13.55)</f>
        <v>13.55</v>
      </c>
      <c r="G91" s="132">
        <f>IFERROR(__xludf.DUMMYFUNCTION("""COMPUTED_VALUE"""),13.55)</f>
        <v>13.55</v>
      </c>
      <c r="H91" s="132">
        <f>IFERROR(__xludf.DUMMYFUNCTION("""COMPUTED_VALUE"""),1.0)</f>
        <v>1</v>
      </c>
      <c r="I91" s="132"/>
      <c r="J91" s="132"/>
      <c r="K91" s="132"/>
      <c r="L91" s="132"/>
      <c r="M91" s="132"/>
      <c r="N91" s="132"/>
      <c r="O91" s="132"/>
      <c r="P91" s="132"/>
      <c r="Q91" s="134">
        <f>IFERROR(__xludf.DUMMYFUNCTION("""COMPUTED_VALUE"""),45474.0)</f>
        <v>45474</v>
      </c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6"/>
      <c r="B92" s="132" t="str">
        <f>IFERROR(__xludf.DUMMYFUNCTION("""COMPUTED_VALUE"""),"Cordless drill")</f>
        <v>Cordless drill</v>
      </c>
      <c r="C92" s="132" t="str">
        <f>IFERROR(__xludf.DUMMYFUNCTION("""COMPUTED_VALUE"""),"電子產品")</f>
        <v>電子產品</v>
      </c>
      <c r="D92" s="135">
        <f>IFERROR(__xludf.DUMMYFUNCTION("""COMPUTED_VALUE"""),67.79)</f>
        <v>67.79</v>
      </c>
      <c r="E92" s="132" t="str">
        <f>IFERROR(__xludf.DUMMYFUNCTION("""COMPUTED_VALUE"""),"BL")</f>
        <v>BL</v>
      </c>
      <c r="F92" s="132">
        <f>IFERROR(__xludf.DUMMYFUNCTION("""COMPUTED_VALUE"""),13.558000000000002)</f>
        <v>13.558</v>
      </c>
      <c r="G92" s="132">
        <f>IFERROR(__xludf.DUMMYFUNCTION("""COMPUTED_VALUE"""),13.558000000000002)</f>
        <v>13.558</v>
      </c>
      <c r="H92" s="132">
        <f>IFERROR(__xludf.DUMMYFUNCTION("""COMPUTED_VALUE"""),1.0)</f>
        <v>1</v>
      </c>
      <c r="I92" s="132">
        <f>IFERROR(__xludf.DUMMYFUNCTION("""COMPUTED_VALUE"""),1.0)</f>
        <v>1</v>
      </c>
      <c r="J92" s="132">
        <f>IFERROR(__xludf.DUMMYFUNCTION("""COMPUTED_VALUE"""),1.0)</f>
        <v>1</v>
      </c>
      <c r="K92" s="132">
        <f>IFERROR(__xludf.DUMMYFUNCTION("""COMPUTED_VALUE"""),1.0)</f>
        <v>1</v>
      </c>
      <c r="L92" s="132"/>
      <c r="M92" s="132"/>
      <c r="N92" s="132">
        <f>IFERROR(__xludf.DUMMYFUNCTION("""COMPUTED_VALUE"""),1.0)</f>
        <v>1</v>
      </c>
      <c r="O92" s="132"/>
      <c r="P92" s="132"/>
      <c r="Q92" s="132"/>
      <c r="R92" s="132" t="str">
        <f>IFERROR(__xludf.DUMMYFUNCTION("""COMPUTED_VALUE"""),"Water")</f>
        <v>Water</v>
      </c>
      <c r="S92" s="132"/>
      <c r="T92" s="132">
        <f>IFERROR(__xludf.DUMMYFUNCTION("""COMPUTED_VALUE"""),0.0)</f>
        <v>0</v>
      </c>
      <c r="U92" s="132"/>
      <c r="V92" s="132"/>
      <c r="W92" s="132"/>
      <c r="X92" s="132"/>
      <c r="Y92" s="132"/>
      <c r="Z92" s="132"/>
    </row>
    <row r="93">
      <c r="A93" s="133"/>
      <c r="B93" s="132"/>
      <c r="C93" s="132"/>
      <c r="D93" s="135"/>
      <c r="E93" s="132"/>
      <c r="F93" s="132">
        <f>IFERROR(__xludf.DUMMYFUNCTION("""COMPUTED_VALUE"""),0.0)</f>
        <v>0</v>
      </c>
      <c r="G93" s="132">
        <f>IFERROR(__xludf.DUMMYFUNCTION("""COMPUTED_VALUE"""),0.0)</f>
        <v>0</v>
      </c>
      <c r="H93" s="132"/>
      <c r="I93" s="132">
        <f>IFERROR(__xludf.DUMMYFUNCTION("""COMPUTED_VALUE"""),1.0)</f>
        <v>1</v>
      </c>
      <c r="J93" s="132"/>
      <c r="K93" s="132"/>
      <c r="L93" s="132"/>
      <c r="M93" s="132"/>
      <c r="N93" s="132"/>
      <c r="O93" s="132"/>
      <c r="P93" s="132"/>
      <c r="Q93" s="132"/>
      <c r="R93" s="132" t="str">
        <f>IFERROR(__xludf.DUMMYFUNCTION("""COMPUTED_VALUE"""),"Heat")</f>
        <v>Heat</v>
      </c>
      <c r="S93" s="132">
        <f>IFERROR(__xludf.DUMMYFUNCTION("""COMPUTED_VALUE"""),101.27)</f>
        <v>101.27</v>
      </c>
      <c r="T93" s="132">
        <f>IFERROR(__xludf.DUMMYFUNCTION("""COMPUTED_VALUE"""),20.253999999999998)</f>
        <v>20.254</v>
      </c>
      <c r="U93" s="132" t="str">
        <f>IFERROR(__xludf.DUMMYFUNCTION("""COMPUTED_VALUE"""),"Paid")</f>
        <v>Paid</v>
      </c>
      <c r="V93" s="132" t="str">
        <f>IFERROR(__xludf.DUMMYFUNCTION("""COMPUTED_VALUE"""),"Paid")</f>
        <v>Paid</v>
      </c>
      <c r="W93" s="132" t="str">
        <f>IFERROR(__xludf.DUMMYFUNCTION("""COMPUTED_VALUE"""),"Paid")</f>
        <v>Paid</v>
      </c>
      <c r="X93" s="132" t="str">
        <f>IFERROR(__xludf.DUMMYFUNCTION("""COMPUTED_VALUE"""),"Paid")</f>
        <v>Paid</v>
      </c>
      <c r="Y93" s="132" t="str">
        <f>IFERROR(__xludf.DUMMYFUNCTION("""COMPUTED_VALUE"""),"Paid")</f>
        <v>Paid</v>
      </c>
      <c r="Z93" s="132"/>
    </row>
    <row r="94">
      <c r="A94" s="133"/>
      <c r="B94" s="132"/>
      <c r="C94" s="132"/>
      <c r="D94" s="132"/>
      <c r="E94" s="132"/>
      <c r="F94" s="132" t="str">
        <f>IFERROR(__xludf.DUMMYFUNCTION("""COMPUTED_VALUE"""),"#DIV/0!")</f>
        <v>#DIV/0!</v>
      </c>
      <c r="G94" s="132" t="str">
        <f>IFERROR(__xludf.DUMMYFUNCTION("""COMPUTED_VALUE"""),"#DIV/0!")</f>
        <v>#DIV/0!</v>
      </c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 t="str">
        <f>IFERROR(__xludf.DUMMYFUNCTION("""COMPUTED_VALUE"""),"Electricity")</f>
        <v>Electricity</v>
      </c>
      <c r="S94" s="132">
        <f>IFERROR(__xludf.DUMMYFUNCTION("""COMPUTED_VALUE"""),170.93)</f>
        <v>170.93</v>
      </c>
      <c r="T94" s="132">
        <f>IFERROR(__xludf.DUMMYFUNCTION("""COMPUTED_VALUE"""),34.186)</f>
        <v>34.186</v>
      </c>
      <c r="U94" s="132" t="str">
        <f>IFERROR(__xludf.DUMMYFUNCTION("""COMPUTED_VALUE"""),"Paid")</f>
        <v>Paid</v>
      </c>
      <c r="V94" s="132" t="str">
        <f>IFERROR(__xludf.DUMMYFUNCTION("""COMPUTED_VALUE"""),"Paid")</f>
        <v>Paid</v>
      </c>
      <c r="W94" s="132" t="str">
        <f>IFERROR(__xludf.DUMMYFUNCTION("""COMPUTED_VALUE"""),"Paid")</f>
        <v>Paid</v>
      </c>
      <c r="X94" s="132" t="str">
        <f>IFERROR(__xludf.DUMMYFUNCTION("""COMPUTED_VALUE"""),"Paid")</f>
        <v>Paid</v>
      </c>
      <c r="Y94" s="132" t="str">
        <f>IFERROR(__xludf.DUMMYFUNCTION("""COMPUTED_VALUE"""),"Paid")</f>
        <v>Paid</v>
      </c>
      <c r="Z94" s="132"/>
    </row>
    <row r="95">
      <c r="A95" s="133"/>
      <c r="B95" s="132"/>
      <c r="C95" s="132"/>
      <c r="D95" s="132"/>
      <c r="E95" s="132"/>
      <c r="F95" s="132" t="str">
        <f>IFERROR(__xludf.DUMMYFUNCTION("""COMPUTED_VALUE"""),"#DIV/0!")</f>
        <v>#DIV/0!</v>
      </c>
      <c r="G95" s="132" t="str">
        <f>IFERROR(__xludf.DUMMYFUNCTION("""COMPUTED_VALUE"""),"#DIV/0!")</f>
        <v>#DIV/0!</v>
      </c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 t="str">
        <f>IFERROR(__xludf.DUMMYFUNCTION("""COMPUTED_VALUE"""),"Internet")</f>
        <v>Internet</v>
      </c>
      <c r="S95" s="132">
        <f>IFERROR(__xludf.DUMMYFUNCTION("""COMPUTED_VALUE"""),56.5)</f>
        <v>56.5</v>
      </c>
      <c r="T95" s="132">
        <f>IFERROR(__xludf.DUMMYFUNCTION("""COMPUTED_VALUE"""),11.3)</f>
        <v>11.3</v>
      </c>
      <c r="U95" s="132" t="str">
        <f>IFERROR(__xludf.DUMMYFUNCTION("""COMPUTED_VALUE"""),"Paid")</f>
        <v>Paid</v>
      </c>
      <c r="V95" s="132" t="str">
        <f>IFERROR(__xludf.DUMMYFUNCTION("""COMPUTED_VALUE"""),"Paid")</f>
        <v>Paid</v>
      </c>
      <c r="W95" s="132" t="str">
        <f>IFERROR(__xludf.DUMMYFUNCTION("""COMPUTED_VALUE"""),"Paid")</f>
        <v>Paid</v>
      </c>
      <c r="X95" s="132" t="str">
        <f>IFERROR(__xludf.DUMMYFUNCTION("""COMPUTED_VALUE"""),"Paid")</f>
        <v>Paid</v>
      </c>
      <c r="Y95" s="132" t="str">
        <f>IFERROR(__xludf.DUMMYFUNCTION("""COMPUTED_VALUE"""),"Paid")</f>
        <v>Paid</v>
      </c>
      <c r="Z95" s="132"/>
    </row>
    <row r="96">
      <c r="A96" s="136"/>
      <c r="B96" s="132"/>
      <c r="C96" s="132"/>
      <c r="D96" s="132"/>
      <c r="E96" s="132"/>
      <c r="F96" s="132" t="str">
        <f>IFERROR(__xludf.DUMMYFUNCTION("""COMPUTED_VALUE"""),"#DIV/0!")</f>
        <v>#DIV/0!</v>
      </c>
      <c r="G96" s="132" t="str">
        <f>IFERROR(__xludf.DUMMYFUNCTION("""COMPUTED_VALUE"""),"#DIV/0!")</f>
        <v>#DIV/0!</v>
      </c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>
        <f>IFERROR(__xludf.DUMMYFUNCTION("""COMPUTED_VALUE"""),328.7)</f>
        <v>328.7</v>
      </c>
      <c r="T96" s="132">
        <f>IFERROR(__xludf.DUMMYFUNCTION("""COMPUTED_VALUE"""),65.74)</f>
        <v>65.74</v>
      </c>
      <c r="U96" s="132"/>
      <c r="V96" s="132"/>
      <c r="W96" s="132"/>
      <c r="X96" s="132"/>
      <c r="Y96" s="132"/>
      <c r="Z96" s="132"/>
    </row>
    <row r="97">
      <c r="A97" s="136"/>
      <c r="B97" s="132"/>
      <c r="C97" s="132"/>
      <c r="D97" s="132"/>
      <c r="E97" s="132"/>
      <c r="F97" s="132" t="str">
        <f>IFERROR(__xludf.DUMMYFUNCTION("""COMPUTED_VALUE"""),"#DIV/0!")</f>
        <v>#DIV/0!</v>
      </c>
      <c r="G97" s="132" t="str">
        <f>IFERROR(__xludf.DUMMYFUNCTION("""COMPUTED_VALUE"""),"#DIV/0!")</f>
        <v>#DIV/0!</v>
      </c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6"/>
      <c r="B98" s="132"/>
      <c r="C98" s="132"/>
      <c r="D98" s="132"/>
      <c r="E98" s="132"/>
      <c r="F98" s="132" t="str">
        <f>IFERROR(__xludf.DUMMYFUNCTION("""COMPUTED_VALUE"""),"#DIV/0!")</f>
        <v>#DIV/0!</v>
      </c>
      <c r="G98" s="132" t="str">
        <f>IFERROR(__xludf.DUMMYFUNCTION("""COMPUTED_VALUE"""),"#DIV/0!")</f>
        <v>#DIV/0!</v>
      </c>
      <c r="H98" s="132"/>
      <c r="I98" s="132"/>
      <c r="J98" s="132"/>
      <c r="K98" s="132"/>
      <c r="L98" s="132"/>
      <c r="M98" s="132"/>
      <c r="N98" s="132"/>
      <c r="O98" s="132"/>
      <c r="P98" s="132"/>
      <c r="Q98" s="134">
        <f>IFERROR(__xludf.DUMMYFUNCTION("""COMPUTED_VALUE"""),45505.0)</f>
        <v>45505</v>
      </c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3"/>
      <c r="B99" s="132"/>
      <c r="C99" s="132"/>
      <c r="D99" s="132"/>
      <c r="E99" s="132"/>
      <c r="F99" s="132" t="str">
        <f>IFERROR(__xludf.DUMMYFUNCTION("""COMPUTED_VALUE"""),"#DIV/0!")</f>
        <v>#DIV/0!</v>
      </c>
      <c r="G99" s="132" t="str">
        <f>IFERROR(__xludf.DUMMYFUNCTION("""COMPUTED_VALUE"""),"#DIV/0!")</f>
        <v>#DIV/0!</v>
      </c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 t="str">
        <f>IFERROR(__xludf.DUMMYFUNCTION("""COMPUTED_VALUE"""),"Water (Pay by Rachel)")</f>
        <v>Water (Pay by Rachel)</v>
      </c>
      <c r="S99" s="132">
        <f>IFERROR(__xludf.DUMMYFUNCTION("""COMPUTED_VALUE"""),375.27)</f>
        <v>375.27</v>
      </c>
      <c r="T99" s="132">
        <f>IFERROR(__xludf.DUMMYFUNCTION("""COMPUTED_VALUE"""),75.054)</f>
        <v>75.054</v>
      </c>
      <c r="U99" s="132" t="str">
        <f>IFERROR(__xludf.DUMMYFUNCTION("""COMPUTED_VALUE"""),"Paid")</f>
        <v>Paid</v>
      </c>
      <c r="V99" s="132" t="str">
        <f>IFERROR(__xludf.DUMMYFUNCTION("""COMPUTED_VALUE"""),"Paid")</f>
        <v>Paid</v>
      </c>
      <c r="W99" s="132" t="str">
        <f>IFERROR(__xludf.DUMMYFUNCTION("""COMPUTED_VALUE"""),"Paid")</f>
        <v>Paid</v>
      </c>
      <c r="X99" s="132" t="str">
        <f>IFERROR(__xludf.DUMMYFUNCTION("""COMPUTED_VALUE"""),"Paid")</f>
        <v>Paid</v>
      </c>
      <c r="Y99" s="132" t="str">
        <f>IFERROR(__xludf.DUMMYFUNCTION("""COMPUTED_VALUE"""),"Paid")</f>
        <v>Paid</v>
      </c>
      <c r="Z99" s="132"/>
    </row>
    <row r="100">
      <c r="A100" s="133"/>
      <c r="B100" s="132"/>
      <c r="C100" s="132"/>
      <c r="D100" s="132"/>
      <c r="E100" s="132"/>
      <c r="F100" s="132" t="str">
        <f>IFERROR(__xludf.DUMMYFUNCTION("""COMPUTED_VALUE"""),"#DIV/0!")</f>
        <v>#DIV/0!</v>
      </c>
      <c r="G100" s="132" t="str">
        <f>IFERROR(__xludf.DUMMYFUNCTION("""COMPUTED_VALUE"""),"#DIV/0!")</f>
        <v>#DIV/0!</v>
      </c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 t="str">
        <f>IFERROR(__xludf.DUMMYFUNCTION("""COMPUTED_VALUE"""),"Heat")</f>
        <v>Heat</v>
      </c>
      <c r="S100" s="132">
        <f>IFERROR(__xludf.DUMMYFUNCTION("""COMPUTED_VALUE"""),47.34)</f>
        <v>47.34</v>
      </c>
      <c r="T100" s="132">
        <f>IFERROR(__xludf.DUMMYFUNCTION("""COMPUTED_VALUE"""),9.468)</f>
        <v>9.468</v>
      </c>
      <c r="U100" s="132" t="str">
        <f>IFERROR(__xludf.DUMMYFUNCTION("""COMPUTED_VALUE"""),"Paid")</f>
        <v>Paid</v>
      </c>
      <c r="V100" s="132" t="str">
        <f>IFERROR(__xludf.DUMMYFUNCTION("""COMPUTED_VALUE"""),"Paid")</f>
        <v>Paid</v>
      </c>
      <c r="W100" s="132" t="str">
        <f>IFERROR(__xludf.DUMMYFUNCTION("""COMPUTED_VALUE"""),"Paid")</f>
        <v>Paid</v>
      </c>
      <c r="X100" s="132" t="str">
        <f>IFERROR(__xludf.DUMMYFUNCTION("""COMPUTED_VALUE"""),"Paid")</f>
        <v>Paid</v>
      </c>
      <c r="Y100" s="132" t="str">
        <f>IFERROR(__xludf.DUMMYFUNCTION("""COMPUTED_VALUE"""),"Paid")</f>
        <v>Paid</v>
      </c>
      <c r="Z100" s="132"/>
    </row>
    <row r="101">
      <c r="A101" s="133"/>
      <c r="B101" s="132"/>
      <c r="C101" s="132"/>
      <c r="D101" s="132"/>
      <c r="E101" s="132"/>
      <c r="F101" s="132" t="str">
        <f>IFERROR(__xludf.DUMMYFUNCTION("""COMPUTED_VALUE"""),"#DIV/0!")</f>
        <v>#DIV/0!</v>
      </c>
      <c r="G101" s="132" t="str">
        <f>IFERROR(__xludf.DUMMYFUNCTION("""COMPUTED_VALUE"""),"#DIV/0!")</f>
        <v>#DIV/0!</v>
      </c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 t="str">
        <f>IFERROR(__xludf.DUMMYFUNCTION("""COMPUTED_VALUE"""),"Electricity")</f>
        <v>Electricity</v>
      </c>
      <c r="S101" s="132">
        <f>IFERROR(__xludf.DUMMYFUNCTION("""COMPUTED_VALUE"""),208.04)</f>
        <v>208.04</v>
      </c>
      <c r="T101" s="132">
        <f>IFERROR(__xludf.DUMMYFUNCTION("""COMPUTED_VALUE"""),41.608)</f>
        <v>41.608</v>
      </c>
      <c r="U101" s="132" t="str">
        <f>IFERROR(__xludf.DUMMYFUNCTION("""COMPUTED_VALUE"""),"Paid")</f>
        <v>Paid</v>
      </c>
      <c r="V101" s="132" t="str">
        <f>IFERROR(__xludf.DUMMYFUNCTION("""COMPUTED_VALUE"""),"Paid")</f>
        <v>Paid</v>
      </c>
      <c r="W101" s="132" t="str">
        <f>IFERROR(__xludf.DUMMYFUNCTION("""COMPUTED_VALUE"""),"Paid")</f>
        <v>Paid</v>
      </c>
      <c r="X101" s="132" t="str">
        <f>IFERROR(__xludf.DUMMYFUNCTION("""COMPUTED_VALUE"""),"Paid")</f>
        <v>Paid</v>
      </c>
      <c r="Y101" s="132" t="str">
        <f>IFERROR(__xludf.DUMMYFUNCTION("""COMPUTED_VALUE"""),"Paid")</f>
        <v>Paid</v>
      </c>
      <c r="Z101" s="132"/>
    </row>
    <row r="102">
      <c r="A102" s="133"/>
      <c r="B102" s="132"/>
      <c r="C102" s="132"/>
      <c r="D102" s="132"/>
      <c r="E102" s="132"/>
      <c r="F102" s="132" t="str">
        <f>IFERROR(__xludf.DUMMYFUNCTION("""COMPUTED_VALUE"""),"#DIV/0!")</f>
        <v>#DIV/0!</v>
      </c>
      <c r="G102" s="132" t="str">
        <f>IFERROR(__xludf.DUMMYFUNCTION("""COMPUTED_VALUE"""),"#DIV/0!")</f>
        <v>#DIV/0!</v>
      </c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 t="str">
        <f>IFERROR(__xludf.DUMMYFUNCTION("""COMPUTED_VALUE"""),"Internet")</f>
        <v>Internet</v>
      </c>
      <c r="S102" s="132">
        <f>IFERROR(__xludf.DUMMYFUNCTION("""COMPUTED_VALUE"""),56.5)</f>
        <v>56.5</v>
      </c>
      <c r="T102" s="132">
        <f>IFERROR(__xludf.DUMMYFUNCTION("""COMPUTED_VALUE"""),11.3)</f>
        <v>11.3</v>
      </c>
      <c r="U102" s="132" t="str">
        <f>IFERROR(__xludf.DUMMYFUNCTION("""COMPUTED_VALUE"""),"Paid")</f>
        <v>Paid</v>
      </c>
      <c r="V102" s="132" t="str">
        <f>IFERROR(__xludf.DUMMYFUNCTION("""COMPUTED_VALUE"""),"Paid")</f>
        <v>Paid</v>
      </c>
      <c r="W102" s="132" t="str">
        <f>IFERROR(__xludf.DUMMYFUNCTION("""COMPUTED_VALUE"""),"Paid")</f>
        <v>Paid</v>
      </c>
      <c r="X102" s="132" t="str">
        <f>IFERROR(__xludf.DUMMYFUNCTION("""COMPUTED_VALUE"""),"Paid")</f>
        <v>Paid</v>
      </c>
      <c r="Y102" s="132" t="str">
        <f>IFERROR(__xludf.DUMMYFUNCTION("""COMPUTED_VALUE"""),"Paid")</f>
        <v>Paid</v>
      </c>
      <c r="Z102" s="132"/>
    </row>
    <row r="103">
      <c r="A103" s="133"/>
      <c r="B103" s="132"/>
      <c r="C103" s="132"/>
      <c r="D103" s="132"/>
      <c r="E103" s="132"/>
      <c r="F103" s="132" t="str">
        <f>IFERROR(__xludf.DUMMYFUNCTION("""COMPUTED_VALUE"""),"#DIV/0!")</f>
        <v>#DIV/0!</v>
      </c>
      <c r="G103" s="132" t="str">
        <f>IFERROR(__xludf.DUMMYFUNCTION("""COMPUTED_VALUE"""),"#DIV/0!")</f>
        <v>#DIV/0!</v>
      </c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>
        <f>IFERROR(__xludf.DUMMYFUNCTION("""COMPUTED_VALUE"""),687.15)</f>
        <v>687.15</v>
      </c>
      <c r="T103" s="132">
        <f>IFERROR(__xludf.DUMMYFUNCTION("""COMPUTED_VALUE"""),137.43)</f>
        <v>137.43</v>
      </c>
      <c r="U103" s="132"/>
      <c r="V103" s="132"/>
      <c r="W103" s="132"/>
      <c r="X103" s="132"/>
      <c r="Y103" s="132"/>
      <c r="Z103" s="132"/>
    </row>
    <row r="104">
      <c r="A104" s="133"/>
      <c r="B104" s="132"/>
      <c r="C104" s="132"/>
      <c r="D104" s="132"/>
      <c r="E104" s="132"/>
      <c r="F104" s="132" t="str">
        <f>IFERROR(__xludf.DUMMYFUNCTION("""COMPUTED_VALUE"""),"#DIV/0!")</f>
        <v>#DIV/0!</v>
      </c>
      <c r="G104" s="132" t="str">
        <f>IFERROR(__xludf.DUMMYFUNCTION("""COMPUTED_VALUE"""),"#DIV/0!")</f>
        <v>#DIV/0!</v>
      </c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3"/>
      <c r="B105" s="132"/>
      <c r="C105" s="132"/>
      <c r="D105" s="132"/>
      <c r="E105" s="132"/>
      <c r="F105" s="132" t="str">
        <f>IFERROR(__xludf.DUMMYFUNCTION("""COMPUTED_VALUE"""),"#DIV/0!")</f>
        <v>#DIV/0!</v>
      </c>
      <c r="G105" s="132" t="str">
        <f>IFERROR(__xludf.DUMMYFUNCTION("""COMPUTED_VALUE"""),"#DIV/0!")</f>
        <v>#DIV/0!</v>
      </c>
      <c r="H105" s="132"/>
      <c r="I105" s="132"/>
      <c r="J105" s="132"/>
      <c r="K105" s="132"/>
      <c r="L105" s="132"/>
      <c r="M105" s="132"/>
      <c r="N105" s="132"/>
      <c r="O105" s="132"/>
      <c r="P105" s="132"/>
      <c r="Q105" s="134">
        <f>IFERROR(__xludf.DUMMYFUNCTION("""COMPUTED_VALUE"""),45536.0)</f>
        <v>45536</v>
      </c>
      <c r="R105" s="132" t="str">
        <f>IFERROR(__xludf.DUMMYFUNCTION("""COMPUTED_VALUE"""),"Water ")</f>
        <v>Water </v>
      </c>
      <c r="S105" s="132">
        <f>IFERROR(__xludf.DUMMYFUNCTION("""COMPUTED_VALUE"""),100.0)</f>
        <v>100</v>
      </c>
      <c r="T105" s="132" t="str">
        <f>IFERROR(__xludf.DUMMYFUNCTION("""COMPUTED_VALUE"""),"喺key deposit退咗")</f>
        <v>喺key deposit退咗</v>
      </c>
      <c r="U105" s="132" t="str">
        <f>IFERROR(__xludf.DUMMYFUNCTION("""COMPUTED_VALUE"""),"Paid")</f>
        <v>Paid</v>
      </c>
      <c r="V105" s="132" t="str">
        <f>IFERROR(__xludf.DUMMYFUNCTION("""COMPUTED_VALUE"""),"Paid")</f>
        <v>Paid</v>
      </c>
      <c r="W105" s="132" t="str">
        <f>IFERROR(__xludf.DUMMYFUNCTION("""COMPUTED_VALUE"""),"Paid")</f>
        <v>Paid</v>
      </c>
      <c r="X105" s="132" t="str">
        <f>IFERROR(__xludf.DUMMYFUNCTION("""COMPUTED_VALUE"""),"Paid")</f>
        <v>Paid</v>
      </c>
      <c r="Y105" s="132" t="str">
        <f>IFERROR(__xludf.DUMMYFUNCTION("""COMPUTED_VALUE"""),"Paid")</f>
        <v>Paid</v>
      </c>
      <c r="Z105" s="132"/>
    </row>
    <row r="106">
      <c r="A106" s="132"/>
      <c r="B106" s="132"/>
      <c r="C106" s="132"/>
      <c r="D106" s="132"/>
      <c r="E106" s="132"/>
      <c r="F106" s="132" t="str">
        <f>IFERROR(__xludf.DUMMYFUNCTION("""COMPUTED_VALUE"""),"#DIV/0!")</f>
        <v>#DIV/0!</v>
      </c>
      <c r="G106" s="132" t="str">
        <f>IFERROR(__xludf.DUMMYFUNCTION("""COMPUTED_VALUE"""),"#DIV/0!")</f>
        <v>#DIV/0!</v>
      </c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 t="str">
        <f>IFERROR(__xludf.DUMMYFUNCTION("""COMPUTED_VALUE"""),"Key deposit (退俾大家）")</f>
        <v>Key deposit (退俾大家）</v>
      </c>
      <c r="S106" s="132">
        <f>IFERROR(__xludf.DUMMYFUNCTION("""COMPUTED_VALUE"""),-900.0)</f>
        <v>-900</v>
      </c>
      <c r="T106" s="132">
        <f>IFERROR(__xludf.DUMMYFUNCTION("""COMPUTED_VALUE"""),-180.0)</f>
        <v>-180</v>
      </c>
      <c r="U106" s="132" t="str">
        <f>IFERROR(__xludf.DUMMYFUNCTION("""COMPUTED_VALUE"""),"Paid")</f>
        <v>Paid</v>
      </c>
      <c r="V106" s="132" t="str">
        <f>IFERROR(__xludf.DUMMYFUNCTION("""COMPUTED_VALUE"""),"Paid")</f>
        <v>Paid</v>
      </c>
      <c r="W106" s="132" t="str">
        <f>IFERROR(__xludf.DUMMYFUNCTION("""COMPUTED_VALUE"""),"Paid")</f>
        <v>Paid</v>
      </c>
      <c r="X106" s="132" t="str">
        <f>IFERROR(__xludf.DUMMYFUNCTION("""COMPUTED_VALUE"""),"Paid")</f>
        <v>Paid</v>
      </c>
      <c r="Y106" s="132" t="str">
        <f>IFERROR(__xludf.DUMMYFUNCTION("""COMPUTED_VALUE"""),"Paid")</f>
        <v>Paid</v>
      </c>
      <c r="Z106" s="132"/>
    </row>
    <row r="107">
      <c r="A107" s="133"/>
      <c r="B107" s="132"/>
      <c r="C107" s="132"/>
      <c r="D107" s="132"/>
      <c r="E107" s="132"/>
      <c r="F107" s="132" t="str">
        <f>IFERROR(__xludf.DUMMYFUNCTION("""COMPUTED_VALUE"""),"#DIV/0!")</f>
        <v>#DIV/0!</v>
      </c>
      <c r="G107" s="132" t="str">
        <f>IFERROR(__xludf.DUMMYFUNCTION("""COMPUTED_VALUE"""),"#DIV/0!")</f>
        <v>#DIV/0!</v>
      </c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 t="str">
        <f>IFERROR(__xludf.DUMMYFUNCTION("""COMPUTED_VALUE"""),"Heat")</f>
        <v>Heat</v>
      </c>
      <c r="S107" s="132">
        <f>IFERROR(__xludf.DUMMYFUNCTION("""COMPUTED_VALUE"""),68.81)</f>
        <v>68.81</v>
      </c>
      <c r="T107" s="132">
        <f>IFERROR(__xludf.DUMMYFUNCTION("""COMPUTED_VALUE"""),13.762)</f>
        <v>13.762</v>
      </c>
      <c r="U107" s="132" t="str">
        <f>IFERROR(__xludf.DUMMYFUNCTION("""COMPUTED_VALUE"""),"Paid")</f>
        <v>Paid</v>
      </c>
      <c r="V107" s="132" t="str">
        <f>IFERROR(__xludf.DUMMYFUNCTION("""COMPUTED_VALUE"""),"Paid")</f>
        <v>Paid</v>
      </c>
      <c r="W107" s="132" t="str">
        <f>IFERROR(__xludf.DUMMYFUNCTION("""COMPUTED_VALUE"""),"Paid")</f>
        <v>Paid</v>
      </c>
      <c r="X107" s="132" t="str">
        <f>IFERROR(__xludf.DUMMYFUNCTION("""COMPUTED_VALUE"""),"Paid")</f>
        <v>Paid</v>
      </c>
      <c r="Y107" s="132" t="str">
        <f>IFERROR(__xludf.DUMMYFUNCTION("""COMPUTED_VALUE"""),"Paid")</f>
        <v>Paid</v>
      </c>
      <c r="Z107" s="132"/>
    </row>
    <row r="108">
      <c r="A108" s="133"/>
      <c r="B108" s="132"/>
      <c r="C108" s="132"/>
      <c r="D108" s="132"/>
      <c r="E108" s="132"/>
      <c r="F108" s="132" t="str">
        <f>IFERROR(__xludf.DUMMYFUNCTION("""COMPUTED_VALUE"""),"#DIV/0!")</f>
        <v>#DIV/0!</v>
      </c>
      <c r="G108" s="132" t="str">
        <f>IFERROR(__xludf.DUMMYFUNCTION("""COMPUTED_VALUE"""),"#DIV/0!")</f>
        <v>#DIV/0!</v>
      </c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 t="str">
        <f>IFERROR(__xludf.DUMMYFUNCTION("""COMPUTED_VALUE"""),"Electricity")</f>
        <v>Electricity</v>
      </c>
      <c r="S108" s="132">
        <f>IFERROR(__xludf.DUMMYFUNCTION("""COMPUTED_VALUE"""),185.28)</f>
        <v>185.28</v>
      </c>
      <c r="T108" s="132">
        <f>IFERROR(__xludf.DUMMYFUNCTION("""COMPUTED_VALUE"""),37.056)</f>
        <v>37.056</v>
      </c>
      <c r="U108" s="132" t="str">
        <f>IFERROR(__xludf.DUMMYFUNCTION("""COMPUTED_VALUE"""),"Paid")</f>
        <v>Paid</v>
      </c>
      <c r="V108" s="132" t="str">
        <f>IFERROR(__xludf.DUMMYFUNCTION("""COMPUTED_VALUE"""),"Paid")</f>
        <v>Paid</v>
      </c>
      <c r="W108" s="132" t="str">
        <f>IFERROR(__xludf.DUMMYFUNCTION("""COMPUTED_VALUE"""),"Paid")</f>
        <v>Paid</v>
      </c>
      <c r="X108" s="132" t="str">
        <f>IFERROR(__xludf.DUMMYFUNCTION("""COMPUTED_VALUE"""),"Paid")</f>
        <v>Paid</v>
      </c>
      <c r="Y108" s="132" t="str">
        <f>IFERROR(__xludf.DUMMYFUNCTION("""COMPUTED_VALUE"""),"Paid")</f>
        <v>Paid</v>
      </c>
      <c r="Z108" s="132"/>
    </row>
    <row r="109">
      <c r="A109" s="133"/>
      <c r="B109" s="132"/>
      <c r="C109" s="132"/>
      <c r="D109" s="135"/>
      <c r="E109" s="132"/>
      <c r="F109" s="132" t="str">
        <f>IFERROR(__xludf.DUMMYFUNCTION("""COMPUTED_VALUE"""),"#DIV/0!")</f>
        <v>#DIV/0!</v>
      </c>
      <c r="G109" s="132" t="str">
        <f>IFERROR(__xludf.DUMMYFUNCTION("""COMPUTED_VALUE"""),"#DIV/0!")</f>
        <v>#DIV/0!</v>
      </c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 t="str">
        <f>IFERROR(__xludf.DUMMYFUNCTION("""COMPUTED_VALUE"""),"Internet")</f>
        <v>Internet</v>
      </c>
      <c r="S109" s="132">
        <f>IFERROR(__xludf.DUMMYFUNCTION("""COMPUTED_VALUE"""),56.5)</f>
        <v>56.5</v>
      </c>
      <c r="T109" s="132">
        <f>IFERROR(__xludf.DUMMYFUNCTION("""COMPUTED_VALUE"""),11.3)</f>
        <v>11.3</v>
      </c>
      <c r="U109" s="132" t="str">
        <f>IFERROR(__xludf.DUMMYFUNCTION("""COMPUTED_VALUE"""),"Paid")</f>
        <v>Paid</v>
      </c>
      <c r="V109" s="132" t="str">
        <f>IFERROR(__xludf.DUMMYFUNCTION("""COMPUTED_VALUE"""),"Paid")</f>
        <v>Paid</v>
      </c>
      <c r="W109" s="132" t="str">
        <f>IFERROR(__xludf.DUMMYFUNCTION("""COMPUTED_VALUE"""),"Paid")</f>
        <v>Paid</v>
      </c>
      <c r="X109" s="132" t="str">
        <f>IFERROR(__xludf.DUMMYFUNCTION("""COMPUTED_VALUE"""),"Paid")</f>
        <v>Paid</v>
      </c>
      <c r="Y109" s="132" t="str">
        <f>IFERROR(__xludf.DUMMYFUNCTION("""COMPUTED_VALUE"""),"Paid")</f>
        <v>Paid</v>
      </c>
      <c r="Z109" s="132"/>
    </row>
    <row r="110">
      <c r="A110" s="133"/>
      <c r="B110" s="132"/>
      <c r="C110" s="132"/>
      <c r="D110" s="132"/>
      <c r="E110" s="132"/>
      <c r="F110" s="132" t="str">
        <f>IFERROR(__xludf.DUMMYFUNCTION("""COMPUTED_VALUE"""),"#DIV/0!")</f>
        <v>#DIV/0!</v>
      </c>
      <c r="G110" s="132" t="str">
        <f>IFERROR(__xludf.DUMMYFUNCTION("""COMPUTED_VALUE"""),"#DIV/0!")</f>
        <v>#DIV/0!</v>
      </c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>
        <f>IFERROR(__xludf.DUMMYFUNCTION("""COMPUTED_VALUE"""),-489.4100000000001)</f>
        <v>-489.41</v>
      </c>
      <c r="T110" s="132">
        <f>IFERROR(__xludf.DUMMYFUNCTION("""COMPUTED_VALUE"""),-117.88200000000002)</f>
        <v>-117.882</v>
      </c>
      <c r="U110" s="132"/>
      <c r="V110" s="132"/>
      <c r="W110" s="132"/>
      <c r="X110" s="132"/>
      <c r="Y110" s="132"/>
      <c r="Z110" s="132"/>
    </row>
    <row r="111">
      <c r="A111" s="133"/>
      <c r="B111" s="132"/>
      <c r="C111" s="132"/>
      <c r="D111" s="132"/>
      <c r="E111" s="132"/>
      <c r="F111" s="132" t="str">
        <f>IFERROR(__xludf.DUMMYFUNCTION("""COMPUTED_VALUE"""),"#DIV/0!")</f>
        <v>#DIV/0!</v>
      </c>
      <c r="G111" s="132" t="str">
        <f>IFERROR(__xludf.DUMMYFUNCTION("""COMPUTED_VALUE"""),"#DIV/0!")</f>
        <v>#DIV/0!</v>
      </c>
      <c r="H111" s="132"/>
      <c r="I111" s="132"/>
      <c r="J111" s="132"/>
      <c r="K111" s="132"/>
      <c r="L111" s="132"/>
      <c r="M111" s="132"/>
      <c r="N111" s="132"/>
      <c r="O111" s="132"/>
      <c r="P111" s="132"/>
      <c r="Q111" s="134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3"/>
      <c r="B112" s="132"/>
      <c r="C112" s="132"/>
      <c r="D112" s="132"/>
      <c r="E112" s="132"/>
      <c r="F112" s="132" t="str">
        <f>IFERROR(__xludf.DUMMYFUNCTION("""COMPUTED_VALUE"""),"#DIV/0!")</f>
        <v>#DIV/0!</v>
      </c>
      <c r="G112" s="132" t="str">
        <f>IFERROR(__xludf.DUMMYFUNCTION("""COMPUTED_VALUE"""),"#DIV/0!")</f>
        <v>#DIV/0!</v>
      </c>
      <c r="H112" s="132"/>
      <c r="I112" s="132"/>
      <c r="J112" s="132"/>
      <c r="K112" s="132"/>
      <c r="L112" s="132"/>
      <c r="M112" s="132"/>
      <c r="N112" s="132"/>
      <c r="O112" s="132"/>
      <c r="P112" s="132"/>
      <c r="Q112" s="134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3"/>
      <c r="B113" s="132"/>
      <c r="C113" s="132"/>
      <c r="D113" s="132"/>
      <c r="E113" s="132"/>
      <c r="F113" s="132" t="str">
        <f>IFERROR(__xludf.DUMMYFUNCTION("""COMPUTED_VALUE"""),"#DIV/0!")</f>
        <v>#DIV/0!</v>
      </c>
      <c r="G113" s="132" t="str">
        <f>IFERROR(__xludf.DUMMYFUNCTION("""COMPUTED_VALUE"""),"#DIV/0!")</f>
        <v>#DIV/0!</v>
      </c>
      <c r="H113" s="132"/>
      <c r="I113" s="132"/>
      <c r="J113" s="132"/>
      <c r="K113" s="132"/>
      <c r="L113" s="132"/>
      <c r="M113" s="132"/>
      <c r="N113" s="132"/>
      <c r="O113" s="132"/>
      <c r="P113" s="132"/>
      <c r="Q113" s="134">
        <f>IFERROR(__xludf.DUMMYFUNCTION("""COMPUTED_VALUE"""),45566.0)</f>
        <v>45566</v>
      </c>
      <c r="R113" s="132" t="str">
        <f>IFERROR(__xludf.DUMMYFUNCTION("""COMPUTED_VALUE"""),"Heat")</f>
        <v>Heat</v>
      </c>
      <c r="S113" s="132">
        <f>IFERROR(__xludf.DUMMYFUNCTION("""COMPUTED_VALUE"""),68.81)</f>
        <v>68.81</v>
      </c>
      <c r="T113" s="132">
        <f>IFERROR(__xludf.DUMMYFUNCTION("""COMPUTED_VALUE"""),11.468333333333334)</f>
        <v>11.46833333</v>
      </c>
      <c r="U113" s="132" t="str">
        <f>IFERROR(__xludf.DUMMYFUNCTION("""COMPUTED_VALUE"""),"Paid")</f>
        <v>Paid</v>
      </c>
      <c r="V113" s="132" t="str">
        <f>IFERROR(__xludf.DUMMYFUNCTION("""COMPUTED_VALUE"""),"Paid")</f>
        <v>Paid</v>
      </c>
      <c r="W113" s="132" t="str">
        <f>IFERROR(__xludf.DUMMYFUNCTION("""COMPUTED_VALUE"""),"Paid")</f>
        <v>Paid</v>
      </c>
      <c r="X113" s="132" t="str">
        <f>IFERROR(__xludf.DUMMYFUNCTION("""COMPUTED_VALUE"""),"Paid")</f>
        <v>Paid</v>
      </c>
      <c r="Y113" s="132" t="str">
        <f>IFERROR(__xludf.DUMMYFUNCTION("""COMPUTED_VALUE"""),"Paid")</f>
        <v>Paid</v>
      </c>
      <c r="Z113" s="132"/>
    </row>
    <row r="114">
      <c r="A114" s="133"/>
      <c r="B114" s="132"/>
      <c r="C114" s="132"/>
      <c r="D114" s="132"/>
      <c r="E114" s="132"/>
      <c r="F114" s="132" t="str">
        <f>IFERROR(__xludf.DUMMYFUNCTION("""COMPUTED_VALUE"""),"#DIV/0!")</f>
        <v>#DIV/0!</v>
      </c>
      <c r="G114" s="132" t="str">
        <f>IFERROR(__xludf.DUMMYFUNCTION("""COMPUTED_VALUE"""),"#DIV/0!")</f>
        <v>#DIV/0!</v>
      </c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 t="str">
        <f>IFERROR(__xludf.DUMMYFUNCTION("""COMPUTED_VALUE"""),"Electricity")</f>
        <v>Electricity</v>
      </c>
      <c r="S114" s="132">
        <f>IFERROR(__xludf.DUMMYFUNCTION("""COMPUTED_VALUE"""),128.04)</f>
        <v>128.04</v>
      </c>
      <c r="T114" s="132">
        <f>IFERROR(__xludf.DUMMYFUNCTION("""COMPUTED_VALUE"""),21.34)</f>
        <v>21.34</v>
      </c>
      <c r="U114" s="132" t="str">
        <f>IFERROR(__xludf.DUMMYFUNCTION("""COMPUTED_VALUE"""),"Paid")</f>
        <v>Paid</v>
      </c>
      <c r="V114" s="132" t="str">
        <f>IFERROR(__xludf.DUMMYFUNCTION("""COMPUTED_VALUE"""),"Paid")</f>
        <v>Paid</v>
      </c>
      <c r="W114" s="132" t="str">
        <f>IFERROR(__xludf.DUMMYFUNCTION("""COMPUTED_VALUE"""),"Paid")</f>
        <v>Paid</v>
      </c>
      <c r="X114" s="132" t="str">
        <f>IFERROR(__xludf.DUMMYFUNCTION("""COMPUTED_VALUE"""),"Paid")</f>
        <v>Paid</v>
      </c>
      <c r="Y114" s="132" t="str">
        <f>IFERROR(__xludf.DUMMYFUNCTION("""COMPUTED_VALUE"""),"Paid")</f>
        <v>Paid</v>
      </c>
      <c r="Z114" s="132"/>
    </row>
    <row r="115">
      <c r="A115" s="133"/>
      <c r="B115" s="132"/>
      <c r="C115" s="132"/>
      <c r="D115" s="135"/>
      <c r="E115" s="132"/>
      <c r="F115" s="132" t="str">
        <f>IFERROR(__xludf.DUMMYFUNCTION("""COMPUTED_VALUE"""),"#DIV/0!")</f>
        <v>#DIV/0!</v>
      </c>
      <c r="G115" s="132" t="str">
        <f>IFERROR(__xludf.DUMMYFUNCTION("""COMPUTED_VALUE"""),"#DIV/0!")</f>
        <v>#DIV/0!</v>
      </c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 t="str">
        <f>IFERROR(__xludf.DUMMYFUNCTION("""COMPUTED_VALUE"""),"Internet")</f>
        <v>Internet</v>
      </c>
      <c r="S115" s="132">
        <f>IFERROR(__xludf.DUMMYFUNCTION("""COMPUTED_VALUE"""),56.5)</f>
        <v>56.5</v>
      </c>
      <c r="T115" s="132">
        <f>IFERROR(__xludf.DUMMYFUNCTION("""COMPUTED_VALUE"""),9.416666666666666)</f>
        <v>9.416666667</v>
      </c>
      <c r="U115" s="132" t="str">
        <f>IFERROR(__xludf.DUMMYFUNCTION("""COMPUTED_VALUE"""),"Paid")</f>
        <v>Paid</v>
      </c>
      <c r="V115" s="132" t="str">
        <f>IFERROR(__xludf.DUMMYFUNCTION("""COMPUTED_VALUE"""),"Paid")</f>
        <v>Paid</v>
      </c>
      <c r="W115" s="132" t="str">
        <f>IFERROR(__xludf.DUMMYFUNCTION("""COMPUTED_VALUE"""),"Paid")</f>
        <v>Paid</v>
      </c>
      <c r="X115" s="132" t="str">
        <f>IFERROR(__xludf.DUMMYFUNCTION("""COMPUTED_VALUE"""),"Paid")</f>
        <v>Paid</v>
      </c>
      <c r="Y115" s="132" t="str">
        <f>IFERROR(__xludf.DUMMYFUNCTION("""COMPUTED_VALUE"""),"Paid")</f>
        <v>Paid</v>
      </c>
      <c r="Z115" s="132"/>
    </row>
    <row r="116">
      <c r="A116" s="133"/>
      <c r="B116" s="132"/>
      <c r="C116" s="132"/>
      <c r="D116" s="132"/>
      <c r="E116" s="132"/>
      <c r="F116" s="132" t="str">
        <f>IFERROR(__xludf.DUMMYFUNCTION("""COMPUTED_VALUE"""),"#DIV/0!")</f>
        <v>#DIV/0!</v>
      </c>
      <c r="G116" s="132" t="str">
        <f>IFERROR(__xludf.DUMMYFUNCTION("""COMPUTED_VALUE"""),"#DIV/0!")</f>
        <v>#DIV/0!</v>
      </c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 t="str">
        <f>IFERROR(__xludf.DUMMYFUNCTION("""COMPUTED_VALUE"""),"Rent for 2 months")</f>
        <v>Rent for 2 months</v>
      </c>
      <c r="S116" s="132">
        <f>IFERROR(__xludf.DUMMYFUNCTION("""COMPUTED_VALUE"""),7800.0)</f>
        <v>7800</v>
      </c>
      <c r="T116" s="132">
        <f>IFERROR(__xludf.DUMMYFUNCTION("""COMPUTED_VALUE"""),1300.0)</f>
        <v>1300</v>
      </c>
      <c r="U116" s="132" t="str">
        <f>IFERROR(__xludf.DUMMYFUNCTION("""COMPUTED_VALUE"""),"Paid")</f>
        <v>Paid</v>
      </c>
      <c r="V116" s="132" t="str">
        <f>IFERROR(__xludf.DUMMYFUNCTION("""COMPUTED_VALUE"""),"Paid")</f>
        <v>Paid</v>
      </c>
      <c r="W116" s="132" t="str">
        <f>IFERROR(__xludf.DUMMYFUNCTION("""COMPUTED_VALUE"""),"Paid")</f>
        <v>Paid</v>
      </c>
      <c r="X116" s="132" t="str">
        <f>IFERROR(__xludf.DUMMYFUNCTION("""COMPUTED_VALUE"""),"Paid")</f>
        <v>Paid</v>
      </c>
      <c r="Y116" s="132" t="str">
        <f>IFERROR(__xludf.DUMMYFUNCTION("""COMPUTED_VALUE"""),"Paid")</f>
        <v>Paid</v>
      </c>
      <c r="Z116" s="132"/>
    </row>
    <row r="117">
      <c r="A117" s="133"/>
      <c r="B117" s="132"/>
      <c r="C117" s="132"/>
      <c r="D117" s="135"/>
      <c r="E117" s="132"/>
      <c r="F117" s="132" t="str">
        <f>IFERROR(__xludf.DUMMYFUNCTION("""COMPUTED_VALUE"""),"#DIV/0!")</f>
        <v>#DIV/0!</v>
      </c>
      <c r="G117" s="132" t="str">
        <f>IFERROR(__xludf.DUMMYFUNCTION("""COMPUTED_VALUE"""),"#DIV/0!")</f>
        <v>#DIV/0!</v>
      </c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 t="str">
        <f>IFERROR(__xludf.DUMMYFUNCTION("""COMPUTED_VALUE"""),"Key deposit")</f>
        <v>Key deposit</v>
      </c>
      <c r="S117" s="132">
        <f>IFERROR(__xludf.DUMMYFUNCTION("""COMPUTED_VALUE"""),500.0)</f>
        <v>500</v>
      </c>
      <c r="T117" s="132">
        <f>IFERROR(__xludf.DUMMYFUNCTION("""COMPUTED_VALUE"""),83.33333333333333)</f>
        <v>83.33333333</v>
      </c>
      <c r="U117" s="132" t="str">
        <f>IFERROR(__xludf.DUMMYFUNCTION("""COMPUTED_VALUE"""),"Paid")</f>
        <v>Paid</v>
      </c>
      <c r="V117" s="132" t="str">
        <f>IFERROR(__xludf.DUMMYFUNCTION("""COMPUTED_VALUE"""),"Paid")</f>
        <v>Paid</v>
      </c>
      <c r="W117" s="132" t="str">
        <f>IFERROR(__xludf.DUMMYFUNCTION("""COMPUTED_VALUE"""),"Paid")</f>
        <v>Paid</v>
      </c>
      <c r="X117" s="132" t="str">
        <f>IFERROR(__xludf.DUMMYFUNCTION("""COMPUTED_VALUE"""),"Paid")</f>
        <v>Paid</v>
      </c>
      <c r="Y117" s="132" t="str">
        <f>IFERROR(__xludf.DUMMYFUNCTION("""COMPUTED_VALUE"""),"Paid")</f>
        <v>Paid</v>
      </c>
      <c r="Z117" s="132"/>
    </row>
    <row r="118">
      <c r="A118" s="132"/>
      <c r="B118" s="132"/>
      <c r="C118" s="132"/>
      <c r="D118" s="132"/>
      <c r="E118" s="132"/>
      <c r="F118" s="132" t="str">
        <f>IFERROR(__xludf.DUMMYFUNCTION("""COMPUTED_VALUE"""),"#DIV/0!")</f>
        <v>#DIV/0!</v>
      </c>
      <c r="G118" s="132" t="str">
        <f>IFERROR(__xludf.DUMMYFUNCTION("""COMPUTED_VALUE"""),"#DIV/0!")</f>
        <v>#DIV/0!</v>
      </c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3"/>
      <c r="B119" s="132"/>
      <c r="C119" s="132"/>
      <c r="D119" s="132"/>
      <c r="E119" s="132"/>
      <c r="F119" s="132" t="str">
        <f>IFERROR(__xludf.DUMMYFUNCTION("""COMPUTED_VALUE"""),"#DIV/0!")</f>
        <v>#DIV/0!</v>
      </c>
      <c r="G119" s="132" t="str">
        <f>IFERROR(__xludf.DUMMYFUNCTION("""COMPUTED_VALUE"""),"#DIV/0!")</f>
        <v>#DIV/0!</v>
      </c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3"/>
      <c r="B120" s="132"/>
      <c r="C120" s="132"/>
      <c r="D120" s="132"/>
      <c r="E120" s="132"/>
      <c r="F120" s="132" t="str">
        <f>IFERROR(__xludf.DUMMYFUNCTION("""COMPUTED_VALUE"""),"#DIV/0!")</f>
        <v>#DIV/0!</v>
      </c>
      <c r="G120" s="132" t="str">
        <f>IFERROR(__xludf.DUMMYFUNCTION("""COMPUTED_VALUE"""),"#DIV/0!")</f>
        <v>#DIV/0!</v>
      </c>
      <c r="H120" s="132"/>
      <c r="I120" s="132"/>
      <c r="J120" s="132"/>
      <c r="K120" s="132"/>
      <c r="L120" s="132"/>
      <c r="M120" s="132"/>
      <c r="N120" s="132"/>
      <c r="O120" s="132"/>
      <c r="P120" s="132"/>
      <c r="Q120" s="134">
        <f>IFERROR(__xludf.DUMMYFUNCTION("""COMPUTED_VALUE"""),45597.0)</f>
        <v>45597</v>
      </c>
      <c r="R120" s="132" t="str">
        <f>IFERROR(__xludf.DUMMYFUNCTION("""COMPUTED_VALUE"""),"Rent")</f>
        <v>Rent</v>
      </c>
      <c r="S120" s="132">
        <f>IFERROR(__xludf.DUMMYFUNCTION("""COMPUTED_VALUE"""),3900.0)</f>
        <v>3900</v>
      </c>
      <c r="T120" s="132">
        <f>IFERROR(__xludf.DUMMYFUNCTION("""COMPUTED_VALUE"""),650.0)</f>
        <v>650</v>
      </c>
      <c r="U120" s="132" t="str">
        <f>IFERROR(__xludf.DUMMYFUNCTION("""COMPUTED_VALUE"""),"Paid")</f>
        <v>Paid</v>
      </c>
      <c r="V120" s="132" t="str">
        <f>IFERROR(__xludf.DUMMYFUNCTION("""COMPUTED_VALUE"""),"Paid")</f>
        <v>Paid</v>
      </c>
      <c r="W120" s="132" t="str">
        <f>IFERROR(__xludf.DUMMYFUNCTION("""COMPUTED_VALUE"""),"Paid")</f>
        <v>Paid</v>
      </c>
      <c r="X120" s="132" t="str">
        <f>IFERROR(__xludf.DUMMYFUNCTION("""COMPUTED_VALUE"""),"Paid")</f>
        <v>Paid</v>
      </c>
      <c r="Y120" s="132" t="str">
        <f>IFERROR(__xludf.DUMMYFUNCTION("""COMPUTED_VALUE"""),"Paid")</f>
        <v>Paid</v>
      </c>
      <c r="Z120" s="132"/>
    </row>
    <row r="121">
      <c r="A121" s="133"/>
      <c r="B121" s="132"/>
      <c r="C121" s="132"/>
      <c r="D121" s="132"/>
      <c r="E121" s="132"/>
      <c r="F121" s="132" t="str">
        <f>IFERROR(__xludf.DUMMYFUNCTION("""COMPUTED_VALUE"""),"#DIV/0!")</f>
        <v>#DIV/0!</v>
      </c>
      <c r="G121" s="132" t="str">
        <f>IFERROR(__xludf.DUMMYFUNCTION("""COMPUTED_VALUE"""),"#DIV/0!")</f>
        <v>#DIV/0!</v>
      </c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 t="str">
        <f>IFERROR(__xludf.DUMMYFUNCTION("""COMPUTED_VALUE"""),"Heat")</f>
        <v>Heat</v>
      </c>
      <c r="S121" s="132">
        <f>IFERROR(__xludf.DUMMYFUNCTION("""COMPUTED_VALUE"""),158.95)</f>
        <v>158.95</v>
      </c>
      <c r="T121" s="132">
        <f>IFERROR(__xludf.DUMMYFUNCTION("""COMPUTED_VALUE"""),26.491666666666664)</f>
        <v>26.49166667</v>
      </c>
      <c r="U121" s="132" t="str">
        <f>IFERROR(__xludf.DUMMYFUNCTION("""COMPUTED_VALUE"""),"Paid")</f>
        <v>Paid</v>
      </c>
      <c r="V121" s="132" t="str">
        <f>IFERROR(__xludf.DUMMYFUNCTION("""COMPUTED_VALUE"""),"Paid")</f>
        <v>Paid</v>
      </c>
      <c r="W121" s="132" t="str">
        <f>IFERROR(__xludf.DUMMYFUNCTION("""COMPUTED_VALUE"""),"Paid")</f>
        <v>Paid</v>
      </c>
      <c r="X121" s="132" t="str">
        <f>IFERROR(__xludf.DUMMYFUNCTION("""COMPUTED_VALUE"""),"Paid")</f>
        <v>Paid</v>
      </c>
      <c r="Y121" s="132" t="str">
        <f>IFERROR(__xludf.DUMMYFUNCTION("""COMPUTED_VALUE"""),"Paid")</f>
        <v>Paid</v>
      </c>
      <c r="Z121" s="132"/>
    </row>
    <row r="122">
      <c r="A122" s="133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 t="str">
        <f>IFERROR(__xludf.DUMMYFUNCTION("""COMPUTED_VALUE"""),"Electricity")</f>
        <v>Electricity</v>
      </c>
      <c r="S122" s="132">
        <f>IFERROR(__xludf.DUMMYFUNCTION("""COMPUTED_VALUE"""),167.9)</f>
        <v>167.9</v>
      </c>
      <c r="T122" s="132">
        <f>IFERROR(__xludf.DUMMYFUNCTION("""COMPUTED_VALUE"""),27.983333333333334)</f>
        <v>27.98333333</v>
      </c>
      <c r="U122" s="132" t="str">
        <f>IFERROR(__xludf.DUMMYFUNCTION("""COMPUTED_VALUE"""),"Paid")</f>
        <v>Paid</v>
      </c>
      <c r="V122" s="132" t="str">
        <f>IFERROR(__xludf.DUMMYFUNCTION("""COMPUTED_VALUE"""),"Paid")</f>
        <v>Paid</v>
      </c>
      <c r="W122" s="132" t="str">
        <f>IFERROR(__xludf.DUMMYFUNCTION("""COMPUTED_VALUE"""),"Paid")</f>
        <v>Paid</v>
      </c>
      <c r="X122" s="132" t="str">
        <f>IFERROR(__xludf.DUMMYFUNCTION("""COMPUTED_VALUE"""),"Paid")</f>
        <v>Paid</v>
      </c>
      <c r="Y122" s="132" t="str">
        <f>IFERROR(__xludf.DUMMYFUNCTION("""COMPUTED_VALUE"""),"Paid")</f>
        <v>Paid</v>
      </c>
      <c r="Z122" s="132"/>
    </row>
    <row r="123">
      <c r="A123" s="133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 t="str">
        <f>IFERROR(__xludf.DUMMYFUNCTION("""COMPUTED_VALUE"""),"Internet")</f>
        <v>Internet</v>
      </c>
      <c r="S123" s="132">
        <f>IFERROR(__xludf.DUMMYFUNCTION("""COMPUTED_VALUE"""),56.5)</f>
        <v>56.5</v>
      </c>
      <c r="T123" s="132">
        <f>IFERROR(__xludf.DUMMYFUNCTION("""COMPUTED_VALUE"""),9.416666666666666)</f>
        <v>9.416666667</v>
      </c>
      <c r="U123" s="132" t="str">
        <f>IFERROR(__xludf.DUMMYFUNCTION("""COMPUTED_VALUE"""),"Paid")</f>
        <v>Paid</v>
      </c>
      <c r="V123" s="132" t="str">
        <f>IFERROR(__xludf.DUMMYFUNCTION("""COMPUTED_VALUE"""),"Paid")</f>
        <v>Paid</v>
      </c>
      <c r="W123" s="132" t="str">
        <f>IFERROR(__xludf.DUMMYFUNCTION("""COMPUTED_VALUE"""),"Paid")</f>
        <v>Paid</v>
      </c>
      <c r="X123" s="132" t="str">
        <f>IFERROR(__xludf.DUMMYFUNCTION("""COMPUTED_VALUE"""),"Paid")</f>
        <v>Paid</v>
      </c>
      <c r="Y123" s="132" t="str">
        <f>IFERROR(__xludf.DUMMYFUNCTION("""COMPUTED_VALUE"""),"Paid")</f>
        <v>Paid</v>
      </c>
      <c r="Z123" s="132"/>
    </row>
    <row r="124">
      <c r="A124" s="133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3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3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4">
        <f>IFERROR(__xludf.DUMMYFUNCTION("""COMPUTED_VALUE"""),45627.0)</f>
        <v>45627</v>
      </c>
      <c r="R126" s="132" t="str">
        <f>IFERROR(__xludf.DUMMYFUNCTION("""COMPUTED_VALUE"""),"Rent")</f>
        <v>Rent</v>
      </c>
      <c r="S126" s="132">
        <f>IFERROR(__xludf.DUMMYFUNCTION("""COMPUTED_VALUE"""),3900.0)</f>
        <v>3900</v>
      </c>
      <c r="T126" s="132">
        <f>IFERROR(__xludf.DUMMYFUNCTION("""COMPUTED_VALUE"""),650.0)</f>
        <v>650</v>
      </c>
      <c r="U126" s="132" t="str">
        <f>IFERROR(__xludf.DUMMYFUNCTION("""COMPUTED_VALUE"""),"Paid")</f>
        <v>Paid</v>
      </c>
      <c r="V126" s="132" t="str">
        <f>IFERROR(__xludf.DUMMYFUNCTION("""COMPUTED_VALUE"""),"Paid")</f>
        <v>Paid</v>
      </c>
      <c r="W126" s="132" t="str">
        <f>IFERROR(__xludf.DUMMYFUNCTION("""COMPUTED_VALUE"""),"Paid")</f>
        <v>Paid</v>
      </c>
      <c r="X126" s="132" t="str">
        <f>IFERROR(__xludf.DUMMYFUNCTION("""COMPUTED_VALUE"""),"Paid")</f>
        <v>Paid</v>
      </c>
      <c r="Y126" s="132" t="str">
        <f>IFERROR(__xludf.DUMMYFUNCTION("""COMPUTED_VALUE"""),"Paid")</f>
        <v>Paid</v>
      </c>
      <c r="Z126" s="132"/>
    </row>
    <row r="127">
      <c r="A127" s="133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 t="str">
        <f>IFERROR(__xludf.DUMMYFUNCTION("""COMPUTED_VALUE"""),"Heat")</f>
        <v>Heat</v>
      </c>
      <c r="S127" s="132">
        <f>IFERROR(__xludf.DUMMYFUNCTION("""COMPUTED_VALUE"""),182.8)</f>
        <v>182.8</v>
      </c>
      <c r="T127" s="132">
        <f>IFERROR(__xludf.DUMMYFUNCTION("""COMPUTED_VALUE"""),30.46666666666667)</f>
        <v>30.46666667</v>
      </c>
      <c r="U127" s="132" t="str">
        <f>IFERROR(__xludf.DUMMYFUNCTION("""COMPUTED_VALUE"""),"Paid")</f>
        <v>Paid</v>
      </c>
      <c r="V127" s="132" t="str">
        <f>IFERROR(__xludf.DUMMYFUNCTION("""COMPUTED_VALUE"""),"Paid")</f>
        <v>Paid</v>
      </c>
      <c r="W127" s="132" t="str">
        <f>IFERROR(__xludf.DUMMYFUNCTION("""COMPUTED_VALUE"""),"Paid")</f>
        <v>Paid</v>
      </c>
      <c r="X127" s="132" t="str">
        <f>IFERROR(__xludf.DUMMYFUNCTION("""COMPUTED_VALUE"""),"Paid")</f>
        <v>Paid</v>
      </c>
      <c r="Y127" s="132" t="str">
        <f>IFERROR(__xludf.DUMMYFUNCTION("""COMPUTED_VALUE"""),"Paid")</f>
        <v>Paid</v>
      </c>
      <c r="Z127" s="132"/>
    </row>
    <row r="128">
      <c r="A128" s="133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 t="str">
        <f>IFERROR(__xludf.DUMMYFUNCTION("""COMPUTED_VALUE"""),"Electricity")</f>
        <v>Electricity</v>
      </c>
      <c r="S128" s="132">
        <f>IFERROR(__xludf.DUMMYFUNCTION("""COMPUTED_VALUE"""),166.37)</f>
        <v>166.37</v>
      </c>
      <c r="T128" s="132">
        <f>IFERROR(__xludf.DUMMYFUNCTION("""COMPUTED_VALUE"""),27.728333333333335)</f>
        <v>27.72833333</v>
      </c>
      <c r="U128" s="132" t="str">
        <f>IFERROR(__xludf.DUMMYFUNCTION("""COMPUTED_VALUE"""),"Paid")</f>
        <v>Paid</v>
      </c>
      <c r="V128" s="132" t="str">
        <f>IFERROR(__xludf.DUMMYFUNCTION("""COMPUTED_VALUE"""),"Paid")</f>
        <v>Paid</v>
      </c>
      <c r="W128" s="132" t="str">
        <f>IFERROR(__xludf.DUMMYFUNCTION("""COMPUTED_VALUE"""),"Paid")</f>
        <v>Paid</v>
      </c>
      <c r="X128" s="132" t="str">
        <f>IFERROR(__xludf.DUMMYFUNCTION("""COMPUTED_VALUE"""),"Paid")</f>
        <v>Paid</v>
      </c>
      <c r="Y128" s="132" t="str">
        <f>IFERROR(__xludf.DUMMYFUNCTION("""COMPUTED_VALUE"""),"Paid")</f>
        <v>Paid</v>
      </c>
      <c r="Z128" s="132"/>
    </row>
    <row r="129">
      <c r="A129" s="13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Q129" s="88"/>
      <c r="R129" s="88" t="str">
        <f>IFERROR(__xludf.DUMMYFUNCTION("""COMPUTED_VALUE"""),"Internet")</f>
        <v>Internet</v>
      </c>
      <c r="S129" s="88">
        <f>IFERROR(__xludf.DUMMYFUNCTION("""COMPUTED_VALUE"""),56.5)</f>
        <v>56.5</v>
      </c>
      <c r="T129" s="88">
        <f>IFERROR(__xludf.DUMMYFUNCTION("""COMPUTED_VALUE"""),9.416666666666666)</f>
        <v>9.416666667</v>
      </c>
      <c r="U129" s="88" t="str">
        <f>IFERROR(__xludf.DUMMYFUNCTION("""COMPUTED_VALUE"""),"Paid")</f>
        <v>Paid</v>
      </c>
      <c r="V129" s="88" t="str">
        <f>IFERROR(__xludf.DUMMYFUNCTION("""COMPUTED_VALUE"""),"Paid")</f>
        <v>Paid</v>
      </c>
      <c r="W129" s="88" t="str">
        <f>IFERROR(__xludf.DUMMYFUNCTION("""COMPUTED_VALUE"""),"Paid")</f>
        <v>Paid</v>
      </c>
      <c r="X129" s="88" t="str">
        <f>IFERROR(__xludf.DUMMYFUNCTION("""COMPUTED_VALUE"""),"Paid")</f>
        <v>Paid</v>
      </c>
      <c r="Y129" s="88" t="str">
        <f>IFERROR(__xludf.DUMMYFUNCTION("""COMPUTED_VALUE"""),"Paid")</f>
        <v>Paid</v>
      </c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Q130" s="88"/>
      <c r="R130" s="88"/>
      <c r="S130" s="88"/>
      <c r="T130" s="88"/>
      <c r="U130" s="88"/>
      <c r="V130" s="88"/>
      <c r="W130" s="88"/>
      <c r="X130" s="88"/>
      <c r="Y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Q131" s="138">
        <f>IFERROR(__xludf.DUMMYFUNCTION("""COMPUTED_VALUE"""),45658.0)</f>
        <v>45658</v>
      </c>
      <c r="R131" s="88" t="str">
        <f>IFERROR(__xludf.DUMMYFUNCTION("""COMPUTED_VALUE"""),"Rent")</f>
        <v>Rent</v>
      </c>
      <c r="S131" s="88">
        <f>IFERROR(__xludf.DUMMYFUNCTION("""COMPUTED_VALUE"""),3900.0)</f>
        <v>3900</v>
      </c>
      <c r="T131" s="88">
        <f>IFERROR(__xludf.DUMMYFUNCTION("""COMPUTED_VALUE"""),650.0)</f>
        <v>650</v>
      </c>
      <c r="U131" s="88" t="str">
        <f>IFERROR(__xludf.DUMMYFUNCTION("""COMPUTED_VALUE"""),"Paid")</f>
        <v>Paid</v>
      </c>
      <c r="V131" s="88" t="str">
        <f>IFERROR(__xludf.DUMMYFUNCTION("""COMPUTED_VALUE"""),"Paid")</f>
        <v>Paid</v>
      </c>
      <c r="W131" s="88" t="str">
        <f>IFERROR(__xludf.DUMMYFUNCTION("""COMPUTED_VALUE"""),"Paid")</f>
        <v>Paid</v>
      </c>
      <c r="X131" s="88" t="str">
        <f>IFERROR(__xludf.DUMMYFUNCTION("""COMPUTED_VALUE"""),"Paid")</f>
        <v>Paid</v>
      </c>
      <c r="Y131" s="88" t="str">
        <f>IFERROR(__xludf.DUMMYFUNCTION("""COMPUTED_VALUE"""),"Paid")</f>
        <v>Paid</v>
      </c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Q132" s="88"/>
      <c r="R132" s="88" t="str">
        <f>IFERROR(__xludf.DUMMYFUNCTION("""COMPUTED_VALUE"""),"Heat January 17, 2025 - February 18, 2025")</f>
        <v>Heat January 17, 2025 - February 18, 2025</v>
      </c>
      <c r="S132" s="88">
        <f>IFERROR(__xludf.DUMMYFUNCTION("""COMPUTED_VALUE"""),303.55)</f>
        <v>303.55</v>
      </c>
      <c r="T132" s="88">
        <f>IFERROR(__xludf.DUMMYFUNCTION("""COMPUTED_VALUE"""),60.71)</f>
        <v>60.71</v>
      </c>
      <c r="U132" s="88"/>
      <c r="V132" s="88"/>
      <c r="W132" s="88"/>
      <c r="X132" s="88"/>
      <c r="Y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Q133" s="88"/>
      <c r="R133" s="88" t="str">
        <f>IFERROR(__xludf.DUMMYFUNCTION("""COMPUTED_VALUE"""),"Electricity")</f>
        <v>Electricity</v>
      </c>
      <c r="S133" s="88">
        <f>IFERROR(__xludf.DUMMYFUNCTION("""COMPUTED_VALUE"""),202.18)</f>
        <v>202.18</v>
      </c>
      <c r="T133" s="88">
        <f>IFERROR(__xludf.DUMMYFUNCTION("""COMPUTED_VALUE"""),33.696666666666665)</f>
        <v>33.69666667</v>
      </c>
      <c r="U133" s="88"/>
      <c r="V133" s="88"/>
      <c r="W133" s="88"/>
      <c r="X133" s="88"/>
      <c r="Y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Q134" s="88"/>
      <c r="R134" s="88" t="str">
        <f>IFERROR(__xludf.DUMMYFUNCTION("""COMPUTED_VALUE"""),"Internet")</f>
        <v>Internet</v>
      </c>
      <c r="S134" s="88">
        <f>IFERROR(__xludf.DUMMYFUNCTION("""COMPUTED_VALUE"""),56.5)</f>
        <v>56.5</v>
      </c>
      <c r="T134" s="88">
        <f>IFERROR(__xludf.DUMMYFUNCTION("""COMPUTED_VALUE"""),9.416666666666666)</f>
        <v>9.416666667</v>
      </c>
      <c r="U134" s="88"/>
      <c r="V134" s="88"/>
      <c r="W134" s="88"/>
      <c r="X134" s="88"/>
      <c r="Y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Q135" s="88"/>
      <c r="R135" s="88" t="str">
        <f>IFERROR(__xludf.DUMMYFUNCTION("""COMPUTED_VALUE"""),"Water")</f>
        <v>Water</v>
      </c>
      <c r="S135" s="88">
        <f>IFERROR(__xludf.DUMMYFUNCTION("""COMPUTED_VALUE"""),136.32)</f>
        <v>136.32</v>
      </c>
      <c r="T135" s="88">
        <f>IFERROR(__xludf.DUMMYFUNCTION("""COMPUTED_VALUE"""),22.72)</f>
        <v>22.72</v>
      </c>
      <c r="U135" s="88"/>
      <c r="V135" s="88"/>
      <c r="W135" s="88"/>
      <c r="X135" s="88"/>
      <c r="Y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Q136" s="88"/>
      <c r="R136" s="88"/>
      <c r="S136" s="88"/>
      <c r="T136" s="88"/>
      <c r="U136" s="88"/>
      <c r="V136" s="88"/>
      <c r="W136" s="88"/>
      <c r="X136" s="88"/>
      <c r="Y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Q137" s="138">
        <f>IFERROR(__xludf.DUMMYFUNCTION("""COMPUTED_VALUE"""),45689.0)</f>
        <v>45689</v>
      </c>
      <c r="R137" s="88" t="str">
        <f>IFERROR(__xludf.DUMMYFUNCTION("""COMPUTED_VALUE"""),"Rent")</f>
        <v>Rent</v>
      </c>
      <c r="S137" s="88">
        <f>IFERROR(__xludf.DUMMYFUNCTION("""COMPUTED_VALUE"""),3900.0)</f>
        <v>3900</v>
      </c>
      <c r="T137" s="88">
        <f>IFERROR(__xludf.DUMMYFUNCTION("""COMPUTED_VALUE"""),650.0)</f>
        <v>650</v>
      </c>
      <c r="U137" s="88" t="str">
        <f>IFERROR(__xludf.DUMMYFUNCTION("""COMPUTED_VALUE"""),"Paid")</f>
        <v>Paid</v>
      </c>
      <c r="V137" s="88" t="str">
        <f>IFERROR(__xludf.DUMMYFUNCTION("""COMPUTED_VALUE"""),"Paid")</f>
        <v>Paid</v>
      </c>
      <c r="W137" s="88" t="str">
        <f>IFERROR(__xludf.DUMMYFUNCTION("""COMPUTED_VALUE"""),"Paid")</f>
        <v>Paid</v>
      </c>
      <c r="X137" s="88" t="str">
        <f>IFERROR(__xludf.DUMMYFUNCTION("""COMPUTED_VALUE"""),"Paid")</f>
        <v>Paid</v>
      </c>
      <c r="Y137" s="88" t="str">
        <f>IFERROR(__xludf.DUMMYFUNCTION("""COMPUTED_VALUE"""),"Paid")</f>
        <v>Paid</v>
      </c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Q138" s="88"/>
      <c r="R138" s="88" t="str">
        <f>IFERROR(__xludf.DUMMYFUNCTION("""COMPUTED_VALUE"""),"Heat Feb 19 - Mar 18")</f>
        <v>Heat Feb 19 - Mar 18</v>
      </c>
      <c r="S138" s="88">
        <f>IFERROR(__xludf.DUMMYFUNCTION("""COMPUTED_VALUE"""),146.59)</f>
        <v>146.59</v>
      </c>
      <c r="T138" s="88">
        <f>IFERROR(__xludf.DUMMYFUNCTION("""COMPUTED_VALUE"""),48.86333333333334)</f>
        <v>48.86333333</v>
      </c>
      <c r="U138" s="88"/>
      <c r="V138" s="88"/>
      <c r="W138" s="88"/>
      <c r="X138" s="88"/>
      <c r="Y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Q139" s="88"/>
      <c r="R139" s="88" t="str">
        <f>IFERROR(__xludf.DUMMYFUNCTION("""COMPUTED_VALUE"""),"Electricity")</f>
        <v>Electricity</v>
      </c>
      <c r="S139" s="88">
        <f>IFERROR(__xludf.DUMMYFUNCTION("""COMPUTED_VALUE"""),147.53)</f>
        <v>147.53</v>
      </c>
      <c r="T139" s="88"/>
      <c r="U139" s="88"/>
      <c r="V139" s="88"/>
      <c r="W139" s="88"/>
      <c r="X139" s="88"/>
      <c r="Y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Q140" s="88"/>
      <c r="R140" s="88" t="str">
        <f>IFERROR(__xludf.DUMMYFUNCTION("""COMPUTED_VALUE"""),"Internet")</f>
        <v>Internet</v>
      </c>
      <c r="S140" s="88">
        <f>IFERROR(__xludf.DUMMYFUNCTION("""COMPUTED_VALUE"""),56.5)</f>
        <v>56.5</v>
      </c>
      <c r="T140" s="88">
        <f>IFERROR(__xludf.DUMMYFUNCTION("""COMPUTED_VALUE"""),9.416666666666666)</f>
        <v>9.416666667</v>
      </c>
      <c r="U140" s="88"/>
      <c r="V140" s="88"/>
      <c r="W140" s="88"/>
      <c r="X140" s="88"/>
      <c r="Y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Q141" s="88"/>
      <c r="R141" s="88"/>
      <c r="S141" s="88"/>
      <c r="T141" s="88"/>
      <c r="U141" s="88"/>
      <c r="V141" s="88"/>
      <c r="W141" s="88"/>
      <c r="X141" s="88"/>
      <c r="Y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Q142" s="88"/>
      <c r="R142" s="88"/>
      <c r="S142" s="88"/>
      <c r="T142" s="88"/>
      <c r="U142" s="88"/>
      <c r="V142" s="88"/>
      <c r="W142" s="88"/>
      <c r="X142" s="88"/>
      <c r="Y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Q143" s="138">
        <f>IFERROR(__xludf.DUMMYFUNCTION("""COMPUTED_VALUE"""),45717.0)</f>
        <v>45717</v>
      </c>
      <c r="R143" s="88" t="str">
        <f>IFERROR(__xludf.DUMMYFUNCTION("""COMPUTED_VALUE"""),"Rent")</f>
        <v>Rent</v>
      </c>
      <c r="S143" s="88">
        <f>IFERROR(__xludf.DUMMYFUNCTION("""COMPUTED_VALUE"""),3900.0)</f>
        <v>3900</v>
      </c>
      <c r="T143" s="88">
        <f>IFERROR(__xludf.DUMMYFUNCTION("""COMPUTED_VALUE"""),650.0)</f>
        <v>650</v>
      </c>
      <c r="U143" s="88" t="str">
        <f>IFERROR(__xludf.DUMMYFUNCTION("""COMPUTED_VALUE"""),"Paid")</f>
        <v>Paid</v>
      </c>
      <c r="V143" s="88" t="str">
        <f>IFERROR(__xludf.DUMMYFUNCTION("""COMPUTED_VALUE"""),"Paid")</f>
        <v>Paid</v>
      </c>
      <c r="W143" s="88"/>
      <c r="X143" s="88" t="str">
        <f>IFERROR(__xludf.DUMMYFUNCTION("""COMPUTED_VALUE"""),"Paid")</f>
        <v>Paid</v>
      </c>
      <c r="Y143" s="88" t="str">
        <f>IFERROR(__xludf.DUMMYFUNCTION("""COMPUTED_VALUE"""),"Paid")</f>
        <v>Paid</v>
      </c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Q144" s="88"/>
      <c r="R144" s="88" t="str">
        <f>IFERROR(__xludf.DUMMYFUNCTION("""COMPUTED_VALUE"""),"Heat")</f>
        <v>Heat</v>
      </c>
      <c r="S144" s="88"/>
      <c r="T144" s="88"/>
      <c r="U144" s="88"/>
      <c r="V144" s="88"/>
      <c r="W144" s="88"/>
      <c r="X144" s="88"/>
      <c r="Y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Q145" s="88"/>
      <c r="R145" s="88" t="str">
        <f>IFERROR(__xludf.DUMMYFUNCTION("""COMPUTED_VALUE"""),"Electricity")</f>
        <v>Electricity</v>
      </c>
      <c r="S145" s="88">
        <f>IFERROR(__xludf.DUMMYFUNCTION("""COMPUTED_VALUE"""),100.34)</f>
        <v>100.34</v>
      </c>
      <c r="T145" s="88"/>
      <c r="U145" s="88"/>
      <c r="V145" s="88"/>
      <c r="W145" s="88"/>
      <c r="X145" s="88"/>
      <c r="Y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Q146" s="88"/>
      <c r="R146" s="88" t="str">
        <f>IFERROR(__xludf.DUMMYFUNCTION("""COMPUTED_VALUE"""),"Internet")</f>
        <v>Internet</v>
      </c>
      <c r="S146" s="88">
        <f>IFERROR(__xludf.DUMMYFUNCTION("""COMPUTED_VALUE"""),56.5)</f>
        <v>56.5</v>
      </c>
      <c r="T146" s="88">
        <f>IFERROR(__xludf.DUMMYFUNCTION("""COMPUTED_VALUE"""),9.416666666666666)</f>
        <v>9.416666667</v>
      </c>
      <c r="U146" s="88"/>
      <c r="V146" s="88"/>
      <c r="W146" s="88"/>
      <c r="X146" s="88"/>
      <c r="Y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Q147" s="88"/>
      <c r="R147" s="88"/>
      <c r="S147" s="88"/>
      <c r="T147" s="88"/>
      <c r="U147" s="88"/>
      <c r="V147" s="88"/>
      <c r="W147" s="88"/>
      <c r="X147" s="88"/>
      <c r="Y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Q148" s="88"/>
      <c r="R148" s="88"/>
      <c r="S148" s="88"/>
      <c r="T148" s="88"/>
      <c r="U148" s="88"/>
      <c r="V148" s="88"/>
      <c r="W148" s="88"/>
      <c r="X148" s="88"/>
      <c r="Y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Q149" s="88"/>
      <c r="R149" s="88"/>
      <c r="S149" s="88"/>
      <c r="T149" s="88"/>
      <c r="U149" s="88"/>
      <c r="V149" s="88"/>
      <c r="W149" s="88"/>
      <c r="X149" s="88"/>
      <c r="Y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Q150" s="88"/>
      <c r="R150" s="88"/>
      <c r="S150" s="88"/>
      <c r="T150" s="88"/>
      <c r="U150" s="88"/>
      <c r="V150" s="88"/>
      <c r="W150" s="88"/>
      <c r="X150" s="88"/>
      <c r="Y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Q151" s="88"/>
      <c r="R151" s="88"/>
      <c r="S151" s="88"/>
      <c r="T151" s="88"/>
      <c r="U151" s="88"/>
      <c r="V151" s="88"/>
      <c r="W151" s="88"/>
      <c r="X151" s="88"/>
      <c r="Y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Q152" s="88"/>
      <c r="R152" s="88"/>
      <c r="S152" s="88"/>
      <c r="T152" s="88"/>
      <c r="U152" s="88"/>
      <c r="V152" s="88"/>
      <c r="W152" s="88"/>
      <c r="X152" s="88"/>
      <c r="Y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Q153" s="88"/>
      <c r="R153" s="88"/>
      <c r="S153" s="88"/>
      <c r="T153" s="88"/>
      <c r="U153" s="88"/>
      <c r="V153" s="88"/>
      <c r="W153" s="88"/>
      <c r="X153" s="88"/>
      <c r="Y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Q154" s="88"/>
      <c r="R154" s="88"/>
      <c r="S154" s="88"/>
      <c r="T154" s="88"/>
      <c r="U154" s="88"/>
      <c r="V154" s="88"/>
      <c r="W154" s="88"/>
      <c r="X154" s="88"/>
      <c r="Y154" s="88"/>
    </row>
    <row r="155">
      <c r="A155" s="88"/>
      <c r="B155" s="88"/>
      <c r="C155" s="88"/>
      <c r="D155" s="88"/>
      <c r="E155" s="88"/>
      <c r="F155" s="88" t="str">
        <f>IFERROR(__xludf.DUMMYFUNCTION("""COMPUTED_VALUE"""),"#DIV/0!")</f>
        <v>#DIV/0!</v>
      </c>
      <c r="G155" s="88"/>
      <c r="H155" s="88"/>
      <c r="I155" s="88"/>
      <c r="J155" s="88"/>
      <c r="K155" s="88"/>
      <c r="L155" s="88"/>
      <c r="M155" s="88"/>
      <c r="N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>
      <c r="A156" s="88"/>
      <c r="B156" s="88"/>
      <c r="C156" s="88"/>
      <c r="D156" s="88"/>
      <c r="E156" s="88"/>
      <c r="F156" s="88" t="str">
        <f>IFERROR(__xludf.DUMMYFUNCTION("""COMPUTED_VALUE"""),"#DIV/0!")</f>
        <v>#DIV/0!</v>
      </c>
      <c r="G156" s="88"/>
      <c r="H156" s="88"/>
      <c r="I156" s="88"/>
      <c r="J156" s="88"/>
      <c r="K156" s="88"/>
      <c r="L156" s="88"/>
      <c r="M156" s="88"/>
      <c r="N156" s="88"/>
      <c r="Q156" s="88"/>
      <c r="R156" s="88"/>
      <c r="S156" s="88"/>
      <c r="T156" s="88"/>
      <c r="U156" s="88"/>
      <c r="V156" s="88"/>
      <c r="W156" s="88"/>
      <c r="X156" s="88"/>
      <c r="Y156" s="88"/>
    </row>
    <row r="157">
      <c r="A157" s="88"/>
      <c r="B157" s="88"/>
      <c r="C157" s="88"/>
      <c r="D157" s="88"/>
      <c r="E157" s="88"/>
      <c r="F157" s="88" t="str">
        <f>IFERROR(__xludf.DUMMYFUNCTION("""COMPUTED_VALUE"""),"#DIV/0!")</f>
        <v>#DIV/0!</v>
      </c>
      <c r="G157" s="88"/>
      <c r="H157" s="88"/>
      <c r="I157" s="88"/>
      <c r="J157" s="88"/>
      <c r="K157" s="88"/>
      <c r="L157" s="88"/>
      <c r="M157" s="88"/>
      <c r="N157" s="88"/>
      <c r="Q157" s="88"/>
      <c r="R157" s="88"/>
      <c r="S157" s="88"/>
      <c r="T157" s="88"/>
      <c r="U157" s="88"/>
      <c r="V157" s="88"/>
      <c r="W157" s="88"/>
      <c r="X157" s="88"/>
      <c r="Y157" s="88"/>
    </row>
    <row r="158">
      <c r="A158" s="88"/>
      <c r="B158" s="88"/>
      <c r="C158" s="88"/>
      <c r="D158" s="88"/>
      <c r="E158" s="88"/>
      <c r="F158" s="88" t="str">
        <f>IFERROR(__xludf.DUMMYFUNCTION("""COMPUTED_VALUE"""),"#DIV/0!")</f>
        <v>#DIV/0!</v>
      </c>
      <c r="G158" s="88"/>
      <c r="H158" s="88"/>
      <c r="I158" s="88"/>
      <c r="J158" s="88"/>
      <c r="K158" s="88"/>
      <c r="L158" s="88"/>
      <c r="M158" s="88"/>
      <c r="N158" s="88"/>
      <c r="Q158" s="88"/>
      <c r="R158" s="88"/>
      <c r="S158" s="88"/>
      <c r="T158" s="88"/>
      <c r="U158" s="88"/>
      <c r="V158" s="88"/>
      <c r="W158" s="88"/>
      <c r="X158" s="88"/>
      <c r="Y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Q159" s="88"/>
      <c r="R159" s="88"/>
      <c r="S159" s="88"/>
      <c r="T159" s="88"/>
      <c r="U159" s="88"/>
      <c r="V159" s="88"/>
      <c r="W159" s="88"/>
      <c r="X159" s="88"/>
      <c r="Y159" s="88"/>
    </row>
    <row r="160">
      <c r="A160" s="137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Q160" s="88"/>
      <c r="R160" s="88"/>
      <c r="S160" s="88"/>
      <c r="T160" s="88"/>
      <c r="U160" s="88"/>
      <c r="V160" s="88"/>
      <c r="W160" s="88"/>
      <c r="X160" s="88"/>
      <c r="Y160" s="88"/>
    </row>
    <row r="161">
      <c r="A161" s="137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Q161" s="88"/>
      <c r="R161" s="88"/>
      <c r="S161" s="88"/>
      <c r="T161" s="88"/>
      <c r="U161" s="88"/>
      <c r="V161" s="88"/>
      <c r="W161" s="88"/>
      <c r="X161" s="88"/>
      <c r="Y161" s="88"/>
    </row>
    <row r="162">
      <c r="A162" s="137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Q162" s="88"/>
      <c r="R162" s="88"/>
      <c r="S162" s="88"/>
      <c r="T162" s="88"/>
      <c r="U162" s="88"/>
      <c r="V162" s="88"/>
      <c r="W162" s="88"/>
      <c r="X162" s="88"/>
      <c r="Y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Q163" s="88"/>
      <c r="R163" s="88"/>
      <c r="S163" s="88"/>
      <c r="T163" s="88"/>
      <c r="U163" s="88"/>
      <c r="V163" s="88"/>
      <c r="W163" s="88"/>
      <c r="X163" s="88"/>
      <c r="Y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Q164" s="88"/>
      <c r="R164" s="88"/>
      <c r="S164" s="88"/>
      <c r="T164" s="88"/>
      <c r="U164" s="88"/>
      <c r="V164" s="88"/>
      <c r="W164" s="88"/>
      <c r="X164" s="88"/>
      <c r="Y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Q165" s="88"/>
      <c r="R165" s="88"/>
      <c r="S165" s="88"/>
      <c r="T165" s="88"/>
      <c r="U165" s="88"/>
      <c r="V165" s="88"/>
      <c r="W165" s="88"/>
      <c r="X165" s="88"/>
      <c r="Y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Q166" s="88"/>
      <c r="R166" s="88"/>
      <c r="S166" s="88"/>
      <c r="T166" s="88"/>
      <c r="U166" s="88"/>
      <c r="V166" s="88"/>
      <c r="W166" s="88"/>
      <c r="X166" s="88"/>
      <c r="Y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Q167" s="88"/>
      <c r="R167" s="88"/>
      <c r="S167" s="88"/>
      <c r="T167" s="88"/>
      <c r="U167" s="88"/>
      <c r="V167" s="88"/>
      <c r="W167" s="88"/>
      <c r="X167" s="88"/>
      <c r="Y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Q168" s="88"/>
      <c r="R168" s="88"/>
      <c r="S168" s="88"/>
      <c r="T168" s="88"/>
      <c r="U168" s="88"/>
      <c r="V168" s="88"/>
      <c r="W168" s="88"/>
      <c r="X168" s="88"/>
      <c r="Y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Q169" s="88"/>
      <c r="R169" s="88"/>
      <c r="S169" s="88"/>
      <c r="T169" s="88"/>
      <c r="U169" s="88"/>
      <c r="V169" s="88"/>
      <c r="W169" s="88"/>
      <c r="X169" s="88"/>
      <c r="Y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Q170" s="88"/>
      <c r="R170" s="88"/>
      <c r="S170" s="88"/>
      <c r="T170" s="88"/>
      <c r="U170" s="88"/>
      <c r="V170" s="88"/>
      <c r="W170" s="88"/>
      <c r="X170" s="88"/>
      <c r="Y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Q171" s="88"/>
      <c r="R171" s="88"/>
      <c r="S171" s="88"/>
      <c r="T171" s="88"/>
      <c r="U171" s="88"/>
      <c r="V171" s="88"/>
      <c r="W171" s="88"/>
      <c r="X171" s="88"/>
      <c r="Y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Q173" s="88"/>
      <c r="R173" s="88"/>
      <c r="S173" s="88"/>
      <c r="T173" s="88"/>
      <c r="U173" s="88"/>
      <c r="V173" s="88"/>
      <c r="W173" s="88"/>
      <c r="X173" s="88"/>
      <c r="Y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Q174" s="88"/>
      <c r="R174" s="88"/>
      <c r="S174" s="88"/>
      <c r="T174" s="88"/>
      <c r="U174" s="88"/>
      <c r="V174" s="88"/>
      <c r="W174" s="88"/>
      <c r="X174" s="88"/>
      <c r="Y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Q176" s="88"/>
      <c r="R176" s="88"/>
      <c r="S176" s="88"/>
      <c r="T176" s="88"/>
      <c r="U176" s="88"/>
      <c r="V176" s="88"/>
      <c r="W176" s="88"/>
      <c r="X176" s="88"/>
      <c r="Y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Q177" s="88"/>
      <c r="R177" s="88"/>
      <c r="S177" s="88"/>
      <c r="T177" s="88"/>
      <c r="U177" s="88"/>
      <c r="V177" s="88"/>
      <c r="W177" s="88"/>
      <c r="X177" s="88"/>
      <c r="Y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Q178" s="88"/>
      <c r="R178" s="88"/>
      <c r="S178" s="88"/>
      <c r="T178" s="88"/>
      <c r="U178" s="88"/>
      <c r="V178" s="88"/>
      <c r="W178" s="88"/>
      <c r="X178" s="88"/>
      <c r="Y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Q179" s="88"/>
      <c r="R179" s="88"/>
      <c r="S179" s="88"/>
      <c r="T179" s="88"/>
      <c r="U179" s="88"/>
      <c r="V179" s="88"/>
      <c r="W179" s="88"/>
      <c r="X179" s="88"/>
      <c r="Y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Q180" s="88"/>
      <c r="R180" s="88"/>
      <c r="S180" s="88"/>
      <c r="T180" s="88"/>
      <c r="U180" s="88"/>
      <c r="V180" s="88"/>
      <c r="W180" s="88"/>
      <c r="X180" s="88"/>
      <c r="Y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Q181" s="88"/>
      <c r="R181" s="88"/>
      <c r="S181" s="88"/>
      <c r="T181" s="88"/>
      <c r="U181" s="88"/>
      <c r="V181" s="88"/>
      <c r="W181" s="88"/>
      <c r="X181" s="88"/>
      <c r="Y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Q183" s="88"/>
      <c r="R183" s="88"/>
      <c r="S183" s="88"/>
      <c r="T183" s="88"/>
      <c r="U183" s="88"/>
      <c r="V183" s="88"/>
      <c r="W183" s="88"/>
      <c r="X183" s="88"/>
      <c r="Y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Q184" s="88"/>
      <c r="R184" s="88"/>
      <c r="S184" s="88"/>
      <c r="T184" s="88"/>
      <c r="U184" s="88"/>
      <c r="V184" s="88"/>
      <c r="W184" s="88"/>
      <c r="X184" s="88"/>
      <c r="Y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Q185" s="88"/>
      <c r="R185" s="88"/>
      <c r="S185" s="88"/>
      <c r="T185" s="88"/>
      <c r="U185" s="88"/>
      <c r="V185" s="88"/>
      <c r="W185" s="88"/>
      <c r="X185" s="88"/>
      <c r="Y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Q186" s="88"/>
      <c r="R186" s="88"/>
      <c r="S186" s="88"/>
      <c r="T186" s="88"/>
      <c r="U186" s="88"/>
      <c r="V186" s="88"/>
      <c r="W186" s="88"/>
      <c r="X186" s="88"/>
      <c r="Y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Q187" s="88"/>
      <c r="R187" s="88"/>
      <c r="S187" s="88"/>
      <c r="T187" s="88"/>
      <c r="U187" s="88"/>
      <c r="V187" s="88"/>
      <c r="W187" s="88"/>
      <c r="X187" s="88"/>
      <c r="Y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Q188" s="88"/>
      <c r="R188" s="88"/>
      <c r="S188" s="88"/>
      <c r="T188" s="88"/>
      <c r="U188" s="88"/>
      <c r="V188" s="88"/>
      <c r="W188" s="88"/>
      <c r="X188" s="88"/>
      <c r="Y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Q189" s="88"/>
      <c r="R189" s="88"/>
      <c r="S189" s="88"/>
      <c r="T189" s="88"/>
      <c r="U189" s="88"/>
      <c r="V189" s="88"/>
      <c r="W189" s="88"/>
      <c r="X189" s="88"/>
      <c r="Y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Q190" s="88"/>
      <c r="R190" s="88"/>
      <c r="S190" s="88"/>
      <c r="T190" s="88"/>
      <c r="U190" s="88"/>
      <c r="V190" s="88"/>
      <c r="W190" s="88"/>
      <c r="X190" s="139"/>
      <c r="Y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Q191" s="88"/>
      <c r="R191" s="88"/>
      <c r="S191" s="88"/>
      <c r="T191" s="88"/>
      <c r="U191" s="88"/>
      <c r="V191" s="88"/>
      <c r="W191" s="88"/>
      <c r="X191" s="139"/>
      <c r="Y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Q193" s="88"/>
      <c r="R193" s="88"/>
      <c r="S193" s="88"/>
      <c r="T193" s="88"/>
      <c r="U193" s="88"/>
      <c r="V193" s="88"/>
      <c r="W193" s="88"/>
      <c r="X193" s="139"/>
      <c r="Y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Q194" s="88"/>
      <c r="R194" s="88"/>
      <c r="S194" s="88"/>
      <c r="T194" s="88"/>
      <c r="U194" s="88"/>
      <c r="V194" s="88"/>
      <c r="W194" s="88"/>
      <c r="X194" s="139"/>
      <c r="Y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Q195" s="88"/>
      <c r="R195" s="88"/>
      <c r="S195" s="88"/>
      <c r="T195" s="88"/>
      <c r="U195" s="88"/>
      <c r="V195" s="88"/>
      <c r="W195" s="88"/>
      <c r="X195" s="139"/>
      <c r="Y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Q196" s="88"/>
      <c r="R196" s="88"/>
      <c r="S196" s="88"/>
      <c r="T196" s="88"/>
      <c r="U196" s="88"/>
      <c r="V196" s="88"/>
      <c r="W196" s="88"/>
      <c r="X196" s="139"/>
      <c r="Y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Q197" s="88"/>
      <c r="R197" s="88"/>
      <c r="S197" s="88"/>
      <c r="T197" s="88"/>
      <c r="U197" s="88"/>
      <c r="V197" s="88"/>
      <c r="W197" s="88"/>
      <c r="X197" s="139"/>
      <c r="Y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Q198" s="88"/>
      <c r="R198" s="88"/>
      <c r="S198" s="88"/>
      <c r="T198" s="88"/>
      <c r="U198" s="88"/>
      <c r="V198" s="88"/>
      <c r="W198" s="88"/>
      <c r="X198" s="139"/>
      <c r="Y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Q199" s="88"/>
      <c r="R199" s="88"/>
      <c r="S199" s="88"/>
      <c r="T199" s="88"/>
      <c r="U199" s="88"/>
      <c r="V199" s="88"/>
      <c r="W199" s="88"/>
      <c r="X199" s="88"/>
      <c r="Y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Q200" s="88"/>
      <c r="R200" s="88"/>
      <c r="S200" s="88"/>
      <c r="T200" s="88"/>
      <c r="U200" s="88"/>
      <c r="V200" s="88"/>
      <c r="W200" s="88"/>
      <c r="X200" s="139"/>
      <c r="Y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Q201" s="88"/>
      <c r="R201" s="88"/>
      <c r="S201" s="88"/>
      <c r="T201" s="88"/>
      <c r="U201" s="88"/>
      <c r="V201" s="88"/>
      <c r="W201" s="88"/>
      <c r="X201" s="88"/>
      <c r="Y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Q202" s="88"/>
      <c r="R202" s="88"/>
      <c r="S202" s="88"/>
      <c r="T202" s="88"/>
      <c r="U202" s="88"/>
      <c r="V202" s="88"/>
      <c r="W202" s="88"/>
      <c r="X202" s="88"/>
      <c r="Y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Q203" s="88"/>
      <c r="R203" s="88"/>
      <c r="S203" s="88"/>
      <c r="T203" s="88"/>
      <c r="U203" s="88"/>
      <c r="V203" s="88"/>
      <c r="W203" s="88"/>
      <c r="X203" s="139"/>
      <c r="Y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Q204" s="88"/>
      <c r="R204" s="88"/>
      <c r="S204" s="88"/>
      <c r="T204" s="88"/>
      <c r="U204" s="88"/>
      <c r="V204" s="88"/>
      <c r="W204" s="88"/>
      <c r="X204" s="88"/>
      <c r="Y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Q205" s="88"/>
      <c r="R205" s="88"/>
      <c r="S205" s="88"/>
      <c r="T205" s="88"/>
      <c r="U205" s="88"/>
      <c r="V205" s="88"/>
      <c r="W205" s="88"/>
      <c r="X205" s="88"/>
      <c r="Y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Q206" s="88"/>
      <c r="R206" s="88"/>
      <c r="S206" s="88"/>
      <c r="T206" s="88"/>
      <c r="U206" s="88"/>
      <c r="V206" s="88"/>
      <c r="W206" s="88"/>
      <c r="X206" s="88"/>
      <c r="Y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Q207" s="88"/>
      <c r="R207" s="88"/>
      <c r="S207" s="88"/>
      <c r="T207" s="88"/>
      <c r="U207" s="88"/>
      <c r="V207" s="88"/>
      <c r="W207" s="88"/>
      <c r="X207" s="88"/>
      <c r="Y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Q208" s="88"/>
      <c r="R208" s="88"/>
      <c r="S208" s="88"/>
      <c r="T208" s="88"/>
      <c r="U208" s="88"/>
      <c r="V208" s="88"/>
      <c r="W208" s="88"/>
      <c r="X208" s="88"/>
      <c r="Y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Q209" s="88"/>
      <c r="R209" s="88"/>
      <c r="S209" s="88"/>
      <c r="T209" s="88"/>
      <c r="U209" s="88"/>
      <c r="V209" s="88"/>
      <c r="W209" s="88"/>
      <c r="X209" s="88"/>
      <c r="Y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Q210" s="88"/>
      <c r="R210" s="88"/>
      <c r="S210" s="88"/>
      <c r="T210" s="88"/>
      <c r="U210" s="88"/>
      <c r="V210" s="88"/>
      <c r="W210" s="88"/>
      <c r="X210" s="88"/>
      <c r="Y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Q211" s="88"/>
      <c r="R211" s="88"/>
      <c r="S211" s="88"/>
      <c r="T211" s="88"/>
      <c r="U211" s="88"/>
      <c r="V211" s="88"/>
      <c r="W211" s="88"/>
      <c r="X211" s="88"/>
      <c r="Y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Q212" s="88"/>
      <c r="R212" s="88"/>
      <c r="S212" s="88"/>
      <c r="T212" s="88"/>
      <c r="U212" s="88"/>
      <c r="V212" s="88"/>
      <c r="W212" s="88"/>
      <c r="X212" s="88"/>
      <c r="Y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Q213" s="88"/>
      <c r="R213" s="88"/>
      <c r="S213" s="88"/>
      <c r="T213" s="88"/>
      <c r="U213" s="88"/>
      <c r="V213" s="88"/>
      <c r="W213" s="88"/>
      <c r="X213" s="88"/>
      <c r="Y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Q214" s="88"/>
      <c r="R214" s="88"/>
      <c r="S214" s="88"/>
      <c r="T214" s="88"/>
      <c r="U214" s="88"/>
      <c r="V214" s="88"/>
      <c r="W214" s="88"/>
      <c r="X214" s="88"/>
      <c r="Y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Q215" s="88"/>
      <c r="R215" s="88"/>
      <c r="S215" s="88"/>
      <c r="T215" s="88"/>
      <c r="U215" s="88"/>
      <c r="V215" s="88"/>
      <c r="W215" s="88"/>
      <c r="X215" s="88"/>
      <c r="Y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Q216" s="88"/>
      <c r="R216" s="88"/>
      <c r="S216" s="88"/>
      <c r="T216" s="88"/>
      <c r="U216" s="88"/>
      <c r="V216" s="88"/>
      <c r="W216" s="88"/>
      <c r="X216" s="88"/>
      <c r="Y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Q217" s="88"/>
      <c r="R217" s="88"/>
      <c r="S217" s="88"/>
      <c r="T217" s="88"/>
      <c r="U217" s="88"/>
      <c r="V217" s="88"/>
      <c r="W217" s="88"/>
      <c r="X217" s="88"/>
      <c r="Y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Q218" s="88"/>
      <c r="R218" s="88"/>
      <c r="S218" s="88"/>
      <c r="T218" s="88"/>
      <c r="U218" s="88"/>
      <c r="V218" s="88"/>
      <c r="W218" s="88"/>
      <c r="X218" s="88"/>
      <c r="Y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Q219" s="88"/>
      <c r="R219" s="88"/>
      <c r="S219" s="88"/>
      <c r="T219" s="88"/>
      <c r="U219" s="88"/>
      <c r="V219" s="88"/>
      <c r="W219" s="88"/>
      <c r="X219" s="88"/>
      <c r="Y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Q220" s="88"/>
      <c r="R220" s="88"/>
      <c r="S220" s="88"/>
      <c r="T220" s="88"/>
      <c r="U220" s="88"/>
      <c r="V220" s="88"/>
      <c r="W220" s="88"/>
      <c r="X220" s="88"/>
      <c r="Y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Q221" s="88"/>
      <c r="R221" s="88"/>
      <c r="S221" s="88"/>
      <c r="T221" s="88"/>
      <c r="U221" s="88"/>
      <c r="V221" s="88"/>
      <c r="W221" s="88"/>
      <c r="X221" s="88"/>
      <c r="Y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Q222" s="88"/>
      <c r="R222" s="88"/>
      <c r="S222" s="88"/>
      <c r="T222" s="88"/>
      <c r="U222" s="88"/>
      <c r="V222" s="88"/>
      <c r="W222" s="88"/>
      <c r="X222" s="88"/>
      <c r="Y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Q223" s="88"/>
      <c r="R223" s="88"/>
      <c r="S223" s="88"/>
      <c r="T223" s="88"/>
      <c r="U223" s="88"/>
      <c r="V223" s="88"/>
      <c r="W223" s="88"/>
      <c r="X223" s="88"/>
      <c r="Y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Q224" s="88"/>
      <c r="R224" s="88"/>
      <c r="S224" s="88"/>
      <c r="T224" s="88"/>
      <c r="U224" s="88"/>
      <c r="V224" s="88"/>
      <c r="W224" s="88"/>
      <c r="X224" s="88"/>
      <c r="Y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Q225" s="88"/>
      <c r="R225" s="88"/>
      <c r="S225" s="88"/>
      <c r="T225" s="88"/>
      <c r="U225" s="88"/>
      <c r="V225" s="88"/>
      <c r="W225" s="88"/>
      <c r="X225" s="88"/>
      <c r="Y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Q226" s="88"/>
      <c r="R226" s="88"/>
      <c r="S226" s="88"/>
      <c r="T226" s="88"/>
      <c r="U226" s="88"/>
      <c r="V226" s="88"/>
      <c r="W226" s="88"/>
      <c r="X226" s="88"/>
      <c r="Y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Q227" s="88"/>
      <c r="R227" s="88"/>
      <c r="S227" s="88"/>
      <c r="T227" s="88"/>
      <c r="U227" s="88"/>
      <c r="V227" s="88"/>
      <c r="W227" s="88"/>
      <c r="X227" s="88"/>
      <c r="Y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Q228" s="88"/>
      <c r="R228" s="88"/>
      <c r="S228" s="88"/>
      <c r="T228" s="88"/>
      <c r="U228" s="88"/>
      <c r="V228" s="88"/>
      <c r="W228" s="88"/>
      <c r="X228" s="88"/>
      <c r="Y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Q229" s="88"/>
      <c r="R229" s="88"/>
      <c r="S229" s="88"/>
      <c r="T229" s="88"/>
      <c r="U229" s="88"/>
      <c r="V229" s="88"/>
      <c r="W229" s="88"/>
      <c r="X229" s="88"/>
      <c r="Y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Q230" s="88"/>
      <c r="R230" s="88"/>
      <c r="S230" s="88"/>
      <c r="T230" s="88"/>
      <c r="U230" s="88"/>
      <c r="V230" s="88"/>
      <c r="W230" s="88"/>
      <c r="X230" s="88"/>
      <c r="Y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Q231" s="88"/>
      <c r="R231" s="88"/>
      <c r="S231" s="88"/>
      <c r="T231" s="88"/>
      <c r="U231" s="88"/>
      <c r="V231" s="88"/>
      <c r="W231" s="88"/>
      <c r="X231" s="88"/>
      <c r="Y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Q232" s="88"/>
      <c r="R232" s="88"/>
      <c r="S232" s="88"/>
      <c r="T232" s="88"/>
      <c r="U232" s="88"/>
      <c r="V232" s="88"/>
      <c r="W232" s="88"/>
      <c r="X232" s="88"/>
      <c r="Y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Q233" s="88"/>
      <c r="R233" s="88"/>
      <c r="S233" s="88"/>
      <c r="T233" s="88"/>
      <c r="U233" s="88"/>
      <c r="V233" s="88"/>
      <c r="W233" s="88"/>
      <c r="X233" s="88"/>
      <c r="Y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Q234" s="88"/>
      <c r="R234" s="88"/>
      <c r="S234" s="88"/>
      <c r="T234" s="88"/>
      <c r="U234" s="88"/>
      <c r="V234" s="88"/>
      <c r="W234" s="88"/>
      <c r="X234" s="88"/>
      <c r="Y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Q235" s="88"/>
      <c r="R235" s="88"/>
      <c r="S235" s="88"/>
      <c r="T235" s="88"/>
      <c r="U235" s="88"/>
      <c r="V235" s="88"/>
      <c r="W235" s="88"/>
      <c r="X235" s="88"/>
      <c r="Y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Q236" s="88"/>
      <c r="R236" s="88"/>
      <c r="S236" s="88"/>
      <c r="T236" s="88"/>
      <c r="U236" s="88"/>
      <c r="V236" s="88"/>
      <c r="W236" s="88"/>
      <c r="X236" s="88"/>
      <c r="Y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Q237" s="88"/>
      <c r="R237" s="88"/>
      <c r="S237" s="88"/>
      <c r="T237" s="88"/>
      <c r="U237" s="88"/>
      <c r="V237" s="88"/>
      <c r="W237" s="88"/>
      <c r="X237" s="88"/>
      <c r="Y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Q238" s="88"/>
      <c r="R238" s="88"/>
      <c r="S238" s="88"/>
      <c r="T238" s="88"/>
      <c r="U238" s="88"/>
      <c r="V238" s="88"/>
      <c r="W238" s="88"/>
      <c r="X238" s="88"/>
      <c r="Y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Q239" s="88"/>
      <c r="R239" s="88"/>
      <c r="S239" s="88"/>
      <c r="T239" s="88"/>
      <c r="U239" s="88"/>
      <c r="V239" s="88"/>
      <c r="W239" s="88"/>
      <c r="X239" s="88"/>
      <c r="Y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Q240" s="88"/>
      <c r="R240" s="88"/>
      <c r="S240" s="88"/>
      <c r="T240" s="88"/>
      <c r="U240" s="88"/>
      <c r="V240" s="88"/>
      <c r="W240" s="88"/>
      <c r="X240" s="88"/>
      <c r="Y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Q241" s="88"/>
      <c r="R241" s="88"/>
      <c r="S241" s="88"/>
      <c r="T241" s="88"/>
      <c r="U241" s="88"/>
      <c r="V241" s="88"/>
      <c r="W241" s="88"/>
      <c r="X241" s="88"/>
      <c r="Y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Q242" s="88"/>
      <c r="R242" s="88"/>
      <c r="S242" s="88"/>
      <c r="T242" s="88"/>
      <c r="U242" s="88"/>
      <c r="V242" s="88"/>
      <c r="W242" s="88"/>
      <c r="X242" s="88"/>
      <c r="Y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Q243" s="88"/>
      <c r="R243" s="88"/>
      <c r="S243" s="88"/>
      <c r="T243" s="88"/>
      <c r="U243" s="88"/>
      <c r="V243" s="88"/>
      <c r="W243" s="88"/>
      <c r="X243" s="88"/>
      <c r="Y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Q244" s="88"/>
      <c r="R244" s="88"/>
      <c r="S244" s="88"/>
      <c r="T244" s="88"/>
      <c r="U244" s="88"/>
      <c r="V244" s="88"/>
      <c r="W244" s="88"/>
      <c r="X244" s="88"/>
      <c r="Y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Q245" s="88"/>
      <c r="R245" s="88"/>
      <c r="S245" s="88"/>
      <c r="T245" s="88"/>
      <c r="U245" s="88"/>
      <c r="V245" s="88"/>
      <c r="W245" s="88"/>
      <c r="X245" s="88"/>
      <c r="Y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Q246" s="88"/>
      <c r="R246" s="88"/>
      <c r="S246" s="88"/>
      <c r="T246" s="88"/>
      <c r="U246" s="88"/>
      <c r="V246" s="88"/>
      <c r="W246" s="88"/>
      <c r="X246" s="88"/>
      <c r="Y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Q247" s="88"/>
      <c r="R247" s="88"/>
      <c r="S247" s="88"/>
      <c r="T247" s="88"/>
      <c r="U247" s="88"/>
      <c r="V247" s="88"/>
      <c r="W247" s="88"/>
      <c r="X247" s="88"/>
      <c r="Y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Q248" s="88"/>
      <c r="R248" s="88"/>
      <c r="S248" s="88"/>
      <c r="T248" s="88"/>
      <c r="U248" s="88"/>
      <c r="V248" s="88"/>
      <c r="W248" s="88"/>
      <c r="X248" s="88"/>
      <c r="Y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Q249" s="88"/>
      <c r="R249" s="88"/>
      <c r="S249" s="88"/>
      <c r="T249" s="88"/>
      <c r="U249" s="88"/>
      <c r="V249" s="88"/>
      <c r="W249" s="88"/>
      <c r="X249" s="88"/>
      <c r="Y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Q250" s="88"/>
      <c r="R250" s="88"/>
      <c r="S250" s="88"/>
      <c r="T250" s="88"/>
      <c r="U250" s="88"/>
      <c r="V250" s="88"/>
      <c r="W250" s="88"/>
      <c r="X250" s="88"/>
      <c r="Y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Q251" s="88"/>
      <c r="R251" s="88"/>
      <c r="S251" s="88"/>
      <c r="T251" s="88"/>
      <c r="U251" s="88"/>
      <c r="V251" s="88"/>
      <c r="W251" s="88"/>
      <c r="X251" s="88"/>
      <c r="Y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Q252" s="88"/>
      <c r="R252" s="88"/>
      <c r="S252" s="88"/>
      <c r="T252" s="88"/>
      <c r="U252" s="88"/>
      <c r="V252" s="88"/>
      <c r="W252" s="88"/>
      <c r="X252" s="88"/>
      <c r="Y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Q253" s="88"/>
      <c r="R253" s="88"/>
      <c r="S253" s="88"/>
      <c r="T253" s="88"/>
      <c r="U253" s="88"/>
      <c r="V253" s="88"/>
      <c r="W253" s="88"/>
      <c r="X253" s="88"/>
      <c r="Y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Q254" s="88"/>
      <c r="R254" s="88"/>
      <c r="S254" s="88"/>
      <c r="T254" s="88"/>
      <c r="U254" s="88"/>
      <c r="V254" s="88"/>
      <c r="W254" s="88"/>
      <c r="X254" s="88"/>
      <c r="Y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Q255" s="88"/>
      <c r="R255" s="88"/>
      <c r="S255" s="88"/>
      <c r="T255" s="88"/>
      <c r="U255" s="88"/>
      <c r="V255" s="88"/>
      <c r="W255" s="88"/>
      <c r="X255" s="88"/>
      <c r="Y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Q256" s="88"/>
      <c r="R256" s="88"/>
      <c r="S256" s="88"/>
      <c r="T256" s="88"/>
      <c r="U256" s="88"/>
      <c r="V256" s="88"/>
      <c r="W256" s="88"/>
      <c r="X256" s="88"/>
      <c r="Y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Q257" s="88"/>
      <c r="R257" s="88"/>
      <c r="S257" s="88"/>
      <c r="T257" s="88"/>
      <c r="U257" s="88"/>
      <c r="V257" s="88"/>
      <c r="W257" s="88"/>
      <c r="X257" s="88"/>
      <c r="Y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Q258" s="88"/>
      <c r="R258" s="88"/>
      <c r="S258" s="88"/>
      <c r="T258" s="88"/>
      <c r="U258" s="88"/>
      <c r="V258" s="88"/>
      <c r="W258" s="88"/>
      <c r="X258" s="88"/>
      <c r="Y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Q259" s="88"/>
      <c r="R259" s="88"/>
      <c r="S259" s="88"/>
      <c r="T259" s="88"/>
      <c r="U259" s="88"/>
      <c r="V259" s="88"/>
      <c r="W259" s="88"/>
      <c r="X259" s="88"/>
      <c r="Y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Q260" s="88"/>
      <c r="R260" s="88"/>
      <c r="S260" s="88"/>
      <c r="T260" s="88"/>
      <c r="U260" s="88"/>
      <c r="V260" s="88"/>
      <c r="W260" s="88"/>
      <c r="X260" s="88"/>
      <c r="Y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Q261" s="88"/>
      <c r="R261" s="88"/>
      <c r="S261" s="88"/>
      <c r="T261" s="88"/>
      <c r="U261" s="88"/>
      <c r="V261" s="88"/>
      <c r="W261" s="88"/>
      <c r="X261" s="88"/>
      <c r="Y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Q262" s="88"/>
      <c r="R262" s="88"/>
      <c r="S262" s="88"/>
      <c r="T262" s="88"/>
      <c r="U262" s="88"/>
      <c r="V262" s="88"/>
      <c r="W262" s="88"/>
      <c r="X262" s="88"/>
      <c r="Y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Q263" s="88"/>
      <c r="R263" s="88"/>
      <c r="S263" s="88"/>
      <c r="T263" s="88"/>
      <c r="U263" s="88"/>
      <c r="V263" s="88"/>
      <c r="W263" s="88"/>
      <c r="X263" s="88"/>
      <c r="Y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Q264" s="88"/>
      <c r="R264" s="88"/>
      <c r="S264" s="88"/>
      <c r="T264" s="88"/>
      <c r="U264" s="88"/>
      <c r="V264" s="88"/>
      <c r="W264" s="88"/>
      <c r="X264" s="88"/>
      <c r="Y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Q266" s="88"/>
      <c r="R266" s="88"/>
      <c r="S266" s="88"/>
      <c r="T266" s="88"/>
      <c r="U266" s="88"/>
      <c r="V266" s="88"/>
      <c r="W266" s="88"/>
      <c r="X266" s="88"/>
      <c r="Y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Q267" s="88"/>
      <c r="R267" s="88"/>
      <c r="S267" s="88"/>
      <c r="T267" s="88"/>
      <c r="U267" s="88"/>
      <c r="V267" s="88"/>
      <c r="W267" s="88"/>
      <c r="X267" s="88"/>
      <c r="Y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Q268" s="88"/>
      <c r="R268" s="88"/>
      <c r="S268" s="88"/>
      <c r="T268" s="88"/>
      <c r="U268" s="88"/>
      <c r="V268" s="88"/>
      <c r="W268" s="88"/>
      <c r="X268" s="88"/>
      <c r="Y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Q269" s="88"/>
      <c r="R269" s="88"/>
      <c r="S269" s="88"/>
      <c r="T269" s="88"/>
      <c r="U269" s="88"/>
      <c r="V269" s="88"/>
      <c r="W269" s="88"/>
      <c r="X269" s="88"/>
      <c r="Y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Q270" s="88"/>
      <c r="R270" s="88"/>
      <c r="S270" s="88"/>
      <c r="T270" s="88"/>
      <c r="U270" s="88"/>
      <c r="V270" s="88"/>
      <c r="W270" s="88"/>
      <c r="X270" s="88"/>
      <c r="Y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Q271" s="88"/>
      <c r="R271" s="88"/>
      <c r="S271" s="88"/>
      <c r="T271" s="88"/>
      <c r="U271" s="88"/>
      <c r="V271" s="88"/>
      <c r="W271" s="88"/>
      <c r="X271" s="88"/>
      <c r="Y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Q272" s="88"/>
      <c r="R272" s="88"/>
      <c r="S272" s="88"/>
      <c r="T272" s="88"/>
      <c r="U272" s="88"/>
      <c r="V272" s="88"/>
      <c r="W272" s="88"/>
      <c r="X272" s="88"/>
      <c r="Y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Q273" s="88"/>
      <c r="R273" s="88"/>
      <c r="S273" s="88"/>
      <c r="T273" s="88"/>
      <c r="U273" s="88"/>
      <c r="V273" s="88"/>
      <c r="W273" s="88"/>
      <c r="X273" s="88"/>
      <c r="Y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Q274" s="88"/>
      <c r="R274" s="88"/>
      <c r="S274" s="88"/>
      <c r="T274" s="88"/>
      <c r="U274" s="88"/>
      <c r="V274" s="88"/>
      <c r="W274" s="88"/>
      <c r="X274" s="88"/>
      <c r="Y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Q275" s="88"/>
      <c r="R275" s="88"/>
      <c r="S275" s="88"/>
      <c r="T275" s="88"/>
      <c r="U275" s="88"/>
      <c r="V275" s="88"/>
      <c r="W275" s="88"/>
      <c r="X275" s="88"/>
      <c r="Y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Q276" s="88"/>
      <c r="R276" s="88"/>
      <c r="S276" s="88"/>
      <c r="T276" s="88"/>
      <c r="U276" s="88"/>
      <c r="V276" s="88"/>
      <c r="W276" s="88"/>
      <c r="X276" s="88"/>
      <c r="Y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Q277" s="88"/>
      <c r="R277" s="88"/>
      <c r="S277" s="88"/>
      <c r="T277" s="88"/>
      <c r="U277" s="88"/>
      <c r="V277" s="88"/>
      <c r="W277" s="88"/>
      <c r="X277" s="88"/>
      <c r="Y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Q278" s="88"/>
      <c r="R278" s="88"/>
      <c r="S278" s="88"/>
      <c r="T278" s="88"/>
      <c r="U278" s="88"/>
      <c r="V278" s="88"/>
      <c r="W278" s="88"/>
      <c r="X278" s="88"/>
      <c r="Y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Q279" s="88"/>
      <c r="R279" s="88"/>
      <c r="S279" s="88"/>
      <c r="T279" s="88"/>
      <c r="U279" s="88"/>
      <c r="V279" s="88"/>
      <c r="W279" s="88"/>
      <c r="X279" s="88"/>
      <c r="Y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Q280" s="88"/>
      <c r="R280" s="88"/>
      <c r="S280" s="88"/>
      <c r="T280" s="88"/>
      <c r="U280" s="88"/>
      <c r="V280" s="88"/>
      <c r="W280" s="88"/>
      <c r="X280" s="88"/>
      <c r="Y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Q281" s="88"/>
      <c r="R281" s="88"/>
      <c r="S281" s="88"/>
      <c r="T281" s="88"/>
      <c r="U281" s="88"/>
      <c r="V281" s="88"/>
      <c r="W281" s="88"/>
      <c r="X281" s="88"/>
      <c r="Y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Q282" s="88"/>
      <c r="R282" s="88"/>
      <c r="S282" s="88"/>
      <c r="T282" s="88"/>
      <c r="U282" s="88"/>
      <c r="V282" s="88"/>
      <c r="W282" s="88"/>
      <c r="X282" s="88"/>
      <c r="Y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Q283" s="88"/>
      <c r="R283" s="88"/>
      <c r="S283" s="88"/>
      <c r="T283" s="88"/>
      <c r="U283" s="88"/>
      <c r="V283" s="88"/>
      <c r="W283" s="88"/>
      <c r="X283" s="88"/>
      <c r="Y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Q284" s="88"/>
      <c r="R284" s="88"/>
      <c r="S284" s="88"/>
      <c r="T284" s="88"/>
      <c r="U284" s="88"/>
      <c r="V284" s="88"/>
      <c r="W284" s="88"/>
      <c r="X284" s="88"/>
      <c r="Y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Q285" s="88"/>
      <c r="R285" s="88"/>
      <c r="S285" s="88"/>
      <c r="T285" s="88"/>
      <c r="U285" s="88"/>
      <c r="V285" s="88"/>
      <c r="W285" s="88"/>
      <c r="X285" s="88"/>
      <c r="Y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Q286" s="88"/>
      <c r="R286" s="88"/>
      <c r="S286" s="88"/>
      <c r="T286" s="88"/>
      <c r="U286" s="88"/>
      <c r="V286" s="88"/>
      <c r="W286" s="88"/>
      <c r="X286" s="88"/>
      <c r="Y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Q287" s="88"/>
      <c r="R287" s="88"/>
      <c r="S287" s="88"/>
      <c r="T287" s="88"/>
      <c r="U287" s="88"/>
      <c r="V287" s="88"/>
      <c r="W287" s="88"/>
      <c r="X287" s="88"/>
      <c r="Y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Q288" s="88"/>
      <c r="R288" s="88"/>
      <c r="S288" s="88"/>
      <c r="T288" s="88"/>
      <c r="U288" s="88"/>
      <c r="V288" s="88"/>
      <c r="W288" s="88"/>
      <c r="X288" s="88"/>
      <c r="Y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Q289" s="88"/>
      <c r="R289" s="88"/>
      <c r="S289" s="88"/>
      <c r="T289" s="88"/>
      <c r="U289" s="88"/>
      <c r="V289" s="88"/>
      <c r="W289" s="88"/>
      <c r="X289" s="88"/>
      <c r="Y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Q290" s="88"/>
      <c r="R290" s="88"/>
      <c r="S290" s="88"/>
      <c r="T290" s="88"/>
      <c r="U290" s="88"/>
      <c r="V290" s="88"/>
      <c r="W290" s="88"/>
      <c r="X290" s="88"/>
      <c r="Y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Q291" s="88"/>
      <c r="R291" s="88"/>
      <c r="S291" s="88"/>
      <c r="T291" s="88"/>
      <c r="U291" s="88"/>
      <c r="V291" s="88"/>
      <c r="W291" s="88"/>
      <c r="X291" s="88"/>
      <c r="Y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Q292" s="88"/>
      <c r="R292" s="88"/>
      <c r="S292" s="88"/>
      <c r="T292" s="88"/>
      <c r="U292" s="88"/>
      <c r="V292" s="88"/>
      <c r="W292" s="88"/>
      <c r="X292" s="88"/>
      <c r="Y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Q293" s="88"/>
      <c r="R293" s="88"/>
      <c r="S293" s="88"/>
      <c r="T293" s="88"/>
      <c r="U293" s="88"/>
      <c r="V293" s="88"/>
      <c r="W293" s="88"/>
      <c r="X293" s="88"/>
      <c r="Y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Q294" s="88"/>
      <c r="R294" s="88"/>
      <c r="S294" s="88"/>
      <c r="T294" s="88"/>
      <c r="U294" s="88"/>
      <c r="V294" s="88"/>
      <c r="W294" s="88"/>
      <c r="X294" s="88"/>
      <c r="Y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Q295" s="88"/>
      <c r="R295" s="88"/>
      <c r="S295" s="88"/>
      <c r="T295" s="88"/>
      <c r="U295" s="88"/>
      <c r="V295" s="88"/>
      <c r="W295" s="88"/>
      <c r="X295" s="88"/>
      <c r="Y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Q296" s="88"/>
      <c r="R296" s="88"/>
      <c r="S296" s="88"/>
      <c r="T296" s="88"/>
      <c r="U296" s="88"/>
      <c r="V296" s="88"/>
      <c r="W296" s="88"/>
      <c r="X296" s="88"/>
      <c r="Y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Q297" s="88"/>
      <c r="R297" s="88"/>
      <c r="S297" s="88"/>
      <c r="T297" s="88"/>
      <c r="U297" s="88"/>
      <c r="V297" s="88"/>
      <c r="W297" s="88"/>
      <c r="X297" s="88"/>
      <c r="Y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Q298" s="88"/>
      <c r="R298" s="88"/>
      <c r="S298" s="88"/>
      <c r="T298" s="88"/>
      <c r="U298" s="88"/>
      <c r="V298" s="88"/>
      <c r="W298" s="88"/>
      <c r="X298" s="88"/>
      <c r="Y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Q299" s="88"/>
      <c r="R299" s="88"/>
      <c r="S299" s="88"/>
      <c r="T299" s="88"/>
      <c r="U299" s="88"/>
      <c r="V299" s="88"/>
      <c r="W299" s="88"/>
      <c r="X299" s="88"/>
      <c r="Y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Q300" s="88"/>
      <c r="R300" s="88"/>
      <c r="S300" s="88"/>
      <c r="T300" s="88"/>
      <c r="U300" s="88"/>
      <c r="V300" s="88"/>
      <c r="W300" s="88"/>
      <c r="X300" s="88"/>
      <c r="Y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Q301" s="88"/>
      <c r="R301" s="88"/>
      <c r="S301" s="88"/>
      <c r="T301" s="88"/>
      <c r="U301" s="88"/>
      <c r="V301" s="88"/>
      <c r="W301" s="88"/>
      <c r="X301" s="88"/>
      <c r="Y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Q302" s="88"/>
      <c r="R302" s="88"/>
      <c r="S302" s="88"/>
      <c r="T302" s="88"/>
      <c r="U302" s="88"/>
      <c r="V302" s="88"/>
      <c r="W302" s="88"/>
      <c r="X302" s="88"/>
      <c r="Y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Q303" s="88"/>
      <c r="R303" s="88"/>
      <c r="S303" s="88"/>
      <c r="T303" s="88"/>
      <c r="U303" s="88"/>
      <c r="V303" s="88"/>
      <c r="W303" s="88"/>
      <c r="X303" s="88"/>
      <c r="Y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Q304" s="88"/>
      <c r="R304" s="88"/>
      <c r="S304" s="88"/>
      <c r="T304" s="88"/>
      <c r="U304" s="88"/>
      <c r="V304" s="88"/>
      <c r="W304" s="88"/>
      <c r="X304" s="88"/>
      <c r="Y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Q305" s="88"/>
      <c r="R305" s="88"/>
      <c r="S305" s="88"/>
      <c r="T305" s="88"/>
      <c r="U305" s="88"/>
      <c r="V305" s="88"/>
      <c r="W305" s="88"/>
      <c r="X305" s="88"/>
      <c r="Y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Q306" s="88"/>
      <c r="R306" s="88"/>
      <c r="S306" s="88"/>
      <c r="T306" s="88"/>
      <c r="U306" s="88"/>
      <c r="V306" s="88"/>
      <c r="W306" s="88"/>
      <c r="X306" s="88"/>
      <c r="Y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Q307" s="88"/>
      <c r="R307" s="88"/>
      <c r="S307" s="88"/>
      <c r="T307" s="88"/>
      <c r="U307" s="88"/>
      <c r="V307" s="88"/>
      <c r="W307" s="88"/>
      <c r="X307" s="88"/>
      <c r="Y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Q308" s="88"/>
      <c r="R308" s="88"/>
      <c r="S308" s="88"/>
      <c r="T308" s="88"/>
      <c r="U308" s="88"/>
      <c r="V308" s="88"/>
      <c r="W308" s="88"/>
      <c r="X308" s="88"/>
      <c r="Y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Q309" s="88"/>
      <c r="R309" s="88"/>
      <c r="S309" s="88"/>
      <c r="T309" s="88"/>
      <c r="U309" s="88"/>
      <c r="V309" s="88"/>
      <c r="W309" s="88"/>
      <c r="X309" s="88"/>
      <c r="Y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Q310" s="88"/>
      <c r="R310" s="88"/>
      <c r="S310" s="88"/>
      <c r="T310" s="88"/>
      <c r="U310" s="88"/>
      <c r="V310" s="88"/>
      <c r="W310" s="88"/>
      <c r="X310" s="88"/>
      <c r="Y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Q311" s="88"/>
      <c r="R311" s="88"/>
      <c r="S311" s="88"/>
      <c r="T311" s="88"/>
      <c r="U311" s="88"/>
      <c r="V311" s="88"/>
      <c r="W311" s="88"/>
      <c r="X311" s="88"/>
      <c r="Y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Q312" s="88"/>
      <c r="R312" s="88"/>
      <c r="S312" s="88"/>
      <c r="T312" s="88"/>
      <c r="U312" s="88"/>
      <c r="V312" s="88"/>
      <c r="W312" s="88"/>
      <c r="X312" s="88"/>
      <c r="Y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Q313" s="88"/>
      <c r="R313" s="88"/>
      <c r="S313" s="88"/>
      <c r="T313" s="88"/>
      <c r="U313" s="88"/>
      <c r="V313" s="88"/>
      <c r="W313" s="88"/>
      <c r="X313" s="88"/>
      <c r="Y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Q314" s="88"/>
      <c r="R314" s="88"/>
      <c r="S314" s="88"/>
      <c r="T314" s="88"/>
      <c r="U314" s="88"/>
      <c r="V314" s="88"/>
      <c r="W314" s="88"/>
      <c r="X314" s="88"/>
      <c r="Y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Q315" s="88"/>
      <c r="R315" s="88"/>
      <c r="S315" s="88"/>
      <c r="T315" s="88"/>
      <c r="U315" s="88"/>
      <c r="V315" s="88"/>
      <c r="W315" s="88"/>
      <c r="X315" s="88"/>
      <c r="Y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Q316" s="88"/>
      <c r="R316" s="88"/>
      <c r="S316" s="88"/>
      <c r="T316" s="88"/>
      <c r="U316" s="88"/>
      <c r="V316" s="88"/>
      <c r="W316" s="88"/>
      <c r="X316" s="88"/>
      <c r="Y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Q317" s="88"/>
      <c r="R317" s="88"/>
      <c r="S317" s="88"/>
      <c r="T317" s="88"/>
      <c r="U317" s="88"/>
      <c r="V317" s="88"/>
      <c r="W317" s="88"/>
      <c r="X317" s="88"/>
      <c r="Y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Q318" s="88"/>
      <c r="R318" s="88"/>
      <c r="S318" s="88"/>
      <c r="T318" s="88"/>
      <c r="U318" s="88"/>
      <c r="V318" s="88"/>
      <c r="W318" s="88"/>
      <c r="X318" s="88"/>
      <c r="Y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Q319" s="88"/>
      <c r="R319" s="88"/>
      <c r="S319" s="88"/>
      <c r="T319" s="88"/>
      <c r="U319" s="88"/>
      <c r="V319" s="88"/>
      <c r="W319" s="88"/>
      <c r="X319" s="88"/>
      <c r="Y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Q320" s="88"/>
      <c r="R320" s="88"/>
      <c r="S320" s="88"/>
      <c r="T320" s="88"/>
      <c r="U320" s="88"/>
      <c r="V320" s="88"/>
      <c r="W320" s="88"/>
      <c r="X320" s="88"/>
      <c r="Y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Q321" s="88"/>
      <c r="R321" s="88"/>
      <c r="S321" s="88"/>
      <c r="T321" s="88"/>
      <c r="U321" s="88"/>
      <c r="V321" s="88"/>
      <c r="W321" s="88"/>
      <c r="X321" s="88"/>
      <c r="Y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Q322" s="88"/>
      <c r="R322" s="88"/>
      <c r="S322" s="88"/>
      <c r="T322" s="88"/>
      <c r="U322" s="88"/>
      <c r="V322" s="88"/>
      <c r="W322" s="88"/>
      <c r="X322" s="88"/>
      <c r="Y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Q323" s="88"/>
      <c r="R323" s="88"/>
      <c r="S323" s="88"/>
      <c r="T323" s="88"/>
      <c r="U323" s="88"/>
      <c r="V323" s="88"/>
      <c r="W323" s="88"/>
      <c r="X323" s="88"/>
      <c r="Y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Q324" s="88"/>
      <c r="R324" s="88"/>
      <c r="S324" s="88"/>
      <c r="T324" s="88"/>
      <c r="U324" s="88"/>
      <c r="V324" s="88"/>
      <c r="W324" s="88"/>
      <c r="X324" s="88"/>
      <c r="Y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Q325" s="88"/>
      <c r="R325" s="88"/>
      <c r="S325" s="88"/>
      <c r="T325" s="88"/>
      <c r="U325" s="88"/>
      <c r="V325" s="88"/>
      <c r="W325" s="88"/>
      <c r="X325" s="88"/>
      <c r="Y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Q326" s="88"/>
      <c r="R326" s="88"/>
      <c r="S326" s="88"/>
      <c r="T326" s="88"/>
      <c r="U326" s="88"/>
      <c r="V326" s="88"/>
      <c r="W326" s="88"/>
      <c r="X326" s="88"/>
      <c r="Y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Q327" s="88"/>
      <c r="R327" s="88"/>
      <c r="S327" s="88"/>
      <c r="T327" s="88"/>
      <c r="U327" s="88"/>
      <c r="V327" s="88"/>
      <c r="W327" s="88"/>
      <c r="X327" s="88"/>
      <c r="Y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Q328" s="88"/>
      <c r="R328" s="88"/>
      <c r="S328" s="88"/>
      <c r="T328" s="88"/>
      <c r="U328" s="88"/>
      <c r="V328" s="88"/>
      <c r="W328" s="88"/>
      <c r="X328" s="88"/>
      <c r="Y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Q329" s="88"/>
      <c r="R329" s="88"/>
      <c r="S329" s="88"/>
      <c r="T329" s="88"/>
      <c r="U329" s="88"/>
      <c r="V329" s="88"/>
      <c r="W329" s="88"/>
      <c r="X329" s="88"/>
      <c r="Y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Q330" s="88"/>
      <c r="R330" s="88"/>
      <c r="S330" s="88"/>
      <c r="T330" s="88"/>
      <c r="U330" s="88"/>
      <c r="V330" s="88"/>
      <c r="W330" s="88"/>
      <c r="X330" s="88"/>
      <c r="Y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Q331" s="88"/>
      <c r="R331" s="88"/>
      <c r="S331" s="88"/>
      <c r="T331" s="88"/>
      <c r="U331" s="88"/>
      <c r="V331" s="88"/>
      <c r="W331" s="88"/>
      <c r="X331" s="88"/>
      <c r="Y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Q332" s="88"/>
      <c r="R332" s="88"/>
      <c r="S332" s="88"/>
      <c r="T332" s="88"/>
      <c r="U332" s="88"/>
      <c r="V332" s="88"/>
      <c r="W332" s="88"/>
      <c r="X332" s="88"/>
      <c r="Y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Q333" s="88"/>
      <c r="R333" s="88"/>
      <c r="S333" s="88"/>
      <c r="T333" s="88"/>
      <c r="U333" s="88"/>
      <c r="V333" s="88"/>
      <c r="W333" s="88"/>
      <c r="X333" s="88"/>
      <c r="Y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Q334" s="88"/>
      <c r="R334" s="88"/>
      <c r="S334" s="88"/>
      <c r="T334" s="88"/>
      <c r="U334" s="88"/>
      <c r="V334" s="88"/>
      <c r="W334" s="88"/>
      <c r="X334" s="88"/>
      <c r="Y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Q335" s="88"/>
      <c r="R335" s="88"/>
      <c r="S335" s="88"/>
      <c r="T335" s="88"/>
      <c r="U335" s="88"/>
      <c r="V335" s="88"/>
      <c r="W335" s="88"/>
      <c r="X335" s="88"/>
      <c r="Y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Q336" s="88"/>
      <c r="R336" s="88"/>
      <c r="S336" s="88"/>
      <c r="T336" s="88"/>
      <c r="U336" s="88"/>
      <c r="V336" s="88"/>
      <c r="W336" s="88"/>
      <c r="X336" s="88"/>
      <c r="Y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Q337" s="88"/>
      <c r="R337" s="88"/>
      <c r="S337" s="88"/>
      <c r="T337" s="88"/>
      <c r="U337" s="88"/>
      <c r="V337" s="88"/>
      <c r="W337" s="88"/>
      <c r="X337" s="88"/>
      <c r="Y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Q338" s="88"/>
      <c r="R338" s="88"/>
      <c r="S338" s="88"/>
      <c r="T338" s="88"/>
      <c r="U338" s="88"/>
      <c r="V338" s="88"/>
      <c r="W338" s="88"/>
      <c r="X338" s="88"/>
      <c r="Y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Q339" s="88"/>
      <c r="R339" s="88"/>
      <c r="S339" s="88"/>
      <c r="T339" s="88"/>
      <c r="U339" s="88"/>
      <c r="V339" s="88"/>
      <c r="W339" s="88"/>
      <c r="X339" s="88"/>
      <c r="Y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Q340" s="88"/>
      <c r="R340" s="88"/>
      <c r="S340" s="88"/>
      <c r="T340" s="88"/>
      <c r="U340" s="88"/>
      <c r="V340" s="88"/>
      <c r="W340" s="88"/>
      <c r="X340" s="88"/>
      <c r="Y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Q341" s="88"/>
      <c r="R341" s="88"/>
      <c r="S341" s="88"/>
      <c r="T341" s="88"/>
      <c r="U341" s="88"/>
      <c r="V341" s="88"/>
      <c r="W341" s="88"/>
      <c r="X341" s="88"/>
      <c r="Y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Q342" s="88"/>
      <c r="R342" s="88"/>
      <c r="S342" s="88"/>
      <c r="T342" s="88"/>
      <c r="U342" s="88"/>
      <c r="V342" s="88"/>
      <c r="W342" s="88"/>
      <c r="X342" s="88"/>
      <c r="Y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Q343" s="88"/>
      <c r="R343" s="88"/>
      <c r="S343" s="88"/>
      <c r="T343" s="88"/>
      <c r="U343" s="88"/>
      <c r="V343" s="88"/>
      <c r="W343" s="88"/>
      <c r="X343" s="88"/>
      <c r="Y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Q344" s="88"/>
      <c r="R344" s="88"/>
      <c r="S344" s="88"/>
      <c r="T344" s="88"/>
      <c r="U344" s="88"/>
      <c r="V344" s="88"/>
      <c r="W344" s="88"/>
      <c r="X344" s="88"/>
      <c r="Y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Q345" s="88"/>
      <c r="R345" s="88"/>
      <c r="S345" s="88"/>
      <c r="T345" s="88"/>
      <c r="U345" s="88"/>
      <c r="V345" s="88"/>
      <c r="W345" s="88"/>
      <c r="X345" s="88"/>
      <c r="Y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Q346" s="88"/>
      <c r="R346" s="88"/>
      <c r="S346" s="88"/>
      <c r="T346" s="88"/>
      <c r="U346" s="88"/>
      <c r="V346" s="88"/>
      <c r="W346" s="88"/>
      <c r="X346" s="88"/>
      <c r="Y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Q347" s="88"/>
      <c r="R347" s="88"/>
      <c r="S347" s="88"/>
      <c r="T347" s="88"/>
      <c r="U347" s="88"/>
      <c r="V347" s="88"/>
      <c r="W347" s="88"/>
      <c r="X347" s="88"/>
      <c r="Y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Q348" s="88"/>
      <c r="R348" s="88"/>
      <c r="S348" s="88"/>
      <c r="T348" s="88"/>
      <c r="U348" s="88"/>
      <c r="V348" s="88"/>
      <c r="W348" s="88"/>
      <c r="X348" s="88"/>
      <c r="Y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Q349" s="88"/>
      <c r="R349" s="88"/>
      <c r="S349" s="88"/>
      <c r="T349" s="88"/>
      <c r="U349" s="88"/>
      <c r="V349" s="88"/>
      <c r="W349" s="88"/>
      <c r="X349" s="88"/>
      <c r="Y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Q350" s="88"/>
      <c r="R350" s="88"/>
      <c r="S350" s="88"/>
      <c r="T350" s="88"/>
      <c r="U350" s="88"/>
      <c r="V350" s="88"/>
      <c r="W350" s="88"/>
      <c r="X350" s="88"/>
      <c r="Y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Q351" s="88"/>
      <c r="R351" s="88"/>
      <c r="S351" s="88"/>
      <c r="T351" s="88"/>
      <c r="U351" s="88"/>
      <c r="V351" s="88"/>
      <c r="W351" s="88"/>
      <c r="X351" s="88"/>
      <c r="Y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Q352" s="88"/>
      <c r="R352" s="88"/>
      <c r="S352" s="88"/>
      <c r="T352" s="88"/>
      <c r="U352" s="88"/>
      <c r="V352" s="88"/>
      <c r="W352" s="88"/>
      <c r="X352" s="88"/>
      <c r="Y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Q353" s="88"/>
      <c r="R353" s="88"/>
      <c r="S353" s="88"/>
      <c r="T353" s="88"/>
      <c r="U353" s="88"/>
      <c r="V353" s="88"/>
      <c r="W353" s="88"/>
      <c r="X353" s="88"/>
      <c r="Y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Q354" s="88"/>
      <c r="R354" s="88"/>
      <c r="S354" s="88"/>
      <c r="T354" s="88"/>
      <c r="U354" s="88"/>
      <c r="V354" s="88"/>
      <c r="W354" s="88"/>
      <c r="X354" s="88"/>
      <c r="Y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Q355" s="88"/>
      <c r="R355" s="88"/>
      <c r="S355" s="88"/>
      <c r="T355" s="88"/>
      <c r="U355" s="88"/>
      <c r="V355" s="88"/>
      <c r="W355" s="88"/>
      <c r="X355" s="88"/>
      <c r="Y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Q356" s="88"/>
      <c r="R356" s="88"/>
      <c r="S356" s="88"/>
      <c r="T356" s="88"/>
      <c r="U356" s="88"/>
      <c r="V356" s="88"/>
      <c r="W356" s="88"/>
      <c r="X356" s="88"/>
      <c r="Y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Q357" s="88"/>
      <c r="R357" s="88"/>
      <c r="S357" s="88"/>
      <c r="T357" s="88"/>
      <c r="U357" s="88"/>
      <c r="V357" s="88"/>
      <c r="W357" s="88"/>
      <c r="X357" s="88"/>
      <c r="Y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Q358" s="88"/>
      <c r="R358" s="88"/>
      <c r="S358" s="88"/>
      <c r="T358" s="88"/>
      <c r="U358" s="88"/>
      <c r="V358" s="88"/>
      <c r="W358" s="88"/>
      <c r="X358" s="88"/>
      <c r="Y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Q359" s="88"/>
      <c r="R359" s="88"/>
      <c r="S359" s="88"/>
      <c r="T359" s="88"/>
      <c r="U359" s="88"/>
      <c r="V359" s="88"/>
      <c r="W359" s="88"/>
      <c r="X359" s="88"/>
      <c r="Y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Q360" s="88"/>
      <c r="R360" s="88"/>
      <c r="S360" s="88"/>
      <c r="T360" s="88"/>
      <c r="U360" s="88"/>
      <c r="V360" s="88"/>
      <c r="W360" s="88"/>
      <c r="X360" s="88"/>
      <c r="Y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Q361" s="88"/>
      <c r="R361" s="88"/>
      <c r="S361" s="88"/>
      <c r="T361" s="88"/>
      <c r="U361" s="88"/>
      <c r="V361" s="88"/>
      <c r="W361" s="88"/>
      <c r="X361" s="88"/>
      <c r="Y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Q362" s="88"/>
      <c r="R362" s="88"/>
      <c r="S362" s="88"/>
      <c r="T362" s="88"/>
      <c r="U362" s="88"/>
      <c r="V362" s="88"/>
      <c r="W362" s="88"/>
      <c r="X362" s="88"/>
      <c r="Y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Q363" s="88"/>
      <c r="R363" s="88"/>
      <c r="S363" s="88"/>
      <c r="T363" s="88"/>
      <c r="U363" s="88"/>
      <c r="V363" s="88"/>
      <c r="W363" s="88"/>
      <c r="X363" s="88"/>
      <c r="Y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Q364" s="88"/>
      <c r="R364" s="88"/>
      <c r="S364" s="88"/>
      <c r="T364" s="88"/>
      <c r="U364" s="88"/>
      <c r="V364" s="88"/>
      <c r="W364" s="88"/>
      <c r="X364" s="88"/>
      <c r="Y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Q365" s="88"/>
      <c r="R365" s="88"/>
      <c r="S365" s="88"/>
      <c r="T365" s="88"/>
      <c r="U365" s="88"/>
      <c r="V365" s="88"/>
      <c r="W365" s="88"/>
      <c r="X365" s="88"/>
      <c r="Y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Q366" s="88"/>
      <c r="R366" s="88"/>
      <c r="S366" s="88"/>
      <c r="T366" s="88"/>
      <c r="U366" s="88"/>
      <c r="V366" s="88"/>
      <c r="W366" s="88"/>
      <c r="X366" s="88"/>
      <c r="Y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Q367" s="88"/>
      <c r="R367" s="88"/>
      <c r="S367" s="88"/>
      <c r="T367" s="88"/>
      <c r="U367" s="88"/>
      <c r="V367" s="88"/>
      <c r="W367" s="88"/>
      <c r="X367" s="88"/>
      <c r="Y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Q368" s="88"/>
      <c r="R368" s="88"/>
      <c r="S368" s="88"/>
      <c r="T368" s="88"/>
      <c r="U368" s="88"/>
      <c r="V368" s="88"/>
      <c r="W368" s="88"/>
      <c r="X368" s="88"/>
      <c r="Y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Q369" s="88"/>
      <c r="R369" s="88"/>
      <c r="S369" s="88"/>
      <c r="T369" s="88"/>
      <c r="U369" s="88"/>
      <c r="V369" s="88"/>
      <c r="W369" s="88"/>
      <c r="X369" s="88"/>
      <c r="Y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Q370" s="88"/>
      <c r="R370" s="88"/>
      <c r="S370" s="88"/>
      <c r="T370" s="88"/>
      <c r="U370" s="88"/>
      <c r="V370" s="88"/>
      <c r="W370" s="88"/>
      <c r="X370" s="88"/>
      <c r="Y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Q371" s="88"/>
      <c r="R371" s="88"/>
      <c r="S371" s="88"/>
      <c r="T371" s="88"/>
      <c r="U371" s="88"/>
      <c r="V371" s="88"/>
      <c r="W371" s="88"/>
      <c r="X371" s="88"/>
      <c r="Y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Q372" s="88"/>
      <c r="R372" s="88"/>
      <c r="S372" s="88"/>
      <c r="T372" s="88"/>
      <c r="U372" s="88"/>
      <c r="V372" s="88"/>
      <c r="W372" s="88"/>
      <c r="X372" s="88"/>
      <c r="Y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Q373" s="88"/>
      <c r="R373" s="88"/>
      <c r="S373" s="88"/>
      <c r="T373" s="88"/>
      <c r="U373" s="88"/>
      <c r="V373" s="88"/>
      <c r="W373" s="88"/>
      <c r="X373" s="88"/>
      <c r="Y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Q374" s="88"/>
      <c r="R374" s="88"/>
      <c r="S374" s="88"/>
      <c r="T374" s="88"/>
      <c r="U374" s="88"/>
      <c r="V374" s="88"/>
      <c r="W374" s="88"/>
      <c r="X374" s="88"/>
      <c r="Y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Q375" s="88"/>
      <c r="R375" s="88"/>
      <c r="S375" s="88"/>
      <c r="T375" s="88"/>
      <c r="U375" s="88"/>
      <c r="V375" s="88"/>
      <c r="W375" s="88"/>
      <c r="X375" s="88"/>
      <c r="Y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Q376" s="88"/>
      <c r="R376" s="88"/>
      <c r="S376" s="88"/>
      <c r="T376" s="88"/>
      <c r="U376" s="88"/>
      <c r="V376" s="88"/>
      <c r="W376" s="88"/>
      <c r="X376" s="88"/>
      <c r="Y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Q377" s="88"/>
      <c r="R377" s="88"/>
      <c r="S377" s="88"/>
      <c r="T377" s="88"/>
      <c r="U377" s="88"/>
      <c r="V377" s="88"/>
      <c r="W377" s="88"/>
      <c r="X377" s="88"/>
      <c r="Y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Q378" s="88"/>
      <c r="R378" s="88"/>
      <c r="S378" s="88"/>
      <c r="T378" s="88"/>
      <c r="U378" s="88"/>
      <c r="V378" s="88"/>
      <c r="W378" s="88"/>
      <c r="X378" s="88"/>
      <c r="Y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Q379" s="88"/>
      <c r="R379" s="88"/>
      <c r="S379" s="88"/>
      <c r="T379" s="88"/>
      <c r="U379" s="88"/>
      <c r="V379" s="88"/>
      <c r="W379" s="88"/>
      <c r="X379" s="88"/>
      <c r="Y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Q380" s="88"/>
      <c r="R380" s="88"/>
      <c r="S380" s="88"/>
      <c r="T380" s="88"/>
      <c r="U380" s="88"/>
      <c r="V380" s="88"/>
      <c r="W380" s="88"/>
      <c r="X380" s="88"/>
      <c r="Y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Q381" s="88"/>
      <c r="R381" s="88"/>
      <c r="S381" s="88"/>
      <c r="T381" s="88"/>
      <c r="U381" s="88"/>
      <c r="V381" s="88"/>
      <c r="W381" s="88"/>
      <c r="X381" s="88"/>
      <c r="Y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Q382" s="88"/>
      <c r="R382" s="88"/>
      <c r="S382" s="88"/>
      <c r="T382" s="88"/>
      <c r="U382" s="88"/>
      <c r="V382" s="88"/>
      <c r="W382" s="88"/>
      <c r="X382" s="88"/>
      <c r="Y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Q383" s="88"/>
      <c r="R383" s="88"/>
      <c r="S383" s="88"/>
      <c r="T383" s="88"/>
      <c r="U383" s="88"/>
      <c r="V383" s="88"/>
      <c r="W383" s="88"/>
      <c r="X383" s="88"/>
      <c r="Y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Q384" s="88"/>
      <c r="R384" s="88"/>
      <c r="S384" s="88"/>
      <c r="T384" s="88"/>
      <c r="U384" s="88"/>
      <c r="V384" s="88"/>
      <c r="W384" s="88"/>
      <c r="X384" s="88"/>
      <c r="Y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Q385" s="88"/>
      <c r="R385" s="88"/>
      <c r="S385" s="88"/>
      <c r="T385" s="88"/>
      <c r="U385" s="88"/>
      <c r="V385" s="88"/>
      <c r="W385" s="88"/>
      <c r="X385" s="88"/>
      <c r="Y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Q386" s="88"/>
      <c r="R386" s="88"/>
      <c r="S386" s="88"/>
      <c r="T386" s="88"/>
      <c r="U386" s="88"/>
      <c r="V386" s="88"/>
      <c r="W386" s="88"/>
      <c r="X386" s="88"/>
      <c r="Y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Q387" s="88"/>
      <c r="R387" s="88"/>
      <c r="S387" s="88"/>
      <c r="T387" s="88"/>
      <c r="U387" s="88"/>
      <c r="V387" s="88"/>
      <c r="W387" s="88"/>
      <c r="X387" s="88"/>
      <c r="Y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Q388" s="88"/>
      <c r="R388" s="88"/>
      <c r="S388" s="88"/>
      <c r="T388" s="88"/>
      <c r="U388" s="88"/>
      <c r="V388" s="88"/>
      <c r="W388" s="88"/>
      <c r="X388" s="88"/>
      <c r="Y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Q389" s="88"/>
      <c r="R389" s="88"/>
      <c r="S389" s="88"/>
      <c r="T389" s="88"/>
      <c r="U389" s="88"/>
      <c r="V389" s="88"/>
      <c r="W389" s="88"/>
      <c r="X389" s="88"/>
      <c r="Y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Q390" s="88"/>
      <c r="R390" s="88"/>
      <c r="S390" s="88"/>
      <c r="T390" s="88"/>
      <c r="U390" s="88"/>
      <c r="V390" s="88"/>
      <c r="W390" s="88"/>
      <c r="X390" s="88"/>
      <c r="Y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Q391" s="88"/>
      <c r="R391" s="88"/>
      <c r="S391" s="88"/>
      <c r="T391" s="88"/>
      <c r="U391" s="88"/>
      <c r="V391" s="88"/>
      <c r="W391" s="88"/>
      <c r="X391" s="88"/>
      <c r="Y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Q392" s="88"/>
      <c r="R392" s="88"/>
      <c r="S392" s="88"/>
      <c r="T392" s="88"/>
      <c r="U392" s="88"/>
      <c r="V392" s="88"/>
      <c r="W392" s="88"/>
      <c r="X392" s="88"/>
      <c r="Y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Q393" s="88"/>
      <c r="R393" s="88"/>
      <c r="S393" s="88"/>
      <c r="T393" s="88"/>
      <c r="U393" s="88"/>
      <c r="V393" s="88"/>
      <c r="W393" s="88"/>
      <c r="X393" s="88"/>
      <c r="Y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Q394" s="88"/>
      <c r="R394" s="88"/>
      <c r="S394" s="88"/>
      <c r="T394" s="88"/>
      <c r="U394" s="88"/>
      <c r="V394" s="88"/>
      <c r="W394" s="88"/>
      <c r="X394" s="88"/>
      <c r="Y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Q395" s="88"/>
      <c r="R395" s="88"/>
      <c r="S395" s="88"/>
      <c r="T395" s="88"/>
      <c r="U395" s="88"/>
      <c r="V395" s="88"/>
      <c r="W395" s="88"/>
      <c r="X395" s="88"/>
      <c r="Y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Q396" s="88"/>
      <c r="R396" s="88"/>
      <c r="S396" s="88"/>
      <c r="T396" s="88"/>
      <c r="U396" s="88"/>
      <c r="V396" s="88"/>
      <c r="W396" s="88"/>
      <c r="X396" s="88"/>
      <c r="Y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Q397" s="88"/>
      <c r="R397" s="88"/>
      <c r="S397" s="88"/>
      <c r="T397" s="88"/>
      <c r="U397" s="88"/>
      <c r="V397" s="88"/>
      <c r="W397" s="88"/>
      <c r="X397" s="88"/>
      <c r="Y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Q398" s="88"/>
      <c r="R398" s="88"/>
      <c r="S398" s="88"/>
      <c r="T398" s="88"/>
      <c r="U398" s="88"/>
      <c r="V398" s="88"/>
      <c r="W398" s="88"/>
      <c r="X398" s="88"/>
      <c r="Y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Q399" s="88"/>
      <c r="R399" s="88"/>
      <c r="S399" s="88"/>
      <c r="T399" s="88"/>
      <c r="U399" s="88"/>
      <c r="V399" s="88"/>
      <c r="W399" s="88"/>
      <c r="X399" s="88"/>
      <c r="Y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Q400" s="88"/>
      <c r="R400" s="88"/>
      <c r="S400" s="88"/>
      <c r="T400" s="88"/>
      <c r="U400" s="88"/>
      <c r="V400" s="88"/>
      <c r="W400" s="88"/>
      <c r="X400" s="88"/>
      <c r="Y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Q401" s="88"/>
      <c r="R401" s="88"/>
      <c r="S401" s="88"/>
      <c r="T401" s="88"/>
      <c r="U401" s="88"/>
      <c r="V401" s="88"/>
      <c r="W401" s="88"/>
      <c r="X401" s="88"/>
      <c r="Y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Q402" s="88"/>
      <c r="R402" s="88"/>
      <c r="S402" s="88"/>
      <c r="T402" s="88"/>
      <c r="U402" s="88"/>
      <c r="V402" s="88"/>
      <c r="W402" s="88"/>
      <c r="X402" s="88"/>
      <c r="Y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Q403" s="88"/>
      <c r="R403" s="88"/>
      <c r="S403" s="88"/>
      <c r="T403" s="88"/>
      <c r="U403" s="88"/>
      <c r="V403" s="88"/>
      <c r="W403" s="88"/>
      <c r="X403" s="88"/>
      <c r="Y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Q404" s="88"/>
      <c r="R404" s="88"/>
      <c r="S404" s="88"/>
      <c r="T404" s="88"/>
      <c r="U404" s="88"/>
      <c r="V404" s="88"/>
      <c r="W404" s="88"/>
      <c r="X404" s="88"/>
      <c r="Y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Q405" s="88"/>
      <c r="R405" s="88"/>
      <c r="S405" s="88"/>
      <c r="T405" s="88"/>
      <c r="U405" s="88"/>
      <c r="V405" s="88"/>
      <c r="W405" s="88"/>
      <c r="X405" s="88"/>
      <c r="Y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Q406" s="88"/>
      <c r="R406" s="88"/>
      <c r="S406" s="88"/>
      <c r="T406" s="88"/>
      <c r="U406" s="88"/>
      <c r="V406" s="88"/>
      <c r="W406" s="88"/>
      <c r="X406" s="88"/>
      <c r="Y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Q407" s="88"/>
      <c r="R407" s="88"/>
      <c r="S407" s="88"/>
      <c r="T407" s="88"/>
      <c r="U407" s="88"/>
      <c r="V407" s="88"/>
      <c r="W407" s="88"/>
      <c r="X407" s="88"/>
      <c r="Y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Q408" s="88"/>
      <c r="R408" s="88"/>
      <c r="S408" s="88"/>
      <c r="T408" s="88"/>
      <c r="U408" s="88"/>
      <c r="V408" s="88"/>
      <c r="W408" s="88"/>
      <c r="X408" s="88"/>
      <c r="Y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Q409" s="88"/>
      <c r="R409" s="88"/>
      <c r="S409" s="88"/>
      <c r="T409" s="88"/>
      <c r="U409" s="88"/>
      <c r="V409" s="88"/>
      <c r="W409" s="88"/>
      <c r="X409" s="88"/>
      <c r="Y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Q410" s="88"/>
      <c r="R410" s="88"/>
      <c r="S410" s="88"/>
      <c r="T410" s="88"/>
      <c r="U410" s="88"/>
      <c r="V410" s="88"/>
      <c r="W410" s="88"/>
      <c r="X410" s="88"/>
      <c r="Y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Q411" s="88"/>
      <c r="R411" s="88"/>
      <c r="S411" s="88"/>
      <c r="T411" s="88"/>
      <c r="U411" s="88"/>
      <c r="V411" s="88"/>
      <c r="W411" s="88"/>
      <c r="X411" s="88"/>
      <c r="Y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Q412" s="88"/>
      <c r="R412" s="88"/>
      <c r="S412" s="88"/>
      <c r="T412" s="88"/>
      <c r="U412" s="88"/>
      <c r="V412" s="88"/>
      <c r="W412" s="88"/>
      <c r="X412" s="88"/>
      <c r="Y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Q413" s="88"/>
      <c r="R413" s="88"/>
      <c r="S413" s="88"/>
      <c r="T413" s="88"/>
      <c r="U413" s="88"/>
      <c r="V413" s="88"/>
      <c r="W413" s="88"/>
      <c r="X413" s="88"/>
      <c r="Y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Q414" s="88"/>
      <c r="R414" s="88"/>
      <c r="S414" s="88"/>
      <c r="T414" s="88"/>
      <c r="U414" s="88"/>
      <c r="V414" s="88"/>
      <c r="W414" s="88"/>
      <c r="X414" s="88"/>
      <c r="Y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Q415" s="88"/>
      <c r="R415" s="88"/>
      <c r="S415" s="88"/>
      <c r="T415" s="88"/>
      <c r="U415" s="88"/>
      <c r="V415" s="88"/>
      <c r="W415" s="88"/>
      <c r="X415" s="88"/>
      <c r="Y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Q416" s="88"/>
      <c r="R416" s="88"/>
      <c r="S416" s="88"/>
      <c r="T416" s="88"/>
      <c r="U416" s="88"/>
      <c r="V416" s="88"/>
      <c r="W416" s="88"/>
      <c r="X416" s="88"/>
      <c r="Y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Q417" s="88"/>
      <c r="R417" s="88"/>
      <c r="S417" s="88"/>
      <c r="T417" s="88"/>
      <c r="U417" s="88"/>
      <c r="V417" s="88"/>
      <c r="W417" s="88"/>
      <c r="X417" s="88"/>
      <c r="Y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Q418" s="88"/>
      <c r="R418" s="88"/>
      <c r="S418" s="88"/>
      <c r="T418" s="88"/>
      <c r="U418" s="88"/>
      <c r="V418" s="88"/>
      <c r="W418" s="88"/>
      <c r="X418" s="88"/>
      <c r="Y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Q419" s="88"/>
      <c r="R419" s="88"/>
      <c r="S419" s="88"/>
      <c r="T419" s="88"/>
      <c r="U419" s="88"/>
      <c r="V419" s="88"/>
      <c r="W419" s="88"/>
      <c r="X419" s="88"/>
      <c r="Y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Q420" s="88"/>
      <c r="R420" s="88"/>
      <c r="S420" s="88"/>
      <c r="T420" s="88"/>
      <c r="U420" s="88"/>
      <c r="V420" s="88"/>
      <c r="W420" s="88"/>
      <c r="X420" s="88"/>
      <c r="Y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Q421" s="88"/>
      <c r="R421" s="88"/>
      <c r="S421" s="88"/>
      <c r="T421" s="88"/>
      <c r="U421" s="88"/>
      <c r="V421" s="88"/>
      <c r="W421" s="88"/>
      <c r="X421" s="88"/>
      <c r="Y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Q422" s="88"/>
      <c r="R422" s="88"/>
      <c r="S422" s="88"/>
      <c r="T422" s="88"/>
      <c r="U422" s="88"/>
      <c r="V422" s="88"/>
      <c r="W422" s="88"/>
      <c r="X422" s="88"/>
      <c r="Y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Q423" s="88"/>
      <c r="R423" s="88"/>
      <c r="S423" s="88"/>
      <c r="T423" s="88"/>
      <c r="U423" s="88"/>
      <c r="V423" s="88"/>
      <c r="W423" s="88"/>
      <c r="X423" s="88"/>
      <c r="Y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Q424" s="88"/>
      <c r="R424" s="88"/>
      <c r="S424" s="88"/>
      <c r="T424" s="88"/>
      <c r="U424" s="88"/>
      <c r="V424" s="88"/>
      <c r="W424" s="88"/>
      <c r="X424" s="88"/>
      <c r="Y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Q425" s="88"/>
      <c r="R425" s="88"/>
      <c r="S425" s="88"/>
      <c r="T425" s="88"/>
      <c r="U425" s="88"/>
      <c r="V425" s="88"/>
      <c r="W425" s="88"/>
      <c r="X425" s="88"/>
      <c r="Y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Q426" s="88"/>
      <c r="R426" s="88"/>
      <c r="S426" s="88"/>
      <c r="T426" s="88"/>
      <c r="U426" s="88"/>
      <c r="V426" s="88"/>
      <c r="W426" s="88"/>
      <c r="X426" s="88"/>
      <c r="Y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Q427" s="88"/>
      <c r="R427" s="88"/>
      <c r="S427" s="88"/>
      <c r="T427" s="88"/>
      <c r="U427" s="88"/>
      <c r="V427" s="88"/>
      <c r="W427" s="88"/>
      <c r="X427" s="88"/>
      <c r="Y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Q428" s="88"/>
      <c r="R428" s="88"/>
      <c r="S428" s="88"/>
      <c r="T428" s="88"/>
      <c r="U428" s="88"/>
      <c r="V428" s="88"/>
      <c r="W428" s="88"/>
      <c r="X428" s="88"/>
      <c r="Y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Q429" s="88"/>
      <c r="R429" s="88"/>
      <c r="S429" s="88"/>
      <c r="T429" s="88"/>
      <c r="U429" s="88"/>
      <c r="V429" s="88"/>
      <c r="W429" s="88"/>
      <c r="X429" s="88"/>
      <c r="Y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Q430" s="88"/>
      <c r="R430" s="88"/>
      <c r="S430" s="88"/>
      <c r="T430" s="88"/>
      <c r="U430" s="88"/>
      <c r="V430" s="88"/>
      <c r="W430" s="88"/>
      <c r="X430" s="88"/>
      <c r="Y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Q431" s="88"/>
      <c r="R431" s="88"/>
      <c r="S431" s="88"/>
      <c r="T431" s="88"/>
      <c r="U431" s="88"/>
      <c r="V431" s="88"/>
      <c r="W431" s="88"/>
      <c r="X431" s="88"/>
      <c r="Y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Q432" s="88"/>
      <c r="R432" s="88"/>
      <c r="S432" s="88"/>
      <c r="T432" s="88"/>
      <c r="U432" s="88"/>
      <c r="V432" s="88"/>
      <c r="W432" s="88"/>
      <c r="X432" s="88"/>
      <c r="Y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Q433" s="88"/>
      <c r="R433" s="88"/>
      <c r="S433" s="88"/>
      <c r="T433" s="88"/>
      <c r="U433" s="88"/>
      <c r="V433" s="88"/>
      <c r="W433" s="88"/>
      <c r="X433" s="88"/>
      <c r="Y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Q434" s="88"/>
      <c r="R434" s="88"/>
      <c r="S434" s="88"/>
      <c r="T434" s="88"/>
      <c r="U434" s="88"/>
      <c r="V434" s="88"/>
      <c r="W434" s="88"/>
      <c r="X434" s="88"/>
      <c r="Y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Q435" s="88"/>
      <c r="R435" s="88"/>
      <c r="S435" s="88"/>
      <c r="T435" s="88"/>
      <c r="U435" s="88"/>
      <c r="V435" s="88"/>
      <c r="W435" s="88"/>
      <c r="X435" s="88"/>
      <c r="Y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Q436" s="88"/>
      <c r="R436" s="88"/>
      <c r="S436" s="88"/>
      <c r="T436" s="88"/>
      <c r="U436" s="88"/>
      <c r="V436" s="88"/>
      <c r="W436" s="88"/>
      <c r="X436" s="88"/>
      <c r="Y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Q437" s="88"/>
      <c r="R437" s="88"/>
      <c r="S437" s="88"/>
      <c r="T437" s="88"/>
      <c r="U437" s="88"/>
      <c r="V437" s="88"/>
      <c r="W437" s="88"/>
      <c r="X437" s="88"/>
      <c r="Y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Q454" s="88"/>
      <c r="R454" s="88"/>
      <c r="S454" s="88"/>
      <c r="T454" s="88"/>
      <c r="U454" s="88"/>
      <c r="V454" s="88"/>
      <c r="W454" s="88"/>
      <c r="X454" s="88"/>
      <c r="Y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Q455" s="88"/>
      <c r="R455" s="88"/>
      <c r="S455" s="88"/>
      <c r="T455" s="88"/>
      <c r="U455" s="88"/>
      <c r="V455" s="88"/>
      <c r="W455" s="88"/>
      <c r="X455" s="88"/>
      <c r="Y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Q456" s="88"/>
      <c r="R456" s="88"/>
      <c r="S456" s="88"/>
      <c r="T456" s="88"/>
      <c r="U456" s="88"/>
      <c r="V456" s="88"/>
      <c r="W456" s="88"/>
      <c r="X456" s="88"/>
      <c r="Y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Q457" s="88"/>
      <c r="R457" s="88"/>
      <c r="S457" s="88"/>
      <c r="T457" s="88"/>
      <c r="U457" s="88"/>
      <c r="V457" s="88"/>
      <c r="W457" s="88"/>
      <c r="X457" s="88"/>
      <c r="Y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Q458" s="88"/>
      <c r="R458" s="88"/>
      <c r="S458" s="88"/>
      <c r="T458" s="88"/>
      <c r="U458" s="88"/>
      <c r="V458" s="88"/>
      <c r="W458" s="88"/>
      <c r="X458" s="88"/>
      <c r="Y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Q459" s="88"/>
      <c r="R459" s="88"/>
      <c r="S459" s="88"/>
      <c r="T459" s="88"/>
      <c r="U459" s="88"/>
      <c r="V459" s="88"/>
      <c r="W459" s="88"/>
      <c r="X459" s="88"/>
      <c r="Y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Q460" s="88"/>
      <c r="R460" s="88"/>
      <c r="S460" s="88"/>
      <c r="T460" s="88"/>
      <c r="U460" s="88"/>
      <c r="V460" s="88"/>
      <c r="W460" s="88"/>
      <c r="X460" s="88"/>
      <c r="Y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Q461" s="88"/>
      <c r="R461" s="88"/>
      <c r="S461" s="88"/>
      <c r="T461" s="88"/>
      <c r="U461" s="88"/>
      <c r="V461" s="88"/>
      <c r="W461" s="88"/>
      <c r="X461" s="88"/>
      <c r="Y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Q462" s="88"/>
      <c r="R462" s="88"/>
      <c r="S462" s="88"/>
      <c r="T462" s="88"/>
      <c r="U462" s="88"/>
      <c r="V462" s="88"/>
      <c r="W462" s="88"/>
      <c r="X462" s="88"/>
      <c r="Y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Q463" s="88"/>
      <c r="R463" s="88"/>
      <c r="S463" s="88"/>
      <c r="T463" s="88"/>
      <c r="U463" s="88"/>
      <c r="V463" s="88"/>
      <c r="W463" s="88"/>
      <c r="X463" s="88"/>
      <c r="Y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Q464" s="88"/>
      <c r="R464" s="88"/>
      <c r="S464" s="88"/>
      <c r="T464" s="88"/>
      <c r="U464" s="88"/>
      <c r="V464" s="88"/>
      <c r="W464" s="88"/>
      <c r="X464" s="88"/>
      <c r="Y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Q465" s="88"/>
      <c r="R465" s="88"/>
      <c r="S465" s="88"/>
      <c r="T465" s="88"/>
      <c r="U465" s="88"/>
      <c r="V465" s="88"/>
      <c r="W465" s="88"/>
      <c r="X465" s="88"/>
      <c r="Y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Q466" s="88"/>
      <c r="R466" s="88"/>
      <c r="S466" s="88"/>
      <c r="T466" s="88"/>
      <c r="U466" s="88"/>
      <c r="V466" s="88"/>
      <c r="W466" s="88"/>
      <c r="X466" s="88"/>
      <c r="Y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Q467" s="88"/>
      <c r="R467" s="88"/>
      <c r="S467" s="88"/>
      <c r="T467" s="88"/>
      <c r="U467" s="88"/>
      <c r="V467" s="88"/>
      <c r="W467" s="88"/>
      <c r="X467" s="88"/>
      <c r="Y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Q468" s="88"/>
      <c r="R468" s="88"/>
      <c r="S468" s="88"/>
      <c r="T468" s="88"/>
      <c r="U468" s="88"/>
      <c r="V468" s="88"/>
      <c r="W468" s="88"/>
      <c r="X468" s="88"/>
      <c r="Y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Q469" s="88"/>
      <c r="R469" s="88"/>
      <c r="S469" s="88"/>
      <c r="T469" s="88"/>
      <c r="U469" s="88"/>
      <c r="V469" s="88"/>
      <c r="W469" s="88"/>
      <c r="X469" s="88"/>
      <c r="Y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Q470" s="88"/>
      <c r="R470" s="88"/>
      <c r="S470" s="88"/>
      <c r="T470" s="88"/>
      <c r="U470" s="88"/>
      <c r="V470" s="88"/>
      <c r="W470" s="88"/>
      <c r="X470" s="88"/>
      <c r="Y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Q471" s="88"/>
      <c r="R471" s="88"/>
      <c r="S471" s="88"/>
      <c r="T471" s="88"/>
      <c r="U471" s="88"/>
      <c r="V471" s="88"/>
      <c r="W471" s="88"/>
      <c r="X471" s="88"/>
      <c r="Y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Q472" s="88"/>
      <c r="R472" s="88"/>
      <c r="S472" s="88"/>
      <c r="T472" s="88"/>
      <c r="U472" s="88"/>
      <c r="V472" s="88"/>
      <c r="W472" s="88"/>
      <c r="X472" s="88"/>
      <c r="Y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Q473" s="88"/>
      <c r="R473" s="88"/>
      <c r="S473" s="88"/>
      <c r="T473" s="88"/>
      <c r="U473" s="88"/>
      <c r="V473" s="88"/>
      <c r="W473" s="88"/>
      <c r="X473" s="88"/>
      <c r="Y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Q474" s="88"/>
      <c r="R474" s="88"/>
      <c r="S474" s="88"/>
      <c r="T474" s="88"/>
      <c r="U474" s="88"/>
      <c r="V474" s="88"/>
      <c r="W474" s="88"/>
      <c r="X474" s="88"/>
      <c r="Y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Q475" s="88"/>
      <c r="R475" s="88"/>
      <c r="S475" s="88"/>
      <c r="T475" s="88"/>
      <c r="U475" s="88"/>
      <c r="V475" s="88"/>
      <c r="W475" s="88"/>
      <c r="X475" s="88"/>
      <c r="Y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Q476" s="88"/>
      <c r="R476" s="88"/>
      <c r="S476" s="88"/>
      <c r="T476" s="88"/>
      <c r="U476" s="88"/>
      <c r="V476" s="88"/>
      <c r="W476" s="88"/>
      <c r="X476" s="88"/>
      <c r="Y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Q477" s="88"/>
      <c r="R477" s="88"/>
      <c r="S477" s="88"/>
      <c r="T477" s="88"/>
      <c r="U477" s="88"/>
      <c r="V477" s="88"/>
      <c r="W477" s="88"/>
      <c r="X477" s="88"/>
      <c r="Y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Q478" s="88"/>
      <c r="R478" s="88"/>
      <c r="S478" s="88"/>
      <c r="T478" s="88"/>
      <c r="U478" s="88"/>
      <c r="V478" s="88"/>
      <c r="W478" s="88"/>
      <c r="X478" s="88"/>
      <c r="Y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Q479" s="88"/>
      <c r="R479" s="88"/>
      <c r="S479" s="88"/>
      <c r="T479" s="88"/>
      <c r="U479" s="88"/>
      <c r="V479" s="88"/>
      <c r="W479" s="88"/>
      <c r="X479" s="88"/>
      <c r="Y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Q480" s="88"/>
      <c r="R480" s="88"/>
      <c r="S480" s="88"/>
      <c r="T480" s="88"/>
      <c r="U480" s="88"/>
      <c r="V480" s="88"/>
      <c r="W480" s="88"/>
      <c r="X480" s="88"/>
      <c r="Y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Q481" s="88"/>
      <c r="R481" s="88"/>
      <c r="S481" s="88"/>
      <c r="T481" s="88"/>
      <c r="U481" s="88"/>
      <c r="V481" s="88"/>
      <c r="W481" s="88"/>
      <c r="X481" s="88"/>
      <c r="Y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Q482" s="88"/>
      <c r="R482" s="88"/>
      <c r="S482" s="88"/>
      <c r="T482" s="88"/>
      <c r="U482" s="88"/>
      <c r="V482" s="88"/>
      <c r="W482" s="88"/>
      <c r="X482" s="88"/>
      <c r="Y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Q483" s="88"/>
      <c r="R483" s="88"/>
      <c r="S483" s="88"/>
      <c r="T483" s="88"/>
      <c r="U483" s="88"/>
      <c r="V483" s="88"/>
      <c r="W483" s="88"/>
      <c r="X483" s="88"/>
      <c r="Y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Q484" s="88"/>
      <c r="R484" s="88"/>
      <c r="S484" s="88"/>
      <c r="T484" s="88"/>
      <c r="U484" s="88"/>
      <c r="V484" s="88"/>
      <c r="W484" s="88"/>
      <c r="X484" s="88"/>
      <c r="Y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Q485" s="88"/>
      <c r="R485" s="88"/>
      <c r="S485" s="88"/>
      <c r="T485" s="88"/>
      <c r="U485" s="88"/>
      <c r="V485" s="88"/>
      <c r="W485" s="88"/>
      <c r="X485" s="88"/>
      <c r="Y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Q486" s="88"/>
      <c r="R486" s="88"/>
      <c r="S486" s="88"/>
      <c r="T486" s="88"/>
      <c r="U486" s="88"/>
      <c r="V486" s="88"/>
      <c r="W486" s="88"/>
      <c r="X486" s="88"/>
      <c r="Y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Q487" s="88"/>
      <c r="R487" s="88"/>
      <c r="S487" s="88"/>
      <c r="T487" s="88"/>
      <c r="U487" s="88"/>
      <c r="V487" s="88"/>
      <c r="W487" s="88"/>
      <c r="X487" s="88"/>
      <c r="Y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Q488" s="88"/>
      <c r="R488" s="88"/>
      <c r="S488" s="88"/>
      <c r="T488" s="88"/>
      <c r="U488" s="88"/>
      <c r="V488" s="88"/>
      <c r="W488" s="88"/>
      <c r="X488" s="88"/>
      <c r="Y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Q489" s="88"/>
      <c r="R489" s="88"/>
      <c r="S489" s="88"/>
      <c r="T489" s="88"/>
      <c r="U489" s="88"/>
      <c r="V489" s="88"/>
      <c r="W489" s="88"/>
      <c r="X489" s="88"/>
      <c r="Y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Q490" s="88"/>
      <c r="R490" s="88"/>
      <c r="S490" s="88"/>
      <c r="T490" s="88"/>
      <c r="U490" s="88"/>
      <c r="V490" s="88"/>
      <c r="W490" s="88"/>
      <c r="X490" s="88"/>
      <c r="Y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Q491" s="88"/>
      <c r="R491" s="88"/>
      <c r="S491" s="88"/>
      <c r="T491" s="88"/>
      <c r="U491" s="88"/>
      <c r="V491" s="88"/>
      <c r="W491" s="88"/>
      <c r="X491" s="88"/>
      <c r="Y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Q492" s="88"/>
      <c r="R492" s="88"/>
      <c r="S492" s="88"/>
      <c r="T492" s="88"/>
      <c r="U492" s="88"/>
      <c r="V492" s="88"/>
      <c r="W492" s="88"/>
      <c r="X492" s="88"/>
      <c r="Y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Q493" s="88"/>
      <c r="R493" s="88"/>
      <c r="S493" s="88"/>
      <c r="T493" s="88"/>
      <c r="U493" s="88"/>
      <c r="V493" s="88"/>
      <c r="W493" s="88"/>
      <c r="X493" s="88"/>
      <c r="Y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Q494" s="88"/>
      <c r="R494" s="88"/>
      <c r="S494" s="88"/>
      <c r="T494" s="88"/>
      <c r="U494" s="88"/>
      <c r="V494" s="88"/>
      <c r="W494" s="88"/>
      <c r="X494" s="88"/>
      <c r="Y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Q495" s="88"/>
      <c r="R495" s="88"/>
      <c r="S495" s="88"/>
      <c r="T495" s="88"/>
      <c r="U495" s="88"/>
      <c r="V495" s="88"/>
      <c r="W495" s="88"/>
      <c r="X495" s="88"/>
      <c r="Y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Q496" s="88"/>
      <c r="R496" s="88"/>
      <c r="S496" s="88"/>
      <c r="T496" s="88"/>
      <c r="U496" s="88"/>
      <c r="V496" s="88"/>
      <c r="W496" s="88"/>
      <c r="X496" s="88"/>
      <c r="Y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Q497" s="88"/>
      <c r="R497" s="88"/>
      <c r="S497" s="88"/>
      <c r="T497" s="88"/>
      <c r="U497" s="88"/>
      <c r="V497" s="88"/>
      <c r="W497" s="88"/>
      <c r="X497" s="88"/>
      <c r="Y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Q498" s="88"/>
      <c r="R498" s="88"/>
      <c r="S498" s="88"/>
      <c r="T498" s="88"/>
      <c r="U498" s="88"/>
      <c r="V498" s="88"/>
      <c r="W498" s="88"/>
      <c r="X498" s="88"/>
      <c r="Y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Q499" s="88"/>
      <c r="R499" s="88"/>
      <c r="S499" s="88"/>
      <c r="T499" s="88"/>
      <c r="U499" s="88"/>
      <c r="V499" s="88"/>
      <c r="W499" s="88"/>
      <c r="X499" s="88"/>
      <c r="Y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Q500" s="88"/>
      <c r="R500" s="88"/>
      <c r="S500" s="88"/>
      <c r="T500" s="88"/>
      <c r="U500" s="88"/>
      <c r="V500" s="88"/>
      <c r="W500" s="88"/>
      <c r="X500" s="88"/>
      <c r="Y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Q501" s="88"/>
      <c r="R501" s="88"/>
      <c r="S501" s="88"/>
      <c r="T501" s="88"/>
      <c r="U501" s="88"/>
      <c r="V501" s="88"/>
      <c r="W501" s="88"/>
      <c r="X501" s="88"/>
      <c r="Y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Q502" s="88"/>
      <c r="R502" s="88"/>
      <c r="S502" s="88"/>
      <c r="T502" s="88"/>
      <c r="U502" s="88"/>
      <c r="V502" s="88"/>
      <c r="W502" s="88"/>
      <c r="X502" s="88"/>
      <c r="Y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Q503" s="88"/>
      <c r="R503" s="88"/>
      <c r="S503" s="88"/>
      <c r="T503" s="88"/>
      <c r="U503" s="88"/>
      <c r="V503" s="88"/>
      <c r="W503" s="88"/>
      <c r="X503" s="88"/>
      <c r="Y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Q504" s="88"/>
      <c r="R504" s="88"/>
      <c r="S504" s="88"/>
      <c r="T504" s="88"/>
      <c r="U504" s="88"/>
      <c r="V504" s="88"/>
      <c r="W504" s="88"/>
      <c r="X504" s="88"/>
      <c r="Y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Q505" s="88"/>
      <c r="R505" s="88"/>
      <c r="S505" s="88"/>
      <c r="T505" s="88"/>
      <c r="U505" s="88"/>
      <c r="V505" s="88"/>
      <c r="W505" s="88"/>
      <c r="X505" s="88"/>
      <c r="Y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Q506" s="88"/>
      <c r="R506" s="88"/>
      <c r="S506" s="88"/>
      <c r="T506" s="88"/>
      <c r="U506" s="88"/>
      <c r="V506" s="88"/>
      <c r="W506" s="88"/>
      <c r="X506" s="88"/>
      <c r="Y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Q507" s="88"/>
      <c r="R507" s="88"/>
      <c r="S507" s="88"/>
      <c r="T507" s="88"/>
      <c r="U507" s="88"/>
      <c r="V507" s="88"/>
      <c r="W507" s="88"/>
      <c r="X507" s="88"/>
      <c r="Y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Q508" s="88"/>
      <c r="R508" s="88"/>
      <c r="S508" s="88"/>
      <c r="T508" s="88"/>
      <c r="U508" s="88"/>
      <c r="V508" s="88"/>
      <c r="W508" s="88"/>
      <c r="X508" s="88"/>
      <c r="Y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Q509" s="88"/>
      <c r="R509" s="88"/>
      <c r="S509" s="88"/>
      <c r="T509" s="88"/>
      <c r="U509" s="88"/>
      <c r="V509" s="88"/>
      <c r="W509" s="88"/>
      <c r="X509" s="88"/>
      <c r="Y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Q510" s="88"/>
      <c r="R510" s="88"/>
      <c r="S510" s="88"/>
      <c r="T510" s="88"/>
      <c r="U510" s="88"/>
      <c r="V510" s="88"/>
      <c r="W510" s="88"/>
      <c r="X510" s="88"/>
      <c r="Y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Q511" s="88"/>
      <c r="R511" s="88"/>
      <c r="S511" s="88"/>
      <c r="T511" s="88"/>
      <c r="U511" s="88"/>
      <c r="V511" s="88"/>
      <c r="W511" s="88"/>
      <c r="X511" s="88"/>
      <c r="Y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Q512" s="88"/>
      <c r="R512" s="88"/>
      <c r="S512" s="88"/>
      <c r="T512" s="88"/>
      <c r="U512" s="88"/>
      <c r="V512" s="88"/>
      <c r="W512" s="88"/>
      <c r="X512" s="88"/>
      <c r="Y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Q513" s="88"/>
      <c r="R513" s="88"/>
      <c r="S513" s="88"/>
      <c r="T513" s="88"/>
      <c r="U513" s="88"/>
      <c r="V513" s="88"/>
      <c r="W513" s="88"/>
      <c r="X513" s="88"/>
      <c r="Y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Q514" s="88"/>
      <c r="R514" s="88"/>
      <c r="S514" s="88"/>
      <c r="T514" s="88"/>
      <c r="U514" s="88"/>
      <c r="V514" s="88"/>
      <c r="W514" s="88"/>
      <c r="X514" s="88"/>
      <c r="Y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Q515" s="88"/>
      <c r="R515" s="88"/>
      <c r="S515" s="88"/>
      <c r="T515" s="88"/>
      <c r="U515" s="88"/>
      <c r="V515" s="88"/>
      <c r="W515" s="88"/>
      <c r="X515" s="88"/>
      <c r="Y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Q516" s="88"/>
      <c r="R516" s="88"/>
      <c r="S516" s="88"/>
      <c r="T516" s="88"/>
      <c r="U516" s="88"/>
      <c r="V516" s="88"/>
      <c r="W516" s="88"/>
      <c r="X516" s="88"/>
      <c r="Y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Q517" s="88"/>
      <c r="R517" s="88"/>
      <c r="S517" s="88"/>
      <c r="T517" s="88"/>
      <c r="U517" s="88"/>
      <c r="V517" s="88"/>
      <c r="W517" s="88"/>
      <c r="X517" s="88"/>
      <c r="Y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Q518" s="88"/>
      <c r="R518" s="88"/>
      <c r="S518" s="88"/>
      <c r="T518" s="88"/>
      <c r="U518" s="88"/>
      <c r="V518" s="88"/>
      <c r="W518" s="88"/>
      <c r="X518" s="88"/>
      <c r="Y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Q519" s="88"/>
      <c r="R519" s="88"/>
      <c r="S519" s="88"/>
      <c r="T519" s="88"/>
      <c r="U519" s="88"/>
      <c r="V519" s="88"/>
      <c r="W519" s="88"/>
      <c r="X519" s="88"/>
      <c r="Y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Q520" s="88"/>
      <c r="R520" s="88"/>
      <c r="S520" s="88"/>
      <c r="T520" s="88"/>
      <c r="U520" s="88"/>
      <c r="V520" s="88"/>
      <c r="W520" s="88"/>
      <c r="X520" s="88"/>
      <c r="Y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Q521" s="88"/>
      <c r="R521" s="88"/>
      <c r="S521" s="88"/>
      <c r="T521" s="88"/>
      <c r="U521" s="88"/>
      <c r="V521" s="88"/>
      <c r="W521" s="88"/>
      <c r="X521" s="88"/>
      <c r="Y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Q522" s="88"/>
      <c r="R522" s="88"/>
      <c r="S522" s="88"/>
      <c r="T522" s="88"/>
      <c r="U522" s="88"/>
      <c r="V522" s="88"/>
      <c r="W522" s="88"/>
      <c r="X522" s="88"/>
      <c r="Y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Q523" s="88"/>
      <c r="R523" s="88"/>
      <c r="S523" s="88"/>
      <c r="T523" s="88"/>
      <c r="U523" s="88"/>
      <c r="V523" s="88"/>
      <c r="W523" s="88"/>
      <c r="X523" s="88"/>
      <c r="Y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Q524" s="88"/>
      <c r="R524" s="88"/>
      <c r="S524" s="88"/>
      <c r="T524" s="88"/>
      <c r="U524" s="88"/>
      <c r="V524" s="88"/>
      <c r="W524" s="88"/>
      <c r="X524" s="88"/>
      <c r="Y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Q525" s="88"/>
      <c r="R525" s="88"/>
      <c r="S525" s="88"/>
      <c r="T525" s="88"/>
      <c r="U525" s="88"/>
      <c r="V525" s="88"/>
      <c r="W525" s="88"/>
      <c r="X525" s="88"/>
      <c r="Y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Q526" s="88"/>
      <c r="R526" s="88"/>
      <c r="S526" s="88"/>
      <c r="T526" s="88"/>
      <c r="U526" s="88"/>
      <c r="V526" s="88"/>
      <c r="W526" s="88"/>
      <c r="X526" s="88"/>
      <c r="Y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Q527" s="88"/>
      <c r="R527" s="88"/>
      <c r="S527" s="88"/>
      <c r="T527" s="88"/>
      <c r="U527" s="88"/>
      <c r="V527" s="88"/>
      <c r="W527" s="88"/>
      <c r="X527" s="88"/>
      <c r="Y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Q528" s="88"/>
      <c r="R528" s="88"/>
      <c r="S528" s="88"/>
      <c r="T528" s="88"/>
      <c r="U528" s="88"/>
      <c r="V528" s="88"/>
      <c r="W528" s="88"/>
      <c r="X528" s="88"/>
      <c r="Y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Q529" s="88"/>
      <c r="R529" s="88"/>
      <c r="S529" s="88"/>
      <c r="T529" s="88"/>
      <c r="U529" s="88"/>
      <c r="V529" s="88"/>
      <c r="W529" s="88"/>
      <c r="X529" s="88"/>
      <c r="Y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Q530" s="88"/>
      <c r="R530" s="88"/>
      <c r="S530" s="88"/>
      <c r="T530" s="88"/>
      <c r="U530" s="88"/>
      <c r="V530" s="88"/>
      <c r="W530" s="88"/>
      <c r="X530" s="88"/>
      <c r="Y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Q531" s="88"/>
      <c r="R531" s="88"/>
      <c r="S531" s="88"/>
      <c r="T531" s="88"/>
      <c r="U531" s="88"/>
      <c r="V531" s="88"/>
      <c r="W531" s="88"/>
      <c r="X531" s="88"/>
      <c r="Y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Q532" s="88"/>
      <c r="R532" s="88"/>
      <c r="S532" s="88"/>
      <c r="T532" s="88"/>
      <c r="U532" s="88"/>
      <c r="V532" s="88"/>
      <c r="W532" s="88"/>
      <c r="X532" s="88"/>
      <c r="Y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Q533" s="88"/>
      <c r="R533" s="88"/>
      <c r="S533" s="88"/>
      <c r="T533" s="88"/>
      <c r="U533" s="88"/>
      <c r="V533" s="88"/>
      <c r="W533" s="88"/>
      <c r="X533" s="88"/>
      <c r="Y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Q534" s="88"/>
      <c r="R534" s="88"/>
      <c r="S534" s="88"/>
      <c r="T534" s="88"/>
      <c r="U534" s="88"/>
      <c r="V534" s="88"/>
      <c r="W534" s="88"/>
      <c r="X534" s="88"/>
      <c r="Y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Q535" s="88"/>
      <c r="R535" s="88"/>
      <c r="S535" s="88"/>
      <c r="T535" s="88"/>
      <c r="U535" s="88"/>
      <c r="V535" s="88"/>
      <c r="W535" s="88"/>
      <c r="X535" s="88"/>
      <c r="Y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Q536" s="88"/>
      <c r="R536" s="88"/>
      <c r="S536" s="88"/>
      <c r="T536" s="88"/>
      <c r="U536" s="88"/>
      <c r="V536" s="88"/>
      <c r="W536" s="88"/>
      <c r="X536" s="88"/>
      <c r="Y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Q537" s="88"/>
      <c r="R537" s="88"/>
      <c r="S537" s="88"/>
      <c r="T537" s="88"/>
      <c r="U537" s="88"/>
      <c r="V537" s="88"/>
      <c r="W537" s="88"/>
      <c r="X537" s="88"/>
      <c r="Y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Q538" s="88"/>
      <c r="R538" s="88"/>
      <c r="S538" s="88"/>
      <c r="T538" s="88"/>
      <c r="U538" s="88"/>
      <c r="V538" s="88"/>
      <c r="W538" s="88"/>
      <c r="X538" s="88"/>
      <c r="Y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Q539" s="88"/>
      <c r="R539" s="88"/>
      <c r="S539" s="88"/>
      <c r="T539" s="88"/>
      <c r="U539" s="88"/>
      <c r="V539" s="88"/>
      <c r="W539" s="88"/>
      <c r="X539" s="88"/>
      <c r="Y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Q540" s="88"/>
      <c r="R540" s="88"/>
      <c r="S540" s="88"/>
      <c r="T540" s="88"/>
      <c r="U540" s="88"/>
      <c r="V540" s="88"/>
      <c r="W540" s="88"/>
      <c r="X540" s="88"/>
      <c r="Y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Q541" s="88"/>
      <c r="R541" s="88"/>
      <c r="S541" s="88"/>
      <c r="T541" s="88"/>
      <c r="U541" s="88"/>
      <c r="V541" s="88"/>
      <c r="W541" s="88"/>
      <c r="X541" s="88"/>
      <c r="Y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Q542" s="88"/>
      <c r="R542" s="88"/>
      <c r="S542" s="88"/>
      <c r="T542" s="88"/>
      <c r="U542" s="88"/>
      <c r="V542" s="88"/>
      <c r="W542" s="88"/>
      <c r="X542" s="88"/>
      <c r="Y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Q543" s="88"/>
      <c r="R543" s="88"/>
      <c r="S543" s="88"/>
      <c r="T543" s="88"/>
      <c r="U543" s="88"/>
      <c r="V543" s="88"/>
      <c r="W543" s="88"/>
      <c r="X543" s="88"/>
      <c r="Y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Q544" s="88"/>
      <c r="R544" s="88"/>
      <c r="S544" s="88"/>
      <c r="T544" s="88"/>
      <c r="U544" s="88"/>
      <c r="V544" s="88"/>
      <c r="W544" s="88"/>
      <c r="X544" s="88"/>
      <c r="Y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Q545" s="88"/>
      <c r="R545" s="88"/>
      <c r="S545" s="88"/>
      <c r="T545" s="88"/>
      <c r="U545" s="88"/>
      <c r="V545" s="88"/>
      <c r="W545" s="88"/>
      <c r="X545" s="88"/>
      <c r="Y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Q546" s="88"/>
      <c r="R546" s="88"/>
      <c r="S546" s="88"/>
      <c r="T546" s="88"/>
      <c r="U546" s="88"/>
      <c r="V546" s="88"/>
      <c r="W546" s="88"/>
      <c r="X546" s="88"/>
      <c r="Y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Q547" s="88"/>
      <c r="R547" s="88"/>
      <c r="S547" s="88"/>
      <c r="T547" s="88"/>
      <c r="U547" s="88"/>
      <c r="V547" s="88"/>
      <c r="W547" s="88"/>
      <c r="X547" s="88"/>
      <c r="Y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Q548" s="88"/>
      <c r="R548" s="88"/>
      <c r="S548" s="88"/>
      <c r="T548" s="88"/>
      <c r="U548" s="88"/>
      <c r="V548" s="88"/>
      <c r="W548" s="88"/>
      <c r="X548" s="88"/>
      <c r="Y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Q549" s="88"/>
      <c r="R549" s="88"/>
      <c r="S549" s="88"/>
      <c r="T549" s="88"/>
      <c r="U549" s="88"/>
      <c r="V549" s="88"/>
      <c r="W549" s="88"/>
      <c r="X549" s="88"/>
      <c r="Y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Q550" s="88"/>
      <c r="R550" s="88"/>
      <c r="S550" s="88"/>
      <c r="T550" s="88"/>
      <c r="U550" s="88"/>
      <c r="V550" s="88"/>
      <c r="W550" s="88"/>
      <c r="X550" s="88"/>
      <c r="Y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Q551" s="88"/>
      <c r="R551" s="88"/>
      <c r="S551" s="88"/>
      <c r="T551" s="88"/>
      <c r="U551" s="88"/>
      <c r="V551" s="88"/>
      <c r="W551" s="88"/>
      <c r="X551" s="88"/>
      <c r="Y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Q552" s="88"/>
      <c r="R552" s="88"/>
      <c r="S552" s="88"/>
      <c r="T552" s="88"/>
      <c r="U552" s="88"/>
      <c r="V552" s="88"/>
      <c r="W552" s="88"/>
      <c r="X552" s="88"/>
      <c r="Y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Q553" s="88"/>
      <c r="R553" s="88"/>
      <c r="S553" s="88"/>
      <c r="T553" s="88"/>
      <c r="U553" s="88"/>
      <c r="V553" s="88"/>
      <c r="W553" s="88"/>
      <c r="X553" s="88"/>
      <c r="Y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Q554" s="88"/>
      <c r="R554" s="88"/>
      <c r="S554" s="88"/>
      <c r="T554" s="88"/>
      <c r="U554" s="88"/>
      <c r="V554" s="88"/>
      <c r="W554" s="88"/>
      <c r="X554" s="88"/>
      <c r="Y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Q555" s="88"/>
      <c r="R555" s="88"/>
      <c r="S555" s="88"/>
      <c r="T555" s="88"/>
      <c r="U555" s="88"/>
      <c r="V555" s="88"/>
      <c r="W555" s="88"/>
      <c r="X555" s="88"/>
      <c r="Y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Q556" s="88"/>
      <c r="R556" s="88"/>
      <c r="S556" s="88"/>
      <c r="T556" s="88"/>
      <c r="U556" s="88"/>
      <c r="V556" s="88"/>
      <c r="W556" s="88"/>
      <c r="X556" s="88"/>
      <c r="Y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Q557" s="88"/>
      <c r="R557" s="88"/>
      <c r="S557" s="88"/>
      <c r="T557" s="88"/>
      <c r="U557" s="88"/>
      <c r="V557" s="88"/>
      <c r="W557" s="88"/>
      <c r="X557" s="88"/>
      <c r="Y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Q558" s="88"/>
      <c r="R558" s="88"/>
      <c r="S558" s="88"/>
      <c r="T558" s="88"/>
      <c r="U558" s="88"/>
      <c r="V558" s="88"/>
      <c r="W558" s="88"/>
      <c r="X558" s="88"/>
      <c r="Y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Q559" s="88"/>
      <c r="R559" s="88"/>
      <c r="S559" s="88"/>
      <c r="T559" s="88"/>
      <c r="U559" s="88"/>
      <c r="V559" s="88"/>
      <c r="W559" s="88"/>
      <c r="X559" s="88"/>
      <c r="Y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Q560" s="88"/>
      <c r="R560" s="88"/>
      <c r="S560" s="88"/>
      <c r="T560" s="88"/>
      <c r="U560" s="88"/>
      <c r="V560" s="88"/>
      <c r="W560" s="88"/>
      <c r="X560" s="88"/>
      <c r="Y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Q561" s="88"/>
      <c r="R561" s="88"/>
      <c r="S561" s="88"/>
      <c r="T561" s="88"/>
      <c r="U561" s="88"/>
      <c r="V561" s="88"/>
      <c r="W561" s="88"/>
      <c r="X561" s="88"/>
      <c r="Y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Q562" s="88"/>
      <c r="R562" s="88"/>
      <c r="S562" s="88"/>
      <c r="T562" s="88"/>
      <c r="U562" s="88"/>
      <c r="V562" s="88"/>
      <c r="W562" s="88"/>
      <c r="X562" s="88"/>
      <c r="Y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Q563" s="88"/>
      <c r="R563" s="88"/>
      <c r="S563" s="88"/>
      <c r="T563" s="88"/>
      <c r="U563" s="88"/>
      <c r="V563" s="88"/>
      <c r="W563" s="88"/>
      <c r="X563" s="88"/>
      <c r="Y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Q564" s="88"/>
      <c r="R564" s="88"/>
      <c r="S564" s="88"/>
      <c r="T564" s="88"/>
      <c r="U564" s="88"/>
      <c r="V564" s="88"/>
      <c r="W564" s="88"/>
      <c r="X564" s="88"/>
      <c r="Y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Q565" s="88"/>
      <c r="R565" s="88"/>
      <c r="S565" s="88"/>
      <c r="T565" s="88"/>
      <c r="U565" s="88"/>
      <c r="V565" s="88"/>
      <c r="W565" s="88"/>
      <c r="X565" s="88"/>
      <c r="Y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Q566" s="88"/>
      <c r="R566" s="88"/>
      <c r="S566" s="88"/>
      <c r="T566" s="88"/>
      <c r="U566" s="88"/>
      <c r="V566" s="88"/>
      <c r="W566" s="88"/>
      <c r="X566" s="88"/>
      <c r="Y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Q567" s="88"/>
      <c r="R567" s="88"/>
      <c r="S567" s="88"/>
      <c r="T567" s="88"/>
      <c r="U567" s="88"/>
      <c r="V567" s="88"/>
      <c r="W567" s="88"/>
      <c r="X567" s="88"/>
      <c r="Y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Q568" s="88"/>
      <c r="R568" s="88"/>
      <c r="S568" s="88"/>
      <c r="T568" s="88"/>
      <c r="U568" s="88"/>
      <c r="V568" s="88"/>
      <c r="W568" s="88"/>
      <c r="X568" s="88"/>
      <c r="Y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Q569" s="88"/>
      <c r="R569" s="88"/>
      <c r="S569" s="88"/>
      <c r="T569" s="88"/>
      <c r="U569" s="88"/>
      <c r="V569" s="88"/>
      <c r="W569" s="88"/>
      <c r="X569" s="88"/>
      <c r="Y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Q570" s="88"/>
      <c r="R570" s="88"/>
      <c r="S570" s="88"/>
      <c r="T570" s="88"/>
      <c r="U570" s="88"/>
      <c r="V570" s="88"/>
      <c r="W570" s="88"/>
      <c r="X570" s="88"/>
      <c r="Y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Q571" s="88"/>
      <c r="R571" s="88"/>
      <c r="S571" s="88"/>
      <c r="T571" s="88"/>
      <c r="U571" s="88"/>
      <c r="V571" s="88"/>
      <c r="W571" s="88"/>
      <c r="X571" s="88"/>
      <c r="Y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Q605" s="88"/>
      <c r="R605" s="88"/>
      <c r="S605" s="88"/>
      <c r="T605" s="88"/>
      <c r="U605" s="88"/>
      <c r="V605" s="88"/>
      <c r="W605" s="88"/>
      <c r="X605" s="88"/>
      <c r="Y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Q606" s="88"/>
      <c r="R606" s="88"/>
      <c r="S606" s="88"/>
      <c r="T606" s="88"/>
      <c r="U606" s="88"/>
      <c r="V606" s="88"/>
      <c r="W606" s="88"/>
      <c r="X606" s="88"/>
      <c r="Y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Q607" s="88"/>
      <c r="R607" s="88"/>
      <c r="S607" s="88"/>
      <c r="T607" s="88"/>
      <c r="U607" s="88"/>
      <c r="V607" s="88"/>
      <c r="W607" s="88"/>
      <c r="X607" s="88"/>
      <c r="Y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Q608" s="88"/>
      <c r="R608" s="88"/>
      <c r="S608" s="88"/>
      <c r="T608" s="88"/>
      <c r="U608" s="88"/>
      <c r="V608" s="88"/>
      <c r="W608" s="88"/>
      <c r="X608" s="88"/>
      <c r="Y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Q609" s="88"/>
      <c r="R609" s="88"/>
      <c r="S609" s="88"/>
      <c r="T609" s="88"/>
      <c r="U609" s="88"/>
      <c r="V609" s="88"/>
      <c r="W609" s="88"/>
      <c r="X609" s="88"/>
      <c r="Y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Q610" s="88"/>
      <c r="R610" s="88"/>
      <c r="S610" s="88"/>
      <c r="T610" s="88"/>
      <c r="U610" s="88"/>
      <c r="V610" s="88"/>
      <c r="W610" s="88"/>
      <c r="X610" s="88"/>
      <c r="Y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Q611" s="88"/>
      <c r="R611" s="88"/>
      <c r="S611" s="88"/>
      <c r="T611" s="88"/>
      <c r="U611" s="88"/>
      <c r="V611" s="88"/>
      <c r="W611" s="88"/>
      <c r="X611" s="88"/>
      <c r="Y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Q612" s="88"/>
      <c r="R612" s="88"/>
      <c r="S612" s="88"/>
      <c r="T612" s="88"/>
      <c r="U612" s="88"/>
      <c r="V612" s="88"/>
      <c r="W612" s="88"/>
      <c r="X612" s="88"/>
      <c r="Y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Q613" s="88"/>
      <c r="R613" s="88"/>
      <c r="S613" s="88"/>
      <c r="T613" s="88"/>
      <c r="U613" s="88"/>
      <c r="V613" s="88"/>
      <c r="W613" s="88"/>
      <c r="X613" s="88"/>
      <c r="Y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Q614" s="88"/>
      <c r="R614" s="88"/>
      <c r="S614" s="88"/>
      <c r="T614" s="88"/>
      <c r="U614" s="88"/>
      <c r="V614" s="88"/>
      <c r="W614" s="88"/>
      <c r="X614" s="88"/>
      <c r="Y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Q615" s="88"/>
      <c r="R615" s="88"/>
      <c r="S615" s="88"/>
      <c r="T615" s="88"/>
      <c r="U615" s="88"/>
      <c r="V615" s="88"/>
      <c r="W615" s="88"/>
      <c r="X615" s="88"/>
      <c r="Y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Q616" s="88"/>
      <c r="R616" s="88"/>
      <c r="S616" s="88"/>
      <c r="T616" s="88"/>
      <c r="U616" s="88"/>
      <c r="V616" s="88"/>
      <c r="W616" s="88"/>
      <c r="X616" s="88"/>
      <c r="Y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Q617" s="88"/>
      <c r="R617" s="88"/>
      <c r="S617" s="88"/>
      <c r="T617" s="88"/>
      <c r="U617" s="88"/>
      <c r="V617" s="88"/>
      <c r="W617" s="88"/>
      <c r="X617" s="88"/>
      <c r="Y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Q618" s="88"/>
      <c r="R618" s="88"/>
      <c r="S618" s="88"/>
      <c r="T618" s="88"/>
      <c r="U618" s="88"/>
      <c r="V618" s="88"/>
      <c r="W618" s="88"/>
      <c r="X618" s="88"/>
      <c r="Y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Q619" s="88"/>
      <c r="R619" s="88"/>
      <c r="S619" s="88"/>
      <c r="T619" s="88"/>
      <c r="U619" s="88"/>
      <c r="V619" s="88"/>
      <c r="W619" s="88"/>
      <c r="X619" s="88"/>
      <c r="Y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Q620" s="88"/>
      <c r="R620" s="88"/>
      <c r="S620" s="88"/>
      <c r="T620" s="88"/>
      <c r="U620" s="88"/>
      <c r="V620" s="88"/>
      <c r="W620" s="88"/>
      <c r="X620" s="88"/>
      <c r="Y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Q621" s="88"/>
      <c r="R621" s="88"/>
      <c r="S621" s="88"/>
      <c r="T621" s="88"/>
      <c r="U621" s="88"/>
      <c r="V621" s="88"/>
      <c r="W621" s="88"/>
      <c r="X621" s="88"/>
      <c r="Y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Q622" s="88"/>
      <c r="R622" s="88"/>
      <c r="S622" s="88"/>
      <c r="T622" s="88"/>
      <c r="U622" s="88"/>
      <c r="V622" s="88"/>
      <c r="W622" s="88"/>
      <c r="X622" s="88"/>
      <c r="Y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Q623" s="88"/>
      <c r="R623" s="88"/>
      <c r="S623" s="88"/>
      <c r="T623" s="88"/>
      <c r="U623" s="88"/>
      <c r="V623" s="88"/>
      <c r="W623" s="88"/>
      <c r="X623" s="88"/>
      <c r="Y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Q624" s="88"/>
      <c r="R624" s="88"/>
      <c r="S624" s="88"/>
      <c r="T624" s="88"/>
      <c r="U624" s="88"/>
      <c r="V624" s="88"/>
      <c r="W624" s="88"/>
      <c r="X624" s="88"/>
      <c r="Y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Q625" s="88"/>
      <c r="R625" s="88"/>
      <c r="S625" s="88"/>
      <c r="T625" s="88"/>
      <c r="U625" s="88"/>
      <c r="V625" s="88"/>
      <c r="W625" s="88"/>
      <c r="X625" s="88"/>
      <c r="Y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Q626" s="88"/>
      <c r="R626" s="88"/>
      <c r="S626" s="88"/>
      <c r="T626" s="88"/>
      <c r="U626" s="88"/>
      <c r="V626" s="88"/>
      <c r="W626" s="88"/>
      <c r="X626" s="88"/>
      <c r="Y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Q627" s="88"/>
      <c r="R627" s="88"/>
      <c r="S627" s="88"/>
      <c r="T627" s="88"/>
      <c r="U627" s="88"/>
      <c r="V627" s="88"/>
      <c r="W627" s="88"/>
      <c r="X627" s="88"/>
      <c r="Y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Q628" s="88"/>
      <c r="R628" s="88"/>
      <c r="S628" s="88"/>
      <c r="T628" s="88"/>
      <c r="U628" s="88"/>
      <c r="V628" s="88"/>
      <c r="W628" s="88"/>
      <c r="X628" s="88"/>
      <c r="Y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Q629" s="88"/>
      <c r="R629" s="88"/>
      <c r="S629" s="88"/>
      <c r="T629" s="88"/>
      <c r="U629" s="88"/>
      <c r="V629" s="88"/>
      <c r="W629" s="88"/>
      <c r="X629" s="88"/>
      <c r="Y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Q630" s="88"/>
      <c r="R630" s="88"/>
      <c r="S630" s="88"/>
      <c r="T630" s="88"/>
      <c r="U630" s="88"/>
      <c r="V630" s="88"/>
      <c r="W630" s="88"/>
      <c r="X630" s="88"/>
      <c r="Y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Q631" s="88"/>
      <c r="R631" s="88"/>
      <c r="S631" s="88"/>
      <c r="T631" s="88"/>
      <c r="U631" s="88"/>
      <c r="V631" s="88"/>
      <c r="W631" s="88"/>
      <c r="X631" s="88"/>
      <c r="Y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Q632" s="88"/>
      <c r="R632" s="88"/>
      <c r="S632" s="88"/>
      <c r="T632" s="88"/>
      <c r="U632" s="88"/>
      <c r="V632" s="88"/>
      <c r="W632" s="88"/>
      <c r="X632" s="88"/>
      <c r="Y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Q633" s="88"/>
      <c r="R633" s="88"/>
      <c r="S633" s="88"/>
      <c r="T633" s="88"/>
      <c r="U633" s="88"/>
      <c r="V633" s="88"/>
      <c r="W633" s="88"/>
      <c r="X633" s="88"/>
      <c r="Y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Q634" s="88"/>
      <c r="R634" s="88"/>
      <c r="S634" s="88"/>
      <c r="T634" s="88"/>
      <c r="U634" s="88"/>
      <c r="V634" s="88"/>
      <c r="W634" s="88"/>
      <c r="X634" s="88"/>
      <c r="Y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Q635" s="88"/>
      <c r="R635" s="88"/>
      <c r="S635" s="88"/>
      <c r="T635" s="88"/>
      <c r="U635" s="88"/>
      <c r="V635" s="88"/>
      <c r="W635" s="88"/>
      <c r="X635" s="88"/>
      <c r="Y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Q636" s="88"/>
      <c r="R636" s="88"/>
      <c r="S636" s="88"/>
      <c r="T636" s="88"/>
      <c r="U636" s="88"/>
      <c r="V636" s="88"/>
      <c r="W636" s="88"/>
      <c r="X636" s="88"/>
      <c r="Y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Q637" s="88"/>
      <c r="R637" s="88"/>
      <c r="S637" s="88"/>
      <c r="T637" s="88"/>
      <c r="U637" s="88"/>
      <c r="V637" s="88"/>
      <c r="W637" s="88"/>
      <c r="X637" s="88"/>
      <c r="Y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Q638" s="88"/>
      <c r="R638" s="88"/>
      <c r="S638" s="88"/>
      <c r="T638" s="88"/>
      <c r="U638" s="88"/>
      <c r="V638" s="88"/>
      <c r="W638" s="88"/>
      <c r="X638" s="88"/>
      <c r="Y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Q639" s="88"/>
      <c r="R639" s="88"/>
      <c r="S639" s="88"/>
      <c r="T639" s="88"/>
      <c r="U639" s="88"/>
      <c r="V639" s="88"/>
      <c r="W639" s="88"/>
      <c r="X639" s="88"/>
      <c r="Y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Q640" s="88"/>
      <c r="R640" s="88"/>
      <c r="S640" s="88"/>
      <c r="T640" s="88"/>
      <c r="U640" s="88"/>
      <c r="V640" s="88"/>
      <c r="W640" s="88"/>
      <c r="X640" s="88"/>
      <c r="Y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Q641" s="88"/>
      <c r="R641" s="88"/>
      <c r="S641" s="88"/>
      <c r="T641" s="88"/>
      <c r="U641" s="88"/>
      <c r="V641" s="88"/>
      <c r="W641" s="88"/>
      <c r="X641" s="88"/>
      <c r="Y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Q642" s="88"/>
      <c r="R642" s="88"/>
      <c r="S642" s="88"/>
      <c r="T642" s="88"/>
      <c r="U642" s="88"/>
      <c r="V642" s="88"/>
      <c r="W642" s="88"/>
      <c r="X642" s="88"/>
      <c r="Y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Q643" s="88"/>
      <c r="R643" s="88"/>
      <c r="S643" s="88"/>
      <c r="T643" s="88"/>
      <c r="U643" s="88"/>
      <c r="V643" s="88"/>
      <c r="W643" s="88"/>
      <c r="X643" s="88"/>
      <c r="Y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Q644" s="88"/>
      <c r="R644" s="88"/>
      <c r="S644" s="88"/>
      <c r="T644" s="88"/>
      <c r="U644" s="88"/>
      <c r="V644" s="88"/>
      <c r="W644" s="88"/>
      <c r="X644" s="88"/>
      <c r="Y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Q645" s="88"/>
      <c r="R645" s="88"/>
      <c r="S645" s="88"/>
      <c r="T645" s="88"/>
      <c r="U645" s="88"/>
      <c r="V645" s="88"/>
      <c r="W645" s="88"/>
      <c r="X645" s="88"/>
      <c r="Y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Q646" s="88"/>
      <c r="R646" s="88"/>
      <c r="S646" s="88"/>
      <c r="T646" s="88"/>
      <c r="U646" s="88"/>
      <c r="V646" s="88"/>
      <c r="W646" s="88"/>
      <c r="X646" s="88"/>
      <c r="Y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Q647" s="88"/>
      <c r="R647" s="88"/>
      <c r="S647" s="88"/>
      <c r="T647" s="88"/>
      <c r="U647" s="88"/>
      <c r="V647" s="88"/>
      <c r="W647" s="88"/>
      <c r="X647" s="88"/>
      <c r="Y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Q648" s="88"/>
      <c r="R648" s="88"/>
      <c r="S648" s="88"/>
      <c r="T648" s="88"/>
      <c r="U648" s="88"/>
      <c r="V648" s="88"/>
      <c r="W648" s="88"/>
      <c r="X648" s="88"/>
      <c r="Y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Q649" s="88"/>
      <c r="R649" s="88"/>
      <c r="S649" s="88"/>
      <c r="T649" s="88"/>
      <c r="U649" s="88"/>
      <c r="V649" s="88"/>
      <c r="W649" s="88"/>
      <c r="X649" s="88"/>
      <c r="Y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Q650" s="88"/>
      <c r="R650" s="88"/>
      <c r="S650" s="88"/>
      <c r="T650" s="88"/>
      <c r="U650" s="88"/>
      <c r="V650" s="88"/>
      <c r="W650" s="88"/>
      <c r="X650" s="88"/>
      <c r="Y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Q651" s="88"/>
      <c r="R651" s="88"/>
      <c r="S651" s="88"/>
      <c r="T651" s="88"/>
      <c r="U651" s="88"/>
      <c r="V651" s="88"/>
      <c r="W651" s="88"/>
      <c r="X651" s="88"/>
      <c r="Y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Q652" s="88"/>
      <c r="R652" s="88"/>
      <c r="S652" s="88"/>
      <c r="T652" s="88"/>
      <c r="U652" s="88"/>
      <c r="V652" s="88"/>
      <c r="W652" s="88"/>
      <c r="X652" s="88"/>
      <c r="Y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Q653" s="88"/>
      <c r="R653" s="88"/>
      <c r="S653" s="88"/>
      <c r="T653" s="88"/>
      <c r="U653" s="88"/>
      <c r="V653" s="88"/>
      <c r="W653" s="88"/>
      <c r="X653" s="88"/>
      <c r="Y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Q654" s="88"/>
      <c r="R654" s="88"/>
      <c r="S654" s="88"/>
      <c r="T654" s="88"/>
      <c r="U654" s="88"/>
      <c r="V654" s="88"/>
      <c r="W654" s="88"/>
      <c r="X654" s="88"/>
      <c r="Y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Q655" s="88"/>
      <c r="R655" s="88"/>
      <c r="S655" s="88"/>
      <c r="T655" s="88"/>
      <c r="U655" s="88"/>
      <c r="V655" s="88"/>
      <c r="W655" s="88"/>
      <c r="X655" s="88"/>
      <c r="Y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Q656" s="88"/>
      <c r="R656" s="88"/>
      <c r="S656" s="88"/>
      <c r="T656" s="88"/>
      <c r="U656" s="88"/>
      <c r="V656" s="88"/>
      <c r="W656" s="88"/>
      <c r="X656" s="88"/>
      <c r="Y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Q657" s="88"/>
      <c r="R657" s="88"/>
      <c r="S657" s="88"/>
      <c r="T657" s="88"/>
      <c r="U657" s="88"/>
      <c r="V657" s="88"/>
      <c r="W657" s="88"/>
      <c r="X657" s="88"/>
      <c r="Y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Q658" s="88"/>
      <c r="R658" s="88"/>
      <c r="S658" s="88"/>
      <c r="T658" s="88"/>
      <c r="U658" s="88"/>
      <c r="V658" s="88"/>
      <c r="W658" s="88"/>
      <c r="X658" s="88"/>
      <c r="Y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Q659" s="88"/>
      <c r="R659" s="88"/>
      <c r="S659" s="88"/>
      <c r="T659" s="88"/>
      <c r="U659" s="88"/>
      <c r="V659" s="88"/>
      <c r="W659" s="88"/>
      <c r="X659" s="88"/>
      <c r="Y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Q660" s="88"/>
      <c r="R660" s="88"/>
      <c r="S660" s="88"/>
      <c r="T660" s="88"/>
      <c r="U660" s="88"/>
      <c r="V660" s="88"/>
      <c r="W660" s="88"/>
      <c r="X660" s="88"/>
      <c r="Y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Q661" s="88"/>
      <c r="R661" s="88"/>
      <c r="S661" s="88"/>
      <c r="T661" s="88"/>
      <c r="U661" s="88"/>
      <c r="V661" s="88"/>
      <c r="W661" s="88"/>
      <c r="X661" s="88"/>
      <c r="Y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Q662" s="88"/>
      <c r="R662" s="88"/>
      <c r="S662" s="88"/>
      <c r="T662" s="88"/>
      <c r="U662" s="88"/>
      <c r="V662" s="88"/>
      <c r="W662" s="88"/>
      <c r="X662" s="88"/>
      <c r="Y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Q663" s="88"/>
      <c r="R663" s="88"/>
      <c r="S663" s="88"/>
      <c r="T663" s="88"/>
      <c r="U663" s="88"/>
      <c r="V663" s="88"/>
      <c r="W663" s="88"/>
      <c r="X663" s="88"/>
      <c r="Y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Q664" s="88"/>
      <c r="R664" s="88"/>
      <c r="S664" s="88"/>
      <c r="T664" s="88"/>
      <c r="U664" s="88"/>
      <c r="V664" s="88"/>
      <c r="W664" s="88"/>
      <c r="X664" s="88"/>
      <c r="Y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Q665" s="88"/>
      <c r="R665" s="88"/>
      <c r="S665" s="88"/>
      <c r="T665" s="88"/>
      <c r="U665" s="88"/>
      <c r="V665" s="88"/>
      <c r="W665" s="88"/>
      <c r="X665" s="88"/>
      <c r="Y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Q666" s="88"/>
      <c r="R666" s="88"/>
      <c r="S666" s="88"/>
      <c r="T666" s="88"/>
      <c r="U666" s="88"/>
      <c r="V666" s="88"/>
      <c r="W666" s="88"/>
      <c r="X666" s="88"/>
      <c r="Y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Q667" s="88"/>
      <c r="R667" s="88"/>
      <c r="S667" s="88"/>
      <c r="T667" s="88"/>
      <c r="U667" s="88"/>
      <c r="V667" s="88"/>
      <c r="W667" s="88"/>
      <c r="X667" s="88"/>
      <c r="Y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Q668" s="88"/>
      <c r="R668" s="88"/>
      <c r="S668" s="88"/>
      <c r="T668" s="88"/>
      <c r="U668" s="88"/>
      <c r="V668" s="88"/>
      <c r="W668" s="88"/>
      <c r="X668" s="88"/>
      <c r="Y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Q669" s="88"/>
      <c r="R669" s="88"/>
      <c r="S669" s="88"/>
      <c r="T669" s="88"/>
      <c r="U669" s="88"/>
      <c r="V669" s="88"/>
      <c r="W669" s="88"/>
      <c r="X669" s="88"/>
      <c r="Y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Q670" s="88"/>
      <c r="R670" s="88"/>
      <c r="S670" s="88"/>
      <c r="T670" s="88"/>
      <c r="U670" s="88"/>
      <c r="V670" s="88"/>
      <c r="W670" s="88"/>
      <c r="X670" s="88"/>
      <c r="Y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Q671" s="88"/>
      <c r="R671" s="88"/>
      <c r="S671" s="88"/>
      <c r="T671" s="88"/>
      <c r="U671" s="88"/>
      <c r="V671" s="88"/>
      <c r="W671" s="88"/>
      <c r="X671" s="88"/>
      <c r="Y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Q672" s="88"/>
      <c r="R672" s="88"/>
      <c r="S672" s="88"/>
      <c r="T672" s="88"/>
      <c r="U672" s="88"/>
      <c r="V672" s="88"/>
      <c r="W672" s="88"/>
      <c r="X672" s="88"/>
      <c r="Y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Q673" s="88"/>
      <c r="R673" s="88"/>
      <c r="S673" s="88"/>
      <c r="T673" s="88"/>
      <c r="U673" s="88"/>
      <c r="V673" s="88"/>
      <c r="W673" s="88"/>
      <c r="X673" s="88"/>
      <c r="Y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Q674" s="88"/>
      <c r="R674" s="88"/>
      <c r="S674" s="88"/>
      <c r="T674" s="88"/>
      <c r="U674" s="88"/>
      <c r="V674" s="88"/>
      <c r="W674" s="88"/>
      <c r="X674" s="88"/>
      <c r="Y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Q675" s="88"/>
      <c r="R675" s="88"/>
      <c r="S675" s="88"/>
      <c r="T675" s="88"/>
      <c r="U675" s="88"/>
      <c r="V675" s="88"/>
      <c r="W675" s="88"/>
      <c r="X675" s="88"/>
      <c r="Y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Q676" s="88"/>
      <c r="R676" s="88"/>
      <c r="S676" s="88"/>
      <c r="T676" s="88"/>
      <c r="U676" s="88"/>
      <c r="V676" s="88"/>
      <c r="W676" s="88"/>
      <c r="X676" s="88"/>
      <c r="Y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Q677" s="88"/>
      <c r="R677" s="88"/>
      <c r="S677" s="88"/>
      <c r="T677" s="88"/>
      <c r="U677" s="88"/>
      <c r="V677" s="88"/>
      <c r="W677" s="88"/>
      <c r="X677" s="88"/>
      <c r="Y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Q678" s="88"/>
      <c r="R678" s="88"/>
      <c r="S678" s="88"/>
      <c r="T678" s="88"/>
      <c r="U678" s="88"/>
      <c r="V678" s="88"/>
      <c r="W678" s="88"/>
      <c r="X678" s="88"/>
      <c r="Y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Q679" s="88"/>
      <c r="R679" s="88"/>
      <c r="S679" s="88"/>
      <c r="T679" s="88"/>
      <c r="U679" s="88"/>
      <c r="V679" s="88"/>
      <c r="W679" s="88"/>
      <c r="X679" s="88"/>
      <c r="Y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Q680" s="88"/>
      <c r="R680" s="88"/>
      <c r="S680" s="88"/>
      <c r="T680" s="88"/>
      <c r="U680" s="88"/>
      <c r="V680" s="88"/>
      <c r="W680" s="88"/>
      <c r="X680" s="88"/>
      <c r="Y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Q681" s="88"/>
      <c r="R681" s="88"/>
      <c r="S681" s="88"/>
      <c r="T681" s="88"/>
      <c r="U681" s="88"/>
      <c r="V681" s="88"/>
      <c r="W681" s="88"/>
      <c r="X681" s="88"/>
      <c r="Y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Q682" s="88"/>
      <c r="R682" s="88"/>
      <c r="S682" s="88"/>
      <c r="T682" s="88"/>
      <c r="U682" s="88"/>
      <c r="V682" s="88"/>
      <c r="W682" s="88"/>
      <c r="X682" s="88"/>
      <c r="Y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Q683" s="88"/>
      <c r="R683" s="88"/>
      <c r="S683" s="88"/>
      <c r="T683" s="88"/>
      <c r="U683" s="88"/>
      <c r="V683" s="88"/>
      <c r="W683" s="88"/>
      <c r="X683" s="88"/>
      <c r="Y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Q684" s="88"/>
      <c r="R684" s="88"/>
      <c r="S684" s="88"/>
      <c r="T684" s="88"/>
      <c r="U684" s="88"/>
      <c r="V684" s="88"/>
      <c r="W684" s="88"/>
      <c r="X684" s="88"/>
      <c r="Y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Q685" s="88"/>
      <c r="R685" s="88"/>
      <c r="S685" s="88"/>
      <c r="T685" s="88"/>
      <c r="U685" s="88"/>
      <c r="V685" s="88"/>
      <c r="W685" s="88"/>
      <c r="X685" s="88"/>
      <c r="Y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Q686" s="88"/>
      <c r="R686" s="88"/>
      <c r="S686" s="88"/>
      <c r="T686" s="88"/>
      <c r="U686" s="88"/>
      <c r="V686" s="88"/>
      <c r="W686" s="88"/>
      <c r="X686" s="88"/>
      <c r="Y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Q687" s="88"/>
      <c r="R687" s="88"/>
      <c r="S687" s="88"/>
      <c r="T687" s="88"/>
      <c r="U687" s="88"/>
      <c r="V687" s="88"/>
      <c r="W687" s="88"/>
      <c r="X687" s="88"/>
      <c r="Y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Q688" s="88"/>
      <c r="R688" s="88"/>
      <c r="S688" s="88"/>
      <c r="T688" s="88"/>
      <c r="U688" s="88"/>
      <c r="V688" s="88"/>
      <c r="W688" s="88"/>
      <c r="X688" s="88"/>
      <c r="Y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Q689" s="88"/>
      <c r="R689" s="88"/>
      <c r="S689" s="88"/>
      <c r="T689" s="88"/>
      <c r="U689" s="88"/>
      <c r="V689" s="88"/>
      <c r="W689" s="88"/>
      <c r="X689" s="88"/>
      <c r="Y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Q690" s="88"/>
      <c r="R690" s="88"/>
      <c r="S690" s="88"/>
      <c r="T690" s="88"/>
      <c r="U690" s="88"/>
      <c r="V690" s="88"/>
      <c r="W690" s="88"/>
      <c r="X690" s="88"/>
      <c r="Y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Q691" s="88"/>
      <c r="R691" s="88"/>
      <c r="S691" s="88"/>
      <c r="T691" s="88"/>
      <c r="U691" s="88"/>
      <c r="V691" s="88"/>
      <c r="W691" s="88"/>
      <c r="X691" s="88"/>
      <c r="Y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Q692" s="88"/>
      <c r="R692" s="88"/>
      <c r="S692" s="88"/>
      <c r="T692" s="88"/>
      <c r="U692" s="88"/>
      <c r="V692" s="88"/>
      <c r="W692" s="88"/>
      <c r="X692" s="88"/>
      <c r="Y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Q693" s="88"/>
      <c r="R693" s="88"/>
      <c r="S693" s="88"/>
      <c r="T693" s="88"/>
      <c r="U693" s="88"/>
      <c r="V693" s="88"/>
      <c r="W693" s="88"/>
      <c r="X693" s="88"/>
      <c r="Y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Q694" s="88"/>
      <c r="R694" s="88"/>
      <c r="S694" s="88"/>
      <c r="T694" s="88"/>
      <c r="U694" s="88"/>
      <c r="V694" s="88"/>
      <c r="W694" s="88"/>
      <c r="X694" s="88"/>
      <c r="Y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Q695" s="88"/>
      <c r="R695" s="88"/>
      <c r="S695" s="88"/>
      <c r="T695" s="88"/>
      <c r="U695" s="88"/>
      <c r="V695" s="88"/>
      <c r="W695" s="88"/>
      <c r="X695" s="88"/>
      <c r="Y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Q696" s="88"/>
      <c r="R696" s="88"/>
      <c r="S696" s="88"/>
      <c r="T696" s="88"/>
      <c r="U696" s="88"/>
      <c r="V696" s="88"/>
      <c r="W696" s="88"/>
      <c r="X696" s="88"/>
      <c r="Y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Q697" s="88"/>
      <c r="R697" s="88"/>
      <c r="S697" s="88"/>
      <c r="T697" s="88"/>
      <c r="U697" s="88"/>
      <c r="V697" s="88"/>
      <c r="W697" s="88"/>
      <c r="X697" s="88"/>
      <c r="Y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Q698" s="88"/>
      <c r="R698" s="88"/>
      <c r="S698" s="88"/>
      <c r="T698" s="88"/>
      <c r="U698" s="88"/>
      <c r="V698" s="88"/>
      <c r="W698" s="88"/>
      <c r="X698" s="88"/>
      <c r="Y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Q699" s="88"/>
      <c r="R699" s="88"/>
      <c r="S699" s="88"/>
      <c r="T699" s="88"/>
      <c r="U699" s="88"/>
      <c r="V699" s="88"/>
      <c r="W699" s="88"/>
      <c r="X699" s="88"/>
      <c r="Y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Q700" s="88"/>
      <c r="R700" s="88"/>
      <c r="S700" s="88"/>
      <c r="T700" s="88"/>
      <c r="U700" s="88"/>
      <c r="V700" s="88"/>
      <c r="W700" s="88"/>
      <c r="X700" s="88"/>
      <c r="Y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Q701" s="88"/>
      <c r="R701" s="88"/>
      <c r="S701" s="88"/>
      <c r="T701" s="88"/>
      <c r="U701" s="88"/>
      <c r="V701" s="88"/>
      <c r="W701" s="88"/>
      <c r="X701" s="88"/>
      <c r="Y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Q702" s="88"/>
      <c r="R702" s="88"/>
      <c r="S702" s="88"/>
      <c r="T702" s="88"/>
      <c r="U702" s="88"/>
      <c r="V702" s="88"/>
      <c r="W702" s="88"/>
      <c r="X702" s="88"/>
      <c r="Y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Q703" s="88"/>
      <c r="R703" s="88"/>
      <c r="S703" s="88"/>
      <c r="T703" s="88"/>
      <c r="U703" s="88"/>
      <c r="V703" s="88"/>
      <c r="W703" s="88"/>
      <c r="X703" s="88"/>
      <c r="Y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Q704" s="88"/>
      <c r="R704" s="88"/>
      <c r="S704" s="88"/>
      <c r="T704" s="88"/>
      <c r="U704" s="88"/>
      <c r="V704" s="88"/>
      <c r="W704" s="88"/>
      <c r="X704" s="88"/>
      <c r="Y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Q705" s="88"/>
      <c r="R705" s="88"/>
      <c r="S705" s="88"/>
      <c r="T705" s="88"/>
      <c r="U705" s="88"/>
      <c r="V705" s="88"/>
      <c r="W705" s="88"/>
      <c r="X705" s="88"/>
      <c r="Y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Q706" s="88"/>
      <c r="R706" s="88"/>
      <c r="S706" s="88"/>
      <c r="T706" s="88"/>
      <c r="U706" s="88"/>
      <c r="V706" s="88"/>
      <c r="W706" s="88"/>
      <c r="X706" s="88"/>
      <c r="Y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Q707" s="88"/>
      <c r="R707" s="88"/>
      <c r="S707" s="88"/>
      <c r="T707" s="88"/>
      <c r="U707" s="88"/>
      <c r="V707" s="88"/>
      <c r="W707" s="88"/>
      <c r="X707" s="88"/>
      <c r="Y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Q708" s="88"/>
      <c r="R708" s="88"/>
      <c r="S708" s="88"/>
      <c r="T708" s="88"/>
      <c r="U708" s="88"/>
      <c r="V708" s="88"/>
      <c r="W708" s="88"/>
      <c r="X708" s="88"/>
      <c r="Y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Q709" s="88"/>
      <c r="R709" s="88"/>
      <c r="S709" s="88"/>
      <c r="T709" s="88"/>
      <c r="U709" s="88"/>
      <c r="V709" s="88"/>
      <c r="W709" s="88"/>
      <c r="X709" s="88"/>
      <c r="Y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Q710" s="88"/>
      <c r="R710" s="88"/>
      <c r="S710" s="88"/>
      <c r="T710" s="88"/>
      <c r="U710" s="88"/>
      <c r="V710" s="88"/>
      <c r="W710" s="88"/>
      <c r="X710" s="88"/>
      <c r="Y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Q711" s="88"/>
      <c r="R711" s="88"/>
      <c r="S711" s="88"/>
      <c r="T711" s="88"/>
      <c r="U711" s="88"/>
      <c r="V711" s="88"/>
      <c r="W711" s="88"/>
      <c r="X711" s="88"/>
      <c r="Y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Q712" s="88"/>
      <c r="R712" s="88"/>
      <c r="S712" s="88"/>
      <c r="T712" s="88"/>
      <c r="U712" s="88"/>
      <c r="V712" s="88"/>
      <c r="W712" s="88"/>
      <c r="X712" s="88"/>
      <c r="Y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Q713" s="88"/>
      <c r="R713" s="88"/>
      <c r="S713" s="88"/>
      <c r="T713" s="88"/>
      <c r="U713" s="88"/>
      <c r="V713" s="88"/>
      <c r="W713" s="88"/>
      <c r="X713" s="88"/>
      <c r="Y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Q714" s="88"/>
      <c r="R714" s="88"/>
      <c r="S714" s="88"/>
      <c r="T714" s="88"/>
      <c r="U714" s="88"/>
      <c r="V714" s="88"/>
      <c r="W714" s="88"/>
      <c r="X714" s="88"/>
      <c r="Y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Q715" s="88"/>
      <c r="R715" s="88"/>
      <c r="S715" s="88"/>
      <c r="T715" s="88"/>
      <c r="U715" s="88"/>
      <c r="V715" s="88"/>
      <c r="W715" s="88"/>
      <c r="X715" s="88"/>
      <c r="Y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Q716" s="88"/>
      <c r="R716" s="88"/>
      <c r="S716" s="88"/>
      <c r="T716" s="88"/>
      <c r="U716" s="88"/>
      <c r="V716" s="88"/>
      <c r="W716" s="88"/>
      <c r="X716" s="88"/>
      <c r="Y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Q717" s="88"/>
      <c r="R717" s="88"/>
      <c r="S717" s="88"/>
      <c r="T717" s="88"/>
      <c r="U717" s="88"/>
      <c r="V717" s="88"/>
      <c r="W717" s="88"/>
      <c r="X717" s="88"/>
      <c r="Y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Q718" s="88"/>
      <c r="R718" s="88"/>
      <c r="S718" s="88"/>
      <c r="T718" s="88"/>
      <c r="U718" s="88"/>
      <c r="V718" s="88"/>
      <c r="W718" s="88"/>
      <c r="X718" s="88"/>
      <c r="Y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Q719" s="88"/>
      <c r="R719" s="88"/>
      <c r="S719" s="88"/>
      <c r="T719" s="88"/>
      <c r="U719" s="88"/>
      <c r="V719" s="88"/>
      <c r="W719" s="88"/>
      <c r="X719" s="88"/>
      <c r="Y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Q720" s="88"/>
      <c r="R720" s="88"/>
      <c r="S720" s="88"/>
      <c r="T720" s="88"/>
      <c r="U720" s="88"/>
      <c r="V720" s="88"/>
      <c r="W720" s="88"/>
      <c r="X720" s="88"/>
      <c r="Y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Q721" s="88"/>
      <c r="R721" s="88"/>
      <c r="S721" s="88"/>
      <c r="T721" s="88"/>
      <c r="U721" s="88"/>
      <c r="V721" s="88"/>
      <c r="W721" s="88"/>
      <c r="X721" s="88"/>
      <c r="Y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Q722" s="88"/>
      <c r="R722" s="88"/>
      <c r="S722" s="88"/>
      <c r="T722" s="88"/>
      <c r="U722" s="88"/>
      <c r="V722" s="88"/>
      <c r="W722" s="88"/>
      <c r="X722" s="88"/>
      <c r="Y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Q723" s="88"/>
      <c r="R723" s="88"/>
      <c r="S723" s="88"/>
      <c r="T723" s="88"/>
      <c r="U723" s="88"/>
      <c r="V723" s="88"/>
      <c r="W723" s="88"/>
      <c r="X723" s="88"/>
      <c r="Y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Q724" s="88"/>
      <c r="R724" s="88"/>
      <c r="S724" s="88"/>
      <c r="T724" s="88"/>
      <c r="U724" s="88"/>
      <c r="V724" s="88"/>
      <c r="W724" s="88"/>
      <c r="X724" s="88"/>
      <c r="Y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Q725" s="88"/>
      <c r="R725" s="88"/>
      <c r="S725" s="88"/>
      <c r="T725" s="88"/>
      <c r="U725" s="88"/>
      <c r="V725" s="88"/>
      <c r="W725" s="88"/>
      <c r="X725" s="88"/>
      <c r="Y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Q726" s="88"/>
      <c r="R726" s="88"/>
      <c r="S726" s="88"/>
      <c r="T726" s="88"/>
      <c r="U726" s="88"/>
      <c r="V726" s="88"/>
      <c r="W726" s="88"/>
      <c r="X726" s="88"/>
      <c r="Y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Q727" s="88"/>
      <c r="R727" s="88"/>
      <c r="S727" s="88"/>
      <c r="T727" s="88"/>
      <c r="U727" s="88"/>
      <c r="V727" s="88"/>
      <c r="W727" s="88"/>
      <c r="X727" s="88"/>
      <c r="Y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Q728" s="88"/>
      <c r="R728" s="88"/>
      <c r="S728" s="88"/>
      <c r="T728" s="88"/>
      <c r="U728" s="88"/>
      <c r="V728" s="88"/>
      <c r="W728" s="88"/>
      <c r="X728" s="88"/>
      <c r="Y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Q729" s="88"/>
      <c r="R729" s="88"/>
      <c r="S729" s="88"/>
      <c r="T729" s="88"/>
      <c r="U729" s="88"/>
      <c r="V729" s="88"/>
      <c r="W729" s="88"/>
      <c r="X729" s="88"/>
      <c r="Y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Q730" s="88"/>
      <c r="R730" s="88"/>
      <c r="S730" s="88"/>
      <c r="T730" s="88"/>
      <c r="U730" s="88"/>
      <c r="V730" s="88"/>
      <c r="W730" s="88"/>
      <c r="X730" s="88"/>
      <c r="Y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Q731" s="88"/>
      <c r="R731" s="88"/>
      <c r="S731" s="88"/>
      <c r="T731" s="88"/>
      <c r="U731" s="88"/>
      <c r="V731" s="88"/>
      <c r="W731" s="88"/>
      <c r="X731" s="88"/>
      <c r="Y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Q732" s="88"/>
      <c r="R732" s="88"/>
      <c r="S732" s="88"/>
      <c r="T732" s="88"/>
      <c r="U732" s="88"/>
      <c r="V732" s="88"/>
      <c r="W732" s="88"/>
      <c r="X732" s="88"/>
      <c r="Y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Q733" s="88"/>
      <c r="R733" s="88"/>
      <c r="S733" s="88"/>
      <c r="T733" s="88"/>
      <c r="U733" s="88"/>
      <c r="V733" s="88"/>
      <c r="W733" s="88"/>
      <c r="X733" s="88"/>
      <c r="Y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Q734" s="88"/>
      <c r="R734" s="88"/>
      <c r="S734" s="88"/>
      <c r="T734" s="88"/>
      <c r="U734" s="88"/>
      <c r="V734" s="88"/>
      <c r="W734" s="88"/>
      <c r="X734" s="88"/>
      <c r="Y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Q735" s="88"/>
      <c r="R735" s="88"/>
      <c r="S735" s="88"/>
      <c r="T735" s="88"/>
      <c r="U735" s="88"/>
      <c r="V735" s="88"/>
      <c r="W735" s="88"/>
      <c r="X735" s="88"/>
      <c r="Y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Q736" s="88"/>
      <c r="R736" s="88"/>
      <c r="S736" s="88"/>
      <c r="T736" s="88"/>
      <c r="U736" s="88"/>
      <c r="V736" s="88"/>
      <c r="W736" s="88"/>
      <c r="X736" s="88"/>
      <c r="Y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Q737" s="88"/>
      <c r="R737" s="88"/>
      <c r="S737" s="88"/>
      <c r="T737" s="88"/>
      <c r="U737" s="88"/>
      <c r="V737" s="88"/>
      <c r="W737" s="88"/>
      <c r="X737" s="88"/>
      <c r="Y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Q738" s="88"/>
      <c r="R738" s="88"/>
      <c r="S738" s="88"/>
      <c r="T738" s="88"/>
      <c r="U738" s="88"/>
      <c r="V738" s="88"/>
      <c r="W738" s="88"/>
      <c r="X738" s="88"/>
      <c r="Y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Q739" s="88"/>
      <c r="R739" s="88"/>
      <c r="S739" s="88"/>
      <c r="T739" s="88"/>
      <c r="U739" s="88"/>
      <c r="V739" s="88"/>
      <c r="W739" s="88"/>
      <c r="X739" s="88"/>
      <c r="Y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Q740" s="88"/>
      <c r="R740" s="88"/>
      <c r="S740" s="88"/>
      <c r="T740" s="88"/>
      <c r="U740" s="88"/>
      <c r="V740" s="88"/>
      <c r="W740" s="88"/>
      <c r="X740" s="88"/>
      <c r="Y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Q741" s="88"/>
      <c r="R741" s="88"/>
      <c r="S741" s="88"/>
      <c r="T741" s="88"/>
      <c r="U741" s="88"/>
      <c r="V741" s="88"/>
      <c r="W741" s="88"/>
      <c r="X741" s="88"/>
      <c r="Y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Q742" s="88"/>
      <c r="R742" s="88"/>
      <c r="S742" s="88"/>
      <c r="T742" s="88"/>
      <c r="U742" s="88"/>
      <c r="V742" s="88"/>
      <c r="W742" s="88"/>
      <c r="X742" s="88"/>
      <c r="Y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Q743" s="88"/>
      <c r="R743" s="88"/>
      <c r="S743" s="88"/>
      <c r="T743" s="88"/>
      <c r="U743" s="88"/>
      <c r="V743" s="88"/>
      <c r="W743" s="88"/>
      <c r="X743" s="88"/>
      <c r="Y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Q744" s="88"/>
      <c r="R744" s="88"/>
      <c r="S744" s="88"/>
      <c r="T744" s="88"/>
      <c r="U744" s="88"/>
      <c r="V744" s="88"/>
      <c r="W744" s="88"/>
      <c r="X744" s="88"/>
      <c r="Y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Q745" s="88"/>
      <c r="R745" s="88"/>
      <c r="S745" s="88"/>
      <c r="T745" s="88"/>
      <c r="U745" s="88"/>
      <c r="V745" s="88"/>
      <c r="W745" s="88"/>
      <c r="X745" s="88"/>
      <c r="Y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Q746" s="88"/>
      <c r="R746" s="88"/>
      <c r="S746" s="88"/>
      <c r="T746" s="88"/>
      <c r="U746" s="88"/>
      <c r="V746" s="88"/>
      <c r="W746" s="88"/>
      <c r="X746" s="88"/>
      <c r="Y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Q747" s="88"/>
      <c r="R747" s="88"/>
      <c r="S747" s="88"/>
      <c r="T747" s="88"/>
      <c r="U747" s="88"/>
      <c r="V747" s="88"/>
      <c r="W747" s="88"/>
      <c r="X747" s="88"/>
      <c r="Y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Q748" s="88"/>
      <c r="R748" s="88"/>
      <c r="S748" s="88"/>
      <c r="T748" s="88"/>
      <c r="U748" s="88"/>
      <c r="V748" s="88"/>
      <c r="W748" s="88"/>
      <c r="X748" s="88"/>
      <c r="Y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Q749" s="88"/>
      <c r="R749" s="88"/>
      <c r="S749" s="88"/>
      <c r="T749" s="88"/>
      <c r="U749" s="88"/>
      <c r="V749" s="88"/>
      <c r="W749" s="88"/>
      <c r="X749" s="88"/>
      <c r="Y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Q750" s="88"/>
      <c r="R750" s="88"/>
      <c r="S750" s="88"/>
      <c r="T750" s="88"/>
      <c r="U750" s="88"/>
      <c r="V750" s="88"/>
      <c r="W750" s="88"/>
      <c r="X750" s="88"/>
      <c r="Y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Q751" s="88"/>
      <c r="R751" s="88"/>
      <c r="S751" s="88"/>
      <c r="T751" s="88"/>
      <c r="U751" s="88"/>
      <c r="V751" s="88"/>
      <c r="W751" s="88"/>
      <c r="X751" s="88"/>
      <c r="Y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Q752" s="88"/>
      <c r="R752" s="88"/>
      <c r="S752" s="88"/>
      <c r="T752" s="88"/>
      <c r="U752" s="88"/>
      <c r="V752" s="88"/>
      <c r="W752" s="88"/>
      <c r="X752" s="88"/>
      <c r="Y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Q753" s="88"/>
      <c r="R753" s="88"/>
      <c r="S753" s="88"/>
      <c r="T753" s="88"/>
      <c r="U753" s="88"/>
      <c r="V753" s="88"/>
      <c r="W753" s="88"/>
      <c r="X753" s="88"/>
      <c r="Y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Q754" s="88"/>
      <c r="R754" s="88"/>
      <c r="S754" s="88"/>
      <c r="T754" s="88"/>
      <c r="U754" s="88"/>
      <c r="V754" s="88"/>
      <c r="W754" s="88"/>
      <c r="X754" s="88"/>
      <c r="Y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Q755" s="88"/>
      <c r="R755" s="88"/>
      <c r="S755" s="88"/>
      <c r="T755" s="88"/>
      <c r="U755" s="88"/>
      <c r="V755" s="88"/>
      <c r="W755" s="88"/>
      <c r="X755" s="88"/>
      <c r="Y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Q756" s="88"/>
      <c r="R756" s="88"/>
      <c r="S756" s="88"/>
      <c r="T756" s="88"/>
      <c r="U756" s="88"/>
      <c r="V756" s="88"/>
      <c r="W756" s="88"/>
      <c r="X756" s="88"/>
      <c r="Y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Q757" s="88"/>
      <c r="R757" s="88"/>
      <c r="S757" s="88"/>
      <c r="T757" s="88"/>
      <c r="U757" s="88"/>
      <c r="V757" s="88"/>
      <c r="W757" s="88"/>
      <c r="X757" s="88"/>
      <c r="Y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Q758" s="88"/>
      <c r="R758" s="88"/>
      <c r="S758" s="88"/>
      <c r="T758" s="88"/>
      <c r="U758" s="88"/>
      <c r="V758" s="88"/>
      <c r="W758" s="88"/>
      <c r="X758" s="88"/>
      <c r="Y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Q759" s="88"/>
      <c r="R759" s="88"/>
      <c r="S759" s="88"/>
      <c r="T759" s="88"/>
      <c r="U759" s="88"/>
      <c r="V759" s="88"/>
      <c r="W759" s="88"/>
      <c r="X759" s="88"/>
      <c r="Y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Q760" s="88"/>
      <c r="R760" s="88"/>
      <c r="S760" s="88"/>
      <c r="T760" s="88"/>
      <c r="U760" s="88"/>
      <c r="V760" s="88"/>
      <c r="W760" s="88"/>
      <c r="X760" s="88"/>
      <c r="Y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Q761" s="88"/>
      <c r="R761" s="88"/>
      <c r="S761" s="88"/>
      <c r="T761" s="88"/>
      <c r="U761" s="88"/>
      <c r="V761" s="88"/>
      <c r="W761" s="88"/>
      <c r="X761" s="88"/>
      <c r="Y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Q762" s="88"/>
      <c r="R762" s="88"/>
      <c r="S762" s="88"/>
      <c r="T762" s="88"/>
      <c r="U762" s="88"/>
      <c r="V762" s="88"/>
      <c r="W762" s="88"/>
      <c r="X762" s="88"/>
      <c r="Y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Q763" s="88"/>
      <c r="R763" s="88"/>
      <c r="S763" s="88"/>
      <c r="T763" s="88"/>
      <c r="U763" s="88"/>
      <c r="V763" s="88"/>
      <c r="W763" s="88"/>
      <c r="X763" s="88"/>
      <c r="Y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Q764" s="88"/>
      <c r="R764" s="88"/>
      <c r="S764" s="88"/>
      <c r="T764" s="88"/>
      <c r="U764" s="88"/>
      <c r="V764" s="88"/>
      <c r="W764" s="88"/>
      <c r="X764" s="88"/>
      <c r="Y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Q765" s="88"/>
      <c r="R765" s="88"/>
      <c r="S765" s="88"/>
      <c r="T765" s="88"/>
      <c r="U765" s="88"/>
      <c r="V765" s="88"/>
      <c r="W765" s="88"/>
      <c r="X765" s="88"/>
      <c r="Y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Q766" s="88"/>
      <c r="R766" s="88"/>
      <c r="S766" s="88"/>
      <c r="T766" s="88"/>
      <c r="U766" s="88"/>
      <c r="V766" s="88"/>
      <c r="W766" s="88"/>
      <c r="X766" s="88"/>
      <c r="Y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Q767" s="88"/>
      <c r="R767" s="88"/>
      <c r="S767" s="88"/>
      <c r="T767" s="88"/>
      <c r="U767" s="88"/>
      <c r="V767" s="88"/>
      <c r="W767" s="88"/>
      <c r="X767" s="88"/>
      <c r="Y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Q768" s="88"/>
      <c r="R768" s="88"/>
      <c r="S768" s="88"/>
      <c r="T768" s="88"/>
      <c r="U768" s="88"/>
      <c r="V768" s="88"/>
      <c r="W768" s="88"/>
      <c r="X768" s="88"/>
      <c r="Y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Q769" s="88"/>
      <c r="R769" s="88"/>
      <c r="S769" s="88"/>
      <c r="T769" s="88"/>
      <c r="U769" s="88"/>
      <c r="V769" s="88"/>
      <c r="W769" s="88"/>
      <c r="X769" s="88"/>
      <c r="Y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Q770" s="88"/>
      <c r="R770" s="88"/>
      <c r="S770" s="88"/>
      <c r="T770" s="88"/>
      <c r="U770" s="88"/>
      <c r="V770" s="88"/>
      <c r="W770" s="88"/>
      <c r="X770" s="88"/>
      <c r="Y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Q771" s="88"/>
      <c r="R771" s="88"/>
      <c r="S771" s="88"/>
      <c r="T771" s="88"/>
      <c r="U771" s="88"/>
      <c r="V771" s="88"/>
      <c r="W771" s="88"/>
      <c r="X771" s="88"/>
      <c r="Y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Q772" s="88"/>
      <c r="R772" s="88"/>
      <c r="S772" s="88"/>
      <c r="T772" s="88"/>
      <c r="U772" s="88"/>
      <c r="V772" s="88"/>
      <c r="W772" s="88"/>
      <c r="X772" s="88"/>
      <c r="Y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Q773" s="88"/>
      <c r="R773" s="88"/>
      <c r="S773" s="88"/>
      <c r="T773" s="88"/>
      <c r="U773" s="88"/>
      <c r="V773" s="88"/>
      <c r="W773" s="88"/>
      <c r="X773" s="88"/>
      <c r="Y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Q774" s="88"/>
      <c r="R774" s="88"/>
      <c r="S774" s="88"/>
      <c r="T774" s="88"/>
      <c r="U774" s="88"/>
      <c r="V774" s="88"/>
      <c r="W774" s="88"/>
      <c r="X774" s="88"/>
      <c r="Y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Q775" s="88"/>
      <c r="R775" s="88"/>
      <c r="S775" s="88"/>
      <c r="T775" s="88"/>
      <c r="U775" s="88"/>
      <c r="V775" s="88"/>
      <c r="W775" s="88"/>
      <c r="X775" s="88"/>
      <c r="Y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Q776" s="88"/>
      <c r="R776" s="88"/>
      <c r="S776" s="88"/>
      <c r="T776" s="88"/>
      <c r="U776" s="88"/>
      <c r="V776" s="88"/>
      <c r="W776" s="88"/>
      <c r="X776" s="88"/>
      <c r="Y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Q777" s="88"/>
      <c r="R777" s="88"/>
      <c r="S777" s="88"/>
      <c r="T777" s="88"/>
      <c r="U777" s="88"/>
      <c r="V777" s="88"/>
      <c r="W777" s="88"/>
      <c r="X777" s="88"/>
      <c r="Y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Q778" s="88"/>
      <c r="R778" s="88"/>
      <c r="S778" s="88"/>
      <c r="T778" s="88"/>
      <c r="U778" s="88"/>
      <c r="V778" s="88"/>
      <c r="W778" s="88"/>
      <c r="X778" s="88"/>
      <c r="Y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Q779" s="88"/>
      <c r="R779" s="88"/>
      <c r="S779" s="88"/>
      <c r="T779" s="88"/>
      <c r="U779" s="88"/>
      <c r="V779" s="88"/>
      <c r="W779" s="88"/>
      <c r="X779" s="88"/>
      <c r="Y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Q780" s="88"/>
      <c r="R780" s="88"/>
      <c r="S780" s="88"/>
      <c r="T780" s="88"/>
      <c r="U780" s="88"/>
      <c r="V780" s="88"/>
      <c r="W780" s="88"/>
      <c r="X780" s="88"/>
      <c r="Y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Q781" s="88"/>
      <c r="R781" s="88"/>
      <c r="S781" s="88"/>
      <c r="T781" s="88"/>
      <c r="U781" s="88"/>
      <c r="V781" s="88"/>
      <c r="W781" s="88"/>
      <c r="X781" s="88"/>
      <c r="Y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Q782" s="88"/>
      <c r="R782" s="88"/>
      <c r="S782" s="88"/>
      <c r="T782" s="88"/>
      <c r="U782" s="88"/>
      <c r="V782" s="88"/>
      <c r="W782" s="88"/>
      <c r="X782" s="88"/>
      <c r="Y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Q783" s="88"/>
      <c r="R783" s="88"/>
      <c r="S783" s="88"/>
      <c r="T783" s="88"/>
      <c r="U783" s="88"/>
      <c r="V783" s="88"/>
      <c r="W783" s="88"/>
      <c r="X783" s="88"/>
      <c r="Y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Q784" s="88"/>
      <c r="R784" s="88"/>
      <c r="S784" s="88"/>
      <c r="T784" s="88"/>
      <c r="U784" s="88"/>
      <c r="V784" s="88"/>
      <c r="W784" s="88"/>
      <c r="X784" s="88"/>
      <c r="Y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Q785" s="88"/>
      <c r="R785" s="88"/>
      <c r="S785" s="88"/>
      <c r="T785" s="88"/>
      <c r="U785" s="88"/>
      <c r="V785" s="88"/>
      <c r="W785" s="88"/>
      <c r="X785" s="88"/>
      <c r="Y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Q786" s="88"/>
      <c r="R786" s="88"/>
      <c r="S786" s="88"/>
      <c r="T786" s="88"/>
      <c r="U786" s="88"/>
      <c r="V786" s="88"/>
      <c r="W786" s="88"/>
      <c r="X786" s="88"/>
      <c r="Y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Q787" s="88"/>
      <c r="R787" s="88"/>
      <c r="S787" s="88"/>
      <c r="T787" s="88"/>
      <c r="U787" s="88"/>
      <c r="V787" s="88"/>
      <c r="W787" s="88"/>
      <c r="X787" s="88"/>
      <c r="Y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Q788" s="88"/>
      <c r="R788" s="88"/>
      <c r="S788" s="88"/>
      <c r="T788" s="88"/>
      <c r="U788" s="88"/>
      <c r="V788" s="88"/>
      <c r="W788" s="88"/>
      <c r="X788" s="88"/>
      <c r="Y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Q789" s="88"/>
      <c r="R789" s="88"/>
      <c r="S789" s="88"/>
      <c r="T789" s="88"/>
      <c r="U789" s="88"/>
      <c r="V789" s="88"/>
      <c r="W789" s="88"/>
      <c r="X789" s="88"/>
      <c r="Y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Q790" s="88"/>
      <c r="R790" s="88"/>
      <c r="S790" s="88"/>
      <c r="T790" s="88"/>
      <c r="U790" s="88"/>
      <c r="V790" s="88"/>
      <c r="W790" s="88"/>
      <c r="X790" s="88"/>
      <c r="Y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Q791" s="88"/>
      <c r="R791" s="88"/>
      <c r="S791" s="88"/>
      <c r="T791" s="88"/>
      <c r="U791" s="88"/>
      <c r="V791" s="88"/>
      <c r="W791" s="88"/>
      <c r="X791" s="88"/>
      <c r="Y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Q792" s="88"/>
      <c r="R792" s="88"/>
      <c r="S792" s="88"/>
      <c r="T792" s="88"/>
      <c r="U792" s="88"/>
      <c r="V792" s="88"/>
      <c r="W792" s="88"/>
      <c r="X792" s="88"/>
      <c r="Y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Q793" s="88"/>
      <c r="R793" s="88"/>
      <c r="S793" s="88"/>
      <c r="T793" s="88"/>
      <c r="U793" s="88"/>
      <c r="V793" s="88"/>
      <c r="W793" s="88"/>
      <c r="X793" s="88"/>
      <c r="Y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Q794" s="88"/>
      <c r="R794" s="88"/>
      <c r="S794" s="88"/>
      <c r="T794" s="88"/>
      <c r="U794" s="88"/>
      <c r="V794" s="88"/>
      <c r="W794" s="88"/>
      <c r="X794" s="88"/>
      <c r="Y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Q795" s="88"/>
      <c r="R795" s="88"/>
      <c r="S795" s="88"/>
      <c r="T795" s="88"/>
      <c r="U795" s="88"/>
      <c r="V795" s="88"/>
      <c r="W795" s="88"/>
      <c r="X795" s="88"/>
      <c r="Y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Q796" s="88"/>
      <c r="R796" s="88"/>
      <c r="S796" s="88"/>
      <c r="T796" s="88"/>
      <c r="U796" s="88"/>
      <c r="V796" s="88"/>
      <c r="W796" s="88"/>
      <c r="X796" s="88"/>
      <c r="Y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Q797" s="88"/>
      <c r="R797" s="88"/>
      <c r="S797" s="88"/>
      <c r="T797" s="88"/>
      <c r="U797" s="88"/>
      <c r="V797" s="88"/>
      <c r="W797" s="88"/>
      <c r="X797" s="88"/>
      <c r="Y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Q798" s="88"/>
      <c r="R798" s="88"/>
      <c r="S798" s="88"/>
      <c r="T798" s="88"/>
      <c r="U798" s="88"/>
      <c r="V798" s="88"/>
      <c r="W798" s="88"/>
      <c r="X798" s="88"/>
      <c r="Y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Q799" s="88"/>
      <c r="R799" s="88"/>
      <c r="S799" s="88"/>
      <c r="T799" s="88"/>
      <c r="U799" s="88"/>
      <c r="V799" s="88"/>
      <c r="W799" s="88"/>
      <c r="X799" s="88"/>
      <c r="Y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Q800" s="88"/>
      <c r="R800" s="88"/>
      <c r="S800" s="88"/>
      <c r="T800" s="88"/>
      <c r="U800" s="88"/>
      <c r="V800" s="88"/>
      <c r="W800" s="88"/>
      <c r="X800" s="88"/>
      <c r="Y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Q801" s="88"/>
      <c r="R801" s="88"/>
      <c r="S801" s="88"/>
      <c r="T801" s="88"/>
      <c r="U801" s="88"/>
      <c r="V801" s="88"/>
      <c r="W801" s="88"/>
      <c r="X801" s="88"/>
      <c r="Y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Q802" s="88"/>
      <c r="R802" s="88"/>
      <c r="S802" s="88"/>
      <c r="T802" s="88"/>
      <c r="U802" s="88"/>
      <c r="V802" s="88"/>
      <c r="W802" s="88"/>
      <c r="X802" s="88"/>
      <c r="Y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Q803" s="88"/>
      <c r="R803" s="88"/>
      <c r="S803" s="88"/>
      <c r="T803" s="88"/>
      <c r="U803" s="88"/>
      <c r="V803" s="88"/>
      <c r="W803" s="88"/>
      <c r="X803" s="88"/>
      <c r="Y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Q804" s="88"/>
      <c r="R804" s="88"/>
      <c r="S804" s="88"/>
      <c r="T804" s="88"/>
      <c r="U804" s="88"/>
      <c r="V804" s="88"/>
      <c r="W804" s="88"/>
      <c r="X804" s="88"/>
      <c r="Y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Q805" s="88"/>
      <c r="R805" s="88"/>
      <c r="S805" s="88"/>
      <c r="T805" s="88"/>
      <c r="U805" s="88"/>
      <c r="V805" s="88"/>
      <c r="W805" s="88"/>
      <c r="X805" s="88"/>
      <c r="Y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Q806" s="88"/>
      <c r="R806" s="88"/>
      <c r="S806" s="88"/>
      <c r="T806" s="88"/>
      <c r="U806" s="88"/>
      <c r="V806" s="88"/>
      <c r="W806" s="88"/>
      <c r="X806" s="88"/>
      <c r="Y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Q807" s="88"/>
      <c r="R807" s="88"/>
      <c r="S807" s="88"/>
      <c r="T807" s="88"/>
      <c r="U807" s="88"/>
      <c r="V807" s="88"/>
      <c r="W807" s="88"/>
      <c r="X807" s="88"/>
      <c r="Y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Q808" s="88"/>
      <c r="R808" s="88"/>
      <c r="S808" s="88"/>
      <c r="T808" s="88"/>
      <c r="U808" s="88"/>
      <c r="V808" s="88"/>
      <c r="W808" s="88"/>
      <c r="X808" s="88"/>
      <c r="Y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Q809" s="88"/>
      <c r="R809" s="88"/>
      <c r="S809" s="88"/>
      <c r="T809" s="88"/>
      <c r="U809" s="88"/>
      <c r="V809" s="88"/>
      <c r="W809" s="88"/>
      <c r="X809" s="88"/>
      <c r="Y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Q810" s="88"/>
      <c r="R810" s="88"/>
      <c r="S810" s="88"/>
      <c r="T810" s="88"/>
      <c r="U810" s="88"/>
      <c r="V810" s="88"/>
      <c r="W810" s="88"/>
      <c r="X810" s="88"/>
      <c r="Y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Q811" s="88"/>
      <c r="R811" s="88"/>
      <c r="S811" s="88"/>
      <c r="T811" s="88"/>
      <c r="U811" s="88"/>
      <c r="V811" s="88"/>
      <c r="W811" s="88"/>
      <c r="X811" s="88"/>
      <c r="Y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Q812" s="88"/>
      <c r="R812" s="88"/>
      <c r="S812" s="88"/>
      <c r="T812" s="88"/>
      <c r="U812" s="88"/>
      <c r="V812" s="88"/>
      <c r="W812" s="88"/>
      <c r="X812" s="88"/>
      <c r="Y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Q813" s="88"/>
      <c r="R813" s="88"/>
      <c r="S813" s="88"/>
      <c r="T813" s="88"/>
      <c r="U813" s="88"/>
      <c r="V813" s="88"/>
      <c r="W813" s="88"/>
      <c r="X813" s="88"/>
      <c r="Y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Q814" s="88"/>
      <c r="R814" s="88"/>
      <c r="S814" s="88"/>
      <c r="T814" s="88"/>
      <c r="U814" s="88"/>
      <c r="V814" s="88"/>
      <c r="W814" s="88"/>
      <c r="X814" s="88"/>
      <c r="Y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Q815" s="88"/>
      <c r="R815" s="88"/>
      <c r="S815" s="88"/>
      <c r="T815" s="88"/>
      <c r="U815" s="88"/>
      <c r="V815" s="88"/>
      <c r="W815" s="88"/>
      <c r="X815" s="88"/>
      <c r="Y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Q816" s="88"/>
      <c r="R816" s="88"/>
      <c r="S816" s="88"/>
      <c r="T816" s="88"/>
      <c r="U816" s="88"/>
      <c r="V816" s="88"/>
      <c r="W816" s="88"/>
      <c r="X816" s="88"/>
      <c r="Y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Q817" s="88"/>
      <c r="R817" s="88"/>
      <c r="S817" s="88"/>
      <c r="T817" s="88"/>
      <c r="U817" s="88"/>
      <c r="V817" s="88"/>
      <c r="W817" s="88"/>
      <c r="X817" s="88"/>
      <c r="Y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Q818" s="88"/>
      <c r="R818" s="88"/>
      <c r="S818" s="88"/>
      <c r="T818" s="88"/>
      <c r="U818" s="88"/>
      <c r="V818" s="88"/>
      <c r="W818" s="88"/>
      <c r="X818" s="88"/>
      <c r="Y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Q819" s="88"/>
      <c r="R819" s="88"/>
      <c r="S819" s="88"/>
      <c r="T819" s="88"/>
      <c r="U819" s="88"/>
      <c r="V819" s="88"/>
      <c r="W819" s="88"/>
      <c r="X819" s="88"/>
      <c r="Y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Q820" s="88"/>
      <c r="R820" s="88"/>
      <c r="S820" s="88"/>
      <c r="T820" s="88"/>
      <c r="U820" s="88"/>
      <c r="V820" s="88"/>
      <c r="W820" s="88"/>
      <c r="X820" s="88"/>
      <c r="Y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Q821" s="88"/>
      <c r="R821" s="88"/>
      <c r="S821" s="88"/>
      <c r="T821" s="88"/>
      <c r="U821" s="88"/>
      <c r="V821" s="88"/>
      <c r="W821" s="88"/>
      <c r="X821" s="88"/>
      <c r="Y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Q822" s="88"/>
      <c r="R822" s="88"/>
      <c r="S822" s="88"/>
      <c r="T822" s="88"/>
      <c r="U822" s="88"/>
      <c r="V822" s="88"/>
      <c r="W822" s="88"/>
      <c r="X822" s="88"/>
      <c r="Y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Q823" s="88"/>
      <c r="R823" s="88"/>
      <c r="S823" s="88"/>
      <c r="T823" s="88"/>
      <c r="U823" s="88"/>
      <c r="V823" s="88"/>
      <c r="W823" s="88"/>
      <c r="X823" s="88"/>
      <c r="Y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Q824" s="88"/>
      <c r="R824" s="88"/>
      <c r="S824" s="88"/>
      <c r="T824" s="88"/>
      <c r="U824" s="88"/>
      <c r="V824" s="88"/>
      <c r="W824" s="88"/>
      <c r="X824" s="88"/>
      <c r="Y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Q825" s="88"/>
      <c r="R825" s="88"/>
      <c r="S825" s="88"/>
      <c r="T825" s="88"/>
      <c r="U825" s="88"/>
      <c r="V825" s="88"/>
      <c r="W825" s="88"/>
      <c r="X825" s="88"/>
      <c r="Y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Q826" s="88"/>
      <c r="R826" s="88"/>
      <c r="S826" s="88"/>
      <c r="T826" s="88"/>
      <c r="U826" s="88"/>
      <c r="V826" s="88"/>
      <c r="W826" s="88"/>
      <c r="X826" s="88"/>
      <c r="Y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Q827" s="88"/>
      <c r="R827" s="88"/>
      <c r="S827" s="88"/>
      <c r="T827" s="88"/>
      <c r="U827" s="88"/>
      <c r="V827" s="88"/>
      <c r="W827" s="88"/>
      <c r="X827" s="88"/>
      <c r="Y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Q828" s="88"/>
      <c r="R828" s="88"/>
      <c r="S828" s="88"/>
      <c r="T828" s="88"/>
      <c r="U828" s="88"/>
      <c r="V828" s="88"/>
      <c r="W828" s="88"/>
      <c r="X828" s="88"/>
      <c r="Y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Q829" s="88"/>
      <c r="R829" s="88"/>
      <c r="S829" s="88"/>
      <c r="T829" s="88"/>
      <c r="U829" s="88"/>
      <c r="V829" s="88"/>
      <c r="W829" s="88"/>
      <c r="X829" s="88"/>
      <c r="Y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Q830" s="88"/>
      <c r="R830" s="88"/>
      <c r="S830" s="88"/>
      <c r="T830" s="88"/>
      <c r="U830" s="88"/>
      <c r="V830" s="88"/>
      <c r="W830" s="88"/>
      <c r="X830" s="88"/>
      <c r="Y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Q831" s="88"/>
      <c r="R831" s="88"/>
      <c r="S831" s="88"/>
      <c r="T831" s="88"/>
      <c r="U831" s="88"/>
      <c r="V831" s="88"/>
      <c r="W831" s="88"/>
      <c r="X831" s="88"/>
      <c r="Y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Q832" s="88"/>
      <c r="R832" s="88"/>
      <c r="S832" s="88"/>
      <c r="T832" s="88"/>
      <c r="U832" s="88"/>
      <c r="V832" s="88"/>
      <c r="W832" s="88"/>
      <c r="X832" s="88"/>
      <c r="Y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Q833" s="88"/>
      <c r="R833" s="88"/>
      <c r="S833" s="88"/>
      <c r="T833" s="88"/>
      <c r="U833" s="88"/>
      <c r="V833" s="88"/>
      <c r="W833" s="88"/>
      <c r="X833" s="88"/>
      <c r="Y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Q834" s="88"/>
      <c r="R834" s="88"/>
      <c r="S834" s="88"/>
      <c r="T834" s="88"/>
      <c r="U834" s="88"/>
      <c r="V834" s="88"/>
      <c r="W834" s="88"/>
      <c r="X834" s="88"/>
      <c r="Y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Q835" s="88"/>
      <c r="R835" s="88"/>
      <c r="S835" s="88"/>
      <c r="T835" s="88"/>
      <c r="U835" s="88"/>
      <c r="V835" s="88"/>
      <c r="W835" s="88"/>
      <c r="X835" s="88"/>
      <c r="Y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Q836" s="88"/>
      <c r="R836" s="88"/>
      <c r="S836" s="88"/>
      <c r="T836" s="88"/>
      <c r="U836" s="88"/>
      <c r="V836" s="88"/>
      <c r="W836" s="88"/>
      <c r="X836" s="88"/>
      <c r="Y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Q837" s="88"/>
      <c r="R837" s="88"/>
      <c r="S837" s="88"/>
      <c r="T837" s="88"/>
      <c r="U837" s="88"/>
      <c r="V837" s="88"/>
      <c r="W837" s="88"/>
      <c r="X837" s="88"/>
      <c r="Y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Q838" s="88"/>
      <c r="R838" s="88"/>
      <c r="S838" s="88"/>
      <c r="T838" s="88"/>
      <c r="U838" s="88"/>
      <c r="V838" s="88"/>
      <c r="W838" s="88"/>
      <c r="X838" s="88"/>
      <c r="Y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Q839" s="88"/>
      <c r="R839" s="88"/>
      <c r="S839" s="88"/>
      <c r="T839" s="88"/>
      <c r="U839" s="88"/>
      <c r="V839" s="88"/>
      <c r="W839" s="88"/>
      <c r="X839" s="88"/>
      <c r="Y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Q840" s="88"/>
      <c r="R840" s="88"/>
      <c r="S840" s="88"/>
      <c r="T840" s="88"/>
      <c r="U840" s="88"/>
      <c r="V840" s="88"/>
      <c r="W840" s="88"/>
      <c r="X840" s="88"/>
      <c r="Y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Q841" s="88"/>
      <c r="R841" s="88"/>
      <c r="S841" s="88"/>
      <c r="T841" s="88"/>
      <c r="U841" s="88"/>
      <c r="V841" s="88"/>
      <c r="W841" s="88"/>
      <c r="X841" s="88"/>
      <c r="Y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Q842" s="88"/>
      <c r="R842" s="88"/>
      <c r="S842" s="88"/>
      <c r="T842" s="88"/>
      <c r="U842" s="88"/>
      <c r="V842" s="88"/>
      <c r="W842" s="88"/>
      <c r="X842" s="88"/>
      <c r="Y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Q843" s="88"/>
      <c r="R843" s="88"/>
      <c r="S843" s="88"/>
      <c r="T843" s="88"/>
      <c r="U843" s="88"/>
      <c r="V843" s="88"/>
      <c r="W843" s="88"/>
      <c r="X843" s="88"/>
      <c r="Y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Q844" s="88"/>
      <c r="R844" s="88"/>
      <c r="S844" s="88"/>
      <c r="T844" s="88"/>
      <c r="U844" s="88"/>
      <c r="V844" s="88"/>
      <c r="W844" s="88"/>
      <c r="X844" s="88"/>
      <c r="Y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Q845" s="88"/>
      <c r="R845" s="88"/>
      <c r="S845" s="88"/>
      <c r="T845" s="88"/>
      <c r="U845" s="88"/>
      <c r="V845" s="88"/>
      <c r="W845" s="88"/>
      <c r="X845" s="88"/>
      <c r="Y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Q846" s="88"/>
      <c r="R846" s="88"/>
      <c r="S846" s="88"/>
      <c r="T846" s="88"/>
      <c r="U846" s="88"/>
      <c r="V846" s="88"/>
      <c r="W846" s="88"/>
      <c r="X846" s="88"/>
      <c r="Y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Q847" s="88"/>
      <c r="R847" s="88"/>
      <c r="S847" s="88"/>
      <c r="T847" s="88"/>
      <c r="U847" s="88"/>
      <c r="V847" s="88"/>
      <c r="W847" s="88"/>
      <c r="X847" s="88"/>
      <c r="Y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Q848" s="88"/>
      <c r="R848" s="88"/>
      <c r="S848" s="88"/>
      <c r="T848" s="88"/>
      <c r="U848" s="88"/>
      <c r="V848" s="88"/>
      <c r="W848" s="88"/>
      <c r="X848" s="88"/>
      <c r="Y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Q849" s="88"/>
      <c r="R849" s="88"/>
      <c r="S849" s="88"/>
      <c r="T849" s="88"/>
      <c r="U849" s="88"/>
      <c r="V849" s="88"/>
      <c r="W849" s="88"/>
      <c r="X849" s="88"/>
      <c r="Y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Q850" s="88"/>
      <c r="R850" s="88"/>
      <c r="S850" s="88"/>
      <c r="T850" s="88"/>
      <c r="U850" s="88"/>
      <c r="V850" s="88"/>
      <c r="W850" s="88"/>
      <c r="X850" s="88"/>
      <c r="Y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Q851" s="88"/>
      <c r="R851" s="88"/>
      <c r="S851" s="88"/>
      <c r="T851" s="88"/>
      <c r="U851" s="88"/>
      <c r="V851" s="88"/>
      <c r="W851" s="88"/>
      <c r="X851" s="88"/>
      <c r="Y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Q852" s="88"/>
      <c r="R852" s="88"/>
      <c r="S852" s="88"/>
      <c r="T852" s="88"/>
      <c r="U852" s="88"/>
      <c r="V852" s="88"/>
      <c r="W852" s="88"/>
      <c r="X852" s="88"/>
      <c r="Y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Q853" s="88"/>
      <c r="R853" s="88"/>
      <c r="S853" s="88"/>
      <c r="T853" s="88"/>
      <c r="U853" s="88"/>
      <c r="V853" s="88"/>
      <c r="W853" s="88"/>
      <c r="X853" s="88"/>
      <c r="Y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Q854" s="88"/>
      <c r="R854" s="88"/>
      <c r="S854" s="88"/>
      <c r="T854" s="88"/>
      <c r="U854" s="88"/>
      <c r="V854" s="88"/>
      <c r="W854" s="88"/>
      <c r="X854" s="88"/>
      <c r="Y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Q855" s="88"/>
      <c r="R855" s="88"/>
      <c r="S855" s="88"/>
      <c r="T855" s="88"/>
      <c r="U855" s="88"/>
      <c r="V855" s="88"/>
      <c r="W855" s="88"/>
      <c r="X855" s="88"/>
      <c r="Y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Q856" s="88"/>
      <c r="R856" s="88"/>
      <c r="S856" s="88"/>
      <c r="T856" s="88"/>
      <c r="U856" s="88"/>
      <c r="V856" s="88"/>
      <c r="W856" s="88"/>
      <c r="X856" s="88"/>
      <c r="Y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Q857" s="88"/>
      <c r="R857" s="88"/>
      <c r="S857" s="88"/>
      <c r="T857" s="88"/>
      <c r="U857" s="88"/>
      <c r="V857" s="88"/>
      <c r="W857" s="88"/>
      <c r="X857" s="88"/>
      <c r="Y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Q858" s="88"/>
      <c r="R858" s="88"/>
      <c r="S858" s="88"/>
      <c r="T858" s="88"/>
      <c r="U858" s="88"/>
      <c r="V858" s="88"/>
      <c r="W858" s="88"/>
      <c r="X858" s="88"/>
      <c r="Y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Q859" s="88"/>
      <c r="R859" s="88"/>
      <c r="S859" s="88"/>
      <c r="T859" s="88"/>
      <c r="U859" s="88"/>
      <c r="V859" s="88"/>
      <c r="W859" s="88"/>
      <c r="X859" s="88"/>
      <c r="Y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Q860" s="88"/>
      <c r="R860" s="88"/>
      <c r="S860" s="88"/>
      <c r="T860" s="88"/>
      <c r="U860" s="88"/>
      <c r="V860" s="88"/>
      <c r="W860" s="88"/>
      <c r="X860" s="88"/>
      <c r="Y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Q861" s="88"/>
      <c r="R861" s="88"/>
      <c r="S861" s="88"/>
      <c r="T861" s="88"/>
      <c r="U861" s="88"/>
      <c r="V861" s="88"/>
      <c r="W861" s="88"/>
      <c r="X861" s="88"/>
      <c r="Y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Q862" s="88"/>
      <c r="R862" s="88"/>
      <c r="S862" s="88"/>
      <c r="T862" s="88"/>
      <c r="U862" s="88"/>
      <c r="V862" s="88"/>
      <c r="W862" s="88"/>
      <c r="X862" s="88"/>
      <c r="Y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Q863" s="88"/>
      <c r="R863" s="88"/>
      <c r="S863" s="88"/>
      <c r="T863" s="88"/>
      <c r="U863" s="88"/>
      <c r="V863" s="88"/>
      <c r="W863" s="88"/>
      <c r="X863" s="88"/>
      <c r="Y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Q864" s="88"/>
      <c r="R864" s="88"/>
      <c r="S864" s="88"/>
      <c r="T864" s="88"/>
      <c r="U864" s="88"/>
      <c r="V864" s="88"/>
      <c r="W864" s="88"/>
      <c r="X864" s="88"/>
      <c r="Y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Q865" s="88"/>
      <c r="R865" s="88"/>
      <c r="S865" s="88"/>
      <c r="T865" s="88"/>
      <c r="U865" s="88"/>
      <c r="V865" s="88"/>
      <c r="W865" s="88"/>
      <c r="X865" s="88"/>
      <c r="Y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Q866" s="88"/>
      <c r="R866" s="88"/>
      <c r="S866" s="88"/>
      <c r="T866" s="88"/>
      <c r="U866" s="88"/>
      <c r="V866" s="88"/>
      <c r="W866" s="88"/>
      <c r="X866" s="88"/>
      <c r="Y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Q867" s="88"/>
      <c r="R867" s="88"/>
      <c r="S867" s="88"/>
      <c r="T867" s="88"/>
      <c r="U867" s="88"/>
      <c r="V867" s="88"/>
      <c r="W867" s="88"/>
      <c r="X867" s="88"/>
      <c r="Y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Q868" s="88"/>
      <c r="R868" s="88"/>
      <c r="S868" s="88"/>
      <c r="T868" s="88"/>
      <c r="U868" s="88"/>
      <c r="V868" s="88"/>
      <c r="W868" s="88"/>
      <c r="X868" s="88"/>
      <c r="Y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Q869" s="88"/>
      <c r="R869" s="88"/>
      <c r="S869" s="88"/>
      <c r="T869" s="88"/>
      <c r="U869" s="88"/>
      <c r="V869" s="88"/>
      <c r="W869" s="88"/>
      <c r="X869" s="88"/>
      <c r="Y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Q870" s="88"/>
      <c r="R870" s="88"/>
      <c r="S870" s="88"/>
      <c r="T870" s="88"/>
      <c r="U870" s="88"/>
      <c r="V870" s="88"/>
      <c r="W870" s="88"/>
      <c r="X870" s="88"/>
      <c r="Y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Q871" s="88"/>
      <c r="R871" s="88"/>
      <c r="S871" s="88"/>
      <c r="T871" s="88"/>
      <c r="U871" s="88"/>
      <c r="V871" s="88"/>
      <c r="W871" s="88"/>
      <c r="X871" s="88"/>
      <c r="Y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Q872" s="88"/>
      <c r="R872" s="88"/>
      <c r="S872" s="88"/>
      <c r="T872" s="88"/>
      <c r="U872" s="88"/>
      <c r="V872" s="88"/>
      <c r="W872" s="88"/>
      <c r="X872" s="88"/>
      <c r="Y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Q873" s="88"/>
      <c r="R873" s="88"/>
      <c r="S873" s="88"/>
      <c r="T873" s="88"/>
      <c r="U873" s="88"/>
      <c r="V873" s="88"/>
      <c r="W873" s="88"/>
      <c r="X873" s="88"/>
      <c r="Y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Q874" s="88"/>
      <c r="R874" s="88"/>
      <c r="S874" s="88"/>
      <c r="T874" s="88"/>
      <c r="U874" s="88"/>
      <c r="V874" s="88"/>
      <c r="W874" s="88"/>
      <c r="X874" s="88"/>
      <c r="Y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Q875" s="88"/>
      <c r="R875" s="88"/>
      <c r="S875" s="88"/>
      <c r="T875" s="88"/>
      <c r="U875" s="88"/>
      <c r="V875" s="88"/>
      <c r="W875" s="88"/>
      <c r="X875" s="88"/>
      <c r="Y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Q876" s="88"/>
      <c r="R876" s="88"/>
      <c r="S876" s="88"/>
      <c r="T876" s="88"/>
      <c r="U876" s="88"/>
      <c r="V876" s="88"/>
      <c r="W876" s="88"/>
      <c r="X876" s="88"/>
      <c r="Y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Q877" s="88"/>
      <c r="R877" s="88"/>
      <c r="S877" s="88"/>
      <c r="T877" s="88"/>
      <c r="U877" s="88"/>
      <c r="V877" s="88"/>
      <c r="W877" s="88"/>
      <c r="X877" s="88"/>
      <c r="Y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Q878" s="88"/>
      <c r="R878" s="88"/>
      <c r="S878" s="88"/>
      <c r="T878" s="88"/>
      <c r="U878" s="88"/>
      <c r="V878" s="88"/>
      <c r="W878" s="88"/>
      <c r="X878" s="88"/>
      <c r="Y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Q879" s="88"/>
      <c r="R879" s="88"/>
      <c r="S879" s="88"/>
      <c r="T879" s="88"/>
      <c r="U879" s="88"/>
      <c r="V879" s="88"/>
      <c r="W879" s="88"/>
      <c r="X879" s="88"/>
      <c r="Y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Q880" s="88"/>
      <c r="R880" s="88"/>
      <c r="S880" s="88"/>
      <c r="T880" s="88"/>
      <c r="U880" s="88"/>
      <c r="V880" s="88"/>
      <c r="W880" s="88"/>
      <c r="X880" s="88"/>
      <c r="Y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Q881" s="88"/>
      <c r="R881" s="88"/>
      <c r="S881" s="88"/>
      <c r="T881" s="88"/>
      <c r="U881" s="88"/>
      <c r="V881" s="88"/>
      <c r="W881" s="88"/>
      <c r="X881" s="88"/>
      <c r="Y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Q882" s="88"/>
      <c r="R882" s="88"/>
      <c r="S882" s="88"/>
      <c r="T882" s="88"/>
      <c r="U882" s="88"/>
      <c r="V882" s="88"/>
      <c r="W882" s="88"/>
      <c r="X882" s="88"/>
      <c r="Y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Q883" s="88"/>
      <c r="R883" s="88"/>
      <c r="S883" s="88"/>
      <c r="T883" s="88"/>
      <c r="U883" s="88"/>
      <c r="V883" s="88"/>
      <c r="W883" s="88"/>
      <c r="X883" s="88"/>
      <c r="Y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Q884" s="88"/>
      <c r="R884" s="88"/>
      <c r="S884" s="88"/>
      <c r="T884" s="88"/>
      <c r="U884" s="88"/>
      <c r="V884" s="88"/>
      <c r="W884" s="88"/>
      <c r="X884" s="88"/>
      <c r="Y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Q885" s="88"/>
      <c r="R885" s="88"/>
      <c r="S885" s="88"/>
      <c r="T885" s="88"/>
      <c r="U885" s="88"/>
      <c r="V885" s="88"/>
      <c r="W885" s="88"/>
      <c r="X885" s="88"/>
      <c r="Y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Q886" s="88"/>
      <c r="R886" s="88"/>
      <c r="S886" s="88"/>
      <c r="T886" s="88"/>
      <c r="U886" s="88"/>
      <c r="V886" s="88"/>
      <c r="W886" s="88"/>
      <c r="X886" s="88"/>
      <c r="Y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Q887" s="88"/>
      <c r="R887" s="88"/>
      <c r="S887" s="88"/>
      <c r="T887" s="88"/>
      <c r="U887" s="88"/>
      <c r="V887" s="88"/>
      <c r="W887" s="88"/>
      <c r="X887" s="88"/>
      <c r="Y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Q888" s="88"/>
      <c r="R888" s="88"/>
      <c r="S888" s="88"/>
      <c r="T888" s="88"/>
      <c r="U888" s="88"/>
      <c r="V888" s="88"/>
      <c r="W888" s="88"/>
      <c r="X888" s="88"/>
      <c r="Y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Q889" s="88"/>
      <c r="R889" s="88"/>
      <c r="S889" s="88"/>
      <c r="T889" s="88"/>
      <c r="U889" s="88"/>
      <c r="V889" s="88"/>
      <c r="W889" s="88"/>
      <c r="X889" s="88"/>
      <c r="Y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Q890" s="88"/>
      <c r="R890" s="88"/>
      <c r="S890" s="88"/>
      <c r="T890" s="88"/>
      <c r="U890" s="88"/>
      <c r="V890" s="88"/>
      <c r="W890" s="88"/>
      <c r="X890" s="88"/>
      <c r="Y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Q891" s="88"/>
      <c r="R891" s="88"/>
      <c r="S891" s="88"/>
      <c r="T891" s="88"/>
      <c r="U891" s="88"/>
      <c r="V891" s="88"/>
      <c r="W891" s="88"/>
      <c r="X891" s="88"/>
      <c r="Y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Q892" s="88"/>
      <c r="R892" s="88"/>
      <c r="S892" s="88"/>
      <c r="T892" s="88"/>
      <c r="U892" s="88"/>
      <c r="V892" s="88"/>
      <c r="W892" s="88"/>
      <c r="X892" s="88"/>
      <c r="Y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Q893" s="88"/>
      <c r="R893" s="88"/>
      <c r="S893" s="88"/>
      <c r="T893" s="88"/>
      <c r="U893" s="88"/>
      <c r="V893" s="88"/>
      <c r="W893" s="88"/>
      <c r="X893" s="88"/>
      <c r="Y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Q894" s="88"/>
      <c r="R894" s="88"/>
      <c r="S894" s="88"/>
      <c r="T894" s="88"/>
      <c r="U894" s="88"/>
      <c r="V894" s="88"/>
      <c r="W894" s="88"/>
      <c r="X894" s="88"/>
      <c r="Y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Q895" s="88"/>
      <c r="R895" s="88"/>
      <c r="S895" s="88"/>
      <c r="T895" s="88"/>
      <c r="U895" s="88"/>
      <c r="V895" s="88"/>
      <c r="W895" s="88"/>
      <c r="X895" s="88"/>
      <c r="Y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Q896" s="88"/>
      <c r="R896" s="88"/>
      <c r="S896" s="88"/>
      <c r="T896" s="88"/>
      <c r="U896" s="88"/>
      <c r="V896" s="88"/>
      <c r="W896" s="88"/>
      <c r="X896" s="88"/>
      <c r="Y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Q897" s="88"/>
      <c r="R897" s="88"/>
      <c r="S897" s="88"/>
      <c r="T897" s="88"/>
      <c r="U897" s="88"/>
      <c r="V897" s="88"/>
      <c r="W897" s="88"/>
      <c r="X897" s="88"/>
      <c r="Y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Q898" s="88"/>
      <c r="R898" s="88"/>
      <c r="S898" s="88"/>
      <c r="T898" s="88"/>
      <c r="U898" s="88"/>
      <c r="V898" s="88"/>
      <c r="W898" s="88"/>
      <c r="X898" s="88"/>
      <c r="Y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Q899" s="88"/>
      <c r="R899" s="88"/>
      <c r="S899" s="88"/>
      <c r="T899" s="88"/>
      <c r="U899" s="88"/>
      <c r="V899" s="88"/>
      <c r="W899" s="88"/>
      <c r="X899" s="88"/>
      <c r="Y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Q900" s="88"/>
      <c r="R900" s="88"/>
      <c r="S900" s="88"/>
      <c r="T900" s="88"/>
      <c r="U900" s="88"/>
      <c r="V900" s="88"/>
      <c r="W900" s="88"/>
      <c r="X900" s="88"/>
      <c r="Y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Q901" s="88"/>
      <c r="R901" s="88"/>
      <c r="S901" s="88"/>
      <c r="T901" s="88"/>
      <c r="U901" s="88"/>
      <c r="V901" s="88"/>
      <c r="W901" s="88"/>
      <c r="X901" s="88"/>
      <c r="Y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Q902" s="88"/>
      <c r="R902" s="88"/>
      <c r="S902" s="88"/>
      <c r="T902" s="88"/>
      <c r="U902" s="88"/>
      <c r="V902" s="88"/>
      <c r="W902" s="88"/>
      <c r="X902" s="88"/>
      <c r="Y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Q903" s="88"/>
      <c r="R903" s="88"/>
      <c r="S903" s="88"/>
      <c r="T903" s="88"/>
      <c r="U903" s="88"/>
      <c r="V903" s="88"/>
      <c r="W903" s="88"/>
      <c r="X903" s="88"/>
      <c r="Y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Q904" s="88"/>
      <c r="R904" s="88"/>
      <c r="S904" s="88"/>
      <c r="T904" s="88"/>
      <c r="U904" s="88"/>
      <c r="V904" s="88"/>
      <c r="W904" s="88"/>
      <c r="X904" s="88"/>
      <c r="Y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Q905" s="88"/>
      <c r="R905" s="88"/>
      <c r="S905" s="88"/>
      <c r="T905" s="88"/>
      <c r="U905" s="88"/>
      <c r="V905" s="88"/>
      <c r="W905" s="88"/>
      <c r="X905" s="88"/>
      <c r="Y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Q906" s="88"/>
      <c r="R906" s="88"/>
      <c r="S906" s="88"/>
      <c r="T906" s="88"/>
      <c r="U906" s="88"/>
      <c r="V906" s="88"/>
      <c r="W906" s="88"/>
      <c r="X906" s="88"/>
      <c r="Y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Q907" s="88"/>
      <c r="R907" s="88"/>
      <c r="S907" s="88"/>
      <c r="T907" s="88"/>
      <c r="U907" s="88"/>
      <c r="V907" s="88"/>
      <c r="W907" s="88"/>
      <c r="X907" s="88"/>
      <c r="Y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Q908" s="88"/>
      <c r="R908" s="88"/>
      <c r="S908" s="88"/>
      <c r="T908" s="88"/>
      <c r="U908" s="88"/>
      <c r="V908" s="88"/>
      <c r="W908" s="88"/>
      <c r="X908" s="88"/>
      <c r="Y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Q909" s="88"/>
      <c r="R909" s="88"/>
      <c r="S909" s="88"/>
      <c r="T909" s="88"/>
      <c r="U909" s="88"/>
      <c r="V909" s="88"/>
      <c r="W909" s="88"/>
      <c r="X909" s="88"/>
      <c r="Y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Q910" s="88"/>
      <c r="R910" s="88"/>
      <c r="S910" s="88"/>
      <c r="T910" s="88"/>
      <c r="U910" s="88"/>
      <c r="V910" s="88"/>
      <c r="W910" s="88"/>
      <c r="X910" s="88"/>
      <c r="Y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Q911" s="88"/>
      <c r="R911" s="88"/>
      <c r="S911" s="88"/>
      <c r="T911" s="88"/>
      <c r="U911" s="88"/>
      <c r="V911" s="88"/>
      <c r="W911" s="88"/>
      <c r="X911" s="88"/>
      <c r="Y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Q912" s="88"/>
      <c r="R912" s="88"/>
      <c r="S912" s="88"/>
      <c r="T912" s="88"/>
      <c r="U912" s="88"/>
      <c r="V912" s="88"/>
      <c r="W912" s="88"/>
      <c r="X912" s="88"/>
      <c r="Y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Q913" s="88"/>
      <c r="R913" s="88"/>
      <c r="S913" s="88"/>
      <c r="T913" s="88"/>
      <c r="U913" s="88"/>
      <c r="V913" s="88"/>
      <c r="W913" s="88"/>
      <c r="X913" s="88"/>
      <c r="Y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Q914" s="88"/>
      <c r="R914" s="88"/>
      <c r="S914" s="88"/>
      <c r="T914" s="88"/>
      <c r="U914" s="88"/>
      <c r="V914" s="88"/>
      <c r="W914" s="88"/>
      <c r="X914" s="88"/>
      <c r="Y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Q915" s="88"/>
      <c r="R915" s="88"/>
      <c r="S915" s="88"/>
      <c r="T915" s="88"/>
      <c r="U915" s="88"/>
      <c r="V915" s="88"/>
      <c r="W915" s="88"/>
      <c r="X915" s="88"/>
      <c r="Y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Q916" s="88"/>
      <c r="R916" s="88"/>
      <c r="S916" s="88"/>
      <c r="T916" s="88"/>
      <c r="U916" s="88"/>
      <c r="V916" s="88"/>
      <c r="W916" s="88"/>
      <c r="X916" s="88"/>
      <c r="Y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Q917" s="88"/>
      <c r="R917" s="88"/>
      <c r="S917" s="88"/>
      <c r="T917" s="88"/>
      <c r="U917" s="88"/>
      <c r="V917" s="88"/>
      <c r="W917" s="88"/>
      <c r="X917" s="88"/>
      <c r="Y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Q918" s="88"/>
      <c r="R918" s="88"/>
      <c r="S918" s="88"/>
      <c r="T918" s="88"/>
      <c r="U918" s="88"/>
      <c r="V918" s="88"/>
      <c r="W918" s="88"/>
      <c r="X918" s="88"/>
      <c r="Y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Q919" s="88"/>
      <c r="R919" s="88"/>
      <c r="S919" s="88"/>
      <c r="T919" s="88"/>
      <c r="U919" s="88"/>
      <c r="V919" s="88"/>
      <c r="W919" s="88"/>
      <c r="X919" s="88"/>
      <c r="Y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Q920" s="88"/>
      <c r="R920" s="88"/>
      <c r="S920" s="88"/>
      <c r="T920" s="88"/>
      <c r="U920" s="88"/>
      <c r="V920" s="88"/>
      <c r="W920" s="88"/>
      <c r="X920" s="88"/>
      <c r="Y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Q921" s="88"/>
      <c r="R921" s="88"/>
      <c r="S921" s="88"/>
      <c r="T921" s="88"/>
      <c r="U921" s="88"/>
      <c r="V921" s="88"/>
      <c r="W921" s="88"/>
      <c r="X921" s="88"/>
      <c r="Y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Q922" s="88"/>
      <c r="R922" s="88"/>
      <c r="S922" s="88"/>
      <c r="T922" s="88"/>
      <c r="U922" s="88"/>
      <c r="V922" s="88"/>
      <c r="W922" s="88"/>
      <c r="X922" s="88"/>
      <c r="Y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Q923" s="88"/>
      <c r="R923" s="88"/>
      <c r="S923" s="88"/>
      <c r="T923" s="88"/>
      <c r="U923" s="88"/>
      <c r="V923" s="88"/>
      <c r="W923" s="88"/>
      <c r="X923" s="88"/>
      <c r="Y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Q924" s="88"/>
      <c r="R924" s="88"/>
      <c r="S924" s="88"/>
      <c r="T924" s="88"/>
      <c r="U924" s="88"/>
      <c r="V924" s="88"/>
      <c r="W924" s="88"/>
      <c r="X924" s="88"/>
      <c r="Y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Q925" s="88"/>
      <c r="R925" s="88"/>
      <c r="S925" s="88"/>
      <c r="T925" s="88"/>
      <c r="U925" s="88"/>
      <c r="V925" s="88"/>
      <c r="W925" s="88"/>
      <c r="X925" s="88"/>
      <c r="Y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Q926" s="88"/>
      <c r="R926" s="88"/>
      <c r="S926" s="88"/>
      <c r="T926" s="88"/>
      <c r="U926" s="88"/>
      <c r="V926" s="88"/>
      <c r="W926" s="88"/>
      <c r="X926" s="88"/>
      <c r="Y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Q927" s="88"/>
      <c r="R927" s="88"/>
      <c r="S927" s="88"/>
      <c r="T927" s="88"/>
      <c r="U927" s="88"/>
      <c r="V927" s="88"/>
      <c r="W927" s="88"/>
      <c r="X927" s="88"/>
      <c r="Y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Q928" s="88"/>
      <c r="R928" s="88"/>
      <c r="S928" s="88"/>
      <c r="T928" s="88"/>
      <c r="U928" s="88"/>
      <c r="V928" s="88"/>
      <c r="W928" s="88"/>
      <c r="X928" s="88"/>
      <c r="Y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Q929" s="88"/>
      <c r="R929" s="88"/>
      <c r="S929" s="88"/>
      <c r="T929" s="88"/>
      <c r="U929" s="88"/>
      <c r="V929" s="88"/>
      <c r="W929" s="88"/>
      <c r="X929" s="88"/>
      <c r="Y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Q930" s="88"/>
      <c r="R930" s="88"/>
      <c r="S930" s="88"/>
      <c r="T930" s="88"/>
      <c r="U930" s="88"/>
      <c r="V930" s="88"/>
      <c r="W930" s="88"/>
      <c r="X930" s="88"/>
      <c r="Y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Q931" s="88"/>
      <c r="R931" s="88"/>
      <c r="S931" s="88"/>
      <c r="T931" s="88"/>
      <c r="U931" s="88"/>
      <c r="V931" s="88"/>
      <c r="W931" s="88"/>
      <c r="X931" s="88"/>
      <c r="Y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Q932" s="88"/>
      <c r="R932" s="88"/>
      <c r="S932" s="88"/>
      <c r="T932" s="88"/>
      <c r="U932" s="88"/>
      <c r="V932" s="88"/>
      <c r="W932" s="88"/>
      <c r="X932" s="88"/>
      <c r="Y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Q933" s="88"/>
      <c r="R933" s="88"/>
      <c r="S933" s="88"/>
      <c r="T933" s="88"/>
      <c r="U933" s="88"/>
      <c r="V933" s="88"/>
      <c r="W933" s="88"/>
      <c r="X933" s="88"/>
      <c r="Y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Q934" s="88"/>
      <c r="R934" s="88"/>
      <c r="S934" s="88"/>
      <c r="T934" s="88"/>
      <c r="U934" s="88"/>
      <c r="V934" s="88"/>
      <c r="W934" s="88"/>
      <c r="X934" s="88"/>
      <c r="Y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Q935" s="88"/>
      <c r="R935" s="88"/>
      <c r="S935" s="88"/>
      <c r="T935" s="88"/>
      <c r="U935" s="88"/>
      <c r="V935" s="88"/>
      <c r="W935" s="88"/>
      <c r="X935" s="88"/>
      <c r="Y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Q936" s="88"/>
      <c r="R936" s="88"/>
      <c r="S936" s="88"/>
      <c r="T936" s="88"/>
      <c r="U936" s="88"/>
      <c r="V936" s="88"/>
      <c r="W936" s="88"/>
      <c r="X936" s="88"/>
      <c r="Y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Q937" s="88"/>
      <c r="R937" s="88"/>
      <c r="S937" s="88"/>
      <c r="T937" s="88"/>
      <c r="U937" s="88"/>
      <c r="V937" s="88"/>
      <c r="W937" s="88"/>
      <c r="X937" s="88"/>
      <c r="Y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Q938" s="88"/>
      <c r="R938" s="88"/>
      <c r="S938" s="88"/>
      <c r="T938" s="88"/>
      <c r="U938" s="88"/>
      <c r="V938" s="88"/>
      <c r="W938" s="88"/>
      <c r="X938" s="88"/>
      <c r="Y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Q939" s="88"/>
      <c r="R939" s="88"/>
      <c r="S939" s="88"/>
      <c r="T939" s="88"/>
      <c r="U939" s="88"/>
      <c r="V939" s="88"/>
      <c r="W939" s="88"/>
      <c r="X939" s="88"/>
      <c r="Y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Q940" s="88"/>
      <c r="R940" s="88"/>
      <c r="S940" s="88"/>
      <c r="T940" s="88"/>
      <c r="U940" s="88"/>
      <c r="V940" s="88"/>
      <c r="W940" s="88"/>
      <c r="X940" s="88"/>
      <c r="Y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Q941" s="88"/>
      <c r="R941" s="88"/>
      <c r="S941" s="88"/>
      <c r="T941" s="88"/>
      <c r="U941" s="88"/>
      <c r="V941" s="88"/>
      <c r="W941" s="88"/>
      <c r="X941" s="88"/>
      <c r="Y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Q942" s="88"/>
      <c r="R942" s="88"/>
      <c r="S942" s="88"/>
      <c r="T942" s="88"/>
      <c r="U942" s="88"/>
      <c r="V942" s="88"/>
      <c r="W942" s="88"/>
      <c r="X942" s="88"/>
      <c r="Y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Q943" s="88"/>
      <c r="R943" s="88"/>
      <c r="S943" s="88"/>
      <c r="T943" s="88"/>
      <c r="U943" s="88"/>
      <c r="V943" s="88"/>
      <c r="W943" s="88"/>
      <c r="X943" s="88"/>
      <c r="Y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Q944" s="88"/>
      <c r="R944" s="88"/>
      <c r="S944" s="88"/>
      <c r="T944" s="88"/>
      <c r="U944" s="88"/>
      <c r="V944" s="88"/>
      <c r="W944" s="88"/>
      <c r="X944" s="88"/>
      <c r="Y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Q945" s="88"/>
      <c r="R945" s="88"/>
      <c r="S945" s="88"/>
      <c r="T945" s="88"/>
      <c r="U945" s="88"/>
      <c r="V945" s="88"/>
      <c r="W945" s="88"/>
      <c r="X945" s="88"/>
      <c r="Y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Q946" s="88"/>
      <c r="R946" s="88"/>
      <c r="S946" s="88"/>
      <c r="T946" s="88"/>
      <c r="U946" s="88"/>
      <c r="V946" s="88"/>
      <c r="W946" s="88"/>
      <c r="X946" s="88"/>
      <c r="Y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Q947" s="88"/>
      <c r="R947" s="88"/>
      <c r="S947" s="88"/>
      <c r="T947" s="88"/>
      <c r="U947" s="88"/>
      <c r="V947" s="88"/>
      <c r="W947" s="88"/>
      <c r="X947" s="88"/>
      <c r="Y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Q948" s="88"/>
      <c r="R948" s="88"/>
      <c r="S948" s="88"/>
      <c r="T948" s="88"/>
      <c r="U948" s="88"/>
      <c r="V948" s="88"/>
      <c r="W948" s="88"/>
      <c r="X948" s="88"/>
      <c r="Y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Q949" s="88"/>
      <c r="R949" s="88"/>
      <c r="S949" s="88"/>
      <c r="T949" s="88"/>
      <c r="U949" s="88"/>
      <c r="V949" s="88"/>
      <c r="W949" s="88"/>
      <c r="X949" s="88"/>
      <c r="Y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Q950" s="88"/>
      <c r="R950" s="88"/>
      <c r="S950" s="88"/>
      <c r="T950" s="88"/>
      <c r="U950" s="88"/>
      <c r="V950" s="88"/>
      <c r="W950" s="88"/>
      <c r="X950" s="88"/>
      <c r="Y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Q951" s="88"/>
      <c r="R951" s="88"/>
      <c r="S951" s="88"/>
      <c r="T951" s="88"/>
      <c r="U951" s="88"/>
      <c r="V951" s="88"/>
      <c r="W951" s="88"/>
      <c r="X951" s="88"/>
      <c r="Y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Q952" s="88"/>
      <c r="R952" s="88"/>
      <c r="S952" s="88"/>
      <c r="T952" s="88"/>
      <c r="U952" s="88"/>
      <c r="V952" s="88"/>
      <c r="W952" s="88"/>
      <c r="X952" s="88"/>
      <c r="Y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Q953" s="88"/>
      <c r="R953" s="88"/>
      <c r="S953" s="88"/>
      <c r="T953" s="88"/>
      <c r="U953" s="88"/>
      <c r="V953" s="88"/>
      <c r="W953" s="88"/>
      <c r="X953" s="88"/>
      <c r="Y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Q954" s="88"/>
      <c r="R954" s="88"/>
      <c r="S954" s="88"/>
      <c r="T954" s="88"/>
      <c r="U954" s="88"/>
      <c r="V954" s="88"/>
      <c r="W954" s="88"/>
      <c r="X954" s="88"/>
      <c r="Y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Q955" s="88"/>
      <c r="R955" s="88"/>
      <c r="S955" s="88"/>
      <c r="T955" s="88"/>
      <c r="U955" s="88"/>
      <c r="V955" s="88"/>
      <c r="W955" s="88"/>
      <c r="X955" s="88"/>
      <c r="Y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Q956" s="88"/>
      <c r="R956" s="88"/>
      <c r="S956" s="88"/>
      <c r="T956" s="88"/>
      <c r="U956" s="88"/>
      <c r="V956" s="88"/>
      <c r="W956" s="88"/>
      <c r="X956" s="88"/>
      <c r="Y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Q957" s="88"/>
      <c r="R957" s="88"/>
      <c r="S957" s="88"/>
      <c r="T957" s="88"/>
      <c r="U957" s="88"/>
      <c r="V957" s="88"/>
      <c r="W957" s="88"/>
      <c r="X957" s="88"/>
      <c r="Y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Q958" s="88"/>
      <c r="R958" s="88"/>
      <c r="S958" s="88"/>
      <c r="T958" s="88"/>
      <c r="U958" s="88"/>
      <c r="V958" s="88"/>
      <c r="W958" s="88"/>
      <c r="X958" s="88"/>
      <c r="Y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Q959" s="88"/>
      <c r="R959" s="88"/>
      <c r="S959" s="88"/>
      <c r="T959" s="88"/>
      <c r="U959" s="88"/>
      <c r="V959" s="88"/>
      <c r="W959" s="88"/>
      <c r="X959" s="88"/>
      <c r="Y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Q960" s="88"/>
      <c r="R960" s="88"/>
      <c r="S960" s="88"/>
      <c r="T960" s="88"/>
      <c r="U960" s="88"/>
      <c r="V960" s="88"/>
      <c r="W960" s="88"/>
      <c r="X960" s="88"/>
      <c r="Y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Q961" s="88"/>
      <c r="R961" s="88"/>
      <c r="S961" s="88"/>
      <c r="T961" s="88"/>
      <c r="U961" s="88"/>
      <c r="V961" s="88"/>
      <c r="W961" s="88"/>
      <c r="X961" s="88"/>
      <c r="Y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Q962" s="88"/>
      <c r="R962" s="88"/>
      <c r="S962" s="88"/>
      <c r="T962" s="88"/>
      <c r="U962" s="88"/>
      <c r="V962" s="88"/>
      <c r="W962" s="88"/>
      <c r="X962" s="88"/>
      <c r="Y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Q963" s="88"/>
      <c r="R963" s="88"/>
      <c r="S963" s="88"/>
      <c r="T963" s="88"/>
      <c r="U963" s="88"/>
      <c r="V963" s="88"/>
      <c r="W963" s="88"/>
      <c r="X963" s="88"/>
      <c r="Y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Q964" s="88"/>
      <c r="R964" s="88"/>
      <c r="S964" s="88"/>
      <c r="T964" s="88"/>
      <c r="U964" s="88"/>
      <c r="V964" s="88"/>
      <c r="W964" s="88"/>
      <c r="X964" s="88"/>
      <c r="Y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Q965" s="88"/>
      <c r="R965" s="88"/>
      <c r="S965" s="88"/>
      <c r="T965" s="88"/>
      <c r="U965" s="88"/>
      <c r="V965" s="88"/>
      <c r="W965" s="88"/>
      <c r="X965" s="88"/>
      <c r="Y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Q966" s="88"/>
      <c r="R966" s="88"/>
      <c r="S966" s="88"/>
      <c r="T966" s="88"/>
      <c r="U966" s="88"/>
      <c r="V966" s="88"/>
      <c r="W966" s="88"/>
      <c r="X966" s="88"/>
      <c r="Y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Q967" s="88"/>
      <c r="R967" s="88"/>
      <c r="S967" s="88"/>
      <c r="T967" s="88"/>
      <c r="U967" s="88"/>
      <c r="V967" s="88"/>
      <c r="W967" s="88"/>
      <c r="X967" s="88"/>
      <c r="Y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Q968" s="88"/>
      <c r="R968" s="88"/>
      <c r="S968" s="88"/>
      <c r="T968" s="88"/>
      <c r="U968" s="88"/>
      <c r="V968" s="88"/>
      <c r="W968" s="88"/>
      <c r="X968" s="88"/>
      <c r="Y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Q969" s="88"/>
      <c r="R969" s="88"/>
      <c r="S969" s="88"/>
      <c r="T969" s="88"/>
      <c r="U969" s="88"/>
      <c r="V969" s="88"/>
      <c r="W969" s="88"/>
      <c r="X969" s="88"/>
      <c r="Y969" s="88"/>
    </row>
    <row r="970">
      <c r="A970" s="140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Q970" s="88"/>
      <c r="R970" s="88"/>
      <c r="S970" s="88"/>
      <c r="T970" s="88"/>
      <c r="U970" s="88"/>
      <c r="V970" s="88"/>
      <c r="W970" s="88"/>
      <c r="X970" s="88"/>
      <c r="Y970" s="88"/>
    </row>
    <row r="971">
      <c r="Q971" s="88"/>
      <c r="R971" s="88"/>
      <c r="S971" s="88"/>
      <c r="T971" s="88"/>
      <c r="U971" s="88"/>
      <c r="V971" s="88"/>
      <c r="W971" s="88"/>
      <c r="X971" s="88"/>
      <c r="Y971" s="88"/>
    </row>
    <row r="972">
      <c r="Q972" s="88"/>
      <c r="R972" s="88"/>
      <c r="S972" s="88"/>
      <c r="T972" s="88"/>
      <c r="U972" s="88"/>
      <c r="V972" s="88"/>
      <c r="W972" s="88"/>
      <c r="X972" s="88"/>
      <c r="Y972" s="88"/>
    </row>
    <row r="973">
      <c r="Q973" s="88"/>
      <c r="R973" s="88"/>
      <c r="S973" s="88"/>
      <c r="T973" s="88"/>
      <c r="U973" s="88"/>
      <c r="V973" s="88"/>
      <c r="W973" s="88"/>
      <c r="X973" s="88"/>
      <c r="Y973" s="88"/>
    </row>
    <row r="974">
      <c r="Q974" s="88"/>
      <c r="R974" s="88"/>
      <c r="S974" s="88"/>
      <c r="T974" s="88"/>
      <c r="U974" s="88"/>
      <c r="V974" s="88"/>
      <c r="W974" s="88"/>
      <c r="X974" s="88"/>
      <c r="Y974" s="88"/>
    </row>
    <row r="975">
      <c r="Q975" s="88"/>
      <c r="R975" s="88"/>
      <c r="S975" s="88"/>
      <c r="T975" s="88"/>
      <c r="U975" s="88"/>
      <c r="V975" s="88"/>
      <c r="W975" s="88"/>
      <c r="X975" s="88"/>
      <c r="Y975" s="88"/>
    </row>
    <row r="976">
      <c r="Q976" s="88"/>
      <c r="R976" s="88"/>
      <c r="S976" s="88"/>
      <c r="T976" s="88"/>
      <c r="U976" s="88"/>
      <c r="V976" s="88"/>
      <c r="W976" s="88"/>
      <c r="X976" s="88"/>
      <c r="Y976" s="88"/>
    </row>
    <row r="977">
      <c r="Q977" s="88"/>
      <c r="R977" s="88"/>
      <c r="S977" s="88"/>
      <c r="T977" s="88"/>
      <c r="U977" s="88"/>
      <c r="V977" s="88"/>
      <c r="W977" s="88"/>
      <c r="X977" s="88"/>
      <c r="Y977" s="88"/>
    </row>
    <row r="978">
      <c r="Q978" s="88"/>
      <c r="R978" s="88"/>
      <c r="S978" s="88"/>
      <c r="T978" s="88"/>
      <c r="U978" s="88"/>
      <c r="V978" s="88"/>
      <c r="W978" s="88"/>
      <c r="X978" s="88"/>
      <c r="Y978" s="88"/>
    </row>
    <row r="979">
      <c r="Q979" s="88"/>
      <c r="R979" s="88"/>
      <c r="S979" s="88"/>
      <c r="T979" s="88"/>
      <c r="U979" s="88"/>
      <c r="V979" s="88"/>
      <c r="W979" s="88"/>
      <c r="X979" s="88"/>
      <c r="Y979" s="88"/>
    </row>
    <row r="980">
      <c r="Q980" s="88"/>
      <c r="R980" s="88"/>
      <c r="S980" s="88"/>
      <c r="T980" s="88"/>
      <c r="U980" s="88"/>
      <c r="V980" s="88"/>
      <c r="W980" s="88"/>
      <c r="X980" s="88"/>
      <c r="Y980" s="88"/>
    </row>
    <row r="981">
      <c r="Q981" s="88"/>
      <c r="R981" s="88"/>
      <c r="S981" s="88"/>
      <c r="T981" s="88"/>
      <c r="U981" s="88"/>
      <c r="V981" s="88"/>
      <c r="W981" s="88"/>
      <c r="X981" s="88"/>
      <c r="Y981" s="88"/>
    </row>
    <row r="982">
      <c r="Q982" s="88"/>
      <c r="R982" s="88"/>
      <c r="S982" s="88"/>
      <c r="T982" s="88"/>
      <c r="U982" s="88"/>
      <c r="V982" s="88"/>
      <c r="W982" s="88"/>
      <c r="X982" s="88"/>
      <c r="Y982" s="88"/>
    </row>
    <row r="983">
      <c r="Q983" s="88"/>
      <c r="R983" s="88"/>
      <c r="S983" s="88"/>
      <c r="T983" s="88"/>
      <c r="U983" s="88"/>
      <c r="V983" s="88"/>
      <c r="W983" s="88"/>
      <c r="X983" s="88"/>
      <c r="Y983" s="88"/>
    </row>
    <row r="984">
      <c r="Q984" s="88"/>
      <c r="R984" s="88"/>
      <c r="S984" s="88"/>
      <c r="T984" s="88"/>
      <c r="U984" s="88"/>
      <c r="V984" s="88"/>
      <c r="W984" s="88"/>
      <c r="X984" s="88"/>
      <c r="Y984" s="88"/>
    </row>
    <row r="985">
      <c r="Q985" s="88"/>
      <c r="R985" s="88"/>
      <c r="S985" s="88"/>
      <c r="T985" s="88"/>
      <c r="U985" s="88"/>
      <c r="V985" s="88"/>
      <c r="W985" s="88"/>
      <c r="X985" s="88"/>
      <c r="Y985" s="88"/>
    </row>
    <row r="986">
      <c r="Q986" s="88"/>
      <c r="R986" s="88"/>
      <c r="S986" s="88"/>
      <c r="T986" s="88"/>
      <c r="U986" s="88"/>
      <c r="V986" s="88"/>
      <c r="W986" s="88"/>
      <c r="X986" s="88"/>
      <c r="Y986" s="88"/>
    </row>
    <row r="987">
      <c r="Q987" s="88"/>
      <c r="R987" s="88"/>
      <c r="S987" s="88"/>
      <c r="T987" s="88"/>
      <c r="U987" s="88"/>
      <c r="V987" s="88"/>
      <c r="W987" s="88"/>
      <c r="X987" s="88"/>
      <c r="Y987" s="88"/>
    </row>
    <row r="988">
      <c r="Q988" s="88"/>
      <c r="R988" s="88"/>
      <c r="S988" s="88"/>
      <c r="T988" s="88"/>
      <c r="U988" s="88"/>
      <c r="V988" s="88"/>
      <c r="W988" s="88"/>
      <c r="X988" s="88"/>
      <c r="Y988" s="88"/>
    </row>
    <row r="989">
      <c r="Q989" s="88"/>
      <c r="R989" s="88"/>
      <c r="S989" s="88"/>
      <c r="T989" s="88"/>
      <c r="U989" s="88"/>
      <c r="V989" s="88"/>
      <c r="W989" s="88"/>
      <c r="X989" s="88"/>
      <c r="Y989" s="88"/>
    </row>
    <row r="990">
      <c r="Q990" s="88"/>
      <c r="R990" s="88"/>
      <c r="S990" s="88"/>
      <c r="T990" s="88"/>
      <c r="U990" s="88"/>
      <c r="V990" s="88"/>
      <c r="W990" s="88"/>
      <c r="X990" s="88"/>
      <c r="Y990" s="88"/>
    </row>
    <row r="991">
      <c r="Q991" s="88"/>
      <c r="R991" s="88"/>
      <c r="S991" s="88"/>
      <c r="T991" s="88"/>
      <c r="U991" s="88"/>
      <c r="V991" s="88"/>
      <c r="W991" s="88"/>
      <c r="X991" s="88"/>
      <c r="Y991" s="88"/>
    </row>
    <row r="992">
      <c r="Q992" s="88"/>
      <c r="R992" s="88"/>
      <c r="S992" s="88"/>
      <c r="T992" s="88"/>
      <c r="U992" s="88"/>
      <c r="V992" s="88"/>
      <c r="W992" s="88"/>
      <c r="X992" s="88"/>
      <c r="Y992" s="88"/>
    </row>
    <row r="993">
      <c r="Q993" s="88"/>
      <c r="R993" s="88"/>
      <c r="S993" s="88"/>
      <c r="T993" s="88"/>
      <c r="U993" s="88"/>
      <c r="V993" s="88"/>
      <c r="W993" s="88"/>
      <c r="X993" s="88"/>
      <c r="Y993" s="88"/>
    </row>
    <row r="994">
      <c r="Q994" s="88"/>
      <c r="R994" s="88"/>
      <c r="S994" s="88"/>
      <c r="T994" s="88"/>
      <c r="U994" s="88"/>
      <c r="V994" s="88"/>
      <c r="W994" s="88"/>
      <c r="X994" s="88"/>
      <c r="Y994" s="88"/>
    </row>
    <row r="995">
      <c r="Q995" s="88"/>
      <c r="R995" s="88"/>
      <c r="S995" s="88"/>
      <c r="T995" s="88"/>
      <c r="U995" s="88"/>
      <c r="V995" s="88"/>
      <c r="W995" s="88"/>
      <c r="X995" s="88"/>
      <c r="Y995" s="88"/>
    </row>
    <row r="996">
      <c r="Q996" s="88"/>
      <c r="R996" s="88"/>
      <c r="S996" s="88"/>
      <c r="T996" s="88"/>
      <c r="U996" s="88"/>
      <c r="V996" s="88"/>
      <c r="W996" s="88"/>
      <c r="X996" s="88"/>
      <c r="Y996" s="88"/>
    </row>
    <row r="997">
      <c r="Q997" s="88"/>
      <c r="R997" s="88"/>
      <c r="S997" s="88"/>
      <c r="T997" s="88"/>
      <c r="U997" s="88"/>
      <c r="V997" s="88"/>
      <c r="W997" s="88"/>
      <c r="X997" s="88"/>
      <c r="Y997" s="88"/>
    </row>
    <row r="998">
      <c r="Q998" s="88"/>
      <c r="R998" s="88"/>
      <c r="S998" s="88"/>
      <c r="T998" s="88"/>
      <c r="U998" s="88"/>
      <c r="V998" s="88"/>
      <c r="W998" s="88"/>
      <c r="X998" s="88"/>
      <c r="Y998" s="88"/>
    </row>
    <row r="999">
      <c r="Q999" s="88"/>
      <c r="R999" s="88"/>
      <c r="S999" s="88"/>
      <c r="T999" s="88"/>
      <c r="U999" s="88"/>
      <c r="V999" s="88"/>
      <c r="W999" s="88"/>
      <c r="X999" s="88"/>
      <c r="Y999" s="88"/>
    </row>
    <row r="1000">
      <c r="Q1000" s="88"/>
      <c r="R1000" s="88"/>
      <c r="S1000" s="88"/>
      <c r="T1000" s="88"/>
      <c r="U1000" s="88"/>
      <c r="V1000" s="88"/>
      <c r="W1000" s="88"/>
      <c r="X1000" s="88"/>
      <c r="Y1000" s="88"/>
    </row>
    <row r="1001">
      <c r="Q1001" s="88"/>
      <c r="R1001" s="88"/>
      <c r="S1001" s="88"/>
      <c r="T1001" s="88"/>
      <c r="U1001" s="88"/>
      <c r="V1001" s="88"/>
      <c r="W1001" s="88"/>
      <c r="X1001" s="88"/>
      <c r="Y1001" s="88"/>
    </row>
    <row r="1002">
      <c r="Q1002" s="88"/>
      <c r="R1002" s="88"/>
      <c r="S1002" s="88"/>
      <c r="T1002" s="88"/>
      <c r="U1002" s="88"/>
      <c r="V1002" s="88"/>
      <c r="W1002" s="88"/>
      <c r="X1002" s="88"/>
      <c r="Y1002" s="88"/>
    </row>
    <row r="1003">
      <c r="Q1003" s="88"/>
      <c r="R1003" s="88"/>
      <c r="S1003" s="88"/>
      <c r="T1003" s="88"/>
      <c r="U1003" s="88"/>
      <c r="V1003" s="88"/>
      <c r="W1003" s="88"/>
      <c r="X1003" s="88"/>
      <c r="Y1003" s="88"/>
    </row>
    <row r="1004">
      <c r="Q1004" s="88"/>
      <c r="R1004" s="88"/>
      <c r="S1004" s="88"/>
      <c r="T1004" s="88"/>
      <c r="U1004" s="88"/>
      <c r="V1004" s="88"/>
      <c r="W1004" s="88"/>
      <c r="X1004" s="88"/>
      <c r="Y1004" s="88"/>
    </row>
    <row r="1005">
      <c r="Q1005" s="88"/>
      <c r="R1005" s="88"/>
      <c r="S1005" s="88"/>
      <c r="T1005" s="88"/>
      <c r="U1005" s="88"/>
      <c r="V1005" s="88"/>
      <c r="W1005" s="88"/>
      <c r="X1005" s="88"/>
      <c r="Y1005" s="88"/>
    </row>
    <row r="1006">
      <c r="Q1006" s="88"/>
      <c r="R1006" s="88"/>
      <c r="S1006" s="88"/>
      <c r="T1006" s="88"/>
      <c r="U1006" s="88"/>
      <c r="V1006" s="88"/>
      <c r="W1006" s="88"/>
      <c r="X1006" s="88"/>
      <c r="Y1006" s="88"/>
    </row>
    <row r="1007">
      <c r="Q1007" s="88"/>
      <c r="R1007" s="88"/>
      <c r="S1007" s="88"/>
      <c r="T1007" s="88"/>
      <c r="U1007" s="88"/>
      <c r="V1007" s="88"/>
      <c r="W1007" s="88"/>
      <c r="X1007" s="88"/>
      <c r="Y1007" s="88"/>
    </row>
    <row r="1008">
      <c r="Q1008" s="88"/>
      <c r="R1008" s="88"/>
      <c r="S1008" s="88"/>
      <c r="T1008" s="88"/>
      <c r="U1008" s="88"/>
      <c r="V1008" s="88"/>
      <c r="W1008" s="88"/>
      <c r="X1008" s="88"/>
      <c r="Y1008" s="88"/>
    </row>
    <row r="1009">
      <c r="Q1009" s="88"/>
      <c r="R1009" s="88"/>
      <c r="S1009" s="88"/>
      <c r="T1009" s="88"/>
      <c r="U1009" s="88"/>
      <c r="V1009" s="88"/>
      <c r="W1009" s="88"/>
      <c r="X1009" s="88"/>
      <c r="Y1009" s="88"/>
    </row>
    <row r="1010">
      <c r="Q1010" s="88"/>
      <c r="R1010" s="88"/>
      <c r="S1010" s="88"/>
      <c r="T1010" s="88"/>
      <c r="U1010" s="88"/>
      <c r="V1010" s="88"/>
      <c r="W1010" s="88"/>
      <c r="X1010" s="88"/>
      <c r="Y1010" s="88"/>
    </row>
    <row r="1011">
      <c r="Q1011" s="88"/>
      <c r="R1011" s="88"/>
      <c r="S1011" s="88"/>
      <c r="T1011" s="88"/>
      <c r="U1011" s="88"/>
      <c r="V1011" s="88"/>
      <c r="W1011" s="88"/>
      <c r="X1011" s="88"/>
      <c r="Y1011" s="88"/>
    </row>
    <row r="1012">
      <c r="Q1012" s="88"/>
      <c r="R1012" s="88"/>
      <c r="S1012" s="88"/>
      <c r="T1012" s="88"/>
      <c r="U1012" s="88"/>
      <c r="V1012" s="88"/>
      <c r="W1012" s="88"/>
      <c r="X1012" s="88"/>
      <c r="Y1012" s="88"/>
    </row>
    <row r="1013">
      <c r="Q1013" s="88"/>
      <c r="R1013" s="88"/>
      <c r="S1013" s="88"/>
      <c r="T1013" s="88"/>
      <c r="U1013" s="88"/>
      <c r="V1013" s="88"/>
      <c r="W1013" s="88"/>
      <c r="X1013" s="88"/>
      <c r="Y1013" s="88"/>
    </row>
    <row r="1014">
      <c r="Q1014" s="88"/>
      <c r="R1014" s="88"/>
      <c r="S1014" s="88"/>
      <c r="T1014" s="88"/>
      <c r="U1014" s="88"/>
      <c r="V1014" s="88"/>
      <c r="W1014" s="88"/>
      <c r="X1014" s="88"/>
      <c r="Y1014" s="88"/>
    </row>
    <row r="1015">
      <c r="Q1015" s="88"/>
      <c r="R1015" s="88"/>
      <c r="S1015" s="88"/>
      <c r="T1015" s="88"/>
      <c r="U1015" s="88"/>
      <c r="V1015" s="88"/>
      <c r="W1015" s="88"/>
      <c r="X1015" s="88"/>
      <c r="Y1015" s="88"/>
    </row>
  </sheetData>
  <mergeCells count="1">
    <mergeCell ref="A1:F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SUMIFS($G$13:$G957, $E$13:$E957, "Rachel", $H$13:$H957, 1)-SUMIFS($G$13:$G957, $E$13:$E957, "Timothy", $I$13:$I957, 1)</f>
        <v>2.999180635</v>
      </c>
      <c r="J3" s="21">
        <f>SUMIFS($G$13:$G957, $E$13:$E957, "BL", $H$13:$H957, 1)-SUMIFS($G$13:$G957, $E$13:$E957, "Timothy", $J$13:$J957, 1)</f>
        <v>0.2912425397</v>
      </c>
      <c r="K3" s="21">
        <f>SUMIFS($G$13:$G957, $E$13:$E957, "Pigskin", $H$13:$H957, 1)-SUMIFS($G$13:$G957, $E$13:$E957, "Timothy", $K$13:$K957, 1)</f>
        <v>40.87513849</v>
      </c>
      <c r="L3" s="21">
        <f>SUMIFS($G$13:$G957, $E$13:$E957, "Angel", $H$13:$H957, 1)-SUMIFS($G$13:$G957, $E$13:$E957, "Timothy", $L$13:$L957, 1)</f>
        <v>-21.08758889</v>
      </c>
      <c r="M3" s="21">
        <f>SUMIFS($G$13:$G957, $E$13:$E957, "Ivan", $H$13:$H957, 1)-SUMIFS($G$13:$G957, $E$13:$E957, "Timothy", $M$13:$M957, 1)</f>
        <v>-1.877588889</v>
      </c>
      <c r="N3" s="21">
        <f>SUMIFS($G$13:$G957, $E$13:$E957, "Esther", $H$13:$H957, 1)-SUMIFS($G$13:$G957, $E$13:$E957, "Timothy", $N$13:$N957, 1)</f>
        <v>-26.93530317</v>
      </c>
      <c r="O3" s="22">
        <f>SUMIFS($G$13:$G957, $E$13:$E957, "Ken9", $H$13:$H957, 1)-SUMIFS($G$13:$G957, $E$13:$E957, "Timothy", $O$13:$O957,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SUMIFS($G$13:$G957, $E$13:$E957, "Timothy", $I$13:$I957, 1)-SUMIFS($G$13:$G957, $E$13:$E957, "Rachel", $H$13:$H957, 1)</f>
        <v>-2.999180635</v>
      </c>
      <c r="I4" s="20"/>
      <c r="J4" s="25">
        <f>SUMIFS($G$13:$G957, $E$13:$E957, "BL", $I$13:$I957, 1)-SUMIFS($G$13:$G957, $E$13:$E957, "Rachel", $J$13:$J957, 1)</f>
        <v>9.806061905</v>
      </c>
      <c r="K4" s="25">
        <f>SUMIFS($G$13:$G957, $E$13:$E957, "Pigskin", $I$13:$I957, 1)-SUMIFS($G$13:$G957, $E$13:$E957, "Rachel", $K$13:$K957, 1)</f>
        <v>49.16641786</v>
      </c>
      <c r="L4" s="25">
        <f>SUMIFS($G$13:$G957, $E$13:$E957, "Angel", $I$13:$I957, 1)-SUMIFS($G$13:$G957, $E$13:$E957, "Rachel", $L$13:$L957, 1)</f>
        <v>-17.27380952</v>
      </c>
      <c r="M4" s="25">
        <f>SUMIFS($G$13:$G957, $E$13:$E957, "Ivan", $I$13:$I957, 1)-SUMIFS($G$13:$G957, $E$13:$E957, "Rachel", $M$13:$M957, 1)</f>
        <v>-8.824069524</v>
      </c>
      <c r="N4" s="25">
        <f>SUMIFS($G$13:$G957, $E$13:$E957, "Esther", $I$13:$I957, 1)-SUMIFS($G$13:$G957, $E$13:$E957, "Rachel", $N$13:$N957, 1)</f>
        <v>9.64821619</v>
      </c>
      <c r="O4" s="26">
        <f>SUMIFS($G$13:$G957, $E$13:$E957, "Ken9", $I$13:$I957, 1)-SUMIFS($G$13:$G957, $E$13:$E957, "Rachel", $O$13:$O957,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SUMIFS($G$13:$G957, $E$13:$E957, "Timothy", $J$13:$J957, 1)-SUMIFS($G$13:$G957, $E$13:$E957, "BL", $H$13:$H957, 1)</f>
        <v>-0.2912425397</v>
      </c>
      <c r="I5" s="28">
        <f>SUMIFS($G$13:$G957, $E$13:$E957, "Rachel", $J$13:$J957, 1)-SUMIFS($G$13:$G957, $E$13:$E957, "BL", $I$13:$I957, 1)</f>
        <v>-9.806061905</v>
      </c>
      <c r="J5" s="20"/>
      <c r="K5" s="25">
        <f>SUMIFS($G$13:$G957, $E$13:$E957, "Pigskin", $J$13:$J957, 1)-SUMIFS($G$13:$G957, $E$13:$E957, "BL", $K$13:$K957, 1)</f>
        <v>-6.115370714</v>
      </c>
      <c r="L5" s="28">
        <f>SUMIFS($G$13:$G957, $E$13:$E957, "Angel", $J$13:$J957, 1)-SUMIFS($G$13:$G957, $E$13:$E957, "BL", $L$13:$L957, 1)</f>
        <v>-30.03857143</v>
      </c>
      <c r="M5" s="25">
        <f>SUMIFS($G$13:$G957, $E$13:$E957, "Ivan", $J$13:$J957, 1)-SUMIFS($G$13:$G957, $E$13:$E957, "BL", $M$13:$M957, 1)</f>
        <v>-100.1932381</v>
      </c>
      <c r="N5" s="28">
        <f>SUMIFS($G$13:$G957, $E$13:$E957, "Esther", $J$13:$J957, 1)-SUMIFS($G$13:$G957, $E$13:$E957, "BL", $N$13:$N957, 1)</f>
        <v>-86.57114571</v>
      </c>
      <c r="O5" s="26">
        <f>SUMIFS($G$13:$G957, $E$13:$E957, "Ken9", $J$13:$J957, 1)-SUMIFS($G$13:$G957, $E$13:$E957, "BL", $O$13:$O957,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SUMIFS($G$13:$G957, $E$13:$E957, "Timothy", $K$13:$K957, 1)-SUMIFS($G$13:$G957, $E$13:$E957, "Pigskin", $H$13:$H957, 1)</f>
        <v>-40.87513849</v>
      </c>
      <c r="I6" s="28">
        <f>SUMIFS($G$13:$G957, $E$13:$E957, "Rachel", $K$13:$K957, 1)-SUMIFS($G$13:$G957, $E$13:$E957, "Pigskin", $I$13:$I957, 1)</f>
        <v>-49.16641786</v>
      </c>
      <c r="J6" s="28">
        <f>SUMIFS($G$13:$G957, $E$13:$E957, "BL", $K$13:$K957, 1)-SUMIFS($G$13:$G957, $E$13:$E957, "Pigskin", $J$13:$J957, 1)</f>
        <v>6.115370714</v>
      </c>
      <c r="K6" s="20"/>
      <c r="L6" s="25">
        <f>SUMIFS($G$13:$G957, $E$13:$E957, "Angel", $K$13:$K957, 1)-SUMIFS($G$13:$G957, $E$13:$E957, "Pigskin", $L$13:$L957, 1)</f>
        <v>-10.57428571</v>
      </c>
      <c r="M6" s="28">
        <f>SUMIFS($G$13:$G957, $E$13:$E957, "Ivan", $K$13:$K957, 1)-SUMIFS($G$13:$G957, $E$13:$E957, "Pigskin", $M$13:$M957, 1)</f>
        <v>-30.44895238</v>
      </c>
      <c r="N6" s="28">
        <f>SUMIFS($G$13:$G957, $E$13:$E957, "Esther", $K$13:$K957, 1)-SUMIFS($G$13:$G957, $E$13:$E957, "Pigskin", $N$13:$N957, 1)</f>
        <v>-3.379166667</v>
      </c>
      <c r="O6" s="26">
        <f>SUMIFS($G$13:$G957, $E$13:$E957, "Ken9", $K$13:$K957, 1)-SUMIFS($G$13:$G957, $E$13:$E957, "Pigskin", $O$13:$O957,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SUMIFS($G$13:$G957, $E$13:$E957, "Timothy", $L$13:$L957, 1)-SUMIFS($G$13:$G957, $E$13:$E957, "Angel", $H$13:$H957, 1)</f>
        <v>21.08758889</v>
      </c>
      <c r="I7" s="25">
        <f>SUMIFS($G$13:$G957, $E$13:$E957, "Rachel", $L$13:$L957, 1)-SUMIFS($G$13:$G957, $E$13:$E957, "Angel", $I$13:$I957, 1)</f>
        <v>17.27380952</v>
      </c>
      <c r="J7" s="25">
        <f>SUMIFS($G$13:$G957, $E$13:$E957, "BL", $L$13:$L957, 1)-SUMIFS($G$13:$G957, $E$13:$E957, "Angel", $J$13:$J957, 1)</f>
        <v>30.03857143</v>
      </c>
      <c r="K7" s="25">
        <f>SUMIFS($G$13:$G957, $E$13:$E957, "Pigskin", $L$13:$L957, 1)-SUMIFS($G$13:$G957, $E$13:$E957, "Angel", $K$13:$K957, 1)</f>
        <v>10.57428571</v>
      </c>
      <c r="L7" s="20"/>
      <c r="M7" s="25">
        <f>SUMIFS($G$13:$G957, $E$13:$E957, "Ivan", $L$13:$L957, 1)-SUMIFS($G$13:$G957, $E$13:$E957, "Angel", $M$13:$M957, 1)</f>
        <v>0</v>
      </c>
      <c r="N7" s="28">
        <f>SUMIFS($G$13:$G957, $E$13:$E957, "Esther", $L$13:$L957, 1)-SUMIFS($G$13:$G957, $E$13:$E957, "Angel", $N$13:$N957, 1)</f>
        <v>7.104285714</v>
      </c>
      <c r="O7" s="31">
        <f>SUMIFS($G$13:$G957, $E$13:$E957, "Ken9", $L$13:$L957, 1)-SUMIFS($G$13:$G957, $E$13:$E957, "Angel", $O$13:$O957,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SUMIFS($G$13:$G957, $E$13:$E957, "Timothy", $M$13:$M957, 1)-SUMIFS($G$13:$G957, $E$13:$E957, "Ivan", $H$13:$H957, 1)</f>
        <v>1.877588889</v>
      </c>
      <c r="I8" s="28">
        <f>SUMIFS($G$13:$G957, $E$13:$E957, "Rachel", $M$13:$M957, 1)-SUMIFS($G$13:$G957, $E$13:$E957, "Ivan", $I$13:$I957, 1)</f>
        <v>8.824069524</v>
      </c>
      <c r="J8" s="25">
        <f>SUMIFS($G$13:$G957, $E$13:$E957, "BL", $M$13:$M957, 1)-SUMIFS($G$13:$G957, $E$13:$E957, "Ivan", $J$13:$J957, 1)</f>
        <v>100.1932381</v>
      </c>
      <c r="K8" s="25">
        <f>SUMIFS($G$13:$G957, $E$13:$E957, "Pigskin", $M$13:$M957, 1)-SUMIFS($G$13:$G957, $E$13:$E957, "Ivan", $K$13:$K957, 1)</f>
        <v>30.44895238</v>
      </c>
      <c r="L8" s="25">
        <f>SUMIFS($G$13:$G957, $E$13:$E957, "Angel", $M$13:$M957, 1)-SUMIFS($G$13:$G957, $E$13:$E957, "Ivan", $L$13:$L957, 1)</f>
        <v>0</v>
      </c>
      <c r="M8" s="20"/>
      <c r="N8" s="28">
        <f>SUMIFS($G$13:$G957, $E$13:$E957, "Esther", $M$13:$M957, 1)-SUMIFS($G$13:$G957, $E$13:$E957, "Ivan", $N$13:$N957, 1)</f>
        <v>7.104285714</v>
      </c>
      <c r="O8" s="31">
        <f>SUMIFS($G$13:$G957, $E$13:$E957, "Ken9", $M$13:$M957, 1)-SUMIFS($G$13:$G957, $E$13:$E957, "Ivan", $O$13:$O957,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SUMIFS($G$13:$G957, $E$13:$E957, "Timothy", $N$13:$N957, 1)-SUMIFS($G$13:$G957, $E$13:$E957, "Esther", $H$13:$H957, 1)</f>
        <v>26.93530317</v>
      </c>
      <c r="I9" s="25">
        <f>SUMIFS($G$13:$G957, $E$13:$E957, "Rachel", $N$13:$N957, 1)-SUMIFS($G$13:$G957, $E$13:$E957, "Esther", $I$13:$I957, 1)</f>
        <v>-9.64821619</v>
      </c>
      <c r="J9" s="25">
        <f>SUMIFS($G$13:$G957, $E$13:$E957, "BL", $N$13:$N957, 1)-SUMIFS($G$13:$G957, $E$13:$E957, "Esther", $J$13:$J957, 1)</f>
        <v>86.57114571</v>
      </c>
      <c r="K9" s="25">
        <f>SUMIFS($G$13:$G957, $E$13:$E957, "Pigskin", $N$13:$N957, 1)-SUMIFS($G$13:$G957, $E$13:$E957, "Esther", $K$13:$K957, 1)</f>
        <v>3.379166667</v>
      </c>
      <c r="L9" s="25">
        <f>SUMIFS($G$13:$G957, $E$13:$E957, "Angel", $N$13:$N957, 1)-SUMIFS($G$13:$G957, $E$13:$E957, "Esther", $L$13:$L957, 1)</f>
        <v>-7.104285714</v>
      </c>
      <c r="M9" s="25">
        <f>SUMIFS($G$13:$G957, $E$13:$E957, "Ivan", $N$13:$N957, 1)-SUMIFS($G$13:$G957, $E$13:$E957, "Esther", $M$13:$M957, 1)</f>
        <v>-7.104285714</v>
      </c>
      <c r="N9" s="20"/>
      <c r="O9" s="31">
        <f>SUMIFS($G$13:$G957, $E$13:$E957, "Ken9", $N$13:$N957, 1)-SUMIFS($G$13:$G957, $E$13:$E957, "Esther", $O$13:$O957,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SUMIFS($G$13:$G957, $E$13:$E957, "Timothy", $O$13:$O957, 1)-SUMIFS($G$13:$G957, $E$13:$E957, "Ken9", $H$13:$H957, 1)</f>
        <v>0</v>
      </c>
      <c r="I10" s="40">
        <f>SUMIFS($G$13:$G957, $E$13:$E957, "Rachel", $O$13:$O957, 1)-SUMIFS($G$13:$G957, $E$13:$E957, "Ken9", $I$13:$I957, 1)</f>
        <v>0</v>
      </c>
      <c r="J10" s="40">
        <f>SUMIFS($G$13:$G957, $E$13:$E957, "BL", $O$13:$O957, 1)-SUMIFS($G$13:$G957, $E$13:$E957, "Ken9", $J$13:$J957, 1)</f>
        <v>0</v>
      </c>
      <c r="K10" s="40">
        <f>SUMIFS($G$13:$G957, $E$13:$E957, "Pigskin", $O$13:$O957, 1)-SUMIFS($G$13:$G957, $E$13:$E957, "Ken9", $K$13:$K957, 1)</f>
        <v>0</v>
      </c>
      <c r="L10" s="40">
        <f>SUMIFS($G$13:$G957, $E$13:$E957, "Angel", $O$13:$O957, 1)-SUMIFS($G$13:$G957, $E$13:$E957, "Ken9", $L$13:$L957, 1)</f>
        <v>0</v>
      </c>
      <c r="M10" s="40">
        <f>SUMIFS($G$13:$G957, $E$13:$E957, "Ivan", $O$13:$O957, 1)-SUMIFS($G$13:$G957, $E$13:$E957, "Ken9", $M$13:$M957, 1)</f>
        <v>0</v>
      </c>
      <c r="N10" s="40">
        <f>SUMIFS($G$13:$G957, $E$13:$E957, "Esther", $O$13:$O957, 1)-SUMIFS($G$13:$G957, $E$13:$E957, "Ken9", $N$13:$N957,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 hidden="1">
      <c r="A13" s="61">
        <v>45443.0</v>
      </c>
      <c r="B13" s="51" t="s">
        <v>213</v>
      </c>
      <c r="C13" s="51" t="s">
        <v>11</v>
      </c>
      <c r="D13" s="63">
        <v>6.2</v>
      </c>
      <c r="E13" s="51" t="s">
        <v>14</v>
      </c>
      <c r="F13" s="10">
        <f t="shared" ref="F13:F36" si="1">D13/sum(H13:Q13)</f>
        <v>1.55</v>
      </c>
      <c r="G13" s="10">
        <f t="shared" ref="G13:G36" si="2">D13/sum(H13:Q13)</f>
        <v>1.55</v>
      </c>
      <c r="H13" s="52"/>
      <c r="I13" s="54">
        <v>1.0</v>
      </c>
      <c r="J13" s="54">
        <v>1.0</v>
      </c>
      <c r="K13" s="54">
        <v>1.0</v>
      </c>
      <c r="L13" s="53"/>
      <c r="M13" s="54"/>
      <c r="N13" s="54">
        <v>1.0</v>
      </c>
      <c r="Z13" s="10"/>
      <c r="AA13" s="10"/>
    </row>
    <row r="14" hidden="1">
      <c r="A14" s="55">
        <v>45446.0</v>
      </c>
      <c r="B14" s="12" t="s">
        <v>120</v>
      </c>
      <c r="C14" s="12" t="s">
        <v>11</v>
      </c>
      <c r="D14" s="12">
        <f>13.88</f>
        <v>13.88</v>
      </c>
      <c r="E14" s="12" t="s">
        <v>14</v>
      </c>
      <c r="F14" s="67">
        <f t="shared" si="1"/>
        <v>13.88</v>
      </c>
      <c r="G14" s="10">
        <f t="shared" si="2"/>
        <v>13.88</v>
      </c>
      <c r="M14" s="1">
        <v>1.0</v>
      </c>
      <c r="Z14" s="10"/>
      <c r="AA14" s="10"/>
    </row>
    <row r="15" hidden="1">
      <c r="A15" s="61">
        <v>45446.0</v>
      </c>
      <c r="B15" s="51" t="s">
        <v>46</v>
      </c>
      <c r="C15" s="51" t="s">
        <v>11</v>
      </c>
      <c r="D15" s="51">
        <f>4.83+10.88</f>
        <v>15.71</v>
      </c>
      <c r="E15" s="51" t="s">
        <v>14</v>
      </c>
      <c r="F15" s="10">
        <f t="shared" si="1"/>
        <v>3.9275</v>
      </c>
      <c r="G15" s="10">
        <f t="shared" si="2"/>
        <v>3.9275</v>
      </c>
      <c r="H15" s="52">
        <v>1.0</v>
      </c>
      <c r="I15" s="52">
        <v>1.0</v>
      </c>
      <c r="J15" s="52">
        <v>1.0</v>
      </c>
      <c r="K15" s="52">
        <v>1.0</v>
      </c>
      <c r="L15" s="54"/>
      <c r="M15" s="54"/>
      <c r="N15" s="52"/>
      <c r="Z15" s="10"/>
      <c r="AA15" s="10"/>
    </row>
    <row r="16" hidden="1">
      <c r="A16" s="55">
        <v>45447.0</v>
      </c>
      <c r="B16" s="12" t="s">
        <v>329</v>
      </c>
      <c r="C16" s="12" t="s">
        <v>11</v>
      </c>
      <c r="D16" s="12">
        <v>79.1</v>
      </c>
      <c r="E16" s="12" t="s">
        <v>8</v>
      </c>
      <c r="F16" s="10">
        <f t="shared" si="1"/>
        <v>15.82</v>
      </c>
      <c r="G16" s="10">
        <f t="shared" si="2"/>
        <v>15.82</v>
      </c>
      <c r="H16" s="1">
        <v>1.0</v>
      </c>
      <c r="I16" s="1">
        <v>1.0</v>
      </c>
      <c r="J16" s="1">
        <v>1.0</v>
      </c>
      <c r="K16" s="1">
        <v>1.0</v>
      </c>
      <c r="M16" s="1">
        <v>1.0</v>
      </c>
      <c r="Z16" s="10"/>
      <c r="AA16" s="10"/>
    </row>
    <row r="17" hidden="1">
      <c r="A17" s="59">
        <v>45448.0</v>
      </c>
      <c r="B17" s="12" t="s">
        <v>46</v>
      </c>
      <c r="C17" s="12" t="s">
        <v>11</v>
      </c>
      <c r="D17" s="12">
        <v>16.2</v>
      </c>
      <c r="E17" s="12" t="s">
        <v>14</v>
      </c>
      <c r="F17" s="10">
        <f t="shared" si="1"/>
        <v>4.05</v>
      </c>
      <c r="G17" s="10">
        <f t="shared" si="2"/>
        <v>4.05</v>
      </c>
      <c r="H17" s="1">
        <v>1.0</v>
      </c>
      <c r="I17" s="1">
        <v>1.0</v>
      </c>
      <c r="J17" s="1">
        <v>1.0</v>
      </c>
      <c r="K17" s="1">
        <v>1.0</v>
      </c>
      <c r="Z17" s="10"/>
      <c r="AA17" s="10"/>
    </row>
    <row r="18">
      <c r="A18" s="55">
        <v>45449.0</v>
      </c>
      <c r="B18" s="12" t="s">
        <v>120</v>
      </c>
      <c r="C18" s="12" t="s">
        <v>11</v>
      </c>
      <c r="D18" s="12">
        <v>7.99</v>
      </c>
      <c r="E18" s="12" t="s">
        <v>13</v>
      </c>
      <c r="F18" s="10">
        <f t="shared" si="1"/>
        <v>1.9975</v>
      </c>
      <c r="G18" s="10">
        <f t="shared" si="2"/>
        <v>1.9975</v>
      </c>
      <c r="H18" s="1">
        <v>1.0</v>
      </c>
      <c r="I18" s="1">
        <v>1.0</v>
      </c>
      <c r="J18" s="1">
        <v>1.0</v>
      </c>
      <c r="K18" s="1">
        <v>1.0</v>
      </c>
      <c r="N18" s="1"/>
      <c r="Z18" s="10"/>
      <c r="AA18" s="10"/>
    </row>
    <row r="19" hidden="1">
      <c r="A19" s="55">
        <v>45449.0</v>
      </c>
      <c r="B19" s="12" t="s">
        <v>46</v>
      </c>
      <c r="C19" s="12" t="s">
        <v>11</v>
      </c>
      <c r="D19" s="12">
        <v>21.03</v>
      </c>
      <c r="E19" s="12" t="s">
        <v>14</v>
      </c>
      <c r="F19" s="10">
        <f t="shared" si="1"/>
        <v>4.206</v>
      </c>
      <c r="G19" s="10">
        <f t="shared" si="2"/>
        <v>4.206</v>
      </c>
      <c r="H19" s="1">
        <v>1.0</v>
      </c>
      <c r="I19" s="1">
        <v>1.0</v>
      </c>
      <c r="J19" s="1">
        <v>1.0</v>
      </c>
      <c r="K19" s="1">
        <v>1.0</v>
      </c>
      <c r="N19" s="1">
        <v>1.0</v>
      </c>
      <c r="Z19" s="10"/>
      <c r="AA19" s="10"/>
    </row>
    <row r="20" hidden="1">
      <c r="A20" s="59">
        <v>45450.0</v>
      </c>
      <c r="B20" s="12" t="s">
        <v>120</v>
      </c>
      <c r="C20" s="12" t="s">
        <v>11</v>
      </c>
      <c r="D20" s="12">
        <v>11.67</v>
      </c>
      <c r="E20" s="12" t="s">
        <v>14</v>
      </c>
      <c r="F20" s="10">
        <f t="shared" si="1"/>
        <v>5.835</v>
      </c>
      <c r="G20" s="10">
        <f t="shared" si="2"/>
        <v>5.835</v>
      </c>
      <c r="K20" s="1">
        <v>1.0</v>
      </c>
      <c r="N20" s="1">
        <v>1.0</v>
      </c>
      <c r="Z20" s="10"/>
      <c r="AA20" s="10"/>
    </row>
    <row r="21" hidden="1">
      <c r="A21" s="55">
        <v>45450.0</v>
      </c>
      <c r="B21" s="12" t="s">
        <v>95</v>
      </c>
      <c r="C21" s="12" t="s">
        <v>11</v>
      </c>
      <c r="D21" s="12">
        <v>1.39</v>
      </c>
      <c r="E21" s="12" t="s">
        <v>14</v>
      </c>
      <c r="F21" s="10">
        <f t="shared" si="1"/>
        <v>0.3475</v>
      </c>
      <c r="G21" s="10">
        <f t="shared" si="2"/>
        <v>0.3475</v>
      </c>
      <c r="I21" s="1">
        <v>1.0</v>
      </c>
      <c r="J21" s="1">
        <v>1.0</v>
      </c>
      <c r="K21" s="1">
        <v>1.0</v>
      </c>
      <c r="N21" s="1">
        <v>1.0</v>
      </c>
      <c r="Z21" s="10"/>
      <c r="AA21" s="10"/>
    </row>
    <row r="22">
      <c r="A22" s="61">
        <v>45452.0</v>
      </c>
      <c r="B22" s="51" t="s">
        <v>46</v>
      </c>
      <c r="C22" s="51" t="s">
        <v>11</v>
      </c>
      <c r="D22" s="63">
        <v>7.45</v>
      </c>
      <c r="E22" s="51" t="s">
        <v>13</v>
      </c>
      <c r="F22" s="10">
        <f t="shared" si="1"/>
        <v>1.49</v>
      </c>
      <c r="G22" s="10">
        <f t="shared" si="2"/>
        <v>1.49</v>
      </c>
      <c r="H22" s="52">
        <v>1.0</v>
      </c>
      <c r="I22" s="52">
        <v>1.0</v>
      </c>
      <c r="J22" s="52">
        <v>1.0</v>
      </c>
      <c r="K22" s="52">
        <v>1.0</v>
      </c>
      <c r="L22" s="53"/>
      <c r="M22" s="54"/>
      <c r="N22" s="52">
        <v>1.0</v>
      </c>
      <c r="Z22" s="10"/>
      <c r="AA22" s="10"/>
    </row>
    <row r="23" hidden="1">
      <c r="A23" s="61">
        <v>45451.0</v>
      </c>
      <c r="B23" s="51" t="s">
        <v>46</v>
      </c>
      <c r="C23" s="51" t="s">
        <v>11</v>
      </c>
      <c r="D23" s="63">
        <f>42.02-2.99*1.13-1.79</f>
        <v>36.8513</v>
      </c>
      <c r="E23" s="51" t="s">
        <v>4</v>
      </c>
      <c r="F23" s="10">
        <f t="shared" si="1"/>
        <v>7.37026</v>
      </c>
      <c r="G23" s="10">
        <f t="shared" si="2"/>
        <v>7.37026</v>
      </c>
      <c r="H23" s="52">
        <v>1.0</v>
      </c>
      <c r="I23" s="52">
        <v>1.0</v>
      </c>
      <c r="J23" s="52">
        <v>1.0</v>
      </c>
      <c r="K23" s="52"/>
      <c r="L23" s="53"/>
      <c r="M23" s="54">
        <v>1.0</v>
      </c>
      <c r="N23" s="52">
        <v>1.0</v>
      </c>
      <c r="Z23" s="10"/>
      <c r="AA23" s="10"/>
    </row>
    <row r="24" hidden="1">
      <c r="A24" s="61">
        <v>45451.0</v>
      </c>
      <c r="B24" s="51" t="s">
        <v>46</v>
      </c>
      <c r="C24" s="51" t="s">
        <v>11</v>
      </c>
      <c r="D24" s="51">
        <f>1.79*1.13</f>
        <v>2.0227</v>
      </c>
      <c r="E24" s="51" t="s">
        <v>4</v>
      </c>
      <c r="F24" s="10">
        <f t="shared" si="1"/>
        <v>2.0227</v>
      </c>
      <c r="G24" s="10">
        <f t="shared" si="2"/>
        <v>2.0227</v>
      </c>
      <c r="H24" s="52">
        <v>1.0</v>
      </c>
      <c r="I24" s="52"/>
      <c r="J24" s="52"/>
      <c r="K24" s="52"/>
      <c r="L24" s="53"/>
      <c r="M24" s="53"/>
      <c r="N24" s="52"/>
      <c r="Z24" s="10"/>
      <c r="AA24" s="10"/>
    </row>
    <row r="25" hidden="1">
      <c r="A25" s="61">
        <v>45451.0</v>
      </c>
      <c r="B25" s="51" t="s">
        <v>46</v>
      </c>
      <c r="C25" s="51" t="s">
        <v>23</v>
      </c>
      <c r="D25" s="51">
        <f>2.99*1.13</f>
        <v>3.3787</v>
      </c>
      <c r="E25" s="51" t="s">
        <v>4</v>
      </c>
      <c r="F25" s="10">
        <f t="shared" si="1"/>
        <v>3.3787</v>
      </c>
      <c r="G25" s="10">
        <f t="shared" si="2"/>
        <v>3.3787</v>
      </c>
      <c r="H25" s="52"/>
      <c r="I25" s="52"/>
      <c r="J25" s="52">
        <v>1.0</v>
      </c>
      <c r="K25" s="52"/>
      <c r="L25" s="54"/>
      <c r="M25" s="53"/>
      <c r="N25" s="52"/>
      <c r="Z25" s="10"/>
      <c r="AA25" s="10"/>
    </row>
    <row r="26" hidden="1">
      <c r="A26" s="59">
        <v>45451.0</v>
      </c>
      <c r="B26" s="12" t="s">
        <v>149</v>
      </c>
      <c r="C26" s="12" t="s">
        <v>11</v>
      </c>
      <c r="D26" s="12">
        <v>31.55</v>
      </c>
      <c r="E26" s="12" t="s">
        <v>288</v>
      </c>
      <c r="F26" s="10">
        <f t="shared" si="1"/>
        <v>6.31</v>
      </c>
      <c r="G26" s="10">
        <f t="shared" si="2"/>
        <v>6.31</v>
      </c>
      <c r="H26" s="1">
        <v>1.0</v>
      </c>
      <c r="I26" s="1">
        <v>1.0</v>
      </c>
      <c r="J26" s="1">
        <v>1.0</v>
      </c>
      <c r="K26" s="1">
        <v>1.0</v>
      </c>
      <c r="N26" s="1">
        <v>1.0</v>
      </c>
      <c r="Z26" s="10"/>
      <c r="AA26" s="10"/>
    </row>
    <row r="27" hidden="1">
      <c r="A27" s="61">
        <v>45452.0</v>
      </c>
      <c r="B27" s="51" t="s">
        <v>46</v>
      </c>
      <c r="C27" s="51" t="s">
        <v>11</v>
      </c>
      <c r="D27" s="51">
        <v>21.06</v>
      </c>
      <c r="E27" s="51" t="s">
        <v>46</v>
      </c>
      <c r="F27" s="10">
        <f t="shared" si="1"/>
        <v>4.212</v>
      </c>
      <c r="G27" s="10">
        <f t="shared" si="2"/>
        <v>4.212</v>
      </c>
      <c r="H27" s="52">
        <v>1.0</v>
      </c>
      <c r="I27" s="52">
        <v>1.0</v>
      </c>
      <c r="J27" s="52">
        <v>1.0</v>
      </c>
      <c r="K27" s="52">
        <v>1.0</v>
      </c>
      <c r="L27" s="54"/>
      <c r="M27" s="54"/>
      <c r="N27" s="52">
        <v>1.0</v>
      </c>
      <c r="Z27" s="10"/>
      <c r="AA27" s="10"/>
    </row>
    <row r="28" hidden="1">
      <c r="A28" s="61">
        <v>45452.0</v>
      </c>
      <c r="B28" s="51" t="s">
        <v>46</v>
      </c>
      <c r="C28" s="51" t="s">
        <v>11</v>
      </c>
      <c r="D28" s="51">
        <v>8.06</v>
      </c>
      <c r="E28" s="51" t="s">
        <v>4</v>
      </c>
      <c r="F28" s="65">
        <f t="shared" si="1"/>
        <v>1.612</v>
      </c>
      <c r="G28" s="65">
        <f t="shared" si="2"/>
        <v>1.612</v>
      </c>
      <c r="H28" s="54">
        <v>1.0</v>
      </c>
      <c r="I28" s="54">
        <v>1.0</v>
      </c>
      <c r="J28" s="54">
        <v>1.0</v>
      </c>
      <c r="K28" s="54">
        <v>1.0</v>
      </c>
      <c r="L28" s="53"/>
      <c r="M28" s="53"/>
      <c r="N28" s="54">
        <v>1.0</v>
      </c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</row>
    <row r="29" hidden="1">
      <c r="A29" s="59">
        <v>45453.0</v>
      </c>
      <c r="B29" s="12" t="s">
        <v>330</v>
      </c>
      <c r="C29" s="12" t="s">
        <v>11</v>
      </c>
      <c r="D29" s="12">
        <v>15.0</v>
      </c>
      <c r="E29" s="12" t="s">
        <v>2</v>
      </c>
      <c r="F29" s="10">
        <f t="shared" si="1"/>
        <v>15</v>
      </c>
      <c r="G29" s="10">
        <f t="shared" si="2"/>
        <v>15</v>
      </c>
      <c r="J29" s="1">
        <v>1.0</v>
      </c>
      <c r="Z29" s="10"/>
      <c r="AA29" s="10"/>
    </row>
    <row r="30" hidden="1">
      <c r="A30" s="59">
        <v>45454.0</v>
      </c>
      <c r="B30" s="12" t="s">
        <v>46</v>
      </c>
      <c r="C30" s="12" t="s">
        <v>11</v>
      </c>
      <c r="D30" s="12">
        <v>29.41</v>
      </c>
      <c r="E30" s="12" t="s">
        <v>14</v>
      </c>
      <c r="F30" s="10">
        <f t="shared" si="1"/>
        <v>5.882</v>
      </c>
      <c r="G30" s="10">
        <f t="shared" si="2"/>
        <v>5.882</v>
      </c>
      <c r="H30" s="1">
        <v>1.0</v>
      </c>
      <c r="I30" s="1">
        <v>1.0</v>
      </c>
      <c r="J30" s="1">
        <v>1.0</v>
      </c>
      <c r="K30" s="1">
        <v>1.0</v>
      </c>
      <c r="N30" s="1">
        <v>1.0</v>
      </c>
      <c r="Z30" s="10"/>
      <c r="AA30" s="10"/>
    </row>
    <row r="31" hidden="1">
      <c r="A31" s="61">
        <v>45455.0</v>
      </c>
      <c r="B31" s="51" t="s">
        <v>149</v>
      </c>
      <c r="C31" s="51" t="s">
        <v>11</v>
      </c>
      <c r="D31" s="51">
        <v>35.7</v>
      </c>
      <c r="E31" s="51" t="s">
        <v>14</v>
      </c>
      <c r="F31" s="10">
        <f t="shared" si="1"/>
        <v>7.14</v>
      </c>
      <c r="G31" s="10">
        <f t="shared" si="2"/>
        <v>7.14</v>
      </c>
      <c r="H31" s="52">
        <v>1.0</v>
      </c>
      <c r="I31" s="52">
        <v>1.0</v>
      </c>
      <c r="J31" s="52">
        <v>1.0</v>
      </c>
      <c r="K31" s="52">
        <v>1.0</v>
      </c>
      <c r="L31" s="54"/>
      <c r="M31" s="54"/>
      <c r="N31" s="52">
        <v>1.0</v>
      </c>
      <c r="Z31" s="10"/>
      <c r="AA31" s="10"/>
    </row>
    <row r="32">
      <c r="A32" s="61">
        <v>45455.0</v>
      </c>
      <c r="B32" s="51" t="s">
        <v>50</v>
      </c>
      <c r="C32" s="51" t="s">
        <v>11</v>
      </c>
      <c r="D32" s="51">
        <v>22.38</v>
      </c>
      <c r="E32" s="51" t="s">
        <v>13</v>
      </c>
      <c r="F32" s="10">
        <f t="shared" si="1"/>
        <v>22.38</v>
      </c>
      <c r="G32" s="10">
        <f t="shared" si="2"/>
        <v>22.38</v>
      </c>
      <c r="H32" s="52"/>
      <c r="I32" s="52"/>
      <c r="J32" s="52"/>
      <c r="K32" s="52"/>
      <c r="L32" s="53"/>
      <c r="M32" s="54">
        <v>1.0</v>
      </c>
      <c r="N32" s="52"/>
      <c r="Z32" s="10"/>
      <c r="AA32" s="10"/>
    </row>
    <row r="33">
      <c r="A33" s="55">
        <v>45455.0</v>
      </c>
      <c r="B33" s="12" t="s">
        <v>107</v>
      </c>
      <c r="C33" s="12" t="s">
        <v>11</v>
      </c>
      <c r="D33" s="12">
        <v>12.99</v>
      </c>
      <c r="E33" s="12" t="s">
        <v>13</v>
      </c>
      <c r="F33" s="10">
        <f t="shared" si="1"/>
        <v>12.99</v>
      </c>
      <c r="G33" s="10">
        <f t="shared" si="2"/>
        <v>12.99</v>
      </c>
      <c r="J33" s="1">
        <v>1.0</v>
      </c>
      <c r="Z33" s="10"/>
      <c r="AA33" s="10"/>
    </row>
    <row r="34">
      <c r="A34" s="61">
        <v>45455.0</v>
      </c>
      <c r="B34" s="51" t="s">
        <v>331</v>
      </c>
      <c r="C34" s="51" t="s">
        <v>31</v>
      </c>
      <c r="D34" s="51">
        <f>23.99*1.13</f>
        <v>27.1087</v>
      </c>
      <c r="E34" s="51" t="s">
        <v>13</v>
      </c>
      <c r="F34" s="10">
        <f t="shared" si="1"/>
        <v>27.1087</v>
      </c>
      <c r="G34" s="10">
        <f t="shared" si="2"/>
        <v>27.1087</v>
      </c>
      <c r="H34" s="52"/>
      <c r="I34" s="54"/>
      <c r="J34" s="54">
        <v>1.0</v>
      </c>
      <c r="K34" s="54"/>
      <c r="L34" s="53"/>
      <c r="M34" s="53"/>
      <c r="N34" s="54"/>
      <c r="Z34" s="10"/>
      <c r="AA34" s="10"/>
    </row>
    <row r="35">
      <c r="A35" s="61">
        <v>45455.0</v>
      </c>
      <c r="B35" s="12" t="s">
        <v>332</v>
      </c>
      <c r="C35" s="51" t="s">
        <v>27</v>
      </c>
      <c r="D35" s="12">
        <f>29.99*1.13</f>
        <v>33.8887</v>
      </c>
      <c r="E35" s="12" t="s">
        <v>13</v>
      </c>
      <c r="F35" s="10">
        <f t="shared" si="1"/>
        <v>33.8887</v>
      </c>
      <c r="G35" s="10">
        <f t="shared" si="2"/>
        <v>33.8887</v>
      </c>
      <c r="J35" s="1">
        <v>1.0</v>
      </c>
      <c r="Z35" s="53"/>
      <c r="AA35" s="53"/>
    </row>
    <row r="36">
      <c r="A36" s="61">
        <v>45455.0</v>
      </c>
      <c r="B36" s="12" t="s">
        <v>333</v>
      </c>
      <c r="C36" s="12" t="s">
        <v>19</v>
      </c>
      <c r="D36" s="12">
        <f>15.29*1.13</f>
        <v>17.2777</v>
      </c>
      <c r="E36" s="12" t="s">
        <v>13</v>
      </c>
      <c r="F36" s="10">
        <f t="shared" si="1"/>
        <v>3.45554</v>
      </c>
      <c r="G36" s="10">
        <f t="shared" si="2"/>
        <v>3.45554</v>
      </c>
      <c r="H36" s="1">
        <v>1.0</v>
      </c>
      <c r="I36" s="1">
        <v>1.0</v>
      </c>
      <c r="J36" s="1">
        <v>1.0</v>
      </c>
      <c r="K36" s="1">
        <v>1.0</v>
      </c>
      <c r="N36" s="1">
        <v>1.0</v>
      </c>
      <c r="Z36" s="10"/>
      <c r="AA36" s="10"/>
    </row>
    <row r="37">
      <c r="A37" s="61">
        <v>45455.0</v>
      </c>
      <c r="B37" s="12" t="s">
        <v>334</v>
      </c>
      <c r="C37" s="12" t="s">
        <v>23</v>
      </c>
      <c r="D37" s="12">
        <f>21.49*1.13</f>
        <v>24.2837</v>
      </c>
      <c r="E37" s="12" t="s">
        <v>13</v>
      </c>
      <c r="F37" s="10">
        <f>D37/sum(H37:R37)</f>
        <v>4.85674</v>
      </c>
      <c r="G37" s="10">
        <f>D37/sum(H37:R37)</f>
        <v>4.85674</v>
      </c>
      <c r="H37" s="1">
        <v>1.0</v>
      </c>
      <c r="I37" s="1">
        <v>1.0</v>
      </c>
      <c r="J37" s="1">
        <v>1.0</v>
      </c>
      <c r="K37" s="1">
        <v>1.0</v>
      </c>
      <c r="N37" s="1">
        <v>1.0</v>
      </c>
      <c r="Z37" s="10"/>
      <c r="AA37" s="10"/>
    </row>
    <row r="38" hidden="1">
      <c r="A38" s="59">
        <v>45456.0</v>
      </c>
      <c r="B38" s="12" t="s">
        <v>46</v>
      </c>
      <c r="C38" s="51" t="s">
        <v>11</v>
      </c>
      <c r="D38" s="12">
        <v>39.84</v>
      </c>
      <c r="E38" s="12" t="s">
        <v>14</v>
      </c>
      <c r="F38" s="67">
        <f t="shared" ref="F38:F55" si="3">D38/sum(H38:Q38)</f>
        <v>6.64</v>
      </c>
      <c r="G38" s="10">
        <f t="shared" ref="G38:G55" si="4">D38/sum(H38:Q38)</f>
        <v>6.64</v>
      </c>
      <c r="H38" s="1">
        <v>1.0</v>
      </c>
      <c r="I38" s="1">
        <v>1.0</v>
      </c>
      <c r="J38" s="1">
        <v>1.0</v>
      </c>
      <c r="K38" s="1">
        <v>1.0</v>
      </c>
      <c r="M38" s="1">
        <v>1.0</v>
      </c>
      <c r="N38" s="1">
        <v>1.0</v>
      </c>
      <c r="Z38" s="57"/>
      <c r="AA38" s="57"/>
    </row>
    <row r="39">
      <c r="A39" s="61">
        <v>45457.0</v>
      </c>
      <c r="B39" s="12" t="s">
        <v>248</v>
      </c>
      <c r="C39" s="12" t="s">
        <v>11</v>
      </c>
      <c r="D39" s="51">
        <v>30.92</v>
      </c>
      <c r="E39" s="51" t="s">
        <v>13</v>
      </c>
      <c r="F39" s="10">
        <f t="shared" si="3"/>
        <v>6.184</v>
      </c>
      <c r="G39" s="10">
        <f t="shared" si="4"/>
        <v>6.184</v>
      </c>
      <c r="H39" s="1">
        <v>1.0</v>
      </c>
      <c r="I39" s="1">
        <v>1.0</v>
      </c>
      <c r="J39" s="1">
        <v>1.0</v>
      </c>
      <c r="K39" s="1">
        <v>1.0</v>
      </c>
      <c r="N39" s="1">
        <v>1.0</v>
      </c>
      <c r="Z39" s="10"/>
      <c r="AA39" s="10"/>
    </row>
    <row r="40" hidden="1">
      <c r="A40" s="61">
        <v>45458.0</v>
      </c>
      <c r="B40" s="12" t="s">
        <v>46</v>
      </c>
      <c r="C40" s="12" t="s">
        <v>11</v>
      </c>
      <c r="D40" s="12">
        <v>12.21</v>
      </c>
      <c r="E40" s="12" t="s">
        <v>2</v>
      </c>
      <c r="F40" s="10">
        <f t="shared" si="3"/>
        <v>2.442</v>
      </c>
      <c r="G40" s="10">
        <f t="shared" si="4"/>
        <v>2.442</v>
      </c>
      <c r="H40" s="1">
        <v>1.0</v>
      </c>
      <c r="I40" s="1">
        <v>1.0</v>
      </c>
      <c r="J40" s="1">
        <v>1.0</v>
      </c>
      <c r="K40" s="1">
        <v>1.0</v>
      </c>
      <c r="N40" s="1">
        <v>1.0</v>
      </c>
      <c r="Z40" s="10"/>
      <c r="AA40" s="10"/>
    </row>
    <row r="41" hidden="1">
      <c r="A41" s="61">
        <v>45459.0</v>
      </c>
      <c r="B41" s="51" t="s">
        <v>329</v>
      </c>
      <c r="C41" s="51" t="s">
        <v>11</v>
      </c>
      <c r="D41" s="51">
        <v>69.5</v>
      </c>
      <c r="E41" s="51" t="s">
        <v>2</v>
      </c>
      <c r="F41" s="10">
        <f t="shared" si="3"/>
        <v>13.9</v>
      </c>
      <c r="G41" s="10">
        <f t="shared" si="4"/>
        <v>13.9</v>
      </c>
      <c r="H41" s="52">
        <v>1.0</v>
      </c>
      <c r="I41" s="54">
        <v>1.0</v>
      </c>
      <c r="J41" s="52">
        <v>1.0</v>
      </c>
      <c r="K41" s="54">
        <v>1.0</v>
      </c>
      <c r="L41" s="53"/>
      <c r="M41" s="53"/>
      <c r="N41" s="54">
        <v>1.0</v>
      </c>
      <c r="Z41" s="10"/>
      <c r="AA41" s="10"/>
    </row>
    <row r="42">
      <c r="A42" s="55">
        <v>45459.0</v>
      </c>
      <c r="B42" s="12" t="s">
        <v>335</v>
      </c>
      <c r="C42" s="12" t="s">
        <v>11</v>
      </c>
      <c r="D42" s="12">
        <f>4.39+15.99*1.13+7.29+8.89</f>
        <v>38.6387</v>
      </c>
      <c r="E42" s="12" t="s">
        <v>13</v>
      </c>
      <c r="F42" s="10">
        <f t="shared" si="3"/>
        <v>7.72774</v>
      </c>
      <c r="G42" s="10">
        <f t="shared" si="4"/>
        <v>7.72774</v>
      </c>
      <c r="H42" s="1">
        <v>1.0</v>
      </c>
      <c r="I42" s="1">
        <v>1.0</v>
      </c>
      <c r="J42" s="1">
        <v>1.0</v>
      </c>
      <c r="K42" s="1">
        <v>1.0</v>
      </c>
      <c r="N42" s="1">
        <v>1.0</v>
      </c>
      <c r="Z42" s="10"/>
      <c r="AA42" s="10"/>
    </row>
    <row r="43" hidden="1">
      <c r="A43" s="55">
        <v>45459.0</v>
      </c>
      <c r="B43" s="12" t="s">
        <v>336</v>
      </c>
      <c r="C43" s="12" t="s">
        <v>139</v>
      </c>
      <c r="D43" s="12">
        <v>28.8</v>
      </c>
      <c r="E43" s="12" t="s">
        <v>7</v>
      </c>
      <c r="F43" s="10">
        <f t="shared" si="3"/>
        <v>28.8</v>
      </c>
      <c r="G43" s="10">
        <f t="shared" si="4"/>
        <v>28.8</v>
      </c>
      <c r="I43" s="1">
        <v>1.0</v>
      </c>
      <c r="Z43" s="10"/>
      <c r="AA43" s="10"/>
    </row>
    <row r="44" hidden="1">
      <c r="A44" s="55">
        <v>45459.0</v>
      </c>
      <c r="B44" s="12" t="s">
        <v>336</v>
      </c>
      <c r="C44" s="12" t="s">
        <v>139</v>
      </c>
      <c r="D44" s="12">
        <v>55.2</v>
      </c>
      <c r="E44" s="12" t="s">
        <v>7</v>
      </c>
      <c r="F44" s="10">
        <f t="shared" si="3"/>
        <v>55.2</v>
      </c>
      <c r="G44" s="10">
        <f t="shared" si="4"/>
        <v>55.2</v>
      </c>
      <c r="K44" s="1">
        <v>1.0</v>
      </c>
      <c r="Z44" s="10"/>
      <c r="AA44" s="10"/>
    </row>
    <row r="45">
      <c r="A45" s="55">
        <v>45460.0</v>
      </c>
      <c r="B45" s="12" t="s">
        <v>46</v>
      </c>
      <c r="C45" s="12" t="s">
        <v>11</v>
      </c>
      <c r="D45" s="12">
        <v>33.82</v>
      </c>
      <c r="E45" s="12" t="s">
        <v>13</v>
      </c>
      <c r="F45" s="10">
        <f t="shared" si="3"/>
        <v>8.455</v>
      </c>
      <c r="G45" s="10">
        <f t="shared" si="4"/>
        <v>8.455</v>
      </c>
      <c r="H45" s="1">
        <v>1.0</v>
      </c>
      <c r="I45" s="1">
        <v>1.0</v>
      </c>
      <c r="J45" s="1">
        <v>1.0</v>
      </c>
      <c r="K45" s="1">
        <v>1.0</v>
      </c>
      <c r="L45" s="1"/>
      <c r="M45" s="1"/>
      <c r="N45" s="1"/>
      <c r="Z45" s="10"/>
      <c r="AA45" s="10"/>
    </row>
    <row r="46" hidden="1">
      <c r="A46" s="55">
        <v>45461.0</v>
      </c>
      <c r="B46" s="12" t="s">
        <v>46</v>
      </c>
      <c r="C46" s="12" t="s">
        <v>11</v>
      </c>
      <c r="D46" s="12">
        <v>48.41</v>
      </c>
      <c r="E46" s="12" t="s">
        <v>14</v>
      </c>
      <c r="F46" s="10">
        <f t="shared" si="3"/>
        <v>6.915714286</v>
      </c>
      <c r="G46" s="10">
        <f t="shared" si="4"/>
        <v>6.915714286</v>
      </c>
      <c r="H46" s="1">
        <v>1.0</v>
      </c>
      <c r="I46" s="1">
        <v>1.0</v>
      </c>
      <c r="J46" s="1">
        <v>1.0</v>
      </c>
      <c r="K46" s="1">
        <v>1.0</v>
      </c>
      <c r="L46" s="1">
        <v>1.0</v>
      </c>
      <c r="M46" s="1">
        <v>1.0</v>
      </c>
      <c r="N46" s="1">
        <v>1.0</v>
      </c>
      <c r="Z46" s="10"/>
      <c r="AA46" s="10"/>
    </row>
    <row r="47" hidden="1">
      <c r="A47" s="61">
        <v>45462.0</v>
      </c>
      <c r="B47" s="51" t="s">
        <v>149</v>
      </c>
      <c r="C47" s="51" t="s">
        <v>11</v>
      </c>
      <c r="D47" s="63">
        <f>8.88*1.13+6.99*1.13+10*1.13+3.05+5.99</f>
        <v>38.2731</v>
      </c>
      <c r="E47" s="51" t="s">
        <v>14</v>
      </c>
      <c r="F47" s="10">
        <f t="shared" si="3"/>
        <v>9.568275</v>
      </c>
      <c r="G47" s="10">
        <f t="shared" si="4"/>
        <v>9.568275</v>
      </c>
      <c r="H47" s="52">
        <v>1.0</v>
      </c>
      <c r="I47" s="52">
        <v>1.0</v>
      </c>
      <c r="J47" s="52">
        <v>1.0</v>
      </c>
      <c r="K47" s="52">
        <v>1.0</v>
      </c>
      <c r="L47" s="53"/>
      <c r="M47" s="53"/>
      <c r="N47" s="52"/>
      <c r="Z47" s="10"/>
      <c r="AA47" s="10"/>
    </row>
    <row r="48" hidden="1">
      <c r="A48" s="61">
        <v>45462.0</v>
      </c>
      <c r="B48" s="51" t="s">
        <v>149</v>
      </c>
      <c r="C48" s="51" t="s">
        <v>11</v>
      </c>
      <c r="D48" s="51">
        <f>10.99+2.19+1.49</f>
        <v>14.67</v>
      </c>
      <c r="E48" s="51" t="s">
        <v>14</v>
      </c>
      <c r="F48" s="10">
        <f t="shared" si="3"/>
        <v>2.095714286</v>
      </c>
      <c r="G48" s="10">
        <f t="shared" si="4"/>
        <v>2.095714286</v>
      </c>
      <c r="H48" s="52">
        <v>1.0</v>
      </c>
      <c r="I48" s="52">
        <v>1.0</v>
      </c>
      <c r="J48" s="52">
        <v>1.0</v>
      </c>
      <c r="K48" s="52">
        <v>1.0</v>
      </c>
      <c r="L48" s="54">
        <v>1.0</v>
      </c>
      <c r="M48" s="54">
        <v>1.0</v>
      </c>
      <c r="N48" s="52">
        <v>1.0</v>
      </c>
      <c r="Z48" s="10"/>
      <c r="AA48" s="10"/>
    </row>
    <row r="49" hidden="1">
      <c r="A49" s="59">
        <v>45463.0</v>
      </c>
      <c r="B49" s="12" t="s">
        <v>337</v>
      </c>
      <c r="C49" s="12" t="s">
        <v>11</v>
      </c>
      <c r="D49" s="12">
        <v>10.94</v>
      </c>
      <c r="E49" s="12" t="s">
        <v>14</v>
      </c>
      <c r="F49" s="10">
        <f t="shared" si="3"/>
        <v>1.562857143</v>
      </c>
      <c r="G49" s="10">
        <f t="shared" si="4"/>
        <v>1.562857143</v>
      </c>
      <c r="H49" s="1">
        <v>1.0</v>
      </c>
      <c r="I49" s="1">
        <v>1.0</v>
      </c>
      <c r="J49" s="1">
        <v>1.0</v>
      </c>
      <c r="K49" s="1">
        <v>1.0</v>
      </c>
      <c r="L49" s="1">
        <v>1.0</v>
      </c>
      <c r="M49" s="1">
        <v>1.0</v>
      </c>
      <c r="N49" s="1">
        <v>1.0</v>
      </c>
      <c r="Z49" s="10"/>
      <c r="AA49" s="10"/>
    </row>
    <row r="50">
      <c r="A50" s="59">
        <v>45463.0</v>
      </c>
      <c r="B50" s="12" t="s">
        <v>149</v>
      </c>
      <c r="C50" s="12" t="s">
        <v>11</v>
      </c>
      <c r="D50" s="12">
        <v>44.65</v>
      </c>
      <c r="E50" s="12" t="s">
        <v>13</v>
      </c>
      <c r="F50" s="10">
        <f t="shared" si="3"/>
        <v>6.378571429</v>
      </c>
      <c r="G50" s="10">
        <f t="shared" si="4"/>
        <v>6.378571429</v>
      </c>
      <c r="H50" s="1">
        <v>1.0</v>
      </c>
      <c r="I50" s="1">
        <v>1.0</v>
      </c>
      <c r="J50" s="1">
        <v>1.0</v>
      </c>
      <c r="K50" s="1">
        <v>1.0</v>
      </c>
      <c r="L50" s="1">
        <v>1.0</v>
      </c>
      <c r="M50" s="1">
        <v>1.0</v>
      </c>
      <c r="N50" s="1">
        <v>1.0</v>
      </c>
      <c r="Z50" s="10"/>
      <c r="AA50" s="10"/>
    </row>
    <row r="51" hidden="1">
      <c r="A51" s="59">
        <v>45464.0</v>
      </c>
      <c r="B51" s="12" t="s">
        <v>130</v>
      </c>
      <c r="C51" s="12" t="s">
        <v>11</v>
      </c>
      <c r="D51" s="12">
        <f>11.99*4*1.13</f>
        <v>54.1948</v>
      </c>
      <c r="E51" s="12" t="s">
        <v>2</v>
      </c>
      <c r="F51" s="10">
        <f t="shared" si="3"/>
        <v>13.5487</v>
      </c>
      <c r="G51" s="10">
        <f t="shared" si="4"/>
        <v>13.5487</v>
      </c>
      <c r="H51" s="1">
        <v>1.0</v>
      </c>
      <c r="J51" s="1">
        <v>1.0</v>
      </c>
      <c r="M51" s="1">
        <v>1.0</v>
      </c>
      <c r="N51" s="1">
        <v>1.0</v>
      </c>
      <c r="Z51" s="10"/>
      <c r="AA51" s="10"/>
    </row>
    <row r="52" hidden="1">
      <c r="A52" s="59">
        <v>45464.0</v>
      </c>
      <c r="B52" s="12" t="s">
        <v>130</v>
      </c>
      <c r="C52" s="12" t="s">
        <v>11</v>
      </c>
      <c r="D52" s="12">
        <f>12.99*2*1.13</f>
        <v>29.3574</v>
      </c>
      <c r="E52" s="12" t="s">
        <v>2</v>
      </c>
      <c r="F52" s="10">
        <f t="shared" si="3"/>
        <v>14.6787</v>
      </c>
      <c r="G52" s="10">
        <f t="shared" si="4"/>
        <v>14.6787</v>
      </c>
      <c r="I52" s="1">
        <v>1.0</v>
      </c>
      <c r="K52" s="1">
        <v>1.0</v>
      </c>
      <c r="Z52" s="10"/>
      <c r="AA52" s="10"/>
    </row>
    <row r="53" hidden="1">
      <c r="A53" s="59">
        <v>45464.0</v>
      </c>
      <c r="B53" s="12" t="s">
        <v>130</v>
      </c>
      <c r="C53" s="12" t="s">
        <v>11</v>
      </c>
      <c r="D53" s="12">
        <f>14.99*1.13</f>
        <v>16.9387</v>
      </c>
      <c r="E53" s="12" t="s">
        <v>2</v>
      </c>
      <c r="F53" s="10">
        <f t="shared" si="3"/>
        <v>16.9387</v>
      </c>
      <c r="G53" s="10">
        <f t="shared" si="4"/>
        <v>16.9387</v>
      </c>
      <c r="L53" s="1">
        <v>1.0</v>
      </c>
      <c r="Z53" s="10"/>
      <c r="AA53" s="10"/>
    </row>
    <row r="54" hidden="1">
      <c r="A54" s="59">
        <v>45465.0</v>
      </c>
      <c r="B54" s="12" t="s">
        <v>213</v>
      </c>
      <c r="C54" s="12" t="s">
        <v>23</v>
      </c>
      <c r="D54" s="12">
        <v>8.39</v>
      </c>
      <c r="E54" s="12" t="s">
        <v>14</v>
      </c>
      <c r="F54" s="10">
        <f t="shared" si="3"/>
        <v>1.678</v>
      </c>
      <c r="G54" s="10">
        <f t="shared" si="4"/>
        <v>1.678</v>
      </c>
      <c r="H54" s="1">
        <v>1.0</v>
      </c>
      <c r="I54" s="1">
        <v>1.0</v>
      </c>
      <c r="J54" s="1">
        <v>1.0</v>
      </c>
      <c r="K54" s="1">
        <v>1.0</v>
      </c>
      <c r="N54" s="1">
        <v>1.0</v>
      </c>
      <c r="Z54" s="10"/>
      <c r="AA54" s="10"/>
    </row>
    <row r="55" hidden="1">
      <c r="A55" s="59">
        <v>45465.0</v>
      </c>
      <c r="B55" s="12" t="s">
        <v>338</v>
      </c>
      <c r="C55" s="12" t="s">
        <v>11</v>
      </c>
      <c r="D55" s="12">
        <v>87.76</v>
      </c>
      <c r="E55" s="12" t="s">
        <v>14</v>
      </c>
      <c r="F55" s="67">
        <f t="shared" si="3"/>
        <v>14.62666667</v>
      </c>
      <c r="G55" s="10">
        <f t="shared" si="4"/>
        <v>14.62666667</v>
      </c>
      <c r="H55" s="1">
        <v>1.0</v>
      </c>
      <c r="I55" s="1">
        <v>1.0</v>
      </c>
      <c r="J55" s="1">
        <v>1.0</v>
      </c>
      <c r="K55" s="1">
        <v>1.0</v>
      </c>
      <c r="M55" s="1">
        <v>1.0</v>
      </c>
      <c r="N55" s="1">
        <v>1.0</v>
      </c>
      <c r="Z55" s="10"/>
      <c r="AA55" s="10"/>
    </row>
    <row r="59">
      <c r="A59" s="61">
        <v>45467.0</v>
      </c>
      <c r="B59" s="51" t="s">
        <v>120</v>
      </c>
      <c r="C59" s="51" t="s">
        <v>11</v>
      </c>
      <c r="D59" s="51">
        <v>39.56</v>
      </c>
      <c r="E59" s="51" t="s">
        <v>4</v>
      </c>
      <c r="F59" s="10">
        <f t="shared" ref="F59:F108" si="5">D59/sum(H59:Q59)</f>
        <v>9.89</v>
      </c>
      <c r="G59" s="10">
        <f t="shared" ref="G59:G108" si="6">D59/sum(H59:Q59)</f>
        <v>9.89</v>
      </c>
      <c r="H59" s="52">
        <v>1.0</v>
      </c>
      <c r="I59" s="52">
        <v>1.0</v>
      </c>
      <c r="J59" s="52">
        <v>1.0</v>
      </c>
      <c r="K59" s="52">
        <v>1.0</v>
      </c>
      <c r="L59" s="54"/>
      <c r="M59" s="52"/>
      <c r="N59" s="52"/>
      <c r="Z59" s="10"/>
      <c r="AA59" s="10"/>
    </row>
    <row r="60">
      <c r="A60" s="59">
        <v>45468.0</v>
      </c>
      <c r="B60" s="12" t="s">
        <v>149</v>
      </c>
      <c r="C60" s="12" t="s">
        <v>11</v>
      </c>
      <c r="D60" s="12">
        <v>49.73</v>
      </c>
      <c r="E60" s="12" t="s">
        <v>7</v>
      </c>
      <c r="F60" s="10">
        <f t="shared" si="5"/>
        <v>7.104285714</v>
      </c>
      <c r="G60" s="10">
        <f t="shared" si="6"/>
        <v>7.104285714</v>
      </c>
      <c r="H60" s="1">
        <v>1.0</v>
      </c>
      <c r="I60" s="1">
        <v>1.0</v>
      </c>
      <c r="J60" s="1">
        <v>1.0</v>
      </c>
      <c r="K60" s="1">
        <v>1.0</v>
      </c>
      <c r="L60" s="1">
        <v>1.0</v>
      </c>
      <c r="M60" s="1">
        <v>1.0</v>
      </c>
      <c r="N60" s="1">
        <v>1.0</v>
      </c>
      <c r="Z60" s="10"/>
      <c r="AA60" s="10"/>
    </row>
    <row r="61">
      <c r="A61" s="61">
        <v>45470.0</v>
      </c>
      <c r="B61" s="51" t="s">
        <v>46</v>
      </c>
      <c r="C61" s="51" t="s">
        <v>11</v>
      </c>
      <c r="D61" s="51">
        <v>36.02</v>
      </c>
      <c r="E61" s="51" t="s">
        <v>14</v>
      </c>
      <c r="F61" s="10">
        <f t="shared" si="5"/>
        <v>7.204</v>
      </c>
      <c r="G61" s="10">
        <f t="shared" si="6"/>
        <v>7.204</v>
      </c>
      <c r="H61" s="52">
        <v>1.0</v>
      </c>
      <c r="I61" s="52">
        <v>1.0</v>
      </c>
      <c r="J61" s="52">
        <v>1.0</v>
      </c>
      <c r="K61" s="52">
        <v>1.0</v>
      </c>
      <c r="L61" s="54"/>
      <c r="M61" s="54"/>
      <c r="N61" s="52">
        <v>1.0</v>
      </c>
      <c r="Z61" s="10"/>
      <c r="AA61" s="10"/>
    </row>
    <row r="62">
      <c r="A62" s="55">
        <v>45471.0</v>
      </c>
      <c r="B62" s="12" t="s">
        <v>46</v>
      </c>
      <c r="C62" s="12" t="s">
        <v>11</v>
      </c>
      <c r="D62" s="12">
        <v>21.34</v>
      </c>
      <c r="E62" s="12" t="s">
        <v>13</v>
      </c>
      <c r="F62" s="10">
        <f t="shared" si="5"/>
        <v>4.268</v>
      </c>
      <c r="G62" s="10">
        <f t="shared" si="6"/>
        <v>4.268</v>
      </c>
      <c r="H62" s="1">
        <v>1.0</v>
      </c>
      <c r="I62" s="1">
        <v>1.0</v>
      </c>
      <c r="J62" s="1">
        <v>1.0</v>
      </c>
      <c r="K62" s="1">
        <v>1.0</v>
      </c>
      <c r="M62" s="1">
        <v>1.0</v>
      </c>
      <c r="Z62" s="10"/>
      <c r="AA62" s="10"/>
    </row>
    <row r="63">
      <c r="A63" s="61">
        <v>45472.0</v>
      </c>
      <c r="B63" s="51" t="s">
        <v>46</v>
      </c>
      <c r="C63" s="51" t="s">
        <v>11</v>
      </c>
      <c r="D63" s="63">
        <v>38.83</v>
      </c>
      <c r="E63" s="51" t="s">
        <v>4</v>
      </c>
      <c r="F63" s="10">
        <f t="shared" si="5"/>
        <v>5.547142857</v>
      </c>
      <c r="G63" s="10">
        <f t="shared" si="6"/>
        <v>5.547142857</v>
      </c>
      <c r="H63" s="52">
        <v>1.0</v>
      </c>
      <c r="I63" s="52">
        <v>1.0</v>
      </c>
      <c r="J63" s="52">
        <v>1.0</v>
      </c>
      <c r="K63" s="52">
        <v>1.0</v>
      </c>
      <c r="L63" s="54">
        <v>1.0</v>
      </c>
      <c r="M63" s="54">
        <v>1.0</v>
      </c>
      <c r="N63" s="52">
        <v>1.0</v>
      </c>
      <c r="Z63" s="10"/>
      <c r="AA63" s="10"/>
    </row>
    <row r="64">
      <c r="A64" s="55">
        <v>45467.0</v>
      </c>
      <c r="B64" s="12" t="s">
        <v>213</v>
      </c>
      <c r="C64" s="12" t="s">
        <v>11</v>
      </c>
      <c r="D64" s="12">
        <v>2.74</v>
      </c>
      <c r="E64" s="12" t="s">
        <v>14</v>
      </c>
      <c r="F64" s="67">
        <f t="shared" si="5"/>
        <v>0.548</v>
      </c>
      <c r="G64" s="10">
        <f t="shared" si="6"/>
        <v>0.548</v>
      </c>
      <c r="H64" s="1">
        <v>1.0</v>
      </c>
      <c r="I64" s="1">
        <v>1.0</v>
      </c>
      <c r="J64" s="1">
        <v>1.0</v>
      </c>
      <c r="K64" s="1">
        <v>1.0</v>
      </c>
      <c r="M64" s="1">
        <v>1.0</v>
      </c>
      <c r="Z64" s="10"/>
      <c r="AA64" s="10"/>
    </row>
    <row r="65">
      <c r="A65" s="61">
        <v>45469.0</v>
      </c>
      <c r="B65" s="51" t="s">
        <v>339</v>
      </c>
      <c r="C65" s="51" t="s">
        <v>11</v>
      </c>
      <c r="D65" s="63">
        <v>55.82</v>
      </c>
      <c r="E65" s="51" t="s">
        <v>13</v>
      </c>
      <c r="F65" s="10">
        <f t="shared" si="5"/>
        <v>18.60666667</v>
      </c>
      <c r="G65" s="10">
        <f t="shared" si="6"/>
        <v>18.60666667</v>
      </c>
      <c r="H65" s="52"/>
      <c r="I65" s="52"/>
      <c r="J65" s="52">
        <v>1.0</v>
      </c>
      <c r="K65" s="52">
        <v>1.0</v>
      </c>
      <c r="L65" s="53"/>
      <c r="M65" s="54">
        <v>1.0</v>
      </c>
      <c r="N65" s="52"/>
      <c r="Z65" s="10"/>
      <c r="AA65" s="10"/>
    </row>
    <row r="66">
      <c r="A66" s="55">
        <v>45454.0</v>
      </c>
      <c r="B66" s="12" t="s">
        <v>340</v>
      </c>
      <c r="C66" s="12" t="s">
        <v>23</v>
      </c>
      <c r="D66" s="12">
        <v>25.98</v>
      </c>
      <c r="E66" s="12" t="s">
        <v>13</v>
      </c>
      <c r="F66" s="10">
        <f t="shared" si="5"/>
        <v>12.99</v>
      </c>
      <c r="G66" s="10">
        <f t="shared" si="6"/>
        <v>12.99</v>
      </c>
      <c r="J66" s="1">
        <v>1.0</v>
      </c>
      <c r="K66" s="1">
        <v>1.0</v>
      </c>
      <c r="Z66" s="10"/>
      <c r="AA66" s="10"/>
    </row>
    <row r="67">
      <c r="A67" s="59">
        <v>45455.0</v>
      </c>
      <c r="B67" s="12" t="s">
        <v>341</v>
      </c>
      <c r="C67" s="12" t="s">
        <v>23</v>
      </c>
      <c r="D67" s="12">
        <f>8.31*1.13</f>
        <v>9.3903</v>
      </c>
      <c r="E67" s="12" t="s">
        <v>13</v>
      </c>
      <c r="F67" s="10">
        <f t="shared" si="5"/>
        <v>3.1301</v>
      </c>
      <c r="G67" s="10">
        <f t="shared" si="6"/>
        <v>3.1301</v>
      </c>
      <c r="J67" s="1">
        <v>1.0</v>
      </c>
      <c r="K67" s="1">
        <v>1.0</v>
      </c>
      <c r="N67" s="1">
        <v>1.0</v>
      </c>
      <c r="T67" s="18"/>
      <c r="U67" s="18"/>
      <c r="V67" s="18"/>
      <c r="W67" s="18"/>
      <c r="Z67" s="10"/>
      <c r="AA67" s="10"/>
    </row>
    <row r="68">
      <c r="A68" s="59">
        <v>45455.0</v>
      </c>
      <c r="B68" s="12" t="s">
        <v>342</v>
      </c>
      <c r="C68" s="12" t="s">
        <v>23</v>
      </c>
      <c r="D68" s="12">
        <f>19.99*1.13</f>
        <v>22.5887</v>
      </c>
      <c r="E68" s="12" t="s">
        <v>13</v>
      </c>
      <c r="F68" s="10">
        <f t="shared" si="5"/>
        <v>4.51774</v>
      </c>
      <c r="G68" s="10">
        <f t="shared" si="6"/>
        <v>4.51774</v>
      </c>
      <c r="H68" s="1">
        <v>1.0</v>
      </c>
      <c r="I68" s="1">
        <v>1.0</v>
      </c>
      <c r="J68" s="1">
        <v>1.0</v>
      </c>
      <c r="K68" s="1">
        <v>1.0</v>
      </c>
      <c r="N68" s="1">
        <v>1.0</v>
      </c>
      <c r="Z68" s="10"/>
      <c r="AA68" s="10"/>
    </row>
    <row r="69">
      <c r="A69" s="59">
        <v>45464.0</v>
      </c>
      <c r="B69" s="12" t="s">
        <v>343</v>
      </c>
      <c r="C69" s="12" t="s">
        <v>25</v>
      </c>
      <c r="D69" s="12">
        <v>30.5</v>
      </c>
      <c r="E69" s="12" t="s">
        <v>13</v>
      </c>
      <c r="F69" s="67">
        <f t="shared" si="5"/>
        <v>30.5</v>
      </c>
      <c r="G69" s="10">
        <f t="shared" si="6"/>
        <v>30.5</v>
      </c>
      <c r="M69" s="1">
        <v>1.0</v>
      </c>
      <c r="Z69" s="10"/>
      <c r="AA69" s="10"/>
    </row>
    <row r="70">
      <c r="A70" s="55">
        <v>45464.0</v>
      </c>
      <c r="B70" s="12" t="s">
        <v>343</v>
      </c>
      <c r="C70" s="12" t="s">
        <v>25</v>
      </c>
      <c r="D70" s="12">
        <v>33.88</v>
      </c>
      <c r="E70" s="12" t="s">
        <v>13</v>
      </c>
      <c r="F70" s="67">
        <f t="shared" si="5"/>
        <v>33.88</v>
      </c>
      <c r="G70" s="10">
        <f t="shared" si="6"/>
        <v>33.88</v>
      </c>
      <c r="M70" s="1">
        <v>1.0</v>
      </c>
      <c r="Z70" s="10"/>
      <c r="AA70" s="10"/>
    </row>
    <row r="71">
      <c r="A71" s="55">
        <v>45467.0</v>
      </c>
      <c r="B71" s="12" t="s">
        <v>344</v>
      </c>
      <c r="C71" s="12" t="s">
        <v>23</v>
      </c>
      <c r="D71" s="12">
        <v>23.66</v>
      </c>
      <c r="E71" s="12" t="s">
        <v>13</v>
      </c>
      <c r="F71" s="67">
        <f t="shared" si="5"/>
        <v>23.66</v>
      </c>
      <c r="G71" s="10">
        <f t="shared" si="6"/>
        <v>23.66</v>
      </c>
      <c r="L71" s="1">
        <v>1.0</v>
      </c>
      <c r="Z71" s="10"/>
      <c r="AA71" s="10"/>
    </row>
    <row r="72">
      <c r="A72" s="61">
        <v>45472.0</v>
      </c>
      <c r="B72" s="12" t="s">
        <v>345</v>
      </c>
      <c r="C72" s="12" t="s">
        <v>23</v>
      </c>
      <c r="D72" s="12">
        <f>17.99*1.13</f>
        <v>20.3287</v>
      </c>
      <c r="E72" s="12" t="s">
        <v>13</v>
      </c>
      <c r="F72" s="67">
        <f t="shared" si="5"/>
        <v>20.3287</v>
      </c>
      <c r="G72" s="10">
        <f t="shared" si="6"/>
        <v>20.3287</v>
      </c>
      <c r="N72" s="1">
        <v>1.0</v>
      </c>
      <c r="Z72" s="10"/>
      <c r="AA72" s="10"/>
    </row>
    <row r="73">
      <c r="A73" s="59">
        <v>45472.0</v>
      </c>
      <c r="B73" s="12" t="s">
        <v>346</v>
      </c>
      <c r="C73" s="51" t="s">
        <v>31</v>
      </c>
      <c r="D73" s="12">
        <f>12.52*1.13</f>
        <v>14.1476</v>
      </c>
      <c r="E73" s="12" t="s">
        <v>13</v>
      </c>
      <c r="F73" s="67">
        <f t="shared" si="5"/>
        <v>14.1476</v>
      </c>
      <c r="G73" s="10">
        <f t="shared" si="6"/>
        <v>14.1476</v>
      </c>
      <c r="N73" s="1">
        <v>1.0</v>
      </c>
      <c r="Z73" s="64"/>
      <c r="AA73" s="64"/>
    </row>
    <row r="74">
      <c r="A74" s="55">
        <v>45472.0</v>
      </c>
      <c r="B74" s="12" t="s">
        <v>347</v>
      </c>
      <c r="C74" s="12" t="s">
        <v>27</v>
      </c>
      <c r="D74" s="12">
        <f>18.99*1.13</f>
        <v>21.4587</v>
      </c>
      <c r="E74" s="12" t="s">
        <v>13</v>
      </c>
      <c r="F74" s="67">
        <f t="shared" si="5"/>
        <v>21.4587</v>
      </c>
      <c r="G74" s="10">
        <f t="shared" si="6"/>
        <v>21.4587</v>
      </c>
      <c r="N74" s="1">
        <v>1.0</v>
      </c>
      <c r="Z74" s="10"/>
      <c r="AA74" s="10"/>
    </row>
    <row r="75">
      <c r="A75" s="59"/>
      <c r="B75" s="12"/>
      <c r="C75" s="12"/>
      <c r="D75" s="12"/>
      <c r="E75" s="12"/>
      <c r="F75" s="67" t="str">
        <f t="shared" si="5"/>
        <v>#DIV/0!</v>
      </c>
      <c r="G75" s="10" t="str">
        <f t="shared" si="6"/>
        <v>#DIV/0!</v>
      </c>
      <c r="Z75" s="10"/>
      <c r="AA75" s="10"/>
    </row>
    <row r="76">
      <c r="A76" s="59"/>
      <c r="B76" s="12"/>
      <c r="C76" s="51"/>
      <c r="D76" s="12"/>
      <c r="E76" s="12"/>
      <c r="F76" s="67" t="str">
        <f t="shared" si="5"/>
        <v>#DIV/0!</v>
      </c>
      <c r="G76" s="10" t="str">
        <f t="shared" si="6"/>
        <v>#DIV/0!</v>
      </c>
      <c r="Z76" s="64"/>
      <c r="AA76" s="64"/>
    </row>
    <row r="77">
      <c r="A77" s="59"/>
      <c r="B77" s="12"/>
      <c r="C77" s="51"/>
      <c r="D77" s="12"/>
      <c r="E77" s="12"/>
      <c r="F77" s="67" t="str">
        <f t="shared" si="5"/>
        <v>#DIV/0!</v>
      </c>
      <c r="G77" s="10" t="str">
        <f t="shared" si="6"/>
        <v>#DIV/0!</v>
      </c>
      <c r="Z77" s="64"/>
      <c r="AA77" s="64"/>
    </row>
    <row r="78">
      <c r="A78" s="59">
        <v>45466.0</v>
      </c>
      <c r="B78" s="12" t="s">
        <v>348</v>
      </c>
      <c r="C78" s="12" t="s">
        <v>11</v>
      </c>
      <c r="D78" s="12">
        <v>27.87</v>
      </c>
      <c r="E78" s="12" t="s">
        <v>157</v>
      </c>
      <c r="F78" s="10">
        <f t="shared" si="5"/>
        <v>3.096666667</v>
      </c>
      <c r="G78" s="10">
        <f t="shared" si="6"/>
        <v>3.096666667</v>
      </c>
      <c r="H78" s="1">
        <v>1.0</v>
      </c>
      <c r="I78" s="1">
        <v>1.0</v>
      </c>
      <c r="J78" s="1">
        <v>1.0</v>
      </c>
      <c r="K78" s="1">
        <v>1.0</v>
      </c>
      <c r="L78" s="1">
        <v>1.0</v>
      </c>
      <c r="M78" s="1">
        <v>1.0</v>
      </c>
      <c r="N78" s="1">
        <v>1.0</v>
      </c>
      <c r="P78" s="1">
        <v>2.0</v>
      </c>
      <c r="Z78" s="10"/>
      <c r="AA78" s="10"/>
    </row>
    <row r="79">
      <c r="A79" s="55"/>
      <c r="B79" s="12"/>
      <c r="C79" s="12"/>
      <c r="D79" s="12"/>
      <c r="E79" s="12"/>
      <c r="F79" s="67" t="str">
        <f t="shared" si="5"/>
        <v>#DIV/0!</v>
      </c>
      <c r="G79" s="10" t="str">
        <f t="shared" si="6"/>
        <v>#DIV/0!</v>
      </c>
      <c r="Z79" s="10"/>
      <c r="AA79" s="10"/>
    </row>
    <row r="80">
      <c r="A80" s="59">
        <v>45466.0</v>
      </c>
      <c r="B80" s="12" t="s">
        <v>349</v>
      </c>
      <c r="C80" s="12" t="s">
        <v>11</v>
      </c>
      <c r="D80" s="12">
        <v>105.54</v>
      </c>
      <c r="E80" s="12" t="s">
        <v>4</v>
      </c>
      <c r="F80" s="10">
        <f t="shared" si="5"/>
        <v>11.72666667</v>
      </c>
      <c r="G80" s="10">
        <f t="shared" si="6"/>
        <v>11.72666667</v>
      </c>
      <c r="H80" s="1">
        <v>1.0</v>
      </c>
      <c r="I80" s="1">
        <v>1.0</v>
      </c>
      <c r="J80" s="1">
        <v>1.0</v>
      </c>
      <c r="K80" s="1">
        <v>1.0</v>
      </c>
      <c r="L80" s="1">
        <v>1.0</v>
      </c>
      <c r="M80" s="1">
        <v>1.0</v>
      </c>
      <c r="N80" s="1">
        <v>1.0</v>
      </c>
      <c r="P80" s="1">
        <v>2.0</v>
      </c>
      <c r="Z80" s="10"/>
      <c r="AA80" s="10"/>
    </row>
    <row r="81">
      <c r="A81" s="55">
        <v>45466.0</v>
      </c>
      <c r="B81" s="12" t="s">
        <v>149</v>
      </c>
      <c r="C81" s="12" t="s">
        <v>11</v>
      </c>
      <c r="D81" s="12">
        <v>37.34</v>
      </c>
      <c r="E81" s="12" t="s">
        <v>2</v>
      </c>
      <c r="F81" s="10">
        <f t="shared" si="5"/>
        <v>4.148888889</v>
      </c>
      <c r="G81" s="10">
        <f t="shared" si="6"/>
        <v>4.148888889</v>
      </c>
      <c r="H81" s="1">
        <v>1.0</v>
      </c>
      <c r="I81" s="1">
        <v>1.0</v>
      </c>
      <c r="J81" s="1">
        <v>1.0</v>
      </c>
      <c r="K81" s="1">
        <v>1.0</v>
      </c>
      <c r="L81" s="1">
        <v>1.0</v>
      </c>
      <c r="M81" s="1">
        <v>1.0</v>
      </c>
      <c r="N81" s="1">
        <v>1.0</v>
      </c>
      <c r="P81" s="1">
        <v>2.0</v>
      </c>
      <c r="Z81" s="10"/>
      <c r="AA81" s="10"/>
    </row>
    <row r="82">
      <c r="A82" s="59"/>
      <c r="B82" s="12"/>
      <c r="C82" s="12"/>
      <c r="D82" s="12"/>
      <c r="E82" s="12"/>
      <c r="F82" s="67" t="str">
        <f t="shared" si="5"/>
        <v>#DIV/0!</v>
      </c>
      <c r="G82" s="10" t="str">
        <f t="shared" si="6"/>
        <v>#DIV/0!</v>
      </c>
      <c r="Z82" s="10"/>
      <c r="AA82" s="10"/>
    </row>
    <row r="83">
      <c r="A83" s="55"/>
      <c r="B83" s="12"/>
      <c r="C83" s="12"/>
      <c r="D83" s="12"/>
      <c r="E83" s="12"/>
      <c r="F83" s="67" t="str">
        <f t="shared" si="5"/>
        <v>#DIV/0!</v>
      </c>
      <c r="G83" s="10" t="str">
        <f t="shared" si="6"/>
        <v>#DIV/0!</v>
      </c>
      <c r="Z83" s="10"/>
      <c r="AA83" s="10"/>
    </row>
    <row r="84">
      <c r="A84" s="55"/>
      <c r="B84" s="51"/>
      <c r="C84" s="51"/>
      <c r="D84" s="51"/>
      <c r="E84" s="12"/>
      <c r="F84" s="67" t="str">
        <f t="shared" si="5"/>
        <v>#DIV/0!</v>
      </c>
      <c r="G84" s="10" t="str">
        <f t="shared" si="6"/>
        <v>#DIV/0!</v>
      </c>
      <c r="H84" s="52"/>
      <c r="I84" s="52"/>
      <c r="J84" s="52"/>
      <c r="K84" s="52"/>
      <c r="L84" s="53"/>
      <c r="M84" s="54"/>
      <c r="N84" s="52"/>
      <c r="O84" s="54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</row>
    <row r="85">
      <c r="A85" s="55"/>
      <c r="B85" s="12"/>
      <c r="C85" s="12"/>
      <c r="D85" s="12"/>
      <c r="E85" s="12"/>
      <c r="F85" s="67" t="str">
        <f t="shared" si="5"/>
        <v>#DIV/0!</v>
      </c>
      <c r="G85" s="10" t="str">
        <f t="shared" si="6"/>
        <v>#DIV/0!</v>
      </c>
      <c r="Z85" s="10"/>
      <c r="AA85" s="10"/>
    </row>
    <row r="86">
      <c r="A86" s="59"/>
      <c r="B86" s="12"/>
      <c r="C86" s="12"/>
      <c r="D86" s="12"/>
      <c r="E86" s="12"/>
      <c r="F86" s="67" t="str">
        <f t="shared" si="5"/>
        <v>#DIV/0!</v>
      </c>
      <c r="G86" s="10" t="str">
        <f t="shared" si="6"/>
        <v>#DIV/0!</v>
      </c>
      <c r="Z86" s="10"/>
      <c r="AA86" s="10"/>
    </row>
    <row r="87">
      <c r="A87" s="61"/>
      <c r="B87" s="12"/>
      <c r="C87" s="12"/>
      <c r="D87" s="12"/>
      <c r="E87" s="12"/>
      <c r="F87" s="67" t="str">
        <f t="shared" si="5"/>
        <v>#DIV/0!</v>
      </c>
      <c r="G87" s="10" t="str">
        <f t="shared" si="6"/>
        <v>#DIV/0!</v>
      </c>
      <c r="Z87" s="10"/>
      <c r="AA87" s="10"/>
    </row>
    <row r="88">
      <c r="A88" s="61"/>
      <c r="B88" s="12"/>
      <c r="C88" s="12"/>
      <c r="D88" s="12"/>
      <c r="E88" s="12"/>
      <c r="F88" s="67" t="str">
        <f t="shared" si="5"/>
        <v>#DIV/0!</v>
      </c>
      <c r="G88" s="10" t="str">
        <f t="shared" si="6"/>
        <v>#DIV/0!</v>
      </c>
      <c r="Z88" s="10"/>
      <c r="AA88" s="10"/>
    </row>
    <row r="89">
      <c r="A89" s="59"/>
      <c r="B89" s="12"/>
      <c r="C89" s="12"/>
      <c r="D89" s="12"/>
      <c r="E89" s="12"/>
      <c r="F89" s="67" t="str">
        <f t="shared" si="5"/>
        <v>#DIV/0!</v>
      </c>
      <c r="G89" s="10" t="str">
        <f t="shared" si="6"/>
        <v>#DIV/0!</v>
      </c>
      <c r="Z89" s="10"/>
      <c r="AA89" s="10"/>
    </row>
    <row r="90">
      <c r="A90" s="59"/>
      <c r="B90" s="12"/>
      <c r="C90" s="12"/>
      <c r="D90" s="12"/>
      <c r="E90" s="12"/>
      <c r="F90" s="67" t="str">
        <f t="shared" si="5"/>
        <v>#DIV/0!</v>
      </c>
      <c r="G90" s="10" t="str">
        <f t="shared" si="6"/>
        <v>#DIV/0!</v>
      </c>
      <c r="Z90" s="10"/>
      <c r="AA90" s="10"/>
    </row>
    <row r="91">
      <c r="A91" s="59"/>
      <c r="B91" s="12"/>
      <c r="C91" s="12"/>
      <c r="D91" s="12"/>
      <c r="E91" s="12"/>
      <c r="F91" s="67" t="str">
        <f t="shared" si="5"/>
        <v>#DIV/0!</v>
      </c>
      <c r="G91" s="10" t="str">
        <f t="shared" si="6"/>
        <v>#DIV/0!</v>
      </c>
      <c r="Z91" s="10"/>
      <c r="AA91" s="10"/>
    </row>
    <row r="92">
      <c r="A92" s="59"/>
      <c r="B92" s="12"/>
      <c r="C92" s="12"/>
      <c r="D92" s="12"/>
      <c r="E92" s="12"/>
      <c r="F92" s="67" t="str">
        <f t="shared" si="5"/>
        <v>#DIV/0!</v>
      </c>
      <c r="G92" s="10" t="str">
        <f t="shared" si="6"/>
        <v>#DIV/0!</v>
      </c>
      <c r="Z92" s="10"/>
      <c r="AA92" s="10"/>
    </row>
    <row r="93">
      <c r="A93" s="12"/>
      <c r="B93" s="12"/>
      <c r="C93" s="12"/>
      <c r="D93" s="12"/>
      <c r="E93" s="12"/>
      <c r="F93" s="67" t="str">
        <f t="shared" si="5"/>
        <v>#DIV/0!</v>
      </c>
      <c r="G93" s="10" t="str">
        <f t="shared" si="6"/>
        <v>#DIV/0!</v>
      </c>
      <c r="Z93" s="10"/>
      <c r="AA93" s="10"/>
    </row>
    <row r="94">
      <c r="A94" s="61"/>
      <c r="B94" s="51"/>
      <c r="C94" s="51"/>
      <c r="D94" s="51"/>
      <c r="E94" s="51"/>
      <c r="F94" s="10" t="str">
        <f t="shared" si="5"/>
        <v>#DIV/0!</v>
      </c>
      <c r="G94" s="10" t="str">
        <f t="shared" si="6"/>
        <v>#DIV/0!</v>
      </c>
      <c r="H94" s="52"/>
      <c r="I94" s="52"/>
      <c r="J94" s="52"/>
      <c r="K94" s="52"/>
      <c r="L94" s="53"/>
      <c r="M94" s="53"/>
      <c r="N94" s="52"/>
      <c r="Z94" s="10"/>
      <c r="AA94" s="10"/>
    </row>
    <row r="95">
      <c r="A95" s="59"/>
      <c r="B95" s="12"/>
      <c r="C95" s="12"/>
      <c r="D95" s="12"/>
      <c r="E95" s="12"/>
      <c r="F95" s="10" t="str">
        <f t="shared" si="5"/>
        <v>#DIV/0!</v>
      </c>
      <c r="G95" s="10" t="str">
        <f t="shared" si="6"/>
        <v>#DIV/0!</v>
      </c>
      <c r="Z95" s="10"/>
      <c r="AA95" s="10"/>
    </row>
    <row r="96">
      <c r="A96" s="61"/>
      <c r="B96" s="51"/>
      <c r="C96" s="51"/>
      <c r="D96" s="63"/>
      <c r="E96" s="51"/>
      <c r="F96" s="10" t="str">
        <f t="shared" si="5"/>
        <v>#DIV/0!</v>
      </c>
      <c r="G96" s="10" t="str">
        <f t="shared" si="6"/>
        <v>#DIV/0!</v>
      </c>
      <c r="H96" s="54"/>
      <c r="I96" s="54"/>
      <c r="J96" s="54"/>
      <c r="K96" s="54"/>
      <c r="L96" s="52"/>
      <c r="M96" s="54"/>
      <c r="N96" s="54"/>
      <c r="Z96" s="10"/>
      <c r="AA96" s="10"/>
    </row>
    <row r="97">
      <c r="A97" s="61"/>
      <c r="B97" s="51"/>
      <c r="C97" s="51"/>
      <c r="D97" s="51"/>
      <c r="E97" s="51"/>
      <c r="F97" s="10" t="str">
        <f t="shared" si="5"/>
        <v>#DIV/0!</v>
      </c>
      <c r="G97" s="10" t="str">
        <f t="shared" si="6"/>
        <v>#DIV/0!</v>
      </c>
      <c r="H97" s="52"/>
      <c r="I97" s="52"/>
      <c r="J97" s="52"/>
      <c r="K97" s="52"/>
      <c r="L97" s="53"/>
      <c r="M97" s="54"/>
      <c r="N97" s="52"/>
      <c r="Z97" s="10"/>
      <c r="AA97" s="10"/>
    </row>
    <row r="98">
      <c r="A98" s="59"/>
      <c r="B98" s="12"/>
      <c r="C98" s="12"/>
      <c r="D98" s="12"/>
      <c r="E98" s="12"/>
      <c r="F98" s="10" t="str">
        <f t="shared" si="5"/>
        <v>#DIV/0!</v>
      </c>
      <c r="G98" s="10" t="str">
        <f t="shared" si="6"/>
        <v>#DIV/0!</v>
      </c>
      <c r="Z98" s="10"/>
      <c r="AA98" s="10"/>
    </row>
    <row r="99">
      <c r="A99" s="61"/>
      <c r="B99" s="51"/>
      <c r="C99" s="51"/>
      <c r="D99" s="51"/>
      <c r="E99" s="51"/>
      <c r="F99" s="10" t="str">
        <f t="shared" si="5"/>
        <v>#DIV/0!</v>
      </c>
      <c r="G99" s="10" t="str">
        <f t="shared" si="6"/>
        <v>#DIV/0!</v>
      </c>
      <c r="H99" s="52"/>
      <c r="I99" s="52"/>
      <c r="J99" s="52"/>
      <c r="K99" s="52"/>
      <c r="L99" s="53"/>
      <c r="M99" s="54"/>
      <c r="N99" s="52"/>
      <c r="Z99" s="10"/>
      <c r="AA99" s="10"/>
    </row>
    <row r="100">
      <c r="A100" s="61"/>
      <c r="B100" s="51"/>
      <c r="C100" s="51"/>
      <c r="D100" s="51"/>
      <c r="E100" s="51"/>
      <c r="F100" s="10" t="str">
        <f t="shared" si="5"/>
        <v>#DIV/0!</v>
      </c>
      <c r="G100" s="10" t="str">
        <f t="shared" si="6"/>
        <v>#DIV/0!</v>
      </c>
      <c r="H100" s="52"/>
      <c r="I100" s="52"/>
      <c r="J100" s="52"/>
      <c r="K100" s="52"/>
      <c r="L100" s="54"/>
      <c r="M100" s="54"/>
      <c r="N100" s="52"/>
      <c r="Z100" s="10"/>
      <c r="AA100" s="10"/>
    </row>
    <row r="101">
      <c r="A101" s="61"/>
      <c r="B101" s="51"/>
      <c r="C101" s="51"/>
      <c r="D101" s="51"/>
      <c r="E101" s="51"/>
      <c r="F101" s="10" t="str">
        <f t="shared" si="5"/>
        <v>#DIV/0!</v>
      </c>
      <c r="G101" s="10" t="str">
        <f t="shared" si="6"/>
        <v>#DIV/0!</v>
      </c>
      <c r="H101" s="66"/>
      <c r="I101" s="66"/>
      <c r="J101" s="52"/>
      <c r="K101" s="66"/>
      <c r="L101" s="54"/>
      <c r="M101" s="53"/>
      <c r="N101" s="66"/>
      <c r="Z101" s="10"/>
      <c r="AA101" s="10"/>
    </row>
    <row r="102">
      <c r="A102" s="61"/>
      <c r="B102" s="51"/>
      <c r="C102" s="51"/>
      <c r="D102" s="63"/>
      <c r="E102" s="51"/>
      <c r="F102" s="10" t="str">
        <f t="shared" si="5"/>
        <v>#DIV/0!</v>
      </c>
      <c r="G102" s="10" t="str">
        <f t="shared" si="6"/>
        <v>#DIV/0!</v>
      </c>
      <c r="H102" s="52"/>
      <c r="I102" s="54"/>
      <c r="J102" s="54"/>
      <c r="K102" s="54"/>
      <c r="L102" s="54"/>
      <c r="M102" s="54"/>
      <c r="N102" s="54"/>
      <c r="Z102" s="10"/>
      <c r="AA102" s="10"/>
    </row>
    <row r="103">
      <c r="A103" s="61"/>
      <c r="B103" s="51"/>
      <c r="C103" s="51"/>
      <c r="D103" s="51"/>
      <c r="E103" s="51"/>
      <c r="F103" s="10" t="str">
        <f t="shared" si="5"/>
        <v>#DIV/0!</v>
      </c>
      <c r="G103" s="10" t="str">
        <f t="shared" si="6"/>
        <v>#DIV/0!</v>
      </c>
      <c r="H103" s="52"/>
      <c r="I103" s="54"/>
      <c r="J103" s="54"/>
      <c r="K103" s="54"/>
      <c r="L103" s="53"/>
      <c r="M103" s="54"/>
      <c r="N103" s="54"/>
      <c r="Z103" s="10"/>
      <c r="AA103" s="10"/>
    </row>
    <row r="104">
      <c r="A104" s="61"/>
      <c r="B104" s="51"/>
      <c r="C104" s="51"/>
      <c r="D104" s="63"/>
      <c r="E104" s="51"/>
      <c r="F104" s="10" t="str">
        <f t="shared" si="5"/>
        <v>#DIV/0!</v>
      </c>
      <c r="G104" s="10" t="str">
        <f t="shared" si="6"/>
        <v>#DIV/0!</v>
      </c>
      <c r="H104" s="52"/>
      <c r="I104" s="54"/>
      <c r="J104" s="52"/>
      <c r="K104" s="54"/>
      <c r="L104" s="53"/>
      <c r="M104" s="53"/>
      <c r="N104" s="54"/>
      <c r="Z104" s="10"/>
      <c r="AA104" s="10"/>
    </row>
    <row r="105">
      <c r="C105" s="12"/>
      <c r="D105" s="12"/>
      <c r="E105" s="12"/>
      <c r="F105" s="10" t="str">
        <f t="shared" si="5"/>
        <v>#DIV/0!</v>
      </c>
      <c r="G105" s="10" t="str">
        <f t="shared" si="6"/>
        <v>#DIV/0!</v>
      </c>
      <c r="Z105" s="10"/>
      <c r="AA105" s="10"/>
    </row>
    <row r="106">
      <c r="A106" s="61"/>
      <c r="B106" s="12"/>
      <c r="C106" s="12"/>
      <c r="D106" s="12"/>
      <c r="E106" s="12"/>
      <c r="F106" s="67" t="str">
        <f t="shared" si="5"/>
        <v>#DIV/0!</v>
      </c>
      <c r="G106" s="10" t="str">
        <f t="shared" si="6"/>
        <v>#DIV/0!</v>
      </c>
      <c r="Z106" s="10"/>
      <c r="AA106" s="10"/>
    </row>
    <row r="107">
      <c r="A107" s="59"/>
      <c r="B107" s="12"/>
      <c r="C107" s="12"/>
      <c r="D107" s="12"/>
      <c r="E107" s="12"/>
      <c r="F107" s="67" t="str">
        <f t="shared" si="5"/>
        <v>#DIV/0!</v>
      </c>
      <c r="G107" s="10" t="str">
        <f t="shared" si="6"/>
        <v>#DIV/0!</v>
      </c>
      <c r="Z107" s="10"/>
      <c r="AA107" s="10"/>
    </row>
    <row r="108">
      <c r="A108" s="59"/>
      <c r="B108" s="12"/>
      <c r="C108" s="12"/>
      <c r="D108" s="12"/>
      <c r="E108" s="12"/>
      <c r="F108" s="67" t="str">
        <f t="shared" si="5"/>
        <v>#DIV/0!</v>
      </c>
      <c r="G108" s="10" t="str">
        <f t="shared" si="6"/>
        <v>#DIV/0!</v>
      </c>
      <c r="Z108" s="10"/>
      <c r="AA108" s="10"/>
    </row>
    <row r="109">
      <c r="A109" s="59"/>
      <c r="B109" s="12"/>
      <c r="C109" s="12"/>
      <c r="D109" s="12"/>
      <c r="E109" s="12"/>
      <c r="F109" s="67"/>
      <c r="G109" s="10"/>
      <c r="Z109" s="10"/>
      <c r="AA109" s="10"/>
    </row>
    <row r="110">
      <c r="A110" s="59"/>
      <c r="B110" s="12"/>
      <c r="C110" s="12"/>
      <c r="D110" s="12"/>
      <c r="E110" s="12"/>
      <c r="F110" s="67"/>
      <c r="G110" s="10"/>
      <c r="Z110" s="10"/>
      <c r="AA110" s="10"/>
    </row>
    <row r="111">
      <c r="A111" s="59"/>
      <c r="B111" s="12"/>
      <c r="C111" s="12"/>
      <c r="D111" s="12"/>
      <c r="E111" s="12"/>
      <c r="F111" s="67"/>
      <c r="G111" s="10"/>
      <c r="Z111" s="10"/>
      <c r="AA111" s="10"/>
    </row>
    <row r="112">
      <c r="A112" s="59"/>
      <c r="B112" s="12"/>
      <c r="C112" s="12"/>
      <c r="D112" s="12"/>
      <c r="E112" s="12"/>
      <c r="F112" s="67"/>
      <c r="G112" s="10"/>
      <c r="Z112" s="10"/>
      <c r="AA112" s="10"/>
    </row>
    <row r="113">
      <c r="A113" s="59"/>
      <c r="B113" s="12"/>
      <c r="C113" s="12"/>
      <c r="D113" s="12"/>
      <c r="E113" s="12"/>
      <c r="F113" s="67"/>
      <c r="G113" s="10"/>
      <c r="Z113" s="10"/>
      <c r="AA113" s="10"/>
    </row>
    <row r="114">
      <c r="A114" s="59"/>
      <c r="B114" s="12"/>
      <c r="C114" s="12"/>
      <c r="D114" s="12"/>
      <c r="E114" s="12"/>
      <c r="F114" s="67"/>
      <c r="G114" s="10"/>
      <c r="Z114" s="10"/>
      <c r="AA114" s="10"/>
    </row>
    <row r="115">
      <c r="A115" s="59"/>
      <c r="B115" s="12"/>
      <c r="C115" s="12"/>
      <c r="D115" s="12"/>
      <c r="E115" s="12"/>
      <c r="F115" s="67"/>
      <c r="G115" s="10"/>
      <c r="Z115" s="10"/>
      <c r="AA115" s="10"/>
    </row>
    <row r="116">
      <c r="A116" s="59"/>
      <c r="B116" s="12"/>
      <c r="C116" s="12"/>
      <c r="D116" s="12"/>
      <c r="E116" s="12"/>
      <c r="F116" s="67"/>
      <c r="G116" s="10"/>
      <c r="Z116" s="10"/>
      <c r="AA116" s="10"/>
    </row>
    <row r="117">
      <c r="A117" s="10"/>
      <c r="B117" s="10"/>
      <c r="C117" s="10"/>
      <c r="D117" s="10"/>
      <c r="E117" s="10"/>
      <c r="F117" s="67"/>
      <c r="G117" s="10"/>
      <c r="Z117" s="10"/>
      <c r="AA117" s="10"/>
    </row>
    <row r="118">
      <c r="A118" s="10"/>
      <c r="B118" s="10"/>
      <c r="C118" s="10"/>
      <c r="D118" s="10"/>
      <c r="E118" s="10"/>
      <c r="F118" s="67"/>
      <c r="G118" s="10"/>
      <c r="Z118" s="10"/>
      <c r="AA118" s="10"/>
    </row>
    <row r="119">
      <c r="A119" s="10"/>
      <c r="B119" s="10"/>
      <c r="C119" s="10"/>
      <c r="D119" s="10"/>
      <c r="E119" s="10"/>
      <c r="F119" s="67"/>
      <c r="G119" s="10"/>
      <c r="Z119" s="10"/>
      <c r="AA119" s="10"/>
    </row>
    <row r="120">
      <c r="A120" s="10"/>
      <c r="B120" s="10"/>
      <c r="C120" s="10"/>
      <c r="D120" s="10"/>
      <c r="E120" s="10"/>
      <c r="F120" s="67"/>
      <c r="G120" s="10"/>
      <c r="Z120" s="10"/>
      <c r="AA120" s="10"/>
    </row>
    <row r="121">
      <c r="A121" s="10"/>
      <c r="B121" s="10"/>
      <c r="C121" s="10"/>
      <c r="D121" s="10"/>
      <c r="E121" s="10"/>
      <c r="F121" s="67"/>
      <c r="G121" s="10"/>
      <c r="Z121" s="10"/>
      <c r="AA121" s="10"/>
    </row>
    <row r="122">
      <c r="A122" s="10"/>
      <c r="B122" s="10"/>
      <c r="C122" s="10"/>
      <c r="D122" s="10"/>
      <c r="E122" s="10"/>
      <c r="F122" s="67"/>
      <c r="G122" s="10"/>
      <c r="Z122" s="10"/>
      <c r="AA122" s="10"/>
    </row>
    <row r="123">
      <c r="A123" s="10"/>
      <c r="B123" s="10"/>
      <c r="C123" s="10"/>
      <c r="D123" s="10"/>
      <c r="E123" s="10"/>
      <c r="F123" s="67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>
      <c r="A124" s="10"/>
      <c r="B124" s="10"/>
      <c r="C124" s="10"/>
      <c r="D124" s="10"/>
      <c r="E124" s="10"/>
      <c r="F124" s="67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>
      <c r="A125" s="10"/>
      <c r="B125" s="10"/>
      <c r="C125" s="10"/>
      <c r="D125" s="10"/>
      <c r="E125" s="10"/>
      <c r="F125" s="67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>
      <c r="A126" s="10"/>
      <c r="B126" s="10"/>
      <c r="C126" s="10"/>
      <c r="D126" s="10"/>
      <c r="E126" s="10"/>
      <c r="F126" s="67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>
      <c r="A127" s="10"/>
      <c r="B127" s="10"/>
      <c r="C127" s="10"/>
      <c r="D127" s="10"/>
      <c r="E127" s="10"/>
      <c r="F127" s="67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 t="str">
        <f t="shared" ref="F142:F145" si="7">D142/sum(H142:O142)</f>
        <v>#DIV/0!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 t="str">
        <f t="shared" si="7"/>
        <v>#DIV/0!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 t="str">
        <f t="shared" si="7"/>
        <v>#DIV/0!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 t="str">
        <f t="shared" si="7"/>
        <v>#DIV/0!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59"/>
      <c r="B147" s="12"/>
      <c r="C147" s="12"/>
      <c r="D147" s="12"/>
      <c r="E147" s="12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59"/>
      <c r="B148" s="12"/>
      <c r="C148" s="10"/>
      <c r="D148" s="12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59"/>
      <c r="B149" s="12"/>
      <c r="C149" s="10"/>
      <c r="D149" s="12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B158" s="10"/>
      <c r="C158" s="10"/>
      <c r="D158" s="10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55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</sheetData>
  <autoFilter ref="$A$12:$AA$55">
    <filterColumn colId="4">
      <filters>
        <filter val="BL"/>
      </filters>
    </filterColumn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55 C59:C120">
      <formula1>"食物,飲品,衣服,居家,電子產品,娛樂,醫藥,交通,其他"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19" t="s">
        <v>325</v>
      </c>
      <c r="B1" s="4"/>
      <c r="C1" s="4"/>
      <c r="D1" s="4"/>
      <c r="E1" s="4"/>
      <c r="F1" s="5"/>
    </row>
    <row r="2">
      <c r="A2" s="120" t="s">
        <v>326</v>
      </c>
      <c r="B2" s="121" t="s">
        <v>2</v>
      </c>
      <c r="C2" s="122" t="s">
        <v>4</v>
      </c>
      <c r="D2" s="123" t="s">
        <v>43</v>
      </c>
      <c r="E2" s="124" t="s">
        <v>14</v>
      </c>
      <c r="F2" s="125" t="s">
        <v>7</v>
      </c>
      <c r="G2" s="18"/>
    </row>
    <row r="3">
      <c r="A3" s="126" t="s">
        <v>11</v>
      </c>
      <c r="B3" s="6">
        <f>SUMIFS($F$26:$F1517,$C$26:$C1517,"食物",$H$26:$H1517,"1")</f>
        <v>219.6188496</v>
      </c>
      <c r="C3" s="6">
        <f>SUMIFS($F$26:$F1517,$C$26:$C1517,"食物",$I$26:$I1517,"1")</f>
        <v>220.6236496</v>
      </c>
      <c r="D3" s="6">
        <f>SUMIFS($F$26:$F1517,$C$26:$C1517,"食物",$J$26:$J1517,"1")</f>
        <v>266.0903163</v>
      </c>
      <c r="E3" s="6">
        <f>SUMIFS($F$26:$F1517,$C$26:$C1517,"食物",$K$26:$K1517,"1")</f>
        <v>237.6950563</v>
      </c>
      <c r="F3" s="127">
        <f>SUMIFS($F$26:$F1517,$C$26:$C1517,"食物",$N$26:$N1517,"1")</f>
        <v>166.8043746</v>
      </c>
    </row>
    <row r="4">
      <c r="A4" s="126" t="s">
        <v>19</v>
      </c>
      <c r="B4" s="6">
        <f>SUMIFS($F$26:$F1517,$C$26:$C1517,"飲品",$H$26:$H1517,"1")</f>
        <v>3.45554</v>
      </c>
      <c r="C4" s="6">
        <f>SUMIFS($F$26:$F1517,$C$26:$C1517,"飲品",$I$26:$I1517,"1")</f>
        <v>3.45554</v>
      </c>
      <c r="D4" s="6">
        <f>SUMIFS($F$26:$F1517,$C$26:$C1517,"飲品",$J$26:$J1517,"1")</f>
        <v>3.45554</v>
      </c>
      <c r="E4" s="6">
        <f>SUMIFS($F$26:$F1517,$C$26:$C1517,"飲品",$K$26:$K1517,"1")</f>
        <v>3.45554</v>
      </c>
      <c r="F4" s="127">
        <f>SUMIFS($F$26:$F1517,$C$26:$C1517,"飲品",$N$26:$N1517,"1")</f>
        <v>3.45554</v>
      </c>
    </row>
    <row r="5">
      <c r="A5" s="126" t="s">
        <v>21</v>
      </c>
      <c r="B5" s="6">
        <f>SUMIFS($F$26:$F1517,$C$26:$C1517,"衣物",$H$26:$H1517,"1")</f>
        <v>0</v>
      </c>
      <c r="C5" s="6">
        <f>SUMIFS($F$26:$F1517,$C$26:$C1517,"衣物",$I$26:$I1517,"1")</f>
        <v>0</v>
      </c>
      <c r="D5" s="6">
        <f>SUMIFS($F$26:$F1517,$C$26:$C1517,"衣物",$J$26:$J1517,"1")</f>
        <v>0</v>
      </c>
      <c r="E5" s="6">
        <f>SUMIFS($F$26:$F1517,$C$26:$C1517,"衣物",$K$26:$K1517,"1")</f>
        <v>0</v>
      </c>
      <c r="F5" s="127">
        <f>SUMIFS($F$26:$F1517,$C$26:$C1517,"衣物",$N$26:$N1517,"1")</f>
        <v>0</v>
      </c>
    </row>
    <row r="6">
      <c r="A6" s="126" t="s">
        <v>327</v>
      </c>
      <c r="B6" s="6">
        <f>SUMIFS($F$26:$F1517,$C$26:$C1517,"居家",$H$26:$H1517,"1")</f>
        <v>11.05248</v>
      </c>
      <c r="C6" s="6">
        <f>SUMIFS($F$26:$F1517,$C$26:$C1517,"居家",$I$26:$I1517,"1")</f>
        <v>11.05248</v>
      </c>
      <c r="D6" s="6">
        <f>SUMIFS($F$26:$F1517,$C$26:$C1517,"居家",$J$26:$J1517,"1")</f>
        <v>30.55128</v>
      </c>
      <c r="E6" s="6">
        <f>SUMIFS($F$26:$F1517,$C$26:$C1517,"居家",$K$26:$K1517,"1")</f>
        <v>27.17258</v>
      </c>
      <c r="F6" s="127">
        <f>SUMIFS($F$26:$F1517,$C$26:$C1517,"居家",$N$26:$N1517,"1")</f>
        <v>34.51128</v>
      </c>
    </row>
    <row r="7">
      <c r="A7" s="126" t="s">
        <v>25</v>
      </c>
      <c r="B7" s="6">
        <f>SUMIFS($F$26:$F1517,$C$26:$C1517,"電子產品",$H$26:$H1517,"1")</f>
        <v>0</v>
      </c>
      <c r="C7" s="6">
        <f>SUMIFS($F$26:$F1517,$C$26:$C1517,"電子產品",$I$26:$I1517,"1")</f>
        <v>0</v>
      </c>
      <c r="D7" s="6">
        <f>SUMIFS($F$26:$F1517,$C$26:$C1517,"電子產品",$J$26:$J1517,"1")</f>
        <v>0</v>
      </c>
      <c r="E7" s="6">
        <f>SUMIFS($F$26:$F1517,$C$26:$C1517,"電子產品",$K$26:$K1517,"1")</f>
        <v>0</v>
      </c>
      <c r="F7" s="127">
        <f>SUMIFS($F$26:$F1517,$C$26:$C1517,"電子產品",$N$26:$N1517,"1")</f>
        <v>0</v>
      </c>
    </row>
    <row r="8">
      <c r="A8" s="126" t="s">
        <v>27</v>
      </c>
      <c r="B8" s="6">
        <f>SUMIFS($F$26:$F1517,$C$26:$C1517,"娛樂",$H$26:$H1517,"1")</f>
        <v>0</v>
      </c>
      <c r="C8" s="6">
        <f>SUMIFS($F$26:$F1517,$C$26:$C1517,"娛樂",$I$26:$I1517,"1")</f>
        <v>0</v>
      </c>
      <c r="D8" s="6">
        <f>SUMIFS($F$26:$F1517,$C$26:$C1517,"娛樂",$J$26:$J1517,"1")</f>
        <v>33.8887</v>
      </c>
      <c r="E8" s="6">
        <f>SUMIFS($F$26:$F1517,$C$26:$C1517,"娛樂",$K$26:$K1517,"1")</f>
        <v>0</v>
      </c>
      <c r="F8" s="127">
        <f>SUMIFS($F$26:$F1517,$C$26:$C1517,"娛樂",$N$26:$N1517,"1")</f>
        <v>21.4587</v>
      </c>
    </row>
    <row r="9">
      <c r="A9" s="126" t="s">
        <v>29</v>
      </c>
      <c r="B9" s="6">
        <f>SUMIFS($F$26:$F1517,$C$26:$C1517,"交通",$H$26:$H1517,"1")</f>
        <v>0</v>
      </c>
      <c r="C9" s="6">
        <f>SUMIFS($F$26:$F1517,$C$26:$C1517,"交通",$I$26:$I1517,"1")</f>
        <v>0</v>
      </c>
      <c r="D9" s="6">
        <f>SUMIFS($F$26:$F1517,$C$26:$C1517,"交通",$J$26:$J1517,"1")</f>
        <v>0</v>
      </c>
      <c r="E9" s="6">
        <f>SUMIFS($F$26:$F1517,$C$26:$C1517,"交通",$K$26:$K1517,"1")</f>
        <v>0</v>
      </c>
      <c r="F9" s="127">
        <f>SUMIFS($F$26:$F1517,$C$26:$C1517,"交通",$N$26:$N1517,"1")</f>
        <v>0</v>
      </c>
    </row>
    <row r="10">
      <c r="A10" s="126" t="s">
        <v>31</v>
      </c>
      <c r="B10" s="6">
        <f>SUMIFS($F$26:$F1517,$C$26:$C1517,"醫藥",$H$26:$H1517,"1")</f>
        <v>0</v>
      </c>
      <c r="C10" s="6">
        <f>SUMIFS($F$26:$F1517,$C$26:$C1517,"醫藥",$I$26:$I1517,"1")</f>
        <v>0</v>
      </c>
      <c r="D10" s="6">
        <f>SUMIFS($F$26:$F1517,$C$26:$C1517,"醫藥",$J$26:$J1517,"1")</f>
        <v>27.1087</v>
      </c>
      <c r="E10" s="6">
        <f>SUMIFS($F$26:$F1517,$C$26:$C1517,"醫藥",$K$26:$K1517,"1")</f>
        <v>0</v>
      </c>
      <c r="F10" s="127">
        <f>SUMIFS($F$26:$F1517,$C$26:$C1517,"醫藥",$N$26:$N1517,"1")</f>
        <v>14.1476</v>
      </c>
    </row>
    <row r="11">
      <c r="A11" s="128" t="s">
        <v>33</v>
      </c>
      <c r="B11" s="129">
        <f>SUMIFS($F$26:$F1517,$C$26:$C1517,"其他",$H$26:$H1517,"1")</f>
        <v>0</v>
      </c>
      <c r="C11" s="129">
        <f>SUMIFS($F$26:$F1517,$C$26:$C1517,"其他",$I$26:$I1517,"1")</f>
        <v>0</v>
      </c>
      <c r="D11" s="129">
        <f>SUMIFS($F$26:$F1517,$C$26:$C1517,"其他",$J$26:$J1517,"1")</f>
        <v>0</v>
      </c>
      <c r="E11" s="129">
        <f>SUMIFS($F$26:$F1517,$C$26:$C1517,"其他",$K$26:$K1517,"1")</f>
        <v>0</v>
      </c>
      <c r="F11" s="130">
        <f>SUMIFS($F$26:$F1517,$C$26:$C1517,"其他",$N$26:$N1517,"1")</f>
        <v>0</v>
      </c>
    </row>
    <row r="12">
      <c r="A12" s="131" t="s">
        <v>328</v>
      </c>
      <c r="B12" s="6">
        <f t="shared" ref="B12:F12" si="1">SUM(B2:B11)</f>
        <v>234.1268696</v>
      </c>
      <c r="C12" s="6">
        <f t="shared" si="1"/>
        <v>235.1316696</v>
      </c>
      <c r="D12" s="6">
        <f t="shared" si="1"/>
        <v>361.0945363</v>
      </c>
      <c r="E12" s="6">
        <f t="shared" si="1"/>
        <v>268.3231763</v>
      </c>
      <c r="F12" s="6">
        <f t="shared" si="1"/>
        <v>240.3774946</v>
      </c>
    </row>
    <row r="25">
      <c r="A25" s="132" t="str">
        <f>IFERROR(__xludf.DUMMYFUNCTION("IMPORTRANGE(""https://docs.google.com/spreadsheets/d/1dZpkWD3REnvVALQwbfOZZpKYnujFN1S_8pHjXVTirOc/edit#gid=1977712179"", ""Daily Expense_June!A12:N"")
"),"Date")</f>
        <v>Date</v>
      </c>
      <c r="B25" s="132" t="str">
        <f>IFERROR(__xludf.DUMMYFUNCTION("""COMPUTED_VALUE"""),"Item")</f>
        <v>Item</v>
      </c>
      <c r="C25" s="132" t="str">
        <f>IFERROR(__xludf.DUMMYFUNCTION("""COMPUTED_VALUE"""),"Type")</f>
        <v>Type</v>
      </c>
      <c r="D25" s="132" t="str">
        <f>IFERROR(__xludf.DUMMYFUNCTION("""COMPUTED_VALUE"""),"Price")</f>
        <v>Price</v>
      </c>
      <c r="E25" s="132" t="str">
        <f>IFERROR(__xludf.DUMMYFUNCTION("""COMPUTED_VALUE"""),"Paid by")</f>
        <v>Paid by</v>
      </c>
      <c r="F25" s="132" t="str">
        <f>IFERROR(__xludf.DUMMYFUNCTION("""COMPUTED_VALUE"""),"For Record 請勿清除")</f>
        <v>For Record 請勿清除</v>
      </c>
      <c r="G25" s="132" t="str">
        <f>IFERROR(__xludf.DUMMYFUNCTION("""COMPUTED_VALUE"""),"Average 清算後可清除")</f>
        <v>Average 清算後可清除</v>
      </c>
      <c r="H25" s="132" t="str">
        <f>IFERROR(__xludf.DUMMYFUNCTION("""COMPUTED_VALUE"""),"Timothy")</f>
        <v>Timothy</v>
      </c>
      <c r="I25" s="132" t="str">
        <f>IFERROR(__xludf.DUMMYFUNCTION("""COMPUTED_VALUE"""),"Rachel")</f>
        <v>Rachel</v>
      </c>
      <c r="J25" s="132" t="str">
        <f>IFERROR(__xludf.DUMMYFUNCTION("""COMPUTED_VALUE"""),"Bryan")</f>
        <v>Bryan</v>
      </c>
      <c r="K25" s="132" t="str">
        <f>IFERROR(__xludf.DUMMYFUNCTION("""COMPUTED_VALUE"""),"Pigskin")</f>
        <v>Pigskin</v>
      </c>
      <c r="L25" s="132" t="str">
        <f>IFERROR(__xludf.DUMMYFUNCTION("""COMPUTED_VALUE"""),"Angel")</f>
        <v>Angel</v>
      </c>
      <c r="M25" s="132" t="str">
        <f>IFERROR(__xludf.DUMMYFUNCTION("""COMPUTED_VALUE"""),"Ivan")</f>
        <v>Ivan</v>
      </c>
      <c r="N25" s="132" t="str">
        <f>IFERROR(__xludf.DUMMYFUNCTION("""COMPUTED_VALUE"""),"Esther")</f>
        <v>Esther</v>
      </c>
      <c r="O25" s="132"/>
      <c r="P25" s="132"/>
      <c r="Q25" s="132" t="str">
        <f>IFERROR(__xludf.DUMMYFUNCTION("IMPORTRANGE(""https://docs.google.com/spreadsheets/d/1dZpkWD3REnvVALQwbfOZZpKYnujFN1S_8pHjXVTirOc/edit#gid=1388060777"", ""Monthly Constant Expense!A:I"")"),"Month")</f>
        <v>Month</v>
      </c>
      <c r="R25" s="132" t="str">
        <f>IFERROR(__xludf.DUMMYFUNCTION("""COMPUTED_VALUE"""),"Item")</f>
        <v>Item</v>
      </c>
      <c r="S25" s="132" t="str">
        <f>IFERROR(__xludf.DUMMYFUNCTION("""COMPUTED_VALUE"""),"Total Price")</f>
        <v>Total Price</v>
      </c>
      <c r="T25" s="132" t="str">
        <f>IFERROR(__xludf.DUMMYFUNCTION("""COMPUTED_VALUE"""),"Per person")</f>
        <v>Per person</v>
      </c>
      <c r="U25" s="132" t="str">
        <f>IFERROR(__xludf.DUMMYFUNCTION("""COMPUTED_VALUE"""),"Timothy")</f>
        <v>Timothy</v>
      </c>
      <c r="V25" s="132" t="str">
        <f>IFERROR(__xludf.DUMMYFUNCTION("""COMPUTED_VALUE"""),"Rachel")</f>
        <v>Rachel</v>
      </c>
      <c r="W25" s="132" t="str">
        <f>IFERROR(__xludf.DUMMYFUNCTION("""COMPUTED_VALUE"""),"Bryan")</f>
        <v>Bryan</v>
      </c>
      <c r="X25" s="132" t="str">
        <f>IFERROR(__xludf.DUMMYFUNCTION("""COMPUTED_VALUE"""),"Pigskin")</f>
        <v>Pigskin</v>
      </c>
      <c r="Y25" s="132" t="str">
        <f>IFERROR(__xludf.DUMMYFUNCTION("""COMPUTED_VALUE"""),"Apple")</f>
        <v>Apple</v>
      </c>
      <c r="Z25" s="132"/>
    </row>
    <row r="26">
      <c r="A26" s="133">
        <f>IFERROR(__xludf.DUMMYFUNCTION("""COMPUTED_VALUE"""),45443.0)</f>
        <v>45443</v>
      </c>
      <c r="B26" s="132" t="str">
        <f>IFERROR(__xludf.DUMMYFUNCTION("""COMPUTED_VALUE"""),"Food basic")</f>
        <v>Food basic</v>
      </c>
      <c r="C26" s="132" t="str">
        <f>IFERROR(__xludf.DUMMYFUNCTION("""COMPUTED_VALUE"""),"食物")</f>
        <v>食物</v>
      </c>
      <c r="D26" s="135">
        <f>IFERROR(__xludf.DUMMYFUNCTION("""COMPUTED_VALUE"""),6.2)</f>
        <v>6.2</v>
      </c>
      <c r="E26" s="132" t="str">
        <f>IFERROR(__xludf.DUMMYFUNCTION("""COMPUTED_VALUE"""),"Pigskin")</f>
        <v>Pigskin</v>
      </c>
      <c r="F26" s="132">
        <f>IFERROR(__xludf.DUMMYFUNCTION("""COMPUTED_VALUE"""),1.55)</f>
        <v>1.55</v>
      </c>
      <c r="G26" s="132">
        <f>IFERROR(__xludf.DUMMYFUNCTION("""COMPUTED_VALUE"""),1.55)</f>
        <v>1.55</v>
      </c>
      <c r="H26" s="132"/>
      <c r="I26" s="132">
        <f>IFERROR(__xludf.DUMMYFUNCTION("""COMPUTED_VALUE"""),1.0)</f>
        <v>1</v>
      </c>
      <c r="J26" s="132">
        <f>IFERROR(__xludf.DUMMYFUNCTION("""COMPUTED_VALUE"""),1.0)</f>
        <v>1</v>
      </c>
      <c r="K26" s="132">
        <f>IFERROR(__xludf.DUMMYFUNCTION("""COMPUTED_VALUE"""),1.0)</f>
        <v>1</v>
      </c>
      <c r="L26" s="132"/>
      <c r="M26" s="132"/>
      <c r="N26" s="132">
        <f>IFERROR(__xludf.DUMMYFUNCTION("""COMPUTED_VALUE"""),1.0)</f>
        <v>1</v>
      </c>
      <c r="O26" s="132"/>
      <c r="P26" s="132"/>
      <c r="Q26" s="134">
        <f>IFERROR(__xludf.DUMMYFUNCTION("""COMPUTED_VALUE"""),45200.0)</f>
        <v>45200</v>
      </c>
      <c r="R26" s="132" t="str">
        <f>IFERROR(__xludf.DUMMYFUNCTION("""COMPUTED_VALUE"""),"2 months rent")</f>
        <v>2 months rent</v>
      </c>
      <c r="S26" s="132">
        <f>IFERROR(__xludf.DUMMYFUNCTION("""COMPUTED_VALUE"""),7200.0)</f>
        <v>7200</v>
      </c>
      <c r="T26" s="132">
        <f>IFERROR(__xludf.DUMMYFUNCTION("""COMPUTED_VALUE"""),1440.0)</f>
        <v>1440</v>
      </c>
      <c r="U26" s="132" t="str">
        <f>IFERROR(__xludf.DUMMYFUNCTION("""COMPUTED_VALUE"""),"Paid")</f>
        <v>Paid</v>
      </c>
      <c r="V26" s="132" t="str">
        <f>IFERROR(__xludf.DUMMYFUNCTION("""COMPUTED_VALUE"""),"Paid")</f>
        <v>Paid</v>
      </c>
      <c r="W26" s="132" t="str">
        <f>IFERROR(__xludf.DUMMYFUNCTION("""COMPUTED_VALUE"""),"Paid")</f>
        <v>Paid</v>
      </c>
      <c r="X26" s="132" t="str">
        <f>IFERROR(__xludf.DUMMYFUNCTION("""COMPUTED_VALUE"""),"Paid")</f>
        <v>Paid</v>
      </c>
      <c r="Y26" s="132" t="str">
        <f>IFERROR(__xludf.DUMMYFUNCTION("""COMPUTED_VALUE"""),"Paid")</f>
        <v>Paid</v>
      </c>
      <c r="Z26" s="132"/>
    </row>
    <row r="27">
      <c r="A27" s="136">
        <f>IFERROR(__xludf.DUMMYFUNCTION("""COMPUTED_VALUE"""),45446.0)</f>
        <v>45446</v>
      </c>
      <c r="B27" s="132" t="str">
        <f>IFERROR(__xludf.DUMMYFUNCTION("""COMPUTED_VALUE"""),"foody")</f>
        <v>foody</v>
      </c>
      <c r="C27" s="132" t="str">
        <f>IFERROR(__xludf.DUMMYFUNCTION("""COMPUTED_VALUE"""),"食物")</f>
        <v>食物</v>
      </c>
      <c r="D27" s="132">
        <f>IFERROR(__xludf.DUMMYFUNCTION("""COMPUTED_VALUE"""),13.88)</f>
        <v>13.88</v>
      </c>
      <c r="E27" s="132" t="str">
        <f>IFERROR(__xludf.DUMMYFUNCTION("""COMPUTED_VALUE"""),"Pigskin")</f>
        <v>Pigskin</v>
      </c>
      <c r="F27" s="132">
        <f>IFERROR(__xludf.DUMMYFUNCTION("""COMPUTED_VALUE"""),13.88)</f>
        <v>13.88</v>
      </c>
      <c r="G27" s="132">
        <f>IFERROR(__xludf.DUMMYFUNCTION("""COMPUTED_VALUE"""),13.88)</f>
        <v>13.88</v>
      </c>
      <c r="H27" s="132"/>
      <c r="I27" s="132"/>
      <c r="J27" s="132"/>
      <c r="K27" s="132"/>
      <c r="L27" s="132"/>
      <c r="M27" s="132">
        <f>IFERROR(__xludf.DUMMYFUNCTION("""COMPUTED_VALUE"""),1.0)</f>
        <v>1</v>
      </c>
      <c r="N27" s="132"/>
      <c r="O27" s="132"/>
      <c r="P27" s="132"/>
      <c r="Q27" s="132"/>
      <c r="R27" s="132" t="str">
        <f>IFERROR(__xludf.DUMMYFUNCTION("""COMPUTED_VALUE"""),"Housing Insurance")</f>
        <v>Housing Insurance</v>
      </c>
      <c r="S27" s="132">
        <f>IFERROR(__xludf.DUMMYFUNCTION("""COMPUTED_VALUE"""),676.3)</f>
        <v>676.3</v>
      </c>
      <c r="T27" s="132">
        <f>IFERROR(__xludf.DUMMYFUNCTION("""COMPUTED_VALUE"""),135.26)</f>
        <v>135.26</v>
      </c>
      <c r="U27" s="132" t="str">
        <f>IFERROR(__xludf.DUMMYFUNCTION("""COMPUTED_VALUE"""),"Paid")</f>
        <v>Paid</v>
      </c>
      <c r="V27" s="132" t="str">
        <f>IFERROR(__xludf.DUMMYFUNCTION("""COMPUTED_VALUE"""),"Paid")</f>
        <v>Paid</v>
      </c>
      <c r="W27" s="132" t="str">
        <f>IFERROR(__xludf.DUMMYFUNCTION("""COMPUTED_VALUE"""),"Paid")</f>
        <v>Paid</v>
      </c>
      <c r="X27" s="132" t="str">
        <f>IFERROR(__xludf.DUMMYFUNCTION("""COMPUTED_VALUE"""),"Paid")</f>
        <v>Paid</v>
      </c>
      <c r="Y27" s="132"/>
      <c r="Z27" s="132"/>
    </row>
    <row r="28">
      <c r="A28" s="133">
        <f>IFERROR(__xludf.DUMMYFUNCTION("""COMPUTED_VALUE"""),45446.0)</f>
        <v>45446</v>
      </c>
      <c r="B28" s="132" t="str">
        <f>IFERROR(__xludf.DUMMYFUNCTION("""COMPUTED_VALUE"""),"Foody")</f>
        <v>Foody</v>
      </c>
      <c r="C28" s="132" t="str">
        <f>IFERROR(__xludf.DUMMYFUNCTION("""COMPUTED_VALUE"""),"食物")</f>
        <v>食物</v>
      </c>
      <c r="D28" s="132">
        <f>IFERROR(__xludf.DUMMYFUNCTION("""COMPUTED_VALUE"""),15.71)</f>
        <v>15.71</v>
      </c>
      <c r="E28" s="132" t="str">
        <f>IFERROR(__xludf.DUMMYFUNCTION("""COMPUTED_VALUE"""),"Pigskin")</f>
        <v>Pigskin</v>
      </c>
      <c r="F28" s="132">
        <f>IFERROR(__xludf.DUMMYFUNCTION("""COMPUTED_VALUE"""),3.9275)</f>
        <v>3.9275</v>
      </c>
      <c r="G28" s="132">
        <f>IFERROR(__xludf.DUMMYFUNCTION("""COMPUTED_VALUE"""),3.9275)</f>
        <v>3.9275</v>
      </c>
      <c r="H28" s="132">
        <f>IFERROR(__xludf.DUMMYFUNCTION("""COMPUTED_VALUE"""),1.0)</f>
        <v>1</v>
      </c>
      <c r="I28" s="132">
        <f>IFERROR(__xludf.DUMMYFUNCTION("""COMPUTED_VALUE"""),1.0)</f>
        <v>1</v>
      </c>
      <c r="J28" s="132">
        <f>IFERROR(__xludf.DUMMYFUNCTION("""COMPUTED_VALUE"""),1.0)</f>
        <v>1</v>
      </c>
      <c r="K28" s="132">
        <f>IFERROR(__xludf.DUMMYFUNCTION("""COMPUTED_VALUE"""),1.0)</f>
        <v>1</v>
      </c>
      <c r="L28" s="132"/>
      <c r="M28" s="132"/>
      <c r="N28" s="132"/>
      <c r="O28" s="132"/>
      <c r="P28" s="132"/>
      <c r="Q28" s="132"/>
      <c r="R28" s="132" t="str">
        <f>IFERROR(__xludf.DUMMYFUNCTION("""COMPUTED_VALUE"""),"Rent (up-front)")</f>
        <v>Rent (up-front)</v>
      </c>
      <c r="S28" s="132">
        <f>IFERROR(__xludf.DUMMYFUNCTION("""COMPUTED_VALUE"""),14400.0)</f>
        <v>14400</v>
      </c>
      <c r="T28" s="132">
        <f>IFERROR(__xludf.DUMMYFUNCTION("""COMPUTED_VALUE"""),2880.0)</f>
        <v>2880</v>
      </c>
      <c r="U28" s="132" t="str">
        <f>IFERROR(__xludf.DUMMYFUNCTION("""COMPUTED_VALUE"""),"Paid")</f>
        <v>Paid</v>
      </c>
      <c r="V28" s="132" t="str">
        <f>IFERROR(__xludf.DUMMYFUNCTION("""COMPUTED_VALUE"""),"Paid")</f>
        <v>Paid</v>
      </c>
      <c r="W28" s="132" t="str">
        <f>IFERROR(__xludf.DUMMYFUNCTION("""COMPUTED_VALUE"""),"Paid")</f>
        <v>Paid</v>
      </c>
      <c r="X28" s="132" t="str">
        <f>IFERROR(__xludf.DUMMYFUNCTION("""COMPUTED_VALUE"""),"Paid")</f>
        <v>Paid</v>
      </c>
      <c r="Y28" s="132" t="str">
        <f>IFERROR(__xludf.DUMMYFUNCTION("""COMPUTED_VALUE"""),"Paid")</f>
        <v>Paid</v>
      </c>
      <c r="Z28" s="132"/>
    </row>
    <row r="29">
      <c r="A29" s="136">
        <f>IFERROR(__xludf.DUMMYFUNCTION("""COMPUTED_VALUE"""),45447.0)</f>
        <v>45447</v>
      </c>
      <c r="B29" s="132" t="str">
        <f>IFERROR(__xludf.DUMMYFUNCTION("""COMPUTED_VALUE"""),"Sam woo")</f>
        <v>Sam woo</v>
      </c>
      <c r="C29" s="132" t="str">
        <f>IFERROR(__xludf.DUMMYFUNCTION("""COMPUTED_VALUE"""),"食物")</f>
        <v>食物</v>
      </c>
      <c r="D29" s="132">
        <f>IFERROR(__xludf.DUMMYFUNCTION("""COMPUTED_VALUE"""),79.1)</f>
        <v>79.1</v>
      </c>
      <c r="E29" s="132" t="str">
        <f>IFERROR(__xludf.DUMMYFUNCTION("""COMPUTED_VALUE"""),"Ivan")</f>
        <v>Ivan</v>
      </c>
      <c r="F29" s="132">
        <f>IFERROR(__xludf.DUMMYFUNCTION("""COMPUTED_VALUE"""),15.819999999999999)</f>
        <v>15.82</v>
      </c>
      <c r="G29" s="132">
        <f>IFERROR(__xludf.DUMMYFUNCTION("""COMPUTED_VALUE"""),15.819999999999999)</f>
        <v>15.82</v>
      </c>
      <c r="H29" s="132">
        <f>IFERROR(__xludf.DUMMYFUNCTION("""COMPUTED_VALUE"""),1.0)</f>
        <v>1</v>
      </c>
      <c r="I29" s="132">
        <f>IFERROR(__xludf.DUMMYFUNCTION("""COMPUTED_VALUE"""),1.0)</f>
        <v>1</v>
      </c>
      <c r="J29" s="132">
        <f>IFERROR(__xludf.DUMMYFUNCTION("""COMPUTED_VALUE"""),1.0)</f>
        <v>1</v>
      </c>
      <c r="K29" s="132">
        <f>IFERROR(__xludf.DUMMYFUNCTION("""COMPUTED_VALUE"""),1.0)</f>
        <v>1</v>
      </c>
      <c r="L29" s="132"/>
      <c r="M29" s="132">
        <f>IFERROR(__xludf.DUMMYFUNCTION("""COMPUTED_VALUE"""),1.0)</f>
        <v>1</v>
      </c>
      <c r="N29" s="132"/>
      <c r="O29" s="132"/>
      <c r="P29" s="132"/>
      <c r="Q29" s="132"/>
      <c r="R29" s="132" t="str">
        <f>IFERROR(__xludf.DUMMYFUNCTION("""COMPUTED_VALUE"""),"Key Deposit")</f>
        <v>Key Deposit</v>
      </c>
      <c r="S29" s="132">
        <f>IFERROR(__xludf.DUMMYFUNCTION("""COMPUTED_VALUE"""),200.0)</f>
        <v>200</v>
      </c>
      <c r="T29" s="132">
        <f>IFERROR(__xludf.DUMMYFUNCTION("""COMPUTED_VALUE"""),40.0)</f>
        <v>40</v>
      </c>
      <c r="U29" s="132" t="str">
        <f>IFERROR(__xludf.DUMMYFUNCTION("""COMPUTED_VALUE"""),"Paid")</f>
        <v>Paid</v>
      </c>
      <c r="V29" s="132" t="str">
        <f>IFERROR(__xludf.DUMMYFUNCTION("""COMPUTED_VALUE"""),"Paid")</f>
        <v>Paid</v>
      </c>
      <c r="W29" s="132" t="str">
        <f>IFERROR(__xludf.DUMMYFUNCTION("""COMPUTED_VALUE"""),"Paid")</f>
        <v>Paid</v>
      </c>
      <c r="X29" s="132" t="str">
        <f>IFERROR(__xludf.DUMMYFUNCTION("""COMPUTED_VALUE"""),"Paid")</f>
        <v>Paid</v>
      </c>
      <c r="Y29" s="132" t="str">
        <f>IFERROR(__xludf.DUMMYFUNCTION("""COMPUTED_VALUE"""),"Paid")</f>
        <v>Paid</v>
      </c>
      <c r="Z29" s="132"/>
    </row>
    <row r="30">
      <c r="A30" s="133">
        <f>IFERROR(__xludf.DUMMYFUNCTION("""COMPUTED_VALUE"""),45448.0)</f>
        <v>45448</v>
      </c>
      <c r="B30" s="132" t="str">
        <f>IFERROR(__xludf.DUMMYFUNCTION("""COMPUTED_VALUE"""),"Foody")</f>
        <v>Foody</v>
      </c>
      <c r="C30" s="132" t="str">
        <f>IFERROR(__xludf.DUMMYFUNCTION("""COMPUTED_VALUE"""),"食物")</f>
        <v>食物</v>
      </c>
      <c r="D30" s="132">
        <f>IFERROR(__xludf.DUMMYFUNCTION("""COMPUTED_VALUE"""),16.2)</f>
        <v>16.2</v>
      </c>
      <c r="E30" s="132" t="str">
        <f>IFERROR(__xludf.DUMMYFUNCTION("""COMPUTED_VALUE"""),"Pigskin")</f>
        <v>Pigskin</v>
      </c>
      <c r="F30" s="132">
        <f>IFERROR(__xludf.DUMMYFUNCTION("""COMPUTED_VALUE"""),4.05)</f>
        <v>4.05</v>
      </c>
      <c r="G30" s="132">
        <f>IFERROR(__xludf.DUMMYFUNCTION("""COMPUTED_VALUE"""),4.05)</f>
        <v>4.05</v>
      </c>
      <c r="H30" s="132">
        <f>IFERROR(__xludf.DUMMYFUNCTION("""COMPUTED_VALUE"""),1.0)</f>
        <v>1</v>
      </c>
      <c r="I30" s="132">
        <f>IFERROR(__xludf.DUMMYFUNCTION("""COMPUTED_VALUE"""),1.0)</f>
        <v>1</v>
      </c>
      <c r="J30" s="132">
        <f>IFERROR(__xludf.DUMMYFUNCTION("""COMPUTED_VALUE"""),1.0)</f>
        <v>1</v>
      </c>
      <c r="K30" s="132">
        <f>IFERROR(__xludf.DUMMYFUNCTION("""COMPUTED_VALUE"""),1.0)</f>
        <v>1</v>
      </c>
      <c r="L30" s="132"/>
      <c r="M30" s="132"/>
      <c r="N30" s="132"/>
      <c r="O30" s="132"/>
      <c r="P30" s="132"/>
      <c r="Q30" s="132"/>
      <c r="R30" s="132" t="str">
        <f>IFERROR(__xludf.DUMMYFUNCTION("""COMPUTED_VALUE"""),"Furniture Deposit")</f>
        <v>Furniture Deposit</v>
      </c>
      <c r="S30" s="132">
        <f>IFERROR(__xludf.DUMMYFUNCTION("""COMPUTED_VALUE"""),800.0)</f>
        <v>800</v>
      </c>
      <c r="T30" s="132">
        <f>IFERROR(__xludf.DUMMYFUNCTION("""COMPUTED_VALUE"""),160.0)</f>
        <v>160</v>
      </c>
      <c r="U30" s="132" t="str">
        <f>IFERROR(__xludf.DUMMYFUNCTION("""COMPUTED_VALUE"""),"Paid")</f>
        <v>Paid</v>
      </c>
      <c r="V30" s="132" t="str">
        <f>IFERROR(__xludf.DUMMYFUNCTION("""COMPUTED_VALUE"""),"Paid")</f>
        <v>Paid</v>
      </c>
      <c r="W30" s="132" t="str">
        <f>IFERROR(__xludf.DUMMYFUNCTION("""COMPUTED_VALUE"""),"Paid")</f>
        <v>Paid</v>
      </c>
      <c r="X30" s="132" t="str">
        <f>IFERROR(__xludf.DUMMYFUNCTION("""COMPUTED_VALUE"""),"Paid")</f>
        <v>Paid</v>
      </c>
      <c r="Y30" s="132" t="str">
        <f>IFERROR(__xludf.DUMMYFUNCTION("""COMPUTED_VALUE"""),"Paid")</f>
        <v>Paid</v>
      </c>
      <c r="Z30" s="132"/>
    </row>
    <row r="31">
      <c r="A31" s="136">
        <f>IFERROR(__xludf.DUMMYFUNCTION("""COMPUTED_VALUE"""),45449.0)</f>
        <v>45449</v>
      </c>
      <c r="B31" s="132" t="str">
        <f>IFERROR(__xludf.DUMMYFUNCTION("""COMPUTED_VALUE"""),"foody")</f>
        <v>foody</v>
      </c>
      <c r="C31" s="132" t="str">
        <f>IFERROR(__xludf.DUMMYFUNCTION("""COMPUTED_VALUE"""),"食物")</f>
        <v>食物</v>
      </c>
      <c r="D31" s="132">
        <f>IFERROR(__xludf.DUMMYFUNCTION("""COMPUTED_VALUE"""),7.99)</f>
        <v>7.99</v>
      </c>
      <c r="E31" s="132" t="str">
        <f>IFERROR(__xludf.DUMMYFUNCTION("""COMPUTED_VALUE"""),"BL")</f>
        <v>BL</v>
      </c>
      <c r="F31" s="132">
        <f>IFERROR(__xludf.DUMMYFUNCTION("""COMPUTED_VALUE"""),1.9975)</f>
        <v>1.9975</v>
      </c>
      <c r="G31" s="132">
        <f>IFERROR(__xludf.DUMMYFUNCTION("""COMPUTED_VALUE"""),1.9975)</f>
        <v>1.9975</v>
      </c>
      <c r="H31" s="132">
        <f>IFERROR(__xludf.DUMMYFUNCTION("""COMPUTED_VALUE"""),1.0)</f>
        <v>1</v>
      </c>
      <c r="I31" s="132">
        <f>IFERROR(__xludf.DUMMYFUNCTION("""COMPUTED_VALUE"""),1.0)</f>
        <v>1</v>
      </c>
      <c r="J31" s="132">
        <f>IFERROR(__xludf.DUMMYFUNCTION("""COMPUTED_VALUE"""),1.0)</f>
        <v>1</v>
      </c>
      <c r="K31" s="132">
        <f>IFERROR(__xludf.DUMMYFUNCTION("""COMPUTED_VALUE"""),1.0)</f>
        <v>1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>
      <c r="A32" s="136">
        <f>IFERROR(__xludf.DUMMYFUNCTION("""COMPUTED_VALUE"""),45449.0)</f>
        <v>45449</v>
      </c>
      <c r="B32" s="132" t="str">
        <f>IFERROR(__xludf.DUMMYFUNCTION("""COMPUTED_VALUE"""),"Foody")</f>
        <v>Foody</v>
      </c>
      <c r="C32" s="132" t="str">
        <f>IFERROR(__xludf.DUMMYFUNCTION("""COMPUTED_VALUE"""),"食物")</f>
        <v>食物</v>
      </c>
      <c r="D32" s="132">
        <f>IFERROR(__xludf.DUMMYFUNCTION("""COMPUTED_VALUE"""),21.03)</f>
        <v>21.03</v>
      </c>
      <c r="E32" s="132" t="str">
        <f>IFERROR(__xludf.DUMMYFUNCTION("""COMPUTED_VALUE"""),"Pigskin")</f>
        <v>Pigskin</v>
      </c>
      <c r="F32" s="132">
        <f>IFERROR(__xludf.DUMMYFUNCTION("""COMPUTED_VALUE"""),4.206)</f>
        <v>4.206</v>
      </c>
      <c r="G32" s="132">
        <f>IFERROR(__xludf.DUMMYFUNCTION("""COMPUTED_VALUE"""),4.206)</f>
        <v>4.206</v>
      </c>
      <c r="H32" s="132">
        <f>IFERROR(__xludf.DUMMYFUNCTION("""COMPUTED_VALUE"""),1.0)</f>
        <v>1</v>
      </c>
      <c r="I32" s="132">
        <f>IFERROR(__xludf.DUMMYFUNCTION("""COMPUTED_VALUE"""),1.0)</f>
        <v>1</v>
      </c>
      <c r="J32" s="132">
        <f>IFERROR(__xludf.DUMMYFUNCTION("""COMPUTED_VALUE"""),1.0)</f>
        <v>1</v>
      </c>
      <c r="K32" s="132">
        <f>IFERROR(__xludf.DUMMYFUNCTION("""COMPUTED_VALUE"""),1.0)</f>
        <v>1</v>
      </c>
      <c r="L32" s="132"/>
      <c r="M32" s="132"/>
      <c r="N32" s="132">
        <f>IFERROR(__xludf.DUMMYFUNCTION("""COMPUTED_VALUE"""),1.0)</f>
        <v>1</v>
      </c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>
      <c r="A33" s="133">
        <f>IFERROR(__xludf.DUMMYFUNCTION("""COMPUTED_VALUE"""),45450.0)</f>
        <v>45450</v>
      </c>
      <c r="B33" s="132" t="str">
        <f>IFERROR(__xludf.DUMMYFUNCTION("""COMPUTED_VALUE"""),"foody")</f>
        <v>foody</v>
      </c>
      <c r="C33" s="132" t="str">
        <f>IFERROR(__xludf.DUMMYFUNCTION("""COMPUTED_VALUE"""),"食物")</f>
        <v>食物</v>
      </c>
      <c r="D33" s="132">
        <f>IFERROR(__xludf.DUMMYFUNCTION("""COMPUTED_VALUE"""),11.67)</f>
        <v>11.67</v>
      </c>
      <c r="E33" s="132" t="str">
        <f>IFERROR(__xludf.DUMMYFUNCTION("""COMPUTED_VALUE"""),"Pigskin")</f>
        <v>Pigskin</v>
      </c>
      <c r="F33" s="132">
        <f>IFERROR(__xludf.DUMMYFUNCTION("""COMPUTED_VALUE"""),5.835)</f>
        <v>5.835</v>
      </c>
      <c r="G33" s="132">
        <f>IFERROR(__xludf.DUMMYFUNCTION("""COMPUTED_VALUE"""),5.835)</f>
        <v>5.835</v>
      </c>
      <c r="H33" s="132"/>
      <c r="I33" s="132"/>
      <c r="J33" s="132"/>
      <c r="K33" s="132">
        <f>IFERROR(__xludf.DUMMYFUNCTION("""COMPUTED_VALUE"""),1.0)</f>
        <v>1</v>
      </c>
      <c r="L33" s="132"/>
      <c r="M33" s="132"/>
      <c r="N33" s="132">
        <f>IFERROR(__xludf.DUMMYFUNCTION("""COMPUTED_VALUE"""),1.0)</f>
        <v>1</v>
      </c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>
      <c r="A34" s="136">
        <f>IFERROR(__xludf.DUMMYFUNCTION("""COMPUTED_VALUE"""),45450.0)</f>
        <v>45450</v>
      </c>
      <c r="B34" s="132" t="str">
        <f>IFERROR(__xludf.DUMMYFUNCTION("""COMPUTED_VALUE"""),"Banana")</f>
        <v>Banana</v>
      </c>
      <c r="C34" s="132" t="str">
        <f>IFERROR(__xludf.DUMMYFUNCTION("""COMPUTED_VALUE"""),"食物")</f>
        <v>食物</v>
      </c>
      <c r="D34" s="132">
        <f>IFERROR(__xludf.DUMMYFUNCTION("""COMPUTED_VALUE"""),1.39)</f>
        <v>1.39</v>
      </c>
      <c r="E34" s="132" t="str">
        <f>IFERROR(__xludf.DUMMYFUNCTION("""COMPUTED_VALUE"""),"Pigskin")</f>
        <v>Pigskin</v>
      </c>
      <c r="F34" s="132">
        <f>IFERROR(__xludf.DUMMYFUNCTION("""COMPUTED_VALUE"""),0.3475)</f>
        <v>0.3475</v>
      </c>
      <c r="G34" s="132">
        <f>IFERROR(__xludf.DUMMYFUNCTION("""COMPUTED_VALUE"""),0.3475)</f>
        <v>0.3475</v>
      </c>
      <c r="H34" s="132"/>
      <c r="I34" s="132">
        <f>IFERROR(__xludf.DUMMYFUNCTION("""COMPUTED_VALUE"""),1.0)</f>
        <v>1</v>
      </c>
      <c r="J34" s="132">
        <f>IFERROR(__xludf.DUMMYFUNCTION("""COMPUTED_VALUE"""),1.0)</f>
        <v>1</v>
      </c>
      <c r="K34" s="132">
        <f>IFERROR(__xludf.DUMMYFUNCTION("""COMPUTED_VALUE"""),1.0)</f>
        <v>1</v>
      </c>
      <c r="L34" s="132"/>
      <c r="M34" s="132"/>
      <c r="N34" s="132">
        <f>IFERROR(__xludf.DUMMYFUNCTION("""COMPUTED_VALUE"""),1.0)</f>
        <v>1</v>
      </c>
      <c r="O34" s="132"/>
      <c r="P34" s="132"/>
      <c r="Q34" s="132"/>
      <c r="R34" s="132"/>
      <c r="S34" s="132">
        <f>IFERROR(__xludf.DUMMYFUNCTION("""COMPUTED_VALUE"""),23276.3)</f>
        <v>23276.3</v>
      </c>
      <c r="T34" s="132">
        <f>IFERROR(__xludf.DUMMYFUNCTION("""COMPUTED_VALUE"""),4655.26)</f>
        <v>4655.26</v>
      </c>
      <c r="U34" s="132"/>
      <c r="V34" s="132"/>
      <c r="W34" s="132"/>
      <c r="X34" s="132"/>
      <c r="Y34" s="132"/>
      <c r="Z34" s="132"/>
    </row>
    <row r="35">
      <c r="A35" s="133">
        <f>IFERROR(__xludf.DUMMYFUNCTION("""COMPUTED_VALUE"""),45452.0)</f>
        <v>45452</v>
      </c>
      <c r="B35" s="132" t="str">
        <f>IFERROR(__xludf.DUMMYFUNCTION("""COMPUTED_VALUE"""),"Foody")</f>
        <v>Foody</v>
      </c>
      <c r="C35" s="132" t="str">
        <f>IFERROR(__xludf.DUMMYFUNCTION("""COMPUTED_VALUE"""),"食物")</f>
        <v>食物</v>
      </c>
      <c r="D35" s="135">
        <f>IFERROR(__xludf.DUMMYFUNCTION("""COMPUTED_VALUE"""),7.45)</f>
        <v>7.45</v>
      </c>
      <c r="E35" s="132" t="str">
        <f>IFERROR(__xludf.DUMMYFUNCTION("""COMPUTED_VALUE"""),"BL")</f>
        <v>BL</v>
      </c>
      <c r="F35" s="132">
        <f>IFERROR(__xludf.DUMMYFUNCTION("""COMPUTED_VALUE"""),1.49)</f>
        <v>1.49</v>
      </c>
      <c r="G35" s="132">
        <f>IFERROR(__xludf.DUMMYFUNCTION("""COMPUTED_VALUE"""),1.49)</f>
        <v>1.49</v>
      </c>
      <c r="H35" s="132">
        <f>IFERROR(__xludf.DUMMYFUNCTION("""COMPUTED_VALUE"""),1.0)</f>
        <v>1</v>
      </c>
      <c r="I35" s="132">
        <f>IFERROR(__xludf.DUMMYFUNCTION("""COMPUTED_VALUE"""),1.0)</f>
        <v>1</v>
      </c>
      <c r="J35" s="132">
        <f>IFERROR(__xludf.DUMMYFUNCTION("""COMPUTED_VALUE"""),1.0)</f>
        <v>1</v>
      </c>
      <c r="K35" s="132">
        <f>IFERROR(__xludf.DUMMYFUNCTION("""COMPUTED_VALUE"""),1.0)</f>
        <v>1</v>
      </c>
      <c r="L35" s="132"/>
      <c r="M35" s="132"/>
      <c r="N35" s="132">
        <f>IFERROR(__xludf.DUMMYFUNCTION("""COMPUTED_VALUE"""),1.0)</f>
        <v>1</v>
      </c>
      <c r="O35" s="132"/>
      <c r="P35" s="132"/>
      <c r="Q35" s="134"/>
      <c r="R35" s="132"/>
      <c r="S35" s="132"/>
      <c r="T35" s="132"/>
      <c r="U35" s="132"/>
      <c r="V35" s="132"/>
      <c r="W35" s="132"/>
      <c r="X35" s="132"/>
      <c r="Y35" s="132"/>
      <c r="Z35" s="132"/>
    </row>
    <row r="36">
      <c r="A36" s="133">
        <f>IFERROR(__xludf.DUMMYFUNCTION("""COMPUTED_VALUE"""),45451.0)</f>
        <v>45451</v>
      </c>
      <c r="B36" s="132" t="str">
        <f>IFERROR(__xludf.DUMMYFUNCTION("""COMPUTED_VALUE"""),"Foody")</f>
        <v>Foody</v>
      </c>
      <c r="C36" s="132" t="str">
        <f>IFERROR(__xludf.DUMMYFUNCTION("""COMPUTED_VALUE"""),"食物")</f>
        <v>食物</v>
      </c>
      <c r="D36" s="135">
        <f>IFERROR(__xludf.DUMMYFUNCTION("""COMPUTED_VALUE"""),36.8513)</f>
        <v>36.8513</v>
      </c>
      <c r="E36" s="132" t="str">
        <f>IFERROR(__xludf.DUMMYFUNCTION("""COMPUTED_VALUE"""),"Rachel")</f>
        <v>Rachel</v>
      </c>
      <c r="F36" s="132">
        <f>IFERROR(__xludf.DUMMYFUNCTION("""COMPUTED_VALUE"""),7.37026)</f>
        <v>7.37026</v>
      </c>
      <c r="G36" s="132">
        <f>IFERROR(__xludf.DUMMYFUNCTION("""COMPUTED_VALUE"""),7.37026)</f>
        <v>7.37026</v>
      </c>
      <c r="H36" s="132">
        <f>IFERROR(__xludf.DUMMYFUNCTION("""COMPUTED_VALUE"""),1.0)</f>
        <v>1</v>
      </c>
      <c r="I36" s="132">
        <f>IFERROR(__xludf.DUMMYFUNCTION("""COMPUTED_VALUE"""),1.0)</f>
        <v>1</v>
      </c>
      <c r="J36" s="132">
        <f>IFERROR(__xludf.DUMMYFUNCTION("""COMPUTED_VALUE"""),1.0)</f>
        <v>1</v>
      </c>
      <c r="K36" s="132"/>
      <c r="L36" s="132"/>
      <c r="M36" s="132">
        <f>IFERROR(__xludf.DUMMYFUNCTION("""COMPUTED_VALUE"""),1.0)</f>
        <v>1</v>
      </c>
      <c r="N36" s="132">
        <f>IFERROR(__xludf.DUMMYFUNCTION("""COMPUTED_VALUE"""),1.0)</f>
        <v>1</v>
      </c>
      <c r="O36" s="132"/>
      <c r="P36" s="132"/>
      <c r="Q36" s="134">
        <f>IFERROR(__xludf.DUMMYFUNCTION("""COMPUTED_VALUE"""),45231.0)</f>
        <v>45231</v>
      </c>
      <c r="R36" s="132" t="str">
        <f>IFERROR(__xludf.DUMMYFUNCTION("""COMPUTED_VALUE"""),"Rent")</f>
        <v>Rent</v>
      </c>
      <c r="S36" s="132">
        <f>IFERROR(__xludf.DUMMYFUNCTION("""COMPUTED_VALUE"""),3600.0)</f>
        <v>3600</v>
      </c>
      <c r="T36" s="132">
        <f>IFERROR(__xludf.DUMMYFUNCTION("""COMPUTED_VALUE"""),720.0)</f>
        <v>720</v>
      </c>
      <c r="U36" s="132" t="str">
        <f>IFERROR(__xludf.DUMMYFUNCTION("""COMPUTED_VALUE"""),"Paid")</f>
        <v>Paid</v>
      </c>
      <c r="V36" s="132" t="str">
        <f>IFERROR(__xludf.DUMMYFUNCTION("""COMPUTED_VALUE"""),"Paid")</f>
        <v>Paid</v>
      </c>
      <c r="W36" s="132" t="str">
        <f>IFERROR(__xludf.DUMMYFUNCTION("""COMPUTED_VALUE"""),"Paid")</f>
        <v>Paid</v>
      </c>
      <c r="X36" s="132" t="str">
        <f>IFERROR(__xludf.DUMMYFUNCTION("""COMPUTED_VALUE"""),"Paid")</f>
        <v>Paid</v>
      </c>
      <c r="Y36" s="132" t="str">
        <f>IFERROR(__xludf.DUMMYFUNCTION("""COMPUTED_VALUE"""),"Paid")</f>
        <v>Paid</v>
      </c>
      <c r="Z36" s="132"/>
    </row>
    <row r="37">
      <c r="A37" s="133">
        <f>IFERROR(__xludf.DUMMYFUNCTION("""COMPUTED_VALUE"""),45451.0)</f>
        <v>45451</v>
      </c>
      <c r="B37" s="132" t="str">
        <f>IFERROR(__xludf.DUMMYFUNCTION("""COMPUTED_VALUE"""),"Foody")</f>
        <v>Foody</v>
      </c>
      <c r="C37" s="132" t="str">
        <f>IFERROR(__xludf.DUMMYFUNCTION("""COMPUTED_VALUE"""),"食物")</f>
        <v>食物</v>
      </c>
      <c r="D37" s="132">
        <f>IFERROR(__xludf.DUMMYFUNCTION("""COMPUTED_VALUE"""),2.0227)</f>
        <v>2.0227</v>
      </c>
      <c r="E37" s="132" t="str">
        <f>IFERROR(__xludf.DUMMYFUNCTION("""COMPUTED_VALUE"""),"Rachel")</f>
        <v>Rachel</v>
      </c>
      <c r="F37" s="132">
        <f>IFERROR(__xludf.DUMMYFUNCTION("""COMPUTED_VALUE"""),2.0227)</f>
        <v>2.0227</v>
      </c>
      <c r="G37" s="132">
        <f>IFERROR(__xludf.DUMMYFUNCTION("""COMPUTED_VALUE"""),2.0227)</f>
        <v>2.0227</v>
      </c>
      <c r="H37" s="132">
        <f>IFERROR(__xludf.DUMMYFUNCTION("""COMPUTED_VALUE"""),1.0)</f>
        <v>1</v>
      </c>
      <c r="I37" s="132"/>
      <c r="J37" s="132"/>
      <c r="K37" s="132"/>
      <c r="L37" s="132"/>
      <c r="M37" s="132"/>
      <c r="N37" s="132"/>
      <c r="O37" s="132"/>
      <c r="P37" s="132"/>
      <c r="Q37" s="132"/>
      <c r="R37" s="132" t="str">
        <f>IFERROR(__xludf.DUMMYFUNCTION("""COMPUTED_VALUE"""),"Water")</f>
        <v>Water</v>
      </c>
      <c r="S37" s="132"/>
      <c r="T37" s="132"/>
      <c r="U37" s="132"/>
      <c r="V37" s="132"/>
      <c r="W37" s="132"/>
      <c r="X37" s="132"/>
      <c r="Y37" s="132"/>
      <c r="Z37" s="132"/>
    </row>
    <row r="38">
      <c r="A38" s="133">
        <f>IFERROR(__xludf.DUMMYFUNCTION("""COMPUTED_VALUE"""),45451.0)</f>
        <v>45451</v>
      </c>
      <c r="B38" s="132" t="str">
        <f>IFERROR(__xludf.DUMMYFUNCTION("""COMPUTED_VALUE"""),"Foody")</f>
        <v>Foody</v>
      </c>
      <c r="C38" s="132" t="str">
        <f>IFERROR(__xludf.DUMMYFUNCTION("""COMPUTED_VALUE"""),"居家")</f>
        <v>居家</v>
      </c>
      <c r="D38" s="132">
        <f>IFERROR(__xludf.DUMMYFUNCTION("""COMPUTED_VALUE"""),3.3787)</f>
        <v>3.3787</v>
      </c>
      <c r="E38" s="132" t="str">
        <f>IFERROR(__xludf.DUMMYFUNCTION("""COMPUTED_VALUE"""),"Rachel")</f>
        <v>Rachel</v>
      </c>
      <c r="F38" s="132">
        <f>IFERROR(__xludf.DUMMYFUNCTION("""COMPUTED_VALUE"""),3.3787)</f>
        <v>3.3787</v>
      </c>
      <c r="G38" s="132">
        <f>IFERROR(__xludf.DUMMYFUNCTION("""COMPUTED_VALUE"""),3.3787)</f>
        <v>3.3787</v>
      </c>
      <c r="H38" s="132"/>
      <c r="I38" s="132"/>
      <c r="J38" s="132">
        <f>IFERROR(__xludf.DUMMYFUNCTION("""COMPUTED_VALUE"""),1.0)</f>
        <v>1</v>
      </c>
      <c r="K38" s="132"/>
      <c r="L38" s="132"/>
      <c r="M38" s="132"/>
      <c r="N38" s="132"/>
      <c r="O38" s="132"/>
      <c r="P38" s="132"/>
      <c r="Q38" s="132"/>
      <c r="R38" s="132" t="str">
        <f>IFERROR(__xludf.DUMMYFUNCTION("""COMPUTED_VALUE"""),"Heat (19/10-16/11)")</f>
        <v>Heat (19/10-16/11)</v>
      </c>
      <c r="S38" s="132">
        <f>IFERROR(__xludf.DUMMYFUNCTION("""COMPUTED_VALUE"""),136.95000000000002)</f>
        <v>136.95</v>
      </c>
      <c r="T38" s="132"/>
      <c r="U38" s="132">
        <f>IFERROR(__xludf.DUMMYFUNCTION("""COMPUTED_VALUE"""),40.53)</f>
        <v>40.53</v>
      </c>
      <c r="V38" s="132">
        <f>IFERROR(__xludf.DUMMYFUNCTION("""COMPUTED_VALUE"""),40.53)</f>
        <v>40.53</v>
      </c>
      <c r="W38" s="132">
        <f>IFERROR(__xludf.DUMMYFUNCTION("""COMPUTED_VALUE"""),25.15)</f>
        <v>25.15</v>
      </c>
      <c r="X38" s="132">
        <f>IFERROR(__xludf.DUMMYFUNCTION("""COMPUTED_VALUE"""),25.15)</f>
        <v>25.15</v>
      </c>
      <c r="Y38" s="132">
        <f>IFERROR(__xludf.DUMMYFUNCTION("""COMPUTED_VALUE"""),5.59)</f>
        <v>5.59</v>
      </c>
      <c r="Z38" s="132"/>
    </row>
    <row r="39">
      <c r="A39" s="133">
        <f>IFERROR(__xludf.DUMMYFUNCTION("""COMPUTED_VALUE"""),45451.0)</f>
        <v>45451</v>
      </c>
      <c r="B39" s="132" t="str">
        <f>IFERROR(__xludf.DUMMYFUNCTION("""COMPUTED_VALUE"""),"Tnt")</f>
        <v>Tnt</v>
      </c>
      <c r="C39" s="132" t="str">
        <f>IFERROR(__xludf.DUMMYFUNCTION("""COMPUTED_VALUE"""),"食物")</f>
        <v>食物</v>
      </c>
      <c r="D39" s="132">
        <f>IFERROR(__xludf.DUMMYFUNCTION("""COMPUTED_VALUE"""),31.55)</f>
        <v>31.55</v>
      </c>
      <c r="E39" s="132" t="str">
        <f>IFERROR(__xludf.DUMMYFUNCTION("""COMPUTED_VALUE"""),"Pigksin")</f>
        <v>Pigksin</v>
      </c>
      <c r="F39" s="132">
        <f>IFERROR(__xludf.DUMMYFUNCTION("""COMPUTED_VALUE"""),6.3100000000000005)</f>
        <v>6.31</v>
      </c>
      <c r="G39" s="132">
        <f>IFERROR(__xludf.DUMMYFUNCTION("""COMPUTED_VALUE"""),6.3100000000000005)</f>
        <v>6.31</v>
      </c>
      <c r="H39" s="132">
        <f>IFERROR(__xludf.DUMMYFUNCTION("""COMPUTED_VALUE"""),1.0)</f>
        <v>1</v>
      </c>
      <c r="I39" s="132">
        <f>IFERROR(__xludf.DUMMYFUNCTION("""COMPUTED_VALUE"""),1.0)</f>
        <v>1</v>
      </c>
      <c r="J39" s="132">
        <f>IFERROR(__xludf.DUMMYFUNCTION("""COMPUTED_VALUE"""),1.0)</f>
        <v>1</v>
      </c>
      <c r="K39" s="132">
        <f>IFERROR(__xludf.DUMMYFUNCTION("""COMPUTED_VALUE"""),1.0)</f>
        <v>1</v>
      </c>
      <c r="L39" s="132"/>
      <c r="M39" s="132"/>
      <c r="N39" s="132">
        <f>IFERROR(__xludf.DUMMYFUNCTION("""COMPUTED_VALUE"""),1.0)</f>
        <v>1</v>
      </c>
      <c r="O39" s="132"/>
      <c r="P39" s="132"/>
      <c r="Q39" s="132"/>
      <c r="R39" s="132" t="str">
        <f>IFERROR(__xludf.DUMMYFUNCTION("""COMPUTED_VALUE"""),"Electricity")</f>
        <v>Electricity</v>
      </c>
      <c r="S39" s="132"/>
      <c r="T39" s="132"/>
      <c r="U39" s="132" t="str">
        <f>IFERROR(__xludf.DUMMYFUNCTION("""COMPUTED_VALUE"""),"Paid")</f>
        <v>Paid</v>
      </c>
      <c r="V39" s="132" t="str">
        <f>IFERROR(__xludf.DUMMYFUNCTION("""COMPUTED_VALUE"""),"Paid")</f>
        <v>Paid</v>
      </c>
      <c r="W39" s="132" t="str">
        <f>IFERROR(__xludf.DUMMYFUNCTION("""COMPUTED_VALUE"""),"Paid")</f>
        <v>Paid</v>
      </c>
      <c r="X39" s="132" t="str">
        <f>IFERROR(__xludf.DUMMYFUNCTION("""COMPUTED_VALUE"""),"Paid")</f>
        <v>Paid</v>
      </c>
      <c r="Y39" s="132" t="str">
        <f>IFERROR(__xludf.DUMMYFUNCTION("""COMPUTED_VALUE"""),"Paid")</f>
        <v>Paid</v>
      </c>
      <c r="Z39" s="132"/>
    </row>
    <row r="40">
      <c r="A40" s="133">
        <f>IFERROR(__xludf.DUMMYFUNCTION("""COMPUTED_VALUE"""),45452.0)</f>
        <v>45452</v>
      </c>
      <c r="B40" s="132" t="str">
        <f>IFERROR(__xludf.DUMMYFUNCTION("""COMPUTED_VALUE"""),"Foody")</f>
        <v>Foody</v>
      </c>
      <c r="C40" s="132" t="str">
        <f>IFERROR(__xludf.DUMMYFUNCTION("""COMPUTED_VALUE"""),"食物")</f>
        <v>食物</v>
      </c>
      <c r="D40" s="132">
        <f>IFERROR(__xludf.DUMMYFUNCTION("""COMPUTED_VALUE"""),21.06)</f>
        <v>21.06</v>
      </c>
      <c r="E40" s="132" t="str">
        <f>IFERROR(__xludf.DUMMYFUNCTION("""COMPUTED_VALUE"""),"Foody")</f>
        <v>Foody</v>
      </c>
      <c r="F40" s="132">
        <f>IFERROR(__xludf.DUMMYFUNCTION("""COMPUTED_VALUE"""),4.212)</f>
        <v>4.212</v>
      </c>
      <c r="G40" s="132">
        <f>IFERROR(__xludf.DUMMYFUNCTION("""COMPUTED_VALUE"""),4.212)</f>
        <v>4.212</v>
      </c>
      <c r="H40" s="132">
        <f>IFERROR(__xludf.DUMMYFUNCTION("""COMPUTED_VALUE"""),1.0)</f>
        <v>1</v>
      </c>
      <c r="I40" s="132">
        <f>IFERROR(__xludf.DUMMYFUNCTION("""COMPUTED_VALUE"""),1.0)</f>
        <v>1</v>
      </c>
      <c r="J40" s="132">
        <f>IFERROR(__xludf.DUMMYFUNCTION("""COMPUTED_VALUE"""),1.0)</f>
        <v>1</v>
      </c>
      <c r="K40" s="132">
        <f>IFERROR(__xludf.DUMMYFUNCTION("""COMPUTED_VALUE"""),1.0)</f>
        <v>1</v>
      </c>
      <c r="L40" s="132"/>
      <c r="M40" s="132"/>
      <c r="N40" s="132">
        <f>IFERROR(__xludf.DUMMYFUNCTION("""COMPUTED_VALUE"""),1.0)</f>
        <v>1</v>
      </c>
      <c r="O40" s="132"/>
      <c r="P40" s="132"/>
      <c r="Q40" s="132"/>
      <c r="R40" s="132" t="str">
        <f>IFERROR(__xludf.DUMMYFUNCTION("""COMPUTED_VALUE"""),"Internet")</f>
        <v>Internet</v>
      </c>
      <c r="S40" s="132">
        <f>IFERROR(__xludf.DUMMYFUNCTION("""COMPUTED_VALUE"""),56.5)</f>
        <v>56.5</v>
      </c>
      <c r="T40" s="132"/>
      <c r="U40" s="132" t="str">
        <f>IFERROR(__xludf.DUMMYFUNCTION("""COMPUTED_VALUE"""),"Paid")</f>
        <v>Paid</v>
      </c>
      <c r="V40" s="132" t="str">
        <f>IFERROR(__xludf.DUMMYFUNCTION("""COMPUTED_VALUE"""),"Paid")</f>
        <v>Paid</v>
      </c>
      <c r="W40" s="132" t="str">
        <f>IFERROR(__xludf.DUMMYFUNCTION("""COMPUTED_VALUE"""),"Paid")</f>
        <v>Paid</v>
      </c>
      <c r="X40" s="132" t="str">
        <f>IFERROR(__xludf.DUMMYFUNCTION("""COMPUTED_VALUE"""),"Paid")</f>
        <v>Paid</v>
      </c>
      <c r="Y40" s="132" t="str">
        <f>IFERROR(__xludf.DUMMYFUNCTION("""COMPUTED_VALUE"""),"Paid")</f>
        <v>Paid</v>
      </c>
      <c r="Z40" s="132"/>
    </row>
    <row r="41">
      <c r="A41" s="133">
        <f>IFERROR(__xludf.DUMMYFUNCTION("""COMPUTED_VALUE"""),45452.0)</f>
        <v>45452</v>
      </c>
      <c r="B41" s="132" t="str">
        <f>IFERROR(__xludf.DUMMYFUNCTION("""COMPUTED_VALUE"""),"Foody")</f>
        <v>Foody</v>
      </c>
      <c r="C41" s="132" t="str">
        <f>IFERROR(__xludf.DUMMYFUNCTION("""COMPUTED_VALUE"""),"食物")</f>
        <v>食物</v>
      </c>
      <c r="D41" s="132">
        <f>IFERROR(__xludf.DUMMYFUNCTION("""COMPUTED_VALUE"""),8.06)</f>
        <v>8.06</v>
      </c>
      <c r="E41" s="132" t="str">
        <f>IFERROR(__xludf.DUMMYFUNCTION("""COMPUTED_VALUE"""),"Rachel")</f>
        <v>Rachel</v>
      </c>
      <c r="F41" s="132">
        <f>IFERROR(__xludf.DUMMYFUNCTION("""COMPUTED_VALUE"""),1.612)</f>
        <v>1.612</v>
      </c>
      <c r="G41" s="132">
        <f>IFERROR(__xludf.DUMMYFUNCTION("""COMPUTED_VALUE"""),1.612)</f>
        <v>1.612</v>
      </c>
      <c r="H41" s="132">
        <f>IFERROR(__xludf.DUMMYFUNCTION("""COMPUTED_VALUE"""),1.0)</f>
        <v>1</v>
      </c>
      <c r="I41" s="132">
        <f>IFERROR(__xludf.DUMMYFUNCTION("""COMPUTED_VALUE"""),1.0)</f>
        <v>1</v>
      </c>
      <c r="J41" s="132">
        <f>IFERROR(__xludf.DUMMYFUNCTION("""COMPUTED_VALUE"""),1.0)</f>
        <v>1</v>
      </c>
      <c r="K41" s="132">
        <f>IFERROR(__xludf.DUMMYFUNCTION("""COMPUTED_VALUE"""),1.0)</f>
        <v>1</v>
      </c>
      <c r="L41" s="132"/>
      <c r="M41" s="132"/>
      <c r="N41" s="132">
        <f>IFERROR(__xludf.DUMMYFUNCTION("""COMPUTED_VALUE"""),1.0)</f>
        <v>1</v>
      </c>
      <c r="O41" s="132"/>
      <c r="P41" s="132"/>
      <c r="Q41" s="132"/>
      <c r="R41" s="132"/>
      <c r="S41" s="132">
        <f>IFERROR(__xludf.DUMMYFUNCTION("""COMPUTED_VALUE"""),3793.45)</f>
        <v>3793.45</v>
      </c>
      <c r="T41" s="132">
        <f>IFERROR(__xludf.DUMMYFUNCTION("""COMPUTED_VALUE"""),720.0)</f>
        <v>720</v>
      </c>
      <c r="U41" s="132"/>
      <c r="V41" s="132"/>
      <c r="W41" s="132"/>
      <c r="X41" s="132"/>
      <c r="Y41" s="132"/>
      <c r="Z41" s="132"/>
    </row>
    <row r="42">
      <c r="A42" s="133">
        <f>IFERROR(__xludf.DUMMYFUNCTION("""COMPUTED_VALUE"""),45453.0)</f>
        <v>45453</v>
      </c>
      <c r="B42" s="132" t="str">
        <f>IFERROR(__xludf.DUMMYFUNCTION("""COMPUTED_VALUE"""),"Dai 3 Yuen")</f>
        <v>Dai 3 Yuen</v>
      </c>
      <c r="C42" s="132" t="str">
        <f>IFERROR(__xludf.DUMMYFUNCTION("""COMPUTED_VALUE"""),"食物")</f>
        <v>食物</v>
      </c>
      <c r="D42" s="132">
        <f>IFERROR(__xludf.DUMMYFUNCTION("""COMPUTED_VALUE"""),15.0)</f>
        <v>15</v>
      </c>
      <c r="E42" s="132" t="str">
        <f>IFERROR(__xludf.DUMMYFUNCTION("""COMPUTED_VALUE"""),"Timothy")</f>
        <v>Timothy</v>
      </c>
      <c r="F42" s="132">
        <f>IFERROR(__xludf.DUMMYFUNCTION("""COMPUTED_VALUE"""),15.0)</f>
        <v>15</v>
      </c>
      <c r="G42" s="132">
        <f>IFERROR(__xludf.DUMMYFUNCTION("""COMPUTED_VALUE"""),15.0)</f>
        <v>15</v>
      </c>
      <c r="H42" s="132"/>
      <c r="I42" s="132"/>
      <c r="J42" s="132">
        <f>IFERROR(__xludf.DUMMYFUNCTION("""COMPUTED_VALUE"""),1.0)</f>
        <v>1</v>
      </c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3">
        <f>IFERROR(__xludf.DUMMYFUNCTION("""COMPUTED_VALUE"""),45454.0)</f>
        <v>45454</v>
      </c>
      <c r="B43" s="132" t="str">
        <f>IFERROR(__xludf.DUMMYFUNCTION("""COMPUTED_VALUE"""),"Foody")</f>
        <v>Foody</v>
      </c>
      <c r="C43" s="132" t="str">
        <f>IFERROR(__xludf.DUMMYFUNCTION("""COMPUTED_VALUE"""),"食物")</f>
        <v>食物</v>
      </c>
      <c r="D43" s="132">
        <f>IFERROR(__xludf.DUMMYFUNCTION("""COMPUTED_VALUE"""),29.41)</f>
        <v>29.41</v>
      </c>
      <c r="E43" s="132" t="str">
        <f>IFERROR(__xludf.DUMMYFUNCTION("""COMPUTED_VALUE"""),"Pigskin")</f>
        <v>Pigskin</v>
      </c>
      <c r="F43" s="132">
        <f>IFERROR(__xludf.DUMMYFUNCTION("""COMPUTED_VALUE"""),5.882)</f>
        <v>5.882</v>
      </c>
      <c r="G43" s="132">
        <f>IFERROR(__xludf.DUMMYFUNCTION("""COMPUTED_VALUE"""),5.882)</f>
        <v>5.882</v>
      </c>
      <c r="H43" s="132">
        <f>IFERROR(__xludf.DUMMYFUNCTION("""COMPUTED_VALUE"""),1.0)</f>
        <v>1</v>
      </c>
      <c r="I43" s="132">
        <f>IFERROR(__xludf.DUMMYFUNCTION("""COMPUTED_VALUE"""),1.0)</f>
        <v>1</v>
      </c>
      <c r="J43" s="132">
        <f>IFERROR(__xludf.DUMMYFUNCTION("""COMPUTED_VALUE"""),1.0)</f>
        <v>1</v>
      </c>
      <c r="K43" s="132">
        <f>IFERROR(__xludf.DUMMYFUNCTION("""COMPUTED_VALUE"""),1.0)</f>
        <v>1</v>
      </c>
      <c r="L43" s="132"/>
      <c r="M43" s="132"/>
      <c r="N43" s="132">
        <f>IFERROR(__xludf.DUMMYFUNCTION("""COMPUTED_VALUE"""),1.0)</f>
        <v>1</v>
      </c>
      <c r="O43" s="132"/>
      <c r="P43" s="132"/>
      <c r="Q43" s="134">
        <f>IFERROR(__xludf.DUMMYFUNCTION("""COMPUTED_VALUE"""),45261.0)</f>
        <v>45261</v>
      </c>
      <c r="R43" s="132" t="str">
        <f>IFERROR(__xludf.DUMMYFUNCTION("""COMPUTED_VALUE"""),"Rent")</f>
        <v>Rent</v>
      </c>
      <c r="S43" s="132">
        <f>IFERROR(__xludf.DUMMYFUNCTION("""COMPUTED_VALUE"""),3600.0)</f>
        <v>3600</v>
      </c>
      <c r="T43" s="132">
        <f>IFERROR(__xludf.DUMMYFUNCTION("""COMPUTED_VALUE"""),720.0)</f>
        <v>720</v>
      </c>
      <c r="U43" s="132" t="str">
        <f>IFERROR(__xludf.DUMMYFUNCTION("""COMPUTED_VALUE"""),"Paid")</f>
        <v>Paid</v>
      </c>
      <c r="V43" s="132" t="str">
        <f>IFERROR(__xludf.DUMMYFUNCTION("""COMPUTED_VALUE"""),"Paid")</f>
        <v>Paid</v>
      </c>
      <c r="W43" s="132" t="str">
        <f>IFERROR(__xludf.DUMMYFUNCTION("""COMPUTED_VALUE"""),"Paid")</f>
        <v>Paid</v>
      </c>
      <c r="X43" s="132" t="str">
        <f>IFERROR(__xludf.DUMMYFUNCTION("""COMPUTED_VALUE"""),"Paid")</f>
        <v>Paid</v>
      </c>
      <c r="Y43" s="132" t="str">
        <f>IFERROR(__xludf.DUMMYFUNCTION("""COMPUTED_VALUE"""),"Paid")</f>
        <v>Paid</v>
      </c>
      <c r="Z43" s="132"/>
    </row>
    <row r="44">
      <c r="A44" s="133">
        <f>IFERROR(__xludf.DUMMYFUNCTION("""COMPUTED_VALUE"""),45455.0)</f>
        <v>45455</v>
      </c>
      <c r="B44" s="132" t="str">
        <f>IFERROR(__xludf.DUMMYFUNCTION("""COMPUTED_VALUE"""),"Tnt")</f>
        <v>Tnt</v>
      </c>
      <c r="C44" s="132" t="str">
        <f>IFERROR(__xludf.DUMMYFUNCTION("""COMPUTED_VALUE"""),"食物")</f>
        <v>食物</v>
      </c>
      <c r="D44" s="132">
        <f>IFERROR(__xludf.DUMMYFUNCTION("""COMPUTED_VALUE"""),35.7)</f>
        <v>35.7</v>
      </c>
      <c r="E44" s="132" t="str">
        <f>IFERROR(__xludf.DUMMYFUNCTION("""COMPUTED_VALUE"""),"Pigskin")</f>
        <v>Pigskin</v>
      </c>
      <c r="F44" s="132">
        <f>IFERROR(__xludf.DUMMYFUNCTION("""COMPUTED_VALUE"""),7.140000000000001)</f>
        <v>7.14</v>
      </c>
      <c r="G44" s="132">
        <f>IFERROR(__xludf.DUMMYFUNCTION("""COMPUTED_VALUE"""),7.140000000000001)</f>
        <v>7.14</v>
      </c>
      <c r="H44" s="132">
        <f>IFERROR(__xludf.DUMMYFUNCTION("""COMPUTED_VALUE"""),1.0)</f>
        <v>1</v>
      </c>
      <c r="I44" s="132">
        <f>IFERROR(__xludf.DUMMYFUNCTION("""COMPUTED_VALUE"""),1.0)</f>
        <v>1</v>
      </c>
      <c r="J44" s="132">
        <f>IFERROR(__xludf.DUMMYFUNCTION("""COMPUTED_VALUE"""),1.0)</f>
        <v>1</v>
      </c>
      <c r="K44" s="132">
        <f>IFERROR(__xludf.DUMMYFUNCTION("""COMPUTED_VALUE"""),1.0)</f>
        <v>1</v>
      </c>
      <c r="L44" s="132"/>
      <c r="M44" s="132"/>
      <c r="N44" s="132">
        <f>IFERROR(__xludf.DUMMYFUNCTION("""COMPUTED_VALUE"""),1.0)</f>
        <v>1</v>
      </c>
      <c r="O44" s="132"/>
      <c r="P44" s="132"/>
      <c r="Q44" s="132"/>
      <c r="R44" s="132" t="str">
        <f>IFERROR(__xludf.DUMMYFUNCTION("""COMPUTED_VALUE"""),"Water")</f>
        <v>Water</v>
      </c>
      <c r="S44" s="132">
        <f>IFERROR(__xludf.DUMMYFUNCTION("""COMPUTED_VALUE"""),284.24)</f>
        <v>284.24</v>
      </c>
      <c r="T44" s="132">
        <f>IFERROR(__xludf.DUMMYFUNCTION("""COMPUTED_VALUE"""),56.848)</f>
        <v>56.848</v>
      </c>
      <c r="U44" s="132" t="str">
        <f>IFERROR(__xludf.DUMMYFUNCTION("""COMPUTED_VALUE"""),"Paid")</f>
        <v>Paid</v>
      </c>
      <c r="V44" s="132" t="str">
        <f>IFERROR(__xludf.DUMMYFUNCTION("""COMPUTED_VALUE"""),"Paid")</f>
        <v>Paid</v>
      </c>
      <c r="W44" s="132" t="str">
        <f>IFERROR(__xludf.DUMMYFUNCTION("""COMPUTED_VALUE"""),"Paid")</f>
        <v>Paid</v>
      </c>
      <c r="X44" s="132" t="str">
        <f>IFERROR(__xludf.DUMMYFUNCTION("""COMPUTED_VALUE"""),"Paid")</f>
        <v>Paid</v>
      </c>
      <c r="Y44" s="132" t="str">
        <f>IFERROR(__xludf.DUMMYFUNCTION("""COMPUTED_VALUE"""),"Paid")</f>
        <v>Paid</v>
      </c>
      <c r="Z44" s="132"/>
    </row>
    <row r="45">
      <c r="A45" s="133">
        <f>IFERROR(__xludf.DUMMYFUNCTION("""COMPUTED_VALUE"""),45455.0)</f>
        <v>45455</v>
      </c>
      <c r="B45" s="132" t="str">
        <f>IFERROR(__xludf.DUMMYFUNCTION("""COMPUTED_VALUE"""),"Costco")</f>
        <v>Costco</v>
      </c>
      <c r="C45" s="132" t="str">
        <f>IFERROR(__xludf.DUMMYFUNCTION("""COMPUTED_VALUE"""),"食物")</f>
        <v>食物</v>
      </c>
      <c r="D45" s="132">
        <f>IFERROR(__xludf.DUMMYFUNCTION("""COMPUTED_VALUE"""),22.38)</f>
        <v>22.38</v>
      </c>
      <c r="E45" s="132" t="str">
        <f>IFERROR(__xludf.DUMMYFUNCTION("""COMPUTED_VALUE"""),"BL")</f>
        <v>BL</v>
      </c>
      <c r="F45" s="132">
        <f>IFERROR(__xludf.DUMMYFUNCTION("""COMPUTED_VALUE"""),22.38)</f>
        <v>22.38</v>
      </c>
      <c r="G45" s="132">
        <f>IFERROR(__xludf.DUMMYFUNCTION("""COMPUTED_VALUE"""),22.38)</f>
        <v>22.38</v>
      </c>
      <c r="H45" s="132"/>
      <c r="I45" s="132"/>
      <c r="J45" s="132"/>
      <c r="K45" s="132"/>
      <c r="L45" s="132"/>
      <c r="M45" s="132">
        <f>IFERROR(__xludf.DUMMYFUNCTION("""COMPUTED_VALUE"""),1.0)</f>
        <v>1</v>
      </c>
      <c r="N45" s="132"/>
      <c r="O45" s="132"/>
      <c r="P45" s="132"/>
      <c r="Q45" s="132"/>
      <c r="R45" s="132" t="str">
        <f>IFERROR(__xludf.DUMMYFUNCTION("""COMPUTED_VALUE"""),"Heat(17/11-14/12)")</f>
        <v>Heat(17/11-14/12)</v>
      </c>
      <c r="S45" s="132">
        <f>IFERROR(__xludf.DUMMYFUNCTION("""COMPUTED_VALUE"""),149.7)</f>
        <v>149.7</v>
      </c>
      <c r="T45" s="132">
        <f>IFERROR(__xludf.DUMMYFUNCTION("""COMPUTED_VALUE"""),29.939999999999998)</f>
        <v>29.94</v>
      </c>
      <c r="U45" s="132" t="str">
        <f>IFERROR(__xludf.DUMMYFUNCTION("""COMPUTED_VALUE"""),"Paid")</f>
        <v>Paid</v>
      </c>
      <c r="V45" s="132" t="str">
        <f>IFERROR(__xludf.DUMMYFUNCTION("""COMPUTED_VALUE"""),"Paid")</f>
        <v>Paid</v>
      </c>
      <c r="W45" s="132" t="str">
        <f>IFERROR(__xludf.DUMMYFUNCTION("""COMPUTED_VALUE"""),"Paid")</f>
        <v>Paid</v>
      </c>
      <c r="X45" s="132" t="str">
        <f>IFERROR(__xludf.DUMMYFUNCTION("""COMPUTED_VALUE"""),"Paid")</f>
        <v>Paid</v>
      </c>
      <c r="Y45" s="132" t="str">
        <f>IFERROR(__xludf.DUMMYFUNCTION("""COMPUTED_VALUE"""),"Paid")</f>
        <v>Paid</v>
      </c>
      <c r="Z45" s="132"/>
    </row>
    <row r="46">
      <c r="A46" s="136">
        <f>IFERROR(__xludf.DUMMYFUNCTION("""COMPUTED_VALUE"""),45455.0)</f>
        <v>45455</v>
      </c>
      <c r="B46" s="132" t="str">
        <f>IFERROR(__xludf.DUMMYFUNCTION("""COMPUTED_VALUE"""),"yogurt")</f>
        <v>yogurt</v>
      </c>
      <c r="C46" s="132" t="str">
        <f>IFERROR(__xludf.DUMMYFUNCTION("""COMPUTED_VALUE"""),"食物")</f>
        <v>食物</v>
      </c>
      <c r="D46" s="132">
        <f>IFERROR(__xludf.DUMMYFUNCTION("""COMPUTED_VALUE"""),12.99)</f>
        <v>12.99</v>
      </c>
      <c r="E46" s="132" t="str">
        <f>IFERROR(__xludf.DUMMYFUNCTION("""COMPUTED_VALUE"""),"BL")</f>
        <v>BL</v>
      </c>
      <c r="F46" s="132">
        <f>IFERROR(__xludf.DUMMYFUNCTION("""COMPUTED_VALUE"""),12.99)</f>
        <v>12.99</v>
      </c>
      <c r="G46" s="132">
        <f>IFERROR(__xludf.DUMMYFUNCTION("""COMPUTED_VALUE"""),12.99)</f>
        <v>12.99</v>
      </c>
      <c r="H46" s="132"/>
      <c r="I46" s="132"/>
      <c r="J46" s="132">
        <f>IFERROR(__xludf.DUMMYFUNCTION("""COMPUTED_VALUE"""),1.0)</f>
        <v>1</v>
      </c>
      <c r="K46" s="132"/>
      <c r="L46" s="132"/>
      <c r="M46" s="132"/>
      <c r="N46" s="132"/>
      <c r="O46" s="132"/>
      <c r="P46" s="132"/>
      <c r="Q46" s="132"/>
      <c r="R46" s="132" t="str">
        <f>IFERROR(__xludf.DUMMYFUNCTION("""COMPUTED_VALUE"""),"Electricity")</f>
        <v>Electricity</v>
      </c>
      <c r="S46" s="132">
        <f>IFERROR(__xludf.DUMMYFUNCTION("""COMPUTED_VALUE"""),107.46)</f>
        <v>107.46</v>
      </c>
      <c r="T46" s="132">
        <f>IFERROR(__xludf.DUMMYFUNCTION("""COMPUTED_VALUE"""),21.491999999999997)</f>
        <v>21.492</v>
      </c>
      <c r="U46" s="132" t="str">
        <f>IFERROR(__xludf.DUMMYFUNCTION("""COMPUTED_VALUE"""),"Paid")</f>
        <v>Paid</v>
      </c>
      <c r="V46" s="132" t="str">
        <f>IFERROR(__xludf.DUMMYFUNCTION("""COMPUTED_VALUE"""),"Paid")</f>
        <v>Paid</v>
      </c>
      <c r="W46" s="132" t="str">
        <f>IFERROR(__xludf.DUMMYFUNCTION("""COMPUTED_VALUE"""),"Paid")</f>
        <v>Paid</v>
      </c>
      <c r="X46" s="132" t="str">
        <f>IFERROR(__xludf.DUMMYFUNCTION("""COMPUTED_VALUE"""),"Paid")</f>
        <v>Paid</v>
      </c>
      <c r="Y46" s="132" t="str">
        <f>IFERROR(__xludf.DUMMYFUNCTION("""COMPUTED_VALUE"""),"Paid")</f>
        <v>Paid</v>
      </c>
      <c r="Z46" s="132"/>
    </row>
    <row r="47">
      <c r="A47" s="133">
        <f>IFERROR(__xludf.DUMMYFUNCTION("""COMPUTED_VALUE"""),45455.0)</f>
        <v>45455</v>
      </c>
      <c r="B47" s="132" t="str">
        <f>IFERROR(__xludf.DUMMYFUNCTION("""COMPUTED_VALUE"""),"Systane")</f>
        <v>Systane</v>
      </c>
      <c r="C47" s="132" t="str">
        <f>IFERROR(__xludf.DUMMYFUNCTION("""COMPUTED_VALUE"""),"醫藥")</f>
        <v>醫藥</v>
      </c>
      <c r="D47" s="132">
        <f>IFERROR(__xludf.DUMMYFUNCTION("""COMPUTED_VALUE"""),27.108699999999995)</f>
        <v>27.1087</v>
      </c>
      <c r="E47" s="132" t="str">
        <f>IFERROR(__xludf.DUMMYFUNCTION("""COMPUTED_VALUE"""),"BL")</f>
        <v>BL</v>
      </c>
      <c r="F47" s="132">
        <f>IFERROR(__xludf.DUMMYFUNCTION("""COMPUTED_VALUE"""),27.108699999999995)</f>
        <v>27.1087</v>
      </c>
      <c r="G47" s="132">
        <f>IFERROR(__xludf.DUMMYFUNCTION("""COMPUTED_VALUE"""),27.108699999999995)</f>
        <v>27.1087</v>
      </c>
      <c r="H47" s="132"/>
      <c r="I47" s="132"/>
      <c r="J47" s="132">
        <f>IFERROR(__xludf.DUMMYFUNCTION("""COMPUTED_VALUE"""),1.0)</f>
        <v>1</v>
      </c>
      <c r="K47" s="132"/>
      <c r="L47" s="132"/>
      <c r="M47" s="132"/>
      <c r="N47" s="132"/>
      <c r="O47" s="132"/>
      <c r="P47" s="132"/>
      <c r="Q47" s="132"/>
      <c r="R47" s="132" t="str">
        <f>IFERROR(__xludf.DUMMYFUNCTION("""COMPUTED_VALUE"""),"Internet")</f>
        <v>Internet</v>
      </c>
      <c r="S47" s="132">
        <f>IFERROR(__xludf.DUMMYFUNCTION("""COMPUTED_VALUE"""),56.5)</f>
        <v>56.5</v>
      </c>
      <c r="T47" s="132">
        <f>IFERROR(__xludf.DUMMYFUNCTION("""COMPUTED_VALUE"""),11.3)</f>
        <v>11.3</v>
      </c>
      <c r="U47" s="132" t="str">
        <f>IFERROR(__xludf.DUMMYFUNCTION("""COMPUTED_VALUE"""),"Paid")</f>
        <v>Paid</v>
      </c>
      <c r="V47" s="132" t="str">
        <f>IFERROR(__xludf.DUMMYFUNCTION("""COMPUTED_VALUE"""),"Paid")</f>
        <v>Paid</v>
      </c>
      <c r="W47" s="132" t="str">
        <f>IFERROR(__xludf.DUMMYFUNCTION("""COMPUTED_VALUE"""),"Paid")</f>
        <v>Paid</v>
      </c>
      <c r="X47" s="132" t="str">
        <f>IFERROR(__xludf.DUMMYFUNCTION("""COMPUTED_VALUE"""),"Paid")</f>
        <v>Paid</v>
      </c>
      <c r="Y47" s="132" t="str">
        <f>IFERROR(__xludf.DUMMYFUNCTION("""COMPUTED_VALUE"""),"Paid")</f>
        <v>Paid</v>
      </c>
      <c r="Z47" s="132"/>
    </row>
    <row r="48">
      <c r="A48" s="133">
        <f>IFERROR(__xludf.DUMMYFUNCTION("""COMPUTED_VALUE"""),45455.0)</f>
        <v>45455</v>
      </c>
      <c r="B48" s="132" t="str">
        <f>IFERROR(__xludf.DUMMYFUNCTION("""COMPUTED_VALUE"""),"Kan Jam")</f>
        <v>Kan Jam</v>
      </c>
      <c r="C48" s="132" t="str">
        <f>IFERROR(__xludf.DUMMYFUNCTION("""COMPUTED_VALUE"""),"娛樂")</f>
        <v>娛樂</v>
      </c>
      <c r="D48" s="132">
        <f>IFERROR(__xludf.DUMMYFUNCTION("""COMPUTED_VALUE"""),33.88869999999999)</f>
        <v>33.8887</v>
      </c>
      <c r="E48" s="132" t="str">
        <f>IFERROR(__xludf.DUMMYFUNCTION("""COMPUTED_VALUE"""),"BL")</f>
        <v>BL</v>
      </c>
      <c r="F48" s="132">
        <f>IFERROR(__xludf.DUMMYFUNCTION("""COMPUTED_VALUE"""),33.88869999999999)</f>
        <v>33.8887</v>
      </c>
      <c r="G48" s="132">
        <f>IFERROR(__xludf.DUMMYFUNCTION("""COMPUTED_VALUE"""),33.88869999999999)</f>
        <v>33.8887</v>
      </c>
      <c r="H48" s="132"/>
      <c r="I48" s="132"/>
      <c r="J48" s="132">
        <f>IFERROR(__xludf.DUMMYFUNCTION("""COMPUTED_VALUE"""),1.0)</f>
        <v>1</v>
      </c>
      <c r="K48" s="132"/>
      <c r="L48" s="132"/>
      <c r="M48" s="132"/>
      <c r="N48" s="132"/>
      <c r="O48" s="132"/>
      <c r="P48" s="132"/>
      <c r="Q48" s="132"/>
      <c r="R48" s="132"/>
      <c r="S48" s="132">
        <f>IFERROR(__xludf.DUMMYFUNCTION("""COMPUTED_VALUE"""),4197.9)</f>
        <v>4197.9</v>
      </c>
      <c r="T48" s="132">
        <f>IFERROR(__xludf.DUMMYFUNCTION("""COMPUTED_VALUE"""),839.5799999999999)</f>
        <v>839.58</v>
      </c>
      <c r="U48" s="132"/>
      <c r="V48" s="132"/>
      <c r="W48" s="132"/>
      <c r="X48" s="132"/>
      <c r="Y48" s="132"/>
      <c r="Z48" s="132"/>
    </row>
    <row r="49">
      <c r="A49" s="133">
        <f>IFERROR(__xludf.DUMMYFUNCTION("""COMPUTED_VALUE"""),45455.0)</f>
        <v>45455</v>
      </c>
      <c r="B49" s="132" t="str">
        <f>IFERROR(__xludf.DUMMYFUNCTION("""COMPUTED_VALUE"""),"Coke")</f>
        <v>Coke</v>
      </c>
      <c r="C49" s="132" t="str">
        <f>IFERROR(__xludf.DUMMYFUNCTION("""COMPUTED_VALUE"""),"飲品")</f>
        <v>飲品</v>
      </c>
      <c r="D49" s="132">
        <f>IFERROR(__xludf.DUMMYFUNCTION("""COMPUTED_VALUE"""),17.277699999999996)</f>
        <v>17.2777</v>
      </c>
      <c r="E49" s="132" t="str">
        <f>IFERROR(__xludf.DUMMYFUNCTION("""COMPUTED_VALUE"""),"BL")</f>
        <v>BL</v>
      </c>
      <c r="F49" s="132">
        <f>IFERROR(__xludf.DUMMYFUNCTION("""COMPUTED_VALUE"""),3.455539999999999)</f>
        <v>3.45554</v>
      </c>
      <c r="G49" s="132">
        <f>IFERROR(__xludf.DUMMYFUNCTION("""COMPUTED_VALUE"""),3.455539999999999)</f>
        <v>3.45554</v>
      </c>
      <c r="H49" s="132">
        <f>IFERROR(__xludf.DUMMYFUNCTION("""COMPUTED_VALUE"""),1.0)</f>
        <v>1</v>
      </c>
      <c r="I49" s="132">
        <f>IFERROR(__xludf.DUMMYFUNCTION("""COMPUTED_VALUE"""),1.0)</f>
        <v>1</v>
      </c>
      <c r="J49" s="132">
        <f>IFERROR(__xludf.DUMMYFUNCTION("""COMPUTED_VALUE"""),1.0)</f>
        <v>1</v>
      </c>
      <c r="K49" s="132">
        <f>IFERROR(__xludf.DUMMYFUNCTION("""COMPUTED_VALUE"""),1.0)</f>
        <v>1</v>
      </c>
      <c r="L49" s="132"/>
      <c r="M49" s="132"/>
      <c r="N49" s="132">
        <f>IFERROR(__xludf.DUMMYFUNCTION("""COMPUTED_VALUE"""),1.0)</f>
        <v>1</v>
      </c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>
      <c r="A50" s="133">
        <f>IFERROR(__xludf.DUMMYFUNCTION("""COMPUTED_VALUE"""),45455.0)</f>
        <v>45455</v>
      </c>
      <c r="B50" s="132" t="str">
        <f>IFERROR(__xludf.DUMMYFUNCTION("""COMPUTED_VALUE"""),"Tissue")</f>
        <v>Tissue</v>
      </c>
      <c r="C50" s="132" t="str">
        <f>IFERROR(__xludf.DUMMYFUNCTION("""COMPUTED_VALUE"""),"居家")</f>
        <v>居家</v>
      </c>
      <c r="D50" s="132">
        <f>IFERROR(__xludf.DUMMYFUNCTION("""COMPUTED_VALUE"""),24.283699999999996)</f>
        <v>24.2837</v>
      </c>
      <c r="E50" s="132" t="str">
        <f>IFERROR(__xludf.DUMMYFUNCTION("""COMPUTED_VALUE"""),"BL")</f>
        <v>BL</v>
      </c>
      <c r="F50" s="132">
        <f>IFERROR(__xludf.DUMMYFUNCTION("""COMPUTED_VALUE"""),4.856739999999999)</f>
        <v>4.85674</v>
      </c>
      <c r="G50" s="132">
        <f>IFERROR(__xludf.DUMMYFUNCTION("""COMPUTED_VALUE"""),4.856739999999999)</f>
        <v>4.85674</v>
      </c>
      <c r="H50" s="132">
        <f>IFERROR(__xludf.DUMMYFUNCTION("""COMPUTED_VALUE"""),1.0)</f>
        <v>1</v>
      </c>
      <c r="I50" s="132">
        <f>IFERROR(__xludf.DUMMYFUNCTION("""COMPUTED_VALUE"""),1.0)</f>
        <v>1</v>
      </c>
      <c r="J50" s="132">
        <f>IFERROR(__xludf.DUMMYFUNCTION("""COMPUTED_VALUE"""),1.0)</f>
        <v>1</v>
      </c>
      <c r="K50" s="132">
        <f>IFERROR(__xludf.DUMMYFUNCTION("""COMPUTED_VALUE"""),1.0)</f>
        <v>1</v>
      </c>
      <c r="L50" s="132"/>
      <c r="M50" s="132"/>
      <c r="N50" s="132">
        <f>IFERROR(__xludf.DUMMYFUNCTION("""COMPUTED_VALUE"""),1.0)</f>
        <v>1</v>
      </c>
      <c r="O50" s="132"/>
      <c r="P50" s="132"/>
      <c r="Q50" s="134">
        <f>IFERROR(__xludf.DUMMYFUNCTION("""COMPUTED_VALUE"""),45292.0)</f>
        <v>45292</v>
      </c>
      <c r="R50" s="132" t="str">
        <f>IFERROR(__xludf.DUMMYFUNCTION("""COMPUTED_VALUE"""),"Rent")</f>
        <v>Rent</v>
      </c>
      <c r="S50" s="132">
        <f>IFERROR(__xludf.DUMMYFUNCTION("""COMPUTED_VALUE"""),3600.0)</f>
        <v>3600</v>
      </c>
      <c r="T50" s="132">
        <f>IFERROR(__xludf.DUMMYFUNCTION("""COMPUTED_VALUE"""),720.0)</f>
        <v>720</v>
      </c>
      <c r="U50" s="132" t="str">
        <f>IFERROR(__xludf.DUMMYFUNCTION("""COMPUTED_VALUE"""),"Paid")</f>
        <v>Paid</v>
      </c>
      <c r="V50" s="132" t="str">
        <f>IFERROR(__xludf.DUMMYFUNCTION("""COMPUTED_VALUE"""),"Paid")</f>
        <v>Paid</v>
      </c>
      <c r="W50" s="132" t="str">
        <f>IFERROR(__xludf.DUMMYFUNCTION("""COMPUTED_VALUE"""),"Paid")</f>
        <v>Paid</v>
      </c>
      <c r="X50" s="132" t="str">
        <f>IFERROR(__xludf.DUMMYFUNCTION("""COMPUTED_VALUE"""),"Paid")</f>
        <v>Paid</v>
      </c>
      <c r="Y50" s="132" t="str">
        <f>IFERROR(__xludf.DUMMYFUNCTION("""COMPUTED_VALUE"""),"Paid")</f>
        <v>Paid</v>
      </c>
      <c r="Z50" s="132"/>
    </row>
    <row r="51">
      <c r="A51" s="133">
        <f>IFERROR(__xludf.DUMMYFUNCTION("""COMPUTED_VALUE"""),45456.0)</f>
        <v>45456</v>
      </c>
      <c r="B51" s="132" t="str">
        <f>IFERROR(__xludf.DUMMYFUNCTION("""COMPUTED_VALUE"""),"Foody")</f>
        <v>Foody</v>
      </c>
      <c r="C51" s="132" t="str">
        <f>IFERROR(__xludf.DUMMYFUNCTION("""COMPUTED_VALUE"""),"食物")</f>
        <v>食物</v>
      </c>
      <c r="D51" s="132">
        <f>IFERROR(__xludf.DUMMYFUNCTION("""COMPUTED_VALUE"""),39.84)</f>
        <v>39.84</v>
      </c>
      <c r="E51" s="132" t="str">
        <f>IFERROR(__xludf.DUMMYFUNCTION("""COMPUTED_VALUE"""),"Pigskin")</f>
        <v>Pigskin</v>
      </c>
      <c r="F51" s="132">
        <f>IFERROR(__xludf.DUMMYFUNCTION("""COMPUTED_VALUE"""),6.640000000000001)</f>
        <v>6.64</v>
      </c>
      <c r="G51" s="132">
        <f>IFERROR(__xludf.DUMMYFUNCTION("""COMPUTED_VALUE"""),6.640000000000001)</f>
        <v>6.64</v>
      </c>
      <c r="H51" s="132">
        <f>IFERROR(__xludf.DUMMYFUNCTION("""COMPUTED_VALUE"""),1.0)</f>
        <v>1</v>
      </c>
      <c r="I51" s="132">
        <f>IFERROR(__xludf.DUMMYFUNCTION("""COMPUTED_VALUE"""),1.0)</f>
        <v>1</v>
      </c>
      <c r="J51" s="132">
        <f>IFERROR(__xludf.DUMMYFUNCTION("""COMPUTED_VALUE"""),1.0)</f>
        <v>1</v>
      </c>
      <c r="K51" s="132">
        <f>IFERROR(__xludf.DUMMYFUNCTION("""COMPUTED_VALUE"""),1.0)</f>
        <v>1</v>
      </c>
      <c r="L51" s="132"/>
      <c r="M51" s="132">
        <f>IFERROR(__xludf.DUMMYFUNCTION("""COMPUTED_VALUE"""),1.0)</f>
        <v>1</v>
      </c>
      <c r="N51" s="132">
        <f>IFERROR(__xludf.DUMMYFUNCTION("""COMPUTED_VALUE"""),1.0)</f>
        <v>1</v>
      </c>
      <c r="O51" s="132"/>
      <c r="P51" s="132"/>
      <c r="Q51" s="132"/>
      <c r="R51" s="132" t="str">
        <f>IFERROR(__xludf.DUMMYFUNCTION("""COMPUTED_VALUE"""),"Water")</f>
        <v>Water</v>
      </c>
      <c r="S51" s="132"/>
      <c r="T51" s="132"/>
      <c r="U51" s="132"/>
      <c r="V51" s="132"/>
      <c r="W51" s="132"/>
      <c r="X51" s="132"/>
      <c r="Y51" s="132"/>
      <c r="Z51" s="132"/>
    </row>
    <row r="52">
      <c r="A52" s="133">
        <f>IFERROR(__xludf.DUMMYFUNCTION("""COMPUTED_VALUE"""),45457.0)</f>
        <v>45457</v>
      </c>
      <c r="B52" s="132" t="str">
        <f>IFERROR(__xludf.DUMMYFUNCTION("""COMPUTED_VALUE"""),"Nofrills")</f>
        <v>Nofrills</v>
      </c>
      <c r="C52" s="132" t="str">
        <f>IFERROR(__xludf.DUMMYFUNCTION("""COMPUTED_VALUE"""),"食物")</f>
        <v>食物</v>
      </c>
      <c r="D52" s="132">
        <f>IFERROR(__xludf.DUMMYFUNCTION("""COMPUTED_VALUE"""),30.92)</f>
        <v>30.92</v>
      </c>
      <c r="E52" s="132" t="str">
        <f>IFERROR(__xludf.DUMMYFUNCTION("""COMPUTED_VALUE"""),"BL")</f>
        <v>BL</v>
      </c>
      <c r="F52" s="132">
        <f>IFERROR(__xludf.DUMMYFUNCTION("""COMPUTED_VALUE"""),6.184)</f>
        <v>6.184</v>
      </c>
      <c r="G52" s="132">
        <f>IFERROR(__xludf.DUMMYFUNCTION("""COMPUTED_VALUE"""),6.184)</f>
        <v>6.184</v>
      </c>
      <c r="H52" s="132">
        <f>IFERROR(__xludf.DUMMYFUNCTION("""COMPUTED_VALUE"""),1.0)</f>
        <v>1</v>
      </c>
      <c r="I52" s="132">
        <f>IFERROR(__xludf.DUMMYFUNCTION("""COMPUTED_VALUE"""),1.0)</f>
        <v>1</v>
      </c>
      <c r="J52" s="132">
        <f>IFERROR(__xludf.DUMMYFUNCTION("""COMPUTED_VALUE"""),1.0)</f>
        <v>1</v>
      </c>
      <c r="K52" s="132">
        <f>IFERROR(__xludf.DUMMYFUNCTION("""COMPUTED_VALUE"""),1.0)</f>
        <v>1</v>
      </c>
      <c r="L52" s="132"/>
      <c r="M52" s="132"/>
      <c r="N52" s="132">
        <f>IFERROR(__xludf.DUMMYFUNCTION("""COMPUTED_VALUE"""),1.0)</f>
        <v>1</v>
      </c>
      <c r="O52" s="132"/>
      <c r="P52" s="132"/>
      <c r="Q52" s="132"/>
      <c r="R52" s="132" t="str">
        <f>IFERROR(__xludf.DUMMYFUNCTION("""COMPUTED_VALUE"""),"Heat")</f>
        <v>Heat</v>
      </c>
      <c r="S52" s="132">
        <f>IFERROR(__xludf.DUMMYFUNCTION("""COMPUTED_VALUE"""),210.09)</f>
        <v>210.09</v>
      </c>
      <c r="T52" s="132">
        <f>IFERROR(__xludf.DUMMYFUNCTION("""COMPUTED_VALUE"""),42.018)</f>
        <v>42.018</v>
      </c>
      <c r="U52" s="132" t="str">
        <f>IFERROR(__xludf.DUMMYFUNCTION("""COMPUTED_VALUE"""),"Paid")</f>
        <v>Paid</v>
      </c>
      <c r="V52" s="132" t="str">
        <f>IFERROR(__xludf.DUMMYFUNCTION("""COMPUTED_VALUE"""),"Paid")</f>
        <v>Paid</v>
      </c>
      <c r="W52" s="132" t="str">
        <f>IFERROR(__xludf.DUMMYFUNCTION("""COMPUTED_VALUE"""),"Paid")</f>
        <v>Paid</v>
      </c>
      <c r="X52" s="132" t="str">
        <f>IFERROR(__xludf.DUMMYFUNCTION("""COMPUTED_VALUE"""),"Paid")</f>
        <v>Paid</v>
      </c>
      <c r="Y52" s="132" t="str">
        <f>IFERROR(__xludf.DUMMYFUNCTION("""COMPUTED_VALUE"""),"Paid")</f>
        <v>Paid</v>
      </c>
      <c r="Z52" s="132"/>
    </row>
    <row r="53">
      <c r="A53" s="133">
        <f>IFERROR(__xludf.DUMMYFUNCTION("""COMPUTED_VALUE"""),45458.0)</f>
        <v>45458</v>
      </c>
      <c r="B53" s="132" t="str">
        <f>IFERROR(__xludf.DUMMYFUNCTION("""COMPUTED_VALUE"""),"Foody")</f>
        <v>Foody</v>
      </c>
      <c r="C53" s="132" t="str">
        <f>IFERROR(__xludf.DUMMYFUNCTION("""COMPUTED_VALUE"""),"食物")</f>
        <v>食物</v>
      </c>
      <c r="D53" s="132">
        <f>IFERROR(__xludf.DUMMYFUNCTION("""COMPUTED_VALUE"""),12.21)</f>
        <v>12.21</v>
      </c>
      <c r="E53" s="132" t="str">
        <f>IFERROR(__xludf.DUMMYFUNCTION("""COMPUTED_VALUE"""),"Timothy")</f>
        <v>Timothy</v>
      </c>
      <c r="F53" s="132">
        <f>IFERROR(__xludf.DUMMYFUNCTION("""COMPUTED_VALUE"""),2.442)</f>
        <v>2.442</v>
      </c>
      <c r="G53" s="132">
        <f>IFERROR(__xludf.DUMMYFUNCTION("""COMPUTED_VALUE"""),2.442)</f>
        <v>2.442</v>
      </c>
      <c r="H53" s="132">
        <f>IFERROR(__xludf.DUMMYFUNCTION("""COMPUTED_VALUE"""),1.0)</f>
        <v>1</v>
      </c>
      <c r="I53" s="132">
        <f>IFERROR(__xludf.DUMMYFUNCTION("""COMPUTED_VALUE"""),1.0)</f>
        <v>1</v>
      </c>
      <c r="J53" s="132">
        <f>IFERROR(__xludf.DUMMYFUNCTION("""COMPUTED_VALUE"""),1.0)</f>
        <v>1</v>
      </c>
      <c r="K53" s="132">
        <f>IFERROR(__xludf.DUMMYFUNCTION("""COMPUTED_VALUE"""),1.0)</f>
        <v>1</v>
      </c>
      <c r="L53" s="132"/>
      <c r="M53" s="132"/>
      <c r="N53" s="132">
        <f>IFERROR(__xludf.DUMMYFUNCTION("""COMPUTED_VALUE"""),1.0)</f>
        <v>1</v>
      </c>
      <c r="O53" s="132"/>
      <c r="P53" s="132"/>
      <c r="Q53" s="132"/>
      <c r="R53" s="132" t="str">
        <f>IFERROR(__xludf.DUMMYFUNCTION("""COMPUTED_VALUE"""),"Electricity")</f>
        <v>Electricity</v>
      </c>
      <c r="S53" s="132">
        <f>IFERROR(__xludf.DUMMYFUNCTION("""COMPUTED_VALUE"""),111.7)</f>
        <v>111.7</v>
      </c>
      <c r="T53" s="132">
        <f>IFERROR(__xludf.DUMMYFUNCTION("""COMPUTED_VALUE"""),22.34)</f>
        <v>22.34</v>
      </c>
      <c r="U53" s="132" t="str">
        <f>IFERROR(__xludf.DUMMYFUNCTION("""COMPUTED_VALUE"""),"Paid")</f>
        <v>Paid</v>
      </c>
      <c r="V53" s="132" t="str">
        <f>IFERROR(__xludf.DUMMYFUNCTION("""COMPUTED_VALUE"""),"Paid")</f>
        <v>Paid</v>
      </c>
      <c r="W53" s="132" t="str">
        <f>IFERROR(__xludf.DUMMYFUNCTION("""COMPUTED_VALUE"""),"Paid")</f>
        <v>Paid</v>
      </c>
      <c r="X53" s="132" t="str">
        <f>IFERROR(__xludf.DUMMYFUNCTION("""COMPUTED_VALUE"""),"Paid")</f>
        <v>Paid</v>
      </c>
      <c r="Y53" s="132" t="str">
        <f>IFERROR(__xludf.DUMMYFUNCTION("""COMPUTED_VALUE"""),"Paid")</f>
        <v>Paid</v>
      </c>
      <c r="Z53" s="132"/>
    </row>
    <row r="54">
      <c r="A54" s="133">
        <f>IFERROR(__xludf.DUMMYFUNCTION("""COMPUTED_VALUE"""),45459.0)</f>
        <v>45459</v>
      </c>
      <c r="B54" s="132" t="str">
        <f>IFERROR(__xludf.DUMMYFUNCTION("""COMPUTED_VALUE"""),"Sam woo")</f>
        <v>Sam woo</v>
      </c>
      <c r="C54" s="132" t="str">
        <f>IFERROR(__xludf.DUMMYFUNCTION("""COMPUTED_VALUE"""),"食物")</f>
        <v>食物</v>
      </c>
      <c r="D54" s="132">
        <f>IFERROR(__xludf.DUMMYFUNCTION("""COMPUTED_VALUE"""),69.5)</f>
        <v>69.5</v>
      </c>
      <c r="E54" s="132" t="str">
        <f>IFERROR(__xludf.DUMMYFUNCTION("""COMPUTED_VALUE"""),"Timothy")</f>
        <v>Timothy</v>
      </c>
      <c r="F54" s="132">
        <f>IFERROR(__xludf.DUMMYFUNCTION("""COMPUTED_VALUE"""),13.9)</f>
        <v>13.9</v>
      </c>
      <c r="G54" s="132">
        <f>IFERROR(__xludf.DUMMYFUNCTION("""COMPUTED_VALUE"""),13.9)</f>
        <v>13.9</v>
      </c>
      <c r="H54" s="132">
        <f>IFERROR(__xludf.DUMMYFUNCTION("""COMPUTED_VALUE"""),1.0)</f>
        <v>1</v>
      </c>
      <c r="I54" s="132">
        <f>IFERROR(__xludf.DUMMYFUNCTION("""COMPUTED_VALUE"""),1.0)</f>
        <v>1</v>
      </c>
      <c r="J54" s="132">
        <f>IFERROR(__xludf.DUMMYFUNCTION("""COMPUTED_VALUE"""),1.0)</f>
        <v>1</v>
      </c>
      <c r="K54" s="132">
        <f>IFERROR(__xludf.DUMMYFUNCTION("""COMPUTED_VALUE"""),1.0)</f>
        <v>1</v>
      </c>
      <c r="L54" s="132"/>
      <c r="M54" s="132"/>
      <c r="N54" s="132">
        <f>IFERROR(__xludf.DUMMYFUNCTION("""COMPUTED_VALUE"""),1.0)</f>
        <v>1</v>
      </c>
      <c r="O54" s="132"/>
      <c r="P54" s="132"/>
      <c r="Q54" s="132"/>
      <c r="R54" s="132" t="str">
        <f>IFERROR(__xludf.DUMMYFUNCTION("""COMPUTED_VALUE"""),"Internet")</f>
        <v>Internet</v>
      </c>
      <c r="S54" s="132">
        <f>IFERROR(__xludf.DUMMYFUNCTION("""COMPUTED_VALUE"""),56.5)</f>
        <v>56.5</v>
      </c>
      <c r="T54" s="132">
        <f>IFERROR(__xludf.DUMMYFUNCTION("""COMPUTED_VALUE"""),11.3)</f>
        <v>11.3</v>
      </c>
      <c r="U54" s="132" t="str">
        <f>IFERROR(__xludf.DUMMYFUNCTION("""COMPUTED_VALUE"""),"Paid")</f>
        <v>Paid</v>
      </c>
      <c r="V54" s="132" t="str">
        <f>IFERROR(__xludf.DUMMYFUNCTION("""COMPUTED_VALUE"""),"Paid")</f>
        <v>Paid</v>
      </c>
      <c r="W54" s="132" t="str">
        <f>IFERROR(__xludf.DUMMYFUNCTION("""COMPUTED_VALUE"""),"Paid")</f>
        <v>Paid</v>
      </c>
      <c r="X54" s="132" t="str">
        <f>IFERROR(__xludf.DUMMYFUNCTION("""COMPUTED_VALUE"""),"Paid")</f>
        <v>Paid</v>
      </c>
      <c r="Y54" s="132" t="str">
        <f>IFERROR(__xludf.DUMMYFUNCTION("""COMPUTED_VALUE"""),"Paid")</f>
        <v>Paid</v>
      </c>
      <c r="Z54" s="132"/>
    </row>
    <row r="55">
      <c r="A55" s="136">
        <f>IFERROR(__xludf.DUMMYFUNCTION("""COMPUTED_VALUE"""),45459.0)</f>
        <v>45459</v>
      </c>
      <c r="B55" s="132" t="str">
        <f>IFERROR(__xludf.DUMMYFUNCTION("""COMPUTED_VALUE"""),"Food")</f>
        <v>Food</v>
      </c>
      <c r="C55" s="132" t="str">
        <f>IFERROR(__xludf.DUMMYFUNCTION("""COMPUTED_VALUE"""),"食物")</f>
        <v>食物</v>
      </c>
      <c r="D55" s="132">
        <f>IFERROR(__xludf.DUMMYFUNCTION("""COMPUTED_VALUE"""),38.6387)</f>
        <v>38.6387</v>
      </c>
      <c r="E55" s="132" t="str">
        <f>IFERROR(__xludf.DUMMYFUNCTION("""COMPUTED_VALUE"""),"BL")</f>
        <v>BL</v>
      </c>
      <c r="F55" s="132">
        <f>IFERROR(__xludf.DUMMYFUNCTION("""COMPUTED_VALUE"""),7.72774)</f>
        <v>7.72774</v>
      </c>
      <c r="G55" s="132">
        <f>IFERROR(__xludf.DUMMYFUNCTION("""COMPUTED_VALUE"""),7.72774)</f>
        <v>7.72774</v>
      </c>
      <c r="H55" s="132">
        <f>IFERROR(__xludf.DUMMYFUNCTION("""COMPUTED_VALUE"""),1.0)</f>
        <v>1</v>
      </c>
      <c r="I55" s="132">
        <f>IFERROR(__xludf.DUMMYFUNCTION("""COMPUTED_VALUE"""),1.0)</f>
        <v>1</v>
      </c>
      <c r="J55" s="132">
        <f>IFERROR(__xludf.DUMMYFUNCTION("""COMPUTED_VALUE"""),1.0)</f>
        <v>1</v>
      </c>
      <c r="K55" s="132">
        <f>IFERROR(__xludf.DUMMYFUNCTION("""COMPUTED_VALUE"""),1.0)</f>
        <v>1</v>
      </c>
      <c r="L55" s="132"/>
      <c r="M55" s="132"/>
      <c r="N55" s="132">
        <f>IFERROR(__xludf.DUMMYFUNCTION("""COMPUTED_VALUE"""),1.0)</f>
        <v>1</v>
      </c>
      <c r="O55" s="132"/>
      <c r="P55" s="132"/>
      <c r="Q55" s="132"/>
      <c r="R55" s="132"/>
      <c r="S55" s="132">
        <f>IFERROR(__xludf.DUMMYFUNCTION("""COMPUTED_VALUE"""),3978.29)</f>
        <v>3978.29</v>
      </c>
      <c r="T55" s="132">
        <f>IFERROR(__xludf.DUMMYFUNCTION("""COMPUTED_VALUE"""),795.658)</f>
        <v>795.658</v>
      </c>
      <c r="U55" s="132"/>
      <c r="V55" s="132"/>
      <c r="W55" s="132"/>
      <c r="X55" s="132"/>
      <c r="Y55" s="132"/>
      <c r="Z55" s="132"/>
    </row>
    <row r="56">
      <c r="A56" s="136">
        <f>IFERROR(__xludf.DUMMYFUNCTION("""COMPUTED_VALUE"""),45459.0)</f>
        <v>45459</v>
      </c>
      <c r="B56" s="132" t="str">
        <f>IFERROR(__xludf.DUMMYFUNCTION("""COMPUTED_VALUE"""),"Cider")</f>
        <v>Cider</v>
      </c>
      <c r="C56" s="132" t="str">
        <f>IFERROR(__xludf.DUMMYFUNCTION("""COMPUTED_VALUE"""),"衣服")</f>
        <v>衣服</v>
      </c>
      <c r="D56" s="132">
        <f>IFERROR(__xludf.DUMMYFUNCTION("""COMPUTED_VALUE"""),28.8)</f>
        <v>28.8</v>
      </c>
      <c r="E56" s="132" t="str">
        <f>IFERROR(__xludf.DUMMYFUNCTION("""COMPUTED_VALUE"""),"Esther")</f>
        <v>Esther</v>
      </c>
      <c r="F56" s="132">
        <f>IFERROR(__xludf.DUMMYFUNCTION("""COMPUTED_VALUE"""),28.8)</f>
        <v>28.8</v>
      </c>
      <c r="G56" s="132">
        <f>IFERROR(__xludf.DUMMYFUNCTION("""COMPUTED_VALUE"""),28.8)</f>
        <v>28.8</v>
      </c>
      <c r="H56" s="132"/>
      <c r="I56" s="132">
        <f>IFERROR(__xludf.DUMMYFUNCTION("""COMPUTED_VALUE"""),1.0)</f>
        <v>1</v>
      </c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6">
        <f>IFERROR(__xludf.DUMMYFUNCTION("""COMPUTED_VALUE"""),45459.0)</f>
        <v>45459</v>
      </c>
      <c r="B57" s="132" t="str">
        <f>IFERROR(__xludf.DUMMYFUNCTION("""COMPUTED_VALUE"""),"Cider")</f>
        <v>Cider</v>
      </c>
      <c r="C57" s="132" t="str">
        <f>IFERROR(__xludf.DUMMYFUNCTION("""COMPUTED_VALUE"""),"衣服")</f>
        <v>衣服</v>
      </c>
      <c r="D57" s="132">
        <f>IFERROR(__xludf.DUMMYFUNCTION("""COMPUTED_VALUE"""),55.2)</f>
        <v>55.2</v>
      </c>
      <c r="E57" s="132" t="str">
        <f>IFERROR(__xludf.DUMMYFUNCTION("""COMPUTED_VALUE"""),"Esther")</f>
        <v>Esther</v>
      </c>
      <c r="F57" s="132">
        <f>IFERROR(__xludf.DUMMYFUNCTION("""COMPUTED_VALUE"""),55.2)</f>
        <v>55.2</v>
      </c>
      <c r="G57" s="132">
        <f>IFERROR(__xludf.DUMMYFUNCTION("""COMPUTED_VALUE"""),55.2)</f>
        <v>55.2</v>
      </c>
      <c r="H57" s="132"/>
      <c r="I57" s="132"/>
      <c r="J57" s="132"/>
      <c r="K57" s="132">
        <f>IFERROR(__xludf.DUMMYFUNCTION("""COMPUTED_VALUE"""),1.0)</f>
        <v>1</v>
      </c>
      <c r="L57" s="132"/>
      <c r="M57" s="132"/>
      <c r="N57" s="132"/>
      <c r="O57" s="132"/>
      <c r="P57" s="132"/>
      <c r="Q57" s="134">
        <f>IFERROR(__xludf.DUMMYFUNCTION("""COMPUTED_VALUE"""),45323.0)</f>
        <v>45323</v>
      </c>
      <c r="R57" s="132" t="str">
        <f>IFERROR(__xludf.DUMMYFUNCTION("""COMPUTED_VALUE"""),"Rent")</f>
        <v>Rent</v>
      </c>
      <c r="S57" s="132">
        <f>IFERROR(__xludf.DUMMYFUNCTION("""COMPUTED_VALUE"""),3600.0)</f>
        <v>3600</v>
      </c>
      <c r="T57" s="132">
        <f>IFERROR(__xludf.DUMMYFUNCTION("""COMPUTED_VALUE"""),720.0)</f>
        <v>720</v>
      </c>
      <c r="U57" s="132" t="str">
        <f>IFERROR(__xludf.DUMMYFUNCTION("""COMPUTED_VALUE"""),"Paid")</f>
        <v>Paid</v>
      </c>
      <c r="V57" s="132" t="str">
        <f>IFERROR(__xludf.DUMMYFUNCTION("""COMPUTED_VALUE"""),"Paid")</f>
        <v>Paid</v>
      </c>
      <c r="W57" s="132" t="str">
        <f>IFERROR(__xludf.DUMMYFUNCTION("""COMPUTED_VALUE"""),"Paid")</f>
        <v>Paid</v>
      </c>
      <c r="X57" s="132" t="str">
        <f>IFERROR(__xludf.DUMMYFUNCTION("""COMPUTED_VALUE"""),"Paid")</f>
        <v>Paid</v>
      </c>
      <c r="Y57" s="132" t="str">
        <f>IFERROR(__xludf.DUMMYFUNCTION("""COMPUTED_VALUE"""),"Paid")</f>
        <v>Paid</v>
      </c>
      <c r="Z57" s="132"/>
    </row>
    <row r="58">
      <c r="A58" s="136">
        <f>IFERROR(__xludf.DUMMYFUNCTION("""COMPUTED_VALUE"""),45460.0)</f>
        <v>45460</v>
      </c>
      <c r="B58" s="132" t="str">
        <f>IFERROR(__xludf.DUMMYFUNCTION("""COMPUTED_VALUE"""),"Foody")</f>
        <v>Foody</v>
      </c>
      <c r="C58" s="132" t="str">
        <f>IFERROR(__xludf.DUMMYFUNCTION("""COMPUTED_VALUE"""),"食物")</f>
        <v>食物</v>
      </c>
      <c r="D58" s="132">
        <f>IFERROR(__xludf.DUMMYFUNCTION("""COMPUTED_VALUE"""),33.82)</f>
        <v>33.82</v>
      </c>
      <c r="E58" s="132" t="str">
        <f>IFERROR(__xludf.DUMMYFUNCTION("""COMPUTED_VALUE"""),"BL")</f>
        <v>BL</v>
      </c>
      <c r="F58" s="132">
        <f>IFERROR(__xludf.DUMMYFUNCTION("""COMPUTED_VALUE"""),8.455)</f>
        <v>8.455</v>
      </c>
      <c r="G58" s="132">
        <f>IFERROR(__xludf.DUMMYFUNCTION("""COMPUTED_VALUE"""),8.455)</f>
        <v>8.455</v>
      </c>
      <c r="H58" s="132">
        <f>IFERROR(__xludf.DUMMYFUNCTION("""COMPUTED_VALUE"""),1.0)</f>
        <v>1</v>
      </c>
      <c r="I58" s="132">
        <f>IFERROR(__xludf.DUMMYFUNCTION("""COMPUTED_VALUE"""),1.0)</f>
        <v>1</v>
      </c>
      <c r="J58" s="132">
        <f>IFERROR(__xludf.DUMMYFUNCTION("""COMPUTED_VALUE"""),1.0)</f>
        <v>1</v>
      </c>
      <c r="K58" s="132">
        <f>IFERROR(__xludf.DUMMYFUNCTION("""COMPUTED_VALUE"""),1.0)</f>
        <v>1</v>
      </c>
      <c r="L58" s="132"/>
      <c r="M58" s="132"/>
      <c r="N58" s="132"/>
      <c r="O58" s="132"/>
      <c r="P58" s="132"/>
      <c r="Q58" s="132"/>
      <c r="R58" s="132" t="str">
        <f>IFERROR(__xludf.DUMMYFUNCTION("""COMPUTED_VALUE"""),"Water")</f>
        <v>Water</v>
      </c>
      <c r="S58" s="132"/>
      <c r="T58" s="132"/>
      <c r="U58" s="132"/>
      <c r="V58" s="132"/>
      <c r="W58" s="132"/>
      <c r="X58" s="132"/>
      <c r="Y58" s="132"/>
      <c r="Z58" s="132"/>
    </row>
    <row r="59">
      <c r="A59" s="136">
        <f>IFERROR(__xludf.DUMMYFUNCTION("""COMPUTED_VALUE"""),45461.0)</f>
        <v>45461</v>
      </c>
      <c r="B59" s="132" t="str">
        <f>IFERROR(__xludf.DUMMYFUNCTION("""COMPUTED_VALUE"""),"Foody")</f>
        <v>Foody</v>
      </c>
      <c r="C59" s="132" t="str">
        <f>IFERROR(__xludf.DUMMYFUNCTION("""COMPUTED_VALUE"""),"食物")</f>
        <v>食物</v>
      </c>
      <c r="D59" s="132">
        <f>IFERROR(__xludf.DUMMYFUNCTION("""COMPUTED_VALUE"""),48.41)</f>
        <v>48.41</v>
      </c>
      <c r="E59" s="132" t="str">
        <f>IFERROR(__xludf.DUMMYFUNCTION("""COMPUTED_VALUE"""),"Pigskin")</f>
        <v>Pigskin</v>
      </c>
      <c r="F59" s="132">
        <f>IFERROR(__xludf.DUMMYFUNCTION("""COMPUTED_VALUE"""),6.9157142857142855)</f>
        <v>6.915714286</v>
      </c>
      <c r="G59" s="132">
        <f>IFERROR(__xludf.DUMMYFUNCTION("""COMPUTED_VALUE"""),6.9157142857142855)</f>
        <v>6.915714286</v>
      </c>
      <c r="H59" s="132">
        <f>IFERROR(__xludf.DUMMYFUNCTION("""COMPUTED_VALUE"""),1.0)</f>
        <v>1</v>
      </c>
      <c r="I59" s="132">
        <f>IFERROR(__xludf.DUMMYFUNCTION("""COMPUTED_VALUE"""),1.0)</f>
        <v>1</v>
      </c>
      <c r="J59" s="132">
        <f>IFERROR(__xludf.DUMMYFUNCTION("""COMPUTED_VALUE"""),1.0)</f>
        <v>1</v>
      </c>
      <c r="K59" s="132">
        <f>IFERROR(__xludf.DUMMYFUNCTION("""COMPUTED_VALUE"""),1.0)</f>
        <v>1</v>
      </c>
      <c r="L59" s="132">
        <f>IFERROR(__xludf.DUMMYFUNCTION("""COMPUTED_VALUE"""),1.0)</f>
        <v>1</v>
      </c>
      <c r="M59" s="132">
        <f>IFERROR(__xludf.DUMMYFUNCTION("""COMPUTED_VALUE"""),1.0)</f>
        <v>1</v>
      </c>
      <c r="N59" s="132">
        <f>IFERROR(__xludf.DUMMYFUNCTION("""COMPUTED_VALUE"""),1.0)</f>
        <v>1</v>
      </c>
      <c r="O59" s="132"/>
      <c r="P59" s="132"/>
      <c r="Q59" s="132"/>
      <c r="R59" s="132" t="str">
        <f>IFERROR(__xludf.DUMMYFUNCTION("""COMPUTED_VALUE"""),"Heat")</f>
        <v>Heat</v>
      </c>
      <c r="S59" s="132">
        <f>IFERROR(__xludf.DUMMYFUNCTION("""COMPUTED_VALUE"""),198.76)</f>
        <v>198.76</v>
      </c>
      <c r="T59" s="135">
        <f>IFERROR(__xludf.DUMMYFUNCTION("""COMPUTED_VALUE"""),33.126666666666665)</f>
        <v>33.12666667</v>
      </c>
      <c r="U59" s="132" t="str">
        <f>IFERROR(__xludf.DUMMYFUNCTION("""COMPUTED_VALUE"""),"Paid")</f>
        <v>Paid</v>
      </c>
      <c r="V59" s="132" t="str">
        <f>IFERROR(__xludf.DUMMYFUNCTION("""COMPUTED_VALUE"""),"Paid")</f>
        <v>Paid</v>
      </c>
      <c r="W59" s="132" t="str">
        <f>IFERROR(__xludf.DUMMYFUNCTION("""COMPUTED_VALUE"""),"Paid")</f>
        <v>Paid</v>
      </c>
      <c r="X59" s="132" t="str">
        <f>IFERROR(__xludf.DUMMYFUNCTION("""COMPUTED_VALUE"""),"Paid")</f>
        <v>Paid</v>
      </c>
      <c r="Y59" s="132" t="str">
        <f>IFERROR(__xludf.DUMMYFUNCTION("""COMPUTED_VALUE"""),"Paid")</f>
        <v>Paid</v>
      </c>
      <c r="Z59" s="132"/>
    </row>
    <row r="60">
      <c r="A60" s="133">
        <f>IFERROR(__xludf.DUMMYFUNCTION("""COMPUTED_VALUE"""),45462.0)</f>
        <v>45462</v>
      </c>
      <c r="B60" s="132" t="str">
        <f>IFERROR(__xludf.DUMMYFUNCTION("""COMPUTED_VALUE"""),"Tnt")</f>
        <v>Tnt</v>
      </c>
      <c r="C60" s="132" t="str">
        <f>IFERROR(__xludf.DUMMYFUNCTION("""COMPUTED_VALUE"""),"食物")</f>
        <v>食物</v>
      </c>
      <c r="D60" s="135">
        <f>IFERROR(__xludf.DUMMYFUNCTION("""COMPUTED_VALUE"""),38.2731)</f>
        <v>38.2731</v>
      </c>
      <c r="E60" s="132" t="str">
        <f>IFERROR(__xludf.DUMMYFUNCTION("""COMPUTED_VALUE"""),"Pigskin")</f>
        <v>Pigskin</v>
      </c>
      <c r="F60" s="132">
        <f>IFERROR(__xludf.DUMMYFUNCTION("""COMPUTED_VALUE"""),9.568275)</f>
        <v>9.568275</v>
      </c>
      <c r="G60" s="132">
        <f>IFERROR(__xludf.DUMMYFUNCTION("""COMPUTED_VALUE"""),9.568275)</f>
        <v>9.568275</v>
      </c>
      <c r="H60" s="132">
        <f>IFERROR(__xludf.DUMMYFUNCTION("""COMPUTED_VALUE"""),1.0)</f>
        <v>1</v>
      </c>
      <c r="I60" s="132">
        <f>IFERROR(__xludf.DUMMYFUNCTION("""COMPUTED_VALUE"""),1.0)</f>
        <v>1</v>
      </c>
      <c r="J60" s="132">
        <f>IFERROR(__xludf.DUMMYFUNCTION("""COMPUTED_VALUE"""),1.0)</f>
        <v>1</v>
      </c>
      <c r="K60" s="132">
        <f>IFERROR(__xludf.DUMMYFUNCTION("""COMPUTED_VALUE"""),1.0)</f>
        <v>1</v>
      </c>
      <c r="L60" s="132"/>
      <c r="M60" s="132"/>
      <c r="N60" s="132"/>
      <c r="O60" s="132"/>
      <c r="P60" s="132"/>
      <c r="Q60" s="132"/>
      <c r="R60" s="132" t="str">
        <f>IFERROR(__xludf.DUMMYFUNCTION("""COMPUTED_VALUE"""),"Electricity")</f>
        <v>Electricity</v>
      </c>
      <c r="S60" s="132">
        <f>IFERROR(__xludf.DUMMYFUNCTION("""COMPUTED_VALUE"""),117.83)</f>
        <v>117.83</v>
      </c>
      <c r="T60" s="135">
        <f>IFERROR(__xludf.DUMMYFUNCTION("""COMPUTED_VALUE"""),19.638333333333332)</f>
        <v>19.63833333</v>
      </c>
      <c r="U60" s="132" t="str">
        <f>IFERROR(__xludf.DUMMYFUNCTION("""COMPUTED_VALUE"""),"Paid")</f>
        <v>Paid</v>
      </c>
      <c r="V60" s="132" t="str">
        <f>IFERROR(__xludf.DUMMYFUNCTION("""COMPUTED_VALUE"""),"Paid")</f>
        <v>Paid</v>
      </c>
      <c r="W60" s="132" t="str">
        <f>IFERROR(__xludf.DUMMYFUNCTION("""COMPUTED_VALUE"""),"Paid")</f>
        <v>Paid</v>
      </c>
      <c r="X60" s="132" t="str">
        <f>IFERROR(__xludf.DUMMYFUNCTION("""COMPUTED_VALUE"""),"Paid")</f>
        <v>Paid</v>
      </c>
      <c r="Y60" s="132" t="str">
        <f>IFERROR(__xludf.DUMMYFUNCTION("""COMPUTED_VALUE"""),"Paid")</f>
        <v>Paid</v>
      </c>
      <c r="Z60" s="132"/>
    </row>
    <row r="61">
      <c r="A61" s="133">
        <f>IFERROR(__xludf.DUMMYFUNCTION("""COMPUTED_VALUE"""),45462.0)</f>
        <v>45462</v>
      </c>
      <c r="B61" s="132" t="str">
        <f>IFERROR(__xludf.DUMMYFUNCTION("""COMPUTED_VALUE"""),"Tnt")</f>
        <v>Tnt</v>
      </c>
      <c r="C61" s="132" t="str">
        <f>IFERROR(__xludf.DUMMYFUNCTION("""COMPUTED_VALUE"""),"食物")</f>
        <v>食物</v>
      </c>
      <c r="D61" s="132">
        <f>IFERROR(__xludf.DUMMYFUNCTION("""COMPUTED_VALUE"""),14.67)</f>
        <v>14.67</v>
      </c>
      <c r="E61" s="132" t="str">
        <f>IFERROR(__xludf.DUMMYFUNCTION("""COMPUTED_VALUE"""),"Pigskin")</f>
        <v>Pigskin</v>
      </c>
      <c r="F61" s="132">
        <f>IFERROR(__xludf.DUMMYFUNCTION("""COMPUTED_VALUE"""),2.0957142857142856)</f>
        <v>2.095714286</v>
      </c>
      <c r="G61" s="132">
        <f>IFERROR(__xludf.DUMMYFUNCTION("""COMPUTED_VALUE"""),2.0957142857142856)</f>
        <v>2.095714286</v>
      </c>
      <c r="H61" s="132">
        <f>IFERROR(__xludf.DUMMYFUNCTION("""COMPUTED_VALUE"""),1.0)</f>
        <v>1</v>
      </c>
      <c r="I61" s="132">
        <f>IFERROR(__xludf.DUMMYFUNCTION("""COMPUTED_VALUE"""),1.0)</f>
        <v>1</v>
      </c>
      <c r="J61" s="132">
        <f>IFERROR(__xludf.DUMMYFUNCTION("""COMPUTED_VALUE"""),1.0)</f>
        <v>1</v>
      </c>
      <c r="K61" s="132">
        <f>IFERROR(__xludf.DUMMYFUNCTION("""COMPUTED_VALUE"""),1.0)</f>
        <v>1</v>
      </c>
      <c r="L61" s="132">
        <f>IFERROR(__xludf.DUMMYFUNCTION("""COMPUTED_VALUE"""),1.0)</f>
        <v>1</v>
      </c>
      <c r="M61" s="132">
        <f>IFERROR(__xludf.DUMMYFUNCTION("""COMPUTED_VALUE"""),1.0)</f>
        <v>1</v>
      </c>
      <c r="N61" s="132">
        <f>IFERROR(__xludf.DUMMYFUNCTION("""COMPUTED_VALUE"""),1.0)</f>
        <v>1</v>
      </c>
      <c r="O61" s="132"/>
      <c r="P61" s="132"/>
      <c r="Q61" s="132"/>
      <c r="R61" s="132" t="str">
        <f>IFERROR(__xludf.DUMMYFUNCTION("""COMPUTED_VALUE"""),"Internet")</f>
        <v>Internet</v>
      </c>
      <c r="S61" s="132">
        <f>IFERROR(__xludf.DUMMYFUNCTION("""COMPUTED_VALUE"""),56.5)</f>
        <v>56.5</v>
      </c>
      <c r="T61" s="135">
        <f>IFERROR(__xludf.DUMMYFUNCTION("""COMPUTED_VALUE"""),9.416666666666666)</f>
        <v>9.416666667</v>
      </c>
      <c r="U61" s="132" t="str">
        <f>IFERROR(__xludf.DUMMYFUNCTION("""COMPUTED_VALUE"""),"Paid")</f>
        <v>Paid</v>
      </c>
      <c r="V61" s="132" t="str">
        <f>IFERROR(__xludf.DUMMYFUNCTION("""COMPUTED_VALUE"""),"Paid")</f>
        <v>Paid</v>
      </c>
      <c r="W61" s="132" t="str">
        <f>IFERROR(__xludf.DUMMYFUNCTION("""COMPUTED_VALUE"""),"Paid")</f>
        <v>Paid</v>
      </c>
      <c r="X61" s="132" t="str">
        <f>IFERROR(__xludf.DUMMYFUNCTION("""COMPUTED_VALUE"""),"Paid")</f>
        <v>Paid</v>
      </c>
      <c r="Y61" s="132" t="str">
        <f>IFERROR(__xludf.DUMMYFUNCTION("""COMPUTED_VALUE"""),"Paid")</f>
        <v>Paid</v>
      </c>
      <c r="Z61" s="132"/>
    </row>
    <row r="62">
      <c r="A62" s="133">
        <f>IFERROR(__xludf.DUMMYFUNCTION("""COMPUTED_VALUE"""),45463.0)</f>
        <v>45463</v>
      </c>
      <c r="B62" s="132" t="str">
        <f>IFERROR(__xludf.DUMMYFUNCTION("""COMPUTED_VALUE"""),"Mushroom")</f>
        <v>Mushroom</v>
      </c>
      <c r="C62" s="132" t="str">
        <f>IFERROR(__xludf.DUMMYFUNCTION("""COMPUTED_VALUE"""),"食物")</f>
        <v>食物</v>
      </c>
      <c r="D62" s="132">
        <f>IFERROR(__xludf.DUMMYFUNCTION("""COMPUTED_VALUE"""),10.94)</f>
        <v>10.94</v>
      </c>
      <c r="E62" s="132" t="str">
        <f>IFERROR(__xludf.DUMMYFUNCTION("""COMPUTED_VALUE"""),"Pigskin")</f>
        <v>Pigskin</v>
      </c>
      <c r="F62" s="132">
        <f>IFERROR(__xludf.DUMMYFUNCTION("""COMPUTED_VALUE"""),1.5628571428571427)</f>
        <v>1.562857143</v>
      </c>
      <c r="G62" s="132">
        <f>IFERROR(__xludf.DUMMYFUNCTION("""COMPUTED_VALUE"""),1.5628571428571427)</f>
        <v>1.562857143</v>
      </c>
      <c r="H62" s="132">
        <f>IFERROR(__xludf.DUMMYFUNCTION("""COMPUTED_VALUE"""),1.0)</f>
        <v>1</v>
      </c>
      <c r="I62" s="132">
        <f>IFERROR(__xludf.DUMMYFUNCTION("""COMPUTED_VALUE"""),1.0)</f>
        <v>1</v>
      </c>
      <c r="J62" s="132">
        <f>IFERROR(__xludf.DUMMYFUNCTION("""COMPUTED_VALUE"""),1.0)</f>
        <v>1</v>
      </c>
      <c r="K62" s="132">
        <f>IFERROR(__xludf.DUMMYFUNCTION("""COMPUTED_VALUE"""),1.0)</f>
        <v>1</v>
      </c>
      <c r="L62" s="132">
        <f>IFERROR(__xludf.DUMMYFUNCTION("""COMPUTED_VALUE"""),1.0)</f>
        <v>1</v>
      </c>
      <c r="M62" s="132">
        <f>IFERROR(__xludf.DUMMYFUNCTION("""COMPUTED_VALUE"""),1.0)</f>
        <v>1</v>
      </c>
      <c r="N62" s="132">
        <f>IFERROR(__xludf.DUMMYFUNCTION("""COMPUTED_VALUE"""),1.0)</f>
        <v>1</v>
      </c>
      <c r="O62" s="132"/>
      <c r="P62" s="132"/>
      <c r="Q62" s="132"/>
      <c r="R62" s="132"/>
      <c r="S62" s="132">
        <f>IFERROR(__xludf.DUMMYFUNCTION("""COMPUTED_VALUE"""),3973.09)</f>
        <v>3973.09</v>
      </c>
      <c r="T62" s="132">
        <f>IFERROR(__xludf.DUMMYFUNCTION("""COMPUTED_VALUE"""),782.1816666666666)</f>
        <v>782.1816667</v>
      </c>
      <c r="U62" s="132"/>
      <c r="V62" s="132"/>
      <c r="W62" s="132"/>
      <c r="X62" s="132"/>
      <c r="Y62" s="132"/>
      <c r="Z62" s="132"/>
    </row>
    <row r="63">
      <c r="A63" s="133">
        <f>IFERROR(__xludf.DUMMYFUNCTION("""COMPUTED_VALUE"""),45463.0)</f>
        <v>45463</v>
      </c>
      <c r="B63" s="132" t="str">
        <f>IFERROR(__xludf.DUMMYFUNCTION("""COMPUTED_VALUE"""),"Tnt")</f>
        <v>Tnt</v>
      </c>
      <c r="C63" s="132" t="str">
        <f>IFERROR(__xludf.DUMMYFUNCTION("""COMPUTED_VALUE"""),"食物")</f>
        <v>食物</v>
      </c>
      <c r="D63" s="132">
        <f>IFERROR(__xludf.DUMMYFUNCTION("""COMPUTED_VALUE"""),44.65)</f>
        <v>44.65</v>
      </c>
      <c r="E63" s="132" t="str">
        <f>IFERROR(__xludf.DUMMYFUNCTION("""COMPUTED_VALUE"""),"BL")</f>
        <v>BL</v>
      </c>
      <c r="F63" s="132">
        <f>IFERROR(__xludf.DUMMYFUNCTION("""COMPUTED_VALUE"""),6.378571428571428)</f>
        <v>6.378571429</v>
      </c>
      <c r="G63" s="132">
        <f>IFERROR(__xludf.DUMMYFUNCTION("""COMPUTED_VALUE"""),6.378571428571428)</f>
        <v>6.378571429</v>
      </c>
      <c r="H63" s="132">
        <f>IFERROR(__xludf.DUMMYFUNCTION("""COMPUTED_VALUE"""),1.0)</f>
        <v>1</v>
      </c>
      <c r="I63" s="132">
        <f>IFERROR(__xludf.DUMMYFUNCTION("""COMPUTED_VALUE"""),1.0)</f>
        <v>1</v>
      </c>
      <c r="J63" s="132">
        <f>IFERROR(__xludf.DUMMYFUNCTION("""COMPUTED_VALUE"""),1.0)</f>
        <v>1</v>
      </c>
      <c r="K63" s="132">
        <f>IFERROR(__xludf.DUMMYFUNCTION("""COMPUTED_VALUE"""),1.0)</f>
        <v>1</v>
      </c>
      <c r="L63" s="132">
        <f>IFERROR(__xludf.DUMMYFUNCTION("""COMPUTED_VALUE"""),1.0)</f>
        <v>1</v>
      </c>
      <c r="M63" s="132">
        <f>IFERROR(__xludf.DUMMYFUNCTION("""COMPUTED_VALUE"""),1.0)</f>
        <v>1</v>
      </c>
      <c r="N63" s="132">
        <f>IFERROR(__xludf.DUMMYFUNCTION("""COMPUTED_VALUE"""),1.0)</f>
        <v>1</v>
      </c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3">
        <f>IFERROR(__xludf.DUMMYFUNCTION("""COMPUTED_VALUE"""),45464.0)</f>
        <v>45464</v>
      </c>
      <c r="B64" s="132" t="str">
        <f>IFERROR(__xludf.DUMMYFUNCTION("""COMPUTED_VALUE"""),"Octopus")</f>
        <v>Octopus</v>
      </c>
      <c r="C64" s="132" t="str">
        <f>IFERROR(__xludf.DUMMYFUNCTION("""COMPUTED_VALUE"""),"食物")</f>
        <v>食物</v>
      </c>
      <c r="D64" s="132">
        <f>IFERROR(__xludf.DUMMYFUNCTION("""COMPUTED_VALUE"""),54.194799999999994)</f>
        <v>54.1948</v>
      </c>
      <c r="E64" s="132" t="str">
        <f>IFERROR(__xludf.DUMMYFUNCTION("""COMPUTED_VALUE"""),"Timothy")</f>
        <v>Timothy</v>
      </c>
      <c r="F64" s="132">
        <f>IFERROR(__xludf.DUMMYFUNCTION("""COMPUTED_VALUE"""),13.548699999999998)</f>
        <v>13.5487</v>
      </c>
      <c r="G64" s="132">
        <f>IFERROR(__xludf.DUMMYFUNCTION("""COMPUTED_VALUE"""),13.548699999999998)</f>
        <v>13.5487</v>
      </c>
      <c r="H64" s="132">
        <f>IFERROR(__xludf.DUMMYFUNCTION("""COMPUTED_VALUE"""),1.0)</f>
        <v>1</v>
      </c>
      <c r="I64" s="132"/>
      <c r="J64" s="132">
        <f>IFERROR(__xludf.DUMMYFUNCTION("""COMPUTED_VALUE"""),1.0)</f>
        <v>1</v>
      </c>
      <c r="K64" s="132"/>
      <c r="L64" s="132"/>
      <c r="M64" s="132">
        <f>IFERROR(__xludf.DUMMYFUNCTION("""COMPUTED_VALUE"""),1.0)</f>
        <v>1</v>
      </c>
      <c r="N64" s="132">
        <f>IFERROR(__xludf.DUMMYFUNCTION("""COMPUTED_VALUE"""),1.0)</f>
        <v>1</v>
      </c>
      <c r="O64" s="132"/>
      <c r="P64" s="132"/>
      <c r="Q64" s="134">
        <f>IFERROR(__xludf.DUMMYFUNCTION("""COMPUTED_VALUE"""),45352.0)</f>
        <v>45352</v>
      </c>
      <c r="R64" s="132" t="str">
        <f>IFERROR(__xludf.DUMMYFUNCTION("""COMPUTED_VALUE"""),"Rent")</f>
        <v>Rent</v>
      </c>
      <c r="S64" s="132">
        <f>IFERROR(__xludf.DUMMYFUNCTION("""COMPUTED_VALUE"""),3600.0)</f>
        <v>3600</v>
      </c>
      <c r="T64" s="132">
        <f>IFERROR(__xludf.DUMMYFUNCTION("""COMPUTED_VALUE"""),720.0)</f>
        <v>720</v>
      </c>
      <c r="U64" s="132" t="str">
        <f>IFERROR(__xludf.DUMMYFUNCTION("""COMPUTED_VALUE"""),"Paid")</f>
        <v>Paid</v>
      </c>
      <c r="V64" s="132" t="str">
        <f>IFERROR(__xludf.DUMMYFUNCTION("""COMPUTED_VALUE"""),"Paid")</f>
        <v>Paid</v>
      </c>
      <c r="W64" s="132" t="str">
        <f>IFERROR(__xludf.DUMMYFUNCTION("""COMPUTED_VALUE"""),"Paid")</f>
        <v>Paid</v>
      </c>
      <c r="X64" s="132" t="str">
        <f>IFERROR(__xludf.DUMMYFUNCTION("""COMPUTED_VALUE"""),"Paid")</f>
        <v>Paid</v>
      </c>
      <c r="Y64" s="132" t="str">
        <f>IFERROR(__xludf.DUMMYFUNCTION("""COMPUTED_VALUE"""),"Paid")</f>
        <v>Paid</v>
      </c>
      <c r="Z64" s="132"/>
    </row>
    <row r="65">
      <c r="A65" s="133">
        <f>IFERROR(__xludf.DUMMYFUNCTION("""COMPUTED_VALUE"""),45464.0)</f>
        <v>45464</v>
      </c>
      <c r="B65" s="132" t="str">
        <f>IFERROR(__xludf.DUMMYFUNCTION("""COMPUTED_VALUE"""),"Octopus")</f>
        <v>Octopus</v>
      </c>
      <c r="C65" s="132" t="str">
        <f>IFERROR(__xludf.DUMMYFUNCTION("""COMPUTED_VALUE"""),"食物")</f>
        <v>食物</v>
      </c>
      <c r="D65" s="132">
        <f>IFERROR(__xludf.DUMMYFUNCTION("""COMPUTED_VALUE"""),29.3574)</f>
        <v>29.3574</v>
      </c>
      <c r="E65" s="132" t="str">
        <f>IFERROR(__xludf.DUMMYFUNCTION("""COMPUTED_VALUE"""),"Timothy")</f>
        <v>Timothy</v>
      </c>
      <c r="F65" s="132">
        <f>IFERROR(__xludf.DUMMYFUNCTION("""COMPUTED_VALUE"""),14.6787)</f>
        <v>14.6787</v>
      </c>
      <c r="G65" s="132">
        <f>IFERROR(__xludf.DUMMYFUNCTION("""COMPUTED_VALUE"""),14.6787)</f>
        <v>14.6787</v>
      </c>
      <c r="H65" s="132"/>
      <c r="I65" s="132">
        <f>IFERROR(__xludf.DUMMYFUNCTION("""COMPUTED_VALUE"""),1.0)</f>
        <v>1</v>
      </c>
      <c r="J65" s="132"/>
      <c r="K65" s="132">
        <f>IFERROR(__xludf.DUMMYFUNCTION("""COMPUTED_VALUE"""),1.0)</f>
        <v>1</v>
      </c>
      <c r="L65" s="132"/>
      <c r="M65" s="132"/>
      <c r="N65" s="132"/>
      <c r="O65" s="132"/>
      <c r="P65" s="132"/>
      <c r="Q65" s="132"/>
      <c r="R65" s="132" t="str">
        <f>IFERROR(__xludf.DUMMYFUNCTION("""COMPUTED_VALUE"""),"Water")</f>
        <v>Water</v>
      </c>
      <c r="S65" s="132"/>
      <c r="T65" s="132">
        <f>IFERROR(__xludf.DUMMYFUNCTION("""COMPUTED_VALUE"""),0.0)</f>
        <v>0</v>
      </c>
      <c r="U65" s="132"/>
      <c r="V65" s="132"/>
      <c r="W65" s="132"/>
      <c r="X65" s="132"/>
      <c r="Y65" s="132"/>
      <c r="Z65" s="132"/>
    </row>
    <row r="66">
      <c r="A66" s="133">
        <f>IFERROR(__xludf.DUMMYFUNCTION("""COMPUTED_VALUE"""),45464.0)</f>
        <v>45464</v>
      </c>
      <c r="B66" s="132" t="str">
        <f>IFERROR(__xludf.DUMMYFUNCTION("""COMPUTED_VALUE"""),"Octopus")</f>
        <v>Octopus</v>
      </c>
      <c r="C66" s="132" t="str">
        <f>IFERROR(__xludf.DUMMYFUNCTION("""COMPUTED_VALUE"""),"食物")</f>
        <v>食物</v>
      </c>
      <c r="D66" s="132">
        <f>IFERROR(__xludf.DUMMYFUNCTION("""COMPUTED_VALUE"""),16.938699999999997)</f>
        <v>16.9387</v>
      </c>
      <c r="E66" s="132" t="str">
        <f>IFERROR(__xludf.DUMMYFUNCTION("""COMPUTED_VALUE"""),"Timothy")</f>
        <v>Timothy</v>
      </c>
      <c r="F66" s="132">
        <f>IFERROR(__xludf.DUMMYFUNCTION("""COMPUTED_VALUE"""),16.938699999999997)</f>
        <v>16.9387</v>
      </c>
      <c r="G66" s="132">
        <f>IFERROR(__xludf.DUMMYFUNCTION("""COMPUTED_VALUE"""),16.938699999999997)</f>
        <v>16.9387</v>
      </c>
      <c r="H66" s="132"/>
      <c r="I66" s="132"/>
      <c r="J66" s="132"/>
      <c r="K66" s="132"/>
      <c r="L66" s="132">
        <f>IFERROR(__xludf.DUMMYFUNCTION("""COMPUTED_VALUE"""),1.0)</f>
        <v>1</v>
      </c>
      <c r="M66" s="132"/>
      <c r="N66" s="132"/>
      <c r="O66" s="132"/>
      <c r="P66" s="132"/>
      <c r="Q66" s="132"/>
      <c r="R66" s="132" t="str">
        <f>IFERROR(__xludf.DUMMYFUNCTION("""COMPUTED_VALUE"""),"Heat")</f>
        <v>Heat</v>
      </c>
      <c r="S66" s="132">
        <f>IFERROR(__xludf.DUMMYFUNCTION("""COMPUTED_VALUE"""),173.22)</f>
        <v>173.22</v>
      </c>
      <c r="T66" s="132">
        <f>IFERROR(__xludf.DUMMYFUNCTION("""COMPUTED_VALUE"""),34.644)</f>
        <v>34.644</v>
      </c>
      <c r="U66" s="132" t="str">
        <f>IFERROR(__xludf.DUMMYFUNCTION("""COMPUTED_VALUE"""),"Paid")</f>
        <v>Paid</v>
      </c>
      <c r="V66" s="132" t="str">
        <f>IFERROR(__xludf.DUMMYFUNCTION("""COMPUTED_VALUE"""),"Paid")</f>
        <v>Paid</v>
      </c>
      <c r="W66" s="132" t="str">
        <f>IFERROR(__xludf.DUMMYFUNCTION("""COMPUTED_VALUE"""),"Paid")</f>
        <v>Paid</v>
      </c>
      <c r="X66" s="132" t="str">
        <f>IFERROR(__xludf.DUMMYFUNCTION("""COMPUTED_VALUE"""),"Paid")</f>
        <v>Paid</v>
      </c>
      <c r="Y66" s="132" t="str">
        <f>IFERROR(__xludf.DUMMYFUNCTION("""COMPUTED_VALUE"""),"Paid")</f>
        <v>Paid</v>
      </c>
      <c r="Z66" s="132"/>
    </row>
    <row r="67">
      <c r="A67" s="133">
        <f>IFERROR(__xludf.DUMMYFUNCTION("""COMPUTED_VALUE"""),45465.0)</f>
        <v>45465</v>
      </c>
      <c r="B67" s="132" t="str">
        <f>IFERROR(__xludf.DUMMYFUNCTION("""COMPUTED_VALUE"""),"Food basic")</f>
        <v>Food basic</v>
      </c>
      <c r="C67" s="132" t="str">
        <f>IFERROR(__xludf.DUMMYFUNCTION("""COMPUTED_VALUE"""),"居家")</f>
        <v>居家</v>
      </c>
      <c r="D67" s="132">
        <f>IFERROR(__xludf.DUMMYFUNCTION("""COMPUTED_VALUE"""),8.39)</f>
        <v>8.39</v>
      </c>
      <c r="E67" s="132" t="str">
        <f>IFERROR(__xludf.DUMMYFUNCTION("""COMPUTED_VALUE"""),"Pigskin")</f>
        <v>Pigskin</v>
      </c>
      <c r="F67" s="132">
        <f>IFERROR(__xludf.DUMMYFUNCTION("""COMPUTED_VALUE"""),1.6780000000000002)</f>
        <v>1.678</v>
      </c>
      <c r="G67" s="132">
        <f>IFERROR(__xludf.DUMMYFUNCTION("""COMPUTED_VALUE"""),1.6780000000000002)</f>
        <v>1.678</v>
      </c>
      <c r="H67" s="132">
        <f>IFERROR(__xludf.DUMMYFUNCTION("""COMPUTED_VALUE"""),1.0)</f>
        <v>1</v>
      </c>
      <c r="I67" s="132">
        <f>IFERROR(__xludf.DUMMYFUNCTION("""COMPUTED_VALUE"""),1.0)</f>
        <v>1</v>
      </c>
      <c r="J67" s="132">
        <f>IFERROR(__xludf.DUMMYFUNCTION("""COMPUTED_VALUE"""),1.0)</f>
        <v>1</v>
      </c>
      <c r="K67" s="132">
        <f>IFERROR(__xludf.DUMMYFUNCTION("""COMPUTED_VALUE"""),1.0)</f>
        <v>1</v>
      </c>
      <c r="L67" s="132"/>
      <c r="M67" s="132"/>
      <c r="N67" s="132">
        <f>IFERROR(__xludf.DUMMYFUNCTION("""COMPUTED_VALUE"""),1.0)</f>
        <v>1</v>
      </c>
      <c r="O67" s="132"/>
      <c r="P67" s="132"/>
      <c r="Q67" s="132"/>
      <c r="R67" s="132" t="str">
        <f>IFERROR(__xludf.DUMMYFUNCTION("""COMPUTED_VALUE"""),"Electricity")</f>
        <v>Electricity</v>
      </c>
      <c r="S67" s="132">
        <f>IFERROR(__xludf.DUMMYFUNCTION("""COMPUTED_VALUE"""),97.82)</f>
        <v>97.82</v>
      </c>
      <c r="T67" s="132">
        <f>IFERROR(__xludf.DUMMYFUNCTION("""COMPUTED_VALUE"""),19.564)</f>
        <v>19.564</v>
      </c>
      <c r="U67" s="132" t="str">
        <f>IFERROR(__xludf.DUMMYFUNCTION("""COMPUTED_VALUE"""),"Paid")</f>
        <v>Paid</v>
      </c>
      <c r="V67" s="132" t="str">
        <f>IFERROR(__xludf.DUMMYFUNCTION("""COMPUTED_VALUE"""),"Paid")</f>
        <v>Paid</v>
      </c>
      <c r="W67" s="132" t="str">
        <f>IFERROR(__xludf.DUMMYFUNCTION("""COMPUTED_VALUE"""),"Paid")</f>
        <v>Paid</v>
      </c>
      <c r="X67" s="132" t="str">
        <f>IFERROR(__xludf.DUMMYFUNCTION("""COMPUTED_VALUE"""),"Paid")</f>
        <v>Paid</v>
      </c>
      <c r="Y67" s="132" t="str">
        <f>IFERROR(__xludf.DUMMYFUNCTION("""COMPUTED_VALUE"""),"Paid")</f>
        <v>Paid</v>
      </c>
      <c r="Z67" s="132"/>
    </row>
    <row r="68">
      <c r="A68" s="133">
        <f>IFERROR(__xludf.DUMMYFUNCTION("""COMPUTED_VALUE"""),45465.0)</f>
        <v>45465</v>
      </c>
      <c r="B68" s="132" t="str">
        <f>IFERROR(__xludf.DUMMYFUNCTION("""COMPUTED_VALUE"""),"Phoexis")</f>
        <v>Phoexis</v>
      </c>
      <c r="C68" s="132" t="str">
        <f>IFERROR(__xludf.DUMMYFUNCTION("""COMPUTED_VALUE"""),"食物")</f>
        <v>食物</v>
      </c>
      <c r="D68" s="132">
        <f>IFERROR(__xludf.DUMMYFUNCTION("""COMPUTED_VALUE"""),87.76)</f>
        <v>87.76</v>
      </c>
      <c r="E68" s="132" t="str">
        <f>IFERROR(__xludf.DUMMYFUNCTION("""COMPUTED_VALUE"""),"Pigskin")</f>
        <v>Pigskin</v>
      </c>
      <c r="F68" s="132">
        <f>IFERROR(__xludf.DUMMYFUNCTION("""COMPUTED_VALUE"""),14.626666666666667)</f>
        <v>14.62666667</v>
      </c>
      <c r="G68" s="132">
        <f>IFERROR(__xludf.DUMMYFUNCTION("""COMPUTED_VALUE"""),14.626666666666667)</f>
        <v>14.62666667</v>
      </c>
      <c r="H68" s="132">
        <f>IFERROR(__xludf.DUMMYFUNCTION("""COMPUTED_VALUE"""),1.0)</f>
        <v>1</v>
      </c>
      <c r="I68" s="132">
        <f>IFERROR(__xludf.DUMMYFUNCTION("""COMPUTED_VALUE"""),1.0)</f>
        <v>1</v>
      </c>
      <c r="J68" s="132">
        <f>IFERROR(__xludf.DUMMYFUNCTION("""COMPUTED_VALUE"""),1.0)</f>
        <v>1</v>
      </c>
      <c r="K68" s="132">
        <f>IFERROR(__xludf.DUMMYFUNCTION("""COMPUTED_VALUE"""),1.0)</f>
        <v>1</v>
      </c>
      <c r="L68" s="132"/>
      <c r="M68" s="132">
        <f>IFERROR(__xludf.DUMMYFUNCTION("""COMPUTED_VALUE"""),1.0)</f>
        <v>1</v>
      </c>
      <c r="N68" s="132">
        <f>IFERROR(__xludf.DUMMYFUNCTION("""COMPUTED_VALUE"""),1.0)</f>
        <v>1</v>
      </c>
      <c r="O68" s="132"/>
      <c r="P68" s="132"/>
      <c r="Q68" s="132"/>
      <c r="R68" s="132" t="str">
        <f>IFERROR(__xludf.DUMMYFUNCTION("""COMPUTED_VALUE"""),"Internet")</f>
        <v>Internet</v>
      </c>
      <c r="S68" s="132">
        <f>IFERROR(__xludf.DUMMYFUNCTION("""COMPUTED_VALUE"""),56.5)</f>
        <v>56.5</v>
      </c>
      <c r="T68" s="132">
        <f>IFERROR(__xludf.DUMMYFUNCTION("""COMPUTED_VALUE"""),11.3)</f>
        <v>11.3</v>
      </c>
      <c r="U68" s="132" t="str">
        <f>IFERROR(__xludf.DUMMYFUNCTION("""COMPUTED_VALUE"""),"Paid")</f>
        <v>Paid</v>
      </c>
      <c r="V68" s="132" t="str">
        <f>IFERROR(__xludf.DUMMYFUNCTION("""COMPUTED_VALUE"""),"Paid")</f>
        <v>Paid</v>
      </c>
      <c r="W68" s="132" t="str">
        <f>IFERROR(__xludf.DUMMYFUNCTION("""COMPUTED_VALUE"""),"Paid")</f>
        <v>Paid</v>
      </c>
      <c r="X68" s="132" t="str">
        <f>IFERROR(__xludf.DUMMYFUNCTION("""COMPUTED_VALUE"""),"Paid")</f>
        <v>Paid</v>
      </c>
      <c r="Y68" s="132" t="str">
        <f>IFERROR(__xludf.DUMMYFUNCTION("""COMPUTED_VALUE"""),"Paid")</f>
        <v>Paid</v>
      </c>
      <c r="Z68" s="132"/>
    </row>
    <row r="69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>
        <f>IFERROR(__xludf.DUMMYFUNCTION("""COMPUTED_VALUE"""),3927.54)</f>
        <v>3927.54</v>
      </c>
      <c r="T69" s="132">
        <f>IFERROR(__xludf.DUMMYFUNCTION("""COMPUTED_VALUE"""),785.5079999999999)</f>
        <v>785.508</v>
      </c>
      <c r="U69" s="132"/>
      <c r="V69" s="132"/>
      <c r="W69" s="132"/>
      <c r="X69" s="132"/>
      <c r="Y69" s="132"/>
      <c r="Z69" s="132"/>
    </row>
    <row r="70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4">
        <f>IFERROR(__xludf.DUMMYFUNCTION("""COMPUTED_VALUE"""),45383.0)</f>
        <v>45383</v>
      </c>
      <c r="R71" s="132" t="str">
        <f>IFERROR(__xludf.DUMMYFUNCTION("""COMPUTED_VALUE"""),"Rent")</f>
        <v>Rent</v>
      </c>
      <c r="S71" s="132">
        <f>IFERROR(__xludf.DUMMYFUNCTION("""COMPUTED_VALUE"""),3600.0)</f>
        <v>3600</v>
      </c>
      <c r="T71" s="132">
        <f>IFERROR(__xludf.DUMMYFUNCTION("""COMPUTED_VALUE"""),720.0)</f>
        <v>720</v>
      </c>
      <c r="U71" s="132" t="str">
        <f>IFERROR(__xludf.DUMMYFUNCTION("""COMPUTED_VALUE"""),"Paid")</f>
        <v>Paid</v>
      </c>
      <c r="V71" s="132" t="str">
        <f>IFERROR(__xludf.DUMMYFUNCTION("""COMPUTED_VALUE"""),"Paid")</f>
        <v>Paid</v>
      </c>
      <c r="W71" s="132" t="str">
        <f>IFERROR(__xludf.DUMMYFUNCTION("""COMPUTED_VALUE"""),"Paid")</f>
        <v>Paid</v>
      </c>
      <c r="X71" s="132" t="str">
        <f>IFERROR(__xludf.DUMMYFUNCTION("""COMPUTED_VALUE"""),"Paid")</f>
        <v>Paid</v>
      </c>
      <c r="Y71" s="132" t="str">
        <f>IFERROR(__xludf.DUMMYFUNCTION("""COMPUTED_VALUE"""),"Paid")</f>
        <v>Paid</v>
      </c>
      <c r="Z71" s="132"/>
    </row>
    <row r="72">
      <c r="A72" s="133">
        <f>IFERROR(__xludf.DUMMYFUNCTION("""COMPUTED_VALUE"""),45467.0)</f>
        <v>45467</v>
      </c>
      <c r="B72" s="132" t="str">
        <f>IFERROR(__xludf.DUMMYFUNCTION("""COMPUTED_VALUE"""),"foody")</f>
        <v>foody</v>
      </c>
      <c r="C72" s="132" t="str">
        <f>IFERROR(__xludf.DUMMYFUNCTION("""COMPUTED_VALUE"""),"食物")</f>
        <v>食物</v>
      </c>
      <c r="D72" s="132">
        <f>IFERROR(__xludf.DUMMYFUNCTION("""COMPUTED_VALUE"""),39.56)</f>
        <v>39.56</v>
      </c>
      <c r="E72" s="132" t="str">
        <f>IFERROR(__xludf.DUMMYFUNCTION("""COMPUTED_VALUE"""),"Rachel")</f>
        <v>Rachel</v>
      </c>
      <c r="F72" s="132">
        <f>IFERROR(__xludf.DUMMYFUNCTION("""COMPUTED_VALUE"""),9.89)</f>
        <v>9.89</v>
      </c>
      <c r="G72" s="132">
        <f>IFERROR(__xludf.DUMMYFUNCTION("""COMPUTED_VALUE"""),9.89)</f>
        <v>9.89</v>
      </c>
      <c r="H72" s="132">
        <f>IFERROR(__xludf.DUMMYFUNCTION("""COMPUTED_VALUE"""),1.0)</f>
        <v>1</v>
      </c>
      <c r="I72" s="132">
        <f>IFERROR(__xludf.DUMMYFUNCTION("""COMPUTED_VALUE"""),1.0)</f>
        <v>1</v>
      </c>
      <c r="J72" s="132">
        <f>IFERROR(__xludf.DUMMYFUNCTION("""COMPUTED_VALUE"""),1.0)</f>
        <v>1</v>
      </c>
      <c r="K72" s="132">
        <f>IFERROR(__xludf.DUMMYFUNCTION("""COMPUTED_VALUE"""),1.0)</f>
        <v>1</v>
      </c>
      <c r="L72" s="132"/>
      <c r="M72" s="132"/>
      <c r="N72" s="132"/>
      <c r="O72" s="132"/>
      <c r="P72" s="132"/>
      <c r="Q72" s="132"/>
      <c r="R72" s="132" t="str">
        <f>IFERROR(__xludf.DUMMYFUNCTION("""COMPUTED_VALUE"""),"o")</f>
        <v>o</v>
      </c>
      <c r="S72" s="132"/>
      <c r="T72" s="132"/>
      <c r="U72" s="132"/>
      <c r="V72" s="132"/>
      <c r="W72" s="132"/>
      <c r="X72" s="132"/>
      <c r="Y72" s="132"/>
      <c r="Z72" s="132"/>
    </row>
    <row r="73">
      <c r="A73" s="133">
        <f>IFERROR(__xludf.DUMMYFUNCTION("""COMPUTED_VALUE"""),45468.0)</f>
        <v>45468</v>
      </c>
      <c r="B73" s="132" t="str">
        <f>IFERROR(__xludf.DUMMYFUNCTION("""COMPUTED_VALUE"""),"Tnt")</f>
        <v>Tnt</v>
      </c>
      <c r="C73" s="132" t="str">
        <f>IFERROR(__xludf.DUMMYFUNCTION("""COMPUTED_VALUE"""),"食物")</f>
        <v>食物</v>
      </c>
      <c r="D73" s="132">
        <f>IFERROR(__xludf.DUMMYFUNCTION("""COMPUTED_VALUE"""),49.73)</f>
        <v>49.73</v>
      </c>
      <c r="E73" s="132" t="str">
        <f>IFERROR(__xludf.DUMMYFUNCTION("""COMPUTED_VALUE"""),"Esther")</f>
        <v>Esther</v>
      </c>
      <c r="F73" s="132">
        <f>IFERROR(__xludf.DUMMYFUNCTION("""COMPUTED_VALUE"""),7.104285714285714)</f>
        <v>7.104285714</v>
      </c>
      <c r="G73" s="132">
        <f>IFERROR(__xludf.DUMMYFUNCTION("""COMPUTED_VALUE"""),7.104285714285714)</f>
        <v>7.104285714</v>
      </c>
      <c r="H73" s="132">
        <f>IFERROR(__xludf.DUMMYFUNCTION("""COMPUTED_VALUE"""),1.0)</f>
        <v>1</v>
      </c>
      <c r="I73" s="132">
        <f>IFERROR(__xludf.DUMMYFUNCTION("""COMPUTED_VALUE"""),1.0)</f>
        <v>1</v>
      </c>
      <c r="J73" s="132">
        <f>IFERROR(__xludf.DUMMYFUNCTION("""COMPUTED_VALUE"""),1.0)</f>
        <v>1</v>
      </c>
      <c r="K73" s="132">
        <f>IFERROR(__xludf.DUMMYFUNCTION("""COMPUTED_VALUE"""),1.0)</f>
        <v>1</v>
      </c>
      <c r="L73" s="132">
        <f>IFERROR(__xludf.DUMMYFUNCTION("""COMPUTED_VALUE"""),1.0)</f>
        <v>1</v>
      </c>
      <c r="M73" s="132">
        <f>IFERROR(__xludf.DUMMYFUNCTION("""COMPUTED_VALUE"""),1.0)</f>
        <v>1</v>
      </c>
      <c r="N73" s="132">
        <f>IFERROR(__xludf.DUMMYFUNCTION("""COMPUTED_VALUE"""),1.0)</f>
        <v>1</v>
      </c>
      <c r="O73" s="132"/>
      <c r="P73" s="132"/>
      <c r="Q73" s="132"/>
      <c r="R73" s="132" t="str">
        <f>IFERROR(__xludf.DUMMYFUNCTION("""COMPUTED_VALUE"""),"Heat")</f>
        <v>Heat</v>
      </c>
      <c r="S73" s="132">
        <f>IFERROR(__xludf.DUMMYFUNCTION("""COMPUTED_VALUE"""),169.33)</f>
        <v>169.33</v>
      </c>
      <c r="T73" s="132">
        <f>IFERROR(__xludf.DUMMYFUNCTION("""COMPUTED_VALUE"""),33.866)</f>
        <v>33.866</v>
      </c>
      <c r="U73" s="132" t="str">
        <f>IFERROR(__xludf.DUMMYFUNCTION("""COMPUTED_VALUE"""),"Paid")</f>
        <v>Paid</v>
      </c>
      <c r="V73" s="132" t="str">
        <f>IFERROR(__xludf.DUMMYFUNCTION("""COMPUTED_VALUE"""),"Paid")</f>
        <v>Paid</v>
      </c>
      <c r="W73" s="132" t="str">
        <f>IFERROR(__xludf.DUMMYFUNCTION("""COMPUTED_VALUE"""),"Paid")</f>
        <v>Paid</v>
      </c>
      <c r="X73" s="132" t="str">
        <f>IFERROR(__xludf.DUMMYFUNCTION("""COMPUTED_VALUE"""),"Paid")</f>
        <v>Paid</v>
      </c>
      <c r="Y73" s="132" t="str">
        <f>IFERROR(__xludf.DUMMYFUNCTION("""COMPUTED_VALUE"""),"Paid")</f>
        <v>Paid</v>
      </c>
      <c r="Z73" s="132"/>
    </row>
    <row r="74">
      <c r="A74" s="133">
        <f>IFERROR(__xludf.DUMMYFUNCTION("""COMPUTED_VALUE"""),45470.0)</f>
        <v>45470</v>
      </c>
      <c r="B74" s="132" t="str">
        <f>IFERROR(__xludf.DUMMYFUNCTION("""COMPUTED_VALUE"""),"Foody")</f>
        <v>Foody</v>
      </c>
      <c r="C74" s="132" t="str">
        <f>IFERROR(__xludf.DUMMYFUNCTION("""COMPUTED_VALUE"""),"食物")</f>
        <v>食物</v>
      </c>
      <c r="D74" s="132">
        <f>IFERROR(__xludf.DUMMYFUNCTION("""COMPUTED_VALUE"""),36.02)</f>
        <v>36.02</v>
      </c>
      <c r="E74" s="132" t="str">
        <f>IFERROR(__xludf.DUMMYFUNCTION("""COMPUTED_VALUE"""),"Pigskin")</f>
        <v>Pigskin</v>
      </c>
      <c r="F74" s="132">
        <f>IFERROR(__xludf.DUMMYFUNCTION("""COMPUTED_VALUE"""),7.204000000000001)</f>
        <v>7.204</v>
      </c>
      <c r="G74" s="132">
        <f>IFERROR(__xludf.DUMMYFUNCTION("""COMPUTED_VALUE"""),7.204000000000001)</f>
        <v>7.204</v>
      </c>
      <c r="H74" s="132">
        <f>IFERROR(__xludf.DUMMYFUNCTION("""COMPUTED_VALUE"""),1.0)</f>
        <v>1</v>
      </c>
      <c r="I74" s="132">
        <f>IFERROR(__xludf.DUMMYFUNCTION("""COMPUTED_VALUE"""),1.0)</f>
        <v>1</v>
      </c>
      <c r="J74" s="132">
        <f>IFERROR(__xludf.DUMMYFUNCTION("""COMPUTED_VALUE"""),1.0)</f>
        <v>1</v>
      </c>
      <c r="K74" s="132">
        <f>IFERROR(__xludf.DUMMYFUNCTION("""COMPUTED_VALUE"""),1.0)</f>
        <v>1</v>
      </c>
      <c r="L74" s="132"/>
      <c r="M74" s="132"/>
      <c r="N74" s="132">
        <f>IFERROR(__xludf.DUMMYFUNCTION("""COMPUTED_VALUE"""),1.0)</f>
        <v>1</v>
      </c>
      <c r="O74" s="132"/>
      <c r="P74" s="132"/>
      <c r="Q74" s="132"/>
      <c r="R74" s="132" t="str">
        <f>IFERROR(__xludf.DUMMYFUNCTION("""COMPUTED_VALUE"""),"Electricity")</f>
        <v>Electricity</v>
      </c>
      <c r="S74" s="132">
        <f>IFERROR(__xludf.DUMMYFUNCTION("""COMPUTED_VALUE"""),104.26)</f>
        <v>104.26</v>
      </c>
      <c r="T74" s="132">
        <f>IFERROR(__xludf.DUMMYFUNCTION("""COMPUTED_VALUE"""),20.852)</f>
        <v>20.852</v>
      </c>
      <c r="U74" s="132" t="str">
        <f>IFERROR(__xludf.DUMMYFUNCTION("""COMPUTED_VALUE"""),"Paid")</f>
        <v>Paid</v>
      </c>
      <c r="V74" s="132" t="str">
        <f>IFERROR(__xludf.DUMMYFUNCTION("""COMPUTED_VALUE"""),"Paid")</f>
        <v>Paid</v>
      </c>
      <c r="W74" s="132" t="str">
        <f>IFERROR(__xludf.DUMMYFUNCTION("""COMPUTED_VALUE"""),"Paid")</f>
        <v>Paid</v>
      </c>
      <c r="X74" s="132" t="str">
        <f>IFERROR(__xludf.DUMMYFUNCTION("""COMPUTED_VALUE"""),"Paid")</f>
        <v>Paid</v>
      </c>
      <c r="Y74" s="132" t="str">
        <f>IFERROR(__xludf.DUMMYFUNCTION("""COMPUTED_VALUE"""),"Paid")</f>
        <v>Paid</v>
      </c>
      <c r="Z74" s="132"/>
    </row>
    <row r="75">
      <c r="A75" s="136">
        <f>IFERROR(__xludf.DUMMYFUNCTION("""COMPUTED_VALUE"""),45471.0)</f>
        <v>45471</v>
      </c>
      <c r="B75" s="132" t="str">
        <f>IFERROR(__xludf.DUMMYFUNCTION("""COMPUTED_VALUE"""),"Foody")</f>
        <v>Foody</v>
      </c>
      <c r="C75" s="132" t="str">
        <f>IFERROR(__xludf.DUMMYFUNCTION("""COMPUTED_VALUE"""),"食物")</f>
        <v>食物</v>
      </c>
      <c r="D75" s="132">
        <f>IFERROR(__xludf.DUMMYFUNCTION("""COMPUTED_VALUE"""),21.34)</f>
        <v>21.34</v>
      </c>
      <c r="E75" s="132" t="str">
        <f>IFERROR(__xludf.DUMMYFUNCTION("""COMPUTED_VALUE"""),"BL")</f>
        <v>BL</v>
      </c>
      <c r="F75" s="132">
        <f>IFERROR(__xludf.DUMMYFUNCTION("""COMPUTED_VALUE"""),4.268)</f>
        <v>4.268</v>
      </c>
      <c r="G75" s="132">
        <f>IFERROR(__xludf.DUMMYFUNCTION("""COMPUTED_VALUE"""),4.268)</f>
        <v>4.268</v>
      </c>
      <c r="H75" s="132">
        <f>IFERROR(__xludf.DUMMYFUNCTION("""COMPUTED_VALUE"""),1.0)</f>
        <v>1</v>
      </c>
      <c r="I75" s="132">
        <f>IFERROR(__xludf.DUMMYFUNCTION("""COMPUTED_VALUE"""),1.0)</f>
        <v>1</v>
      </c>
      <c r="J75" s="132">
        <f>IFERROR(__xludf.DUMMYFUNCTION("""COMPUTED_VALUE"""),1.0)</f>
        <v>1</v>
      </c>
      <c r="K75" s="132">
        <f>IFERROR(__xludf.DUMMYFUNCTION("""COMPUTED_VALUE"""),1.0)</f>
        <v>1</v>
      </c>
      <c r="L75" s="132"/>
      <c r="M75" s="132">
        <f>IFERROR(__xludf.DUMMYFUNCTION("""COMPUTED_VALUE"""),1.0)</f>
        <v>1</v>
      </c>
      <c r="N75" s="132"/>
      <c r="O75" s="132"/>
      <c r="P75" s="132"/>
      <c r="Q75" s="132"/>
      <c r="R75" s="132" t="str">
        <f>IFERROR(__xludf.DUMMYFUNCTION("""COMPUTED_VALUE"""),"Internet")</f>
        <v>Internet</v>
      </c>
      <c r="S75" s="132">
        <f>IFERROR(__xludf.DUMMYFUNCTION("""COMPUTED_VALUE"""),56.5)</f>
        <v>56.5</v>
      </c>
      <c r="T75" s="132">
        <f>IFERROR(__xludf.DUMMYFUNCTION("""COMPUTED_VALUE"""),11.3)</f>
        <v>11.3</v>
      </c>
      <c r="U75" s="132" t="str">
        <f>IFERROR(__xludf.DUMMYFUNCTION("""COMPUTED_VALUE"""),"Paid")</f>
        <v>Paid</v>
      </c>
      <c r="V75" s="132" t="str">
        <f>IFERROR(__xludf.DUMMYFUNCTION("""COMPUTED_VALUE"""),"Paid")</f>
        <v>Paid</v>
      </c>
      <c r="W75" s="132" t="str">
        <f>IFERROR(__xludf.DUMMYFUNCTION("""COMPUTED_VALUE"""),"Paid")</f>
        <v>Paid</v>
      </c>
      <c r="X75" s="132" t="str">
        <f>IFERROR(__xludf.DUMMYFUNCTION("""COMPUTED_VALUE"""),"Paid")</f>
        <v>Paid</v>
      </c>
      <c r="Y75" s="132" t="str">
        <f>IFERROR(__xludf.DUMMYFUNCTION("""COMPUTED_VALUE"""),"Paid")</f>
        <v>Paid</v>
      </c>
      <c r="Z75" s="132"/>
    </row>
    <row r="76">
      <c r="A76" s="133">
        <f>IFERROR(__xludf.DUMMYFUNCTION("""COMPUTED_VALUE"""),45472.0)</f>
        <v>45472</v>
      </c>
      <c r="B76" s="132" t="str">
        <f>IFERROR(__xludf.DUMMYFUNCTION("""COMPUTED_VALUE"""),"Foody")</f>
        <v>Foody</v>
      </c>
      <c r="C76" s="132" t="str">
        <f>IFERROR(__xludf.DUMMYFUNCTION("""COMPUTED_VALUE"""),"食物")</f>
        <v>食物</v>
      </c>
      <c r="D76" s="135">
        <f>IFERROR(__xludf.DUMMYFUNCTION("""COMPUTED_VALUE"""),38.83)</f>
        <v>38.83</v>
      </c>
      <c r="E76" s="132" t="str">
        <f>IFERROR(__xludf.DUMMYFUNCTION("""COMPUTED_VALUE"""),"Rachel")</f>
        <v>Rachel</v>
      </c>
      <c r="F76" s="132">
        <f>IFERROR(__xludf.DUMMYFUNCTION("""COMPUTED_VALUE"""),5.547142857142857)</f>
        <v>5.547142857</v>
      </c>
      <c r="G76" s="132">
        <f>IFERROR(__xludf.DUMMYFUNCTION("""COMPUTED_VALUE"""),5.547142857142857)</f>
        <v>5.547142857</v>
      </c>
      <c r="H76" s="132">
        <f>IFERROR(__xludf.DUMMYFUNCTION("""COMPUTED_VALUE"""),1.0)</f>
        <v>1</v>
      </c>
      <c r="I76" s="132">
        <f>IFERROR(__xludf.DUMMYFUNCTION("""COMPUTED_VALUE"""),1.0)</f>
        <v>1</v>
      </c>
      <c r="J76" s="132">
        <f>IFERROR(__xludf.DUMMYFUNCTION("""COMPUTED_VALUE"""),1.0)</f>
        <v>1</v>
      </c>
      <c r="K76" s="132">
        <f>IFERROR(__xludf.DUMMYFUNCTION("""COMPUTED_VALUE"""),1.0)</f>
        <v>1</v>
      </c>
      <c r="L76" s="132">
        <f>IFERROR(__xludf.DUMMYFUNCTION("""COMPUTED_VALUE"""),1.0)</f>
        <v>1</v>
      </c>
      <c r="M76" s="132">
        <f>IFERROR(__xludf.DUMMYFUNCTION("""COMPUTED_VALUE"""),1.0)</f>
        <v>1</v>
      </c>
      <c r="N76" s="132">
        <f>IFERROR(__xludf.DUMMYFUNCTION("""COMPUTED_VALUE"""),1.0)</f>
        <v>1</v>
      </c>
      <c r="O76" s="132"/>
      <c r="P76" s="132"/>
      <c r="Q76" s="132"/>
      <c r="R76" s="132"/>
      <c r="S76" s="132">
        <f>IFERROR(__xludf.DUMMYFUNCTION("""COMPUTED_VALUE"""),3930.09)</f>
        <v>3930.09</v>
      </c>
      <c r="T76" s="132">
        <f>IFERROR(__xludf.DUMMYFUNCTION("""COMPUTED_VALUE"""),786.0179999999999)</f>
        <v>786.018</v>
      </c>
      <c r="U76" s="132"/>
      <c r="V76" s="132"/>
      <c r="W76" s="132"/>
      <c r="X76" s="132"/>
      <c r="Y76" s="132"/>
      <c r="Z76" s="132"/>
    </row>
    <row r="77">
      <c r="A77" s="136">
        <f>IFERROR(__xludf.DUMMYFUNCTION("""COMPUTED_VALUE"""),45467.0)</f>
        <v>45467</v>
      </c>
      <c r="B77" s="132" t="str">
        <f>IFERROR(__xludf.DUMMYFUNCTION("""COMPUTED_VALUE"""),"Food basic")</f>
        <v>Food basic</v>
      </c>
      <c r="C77" s="132" t="str">
        <f>IFERROR(__xludf.DUMMYFUNCTION("""COMPUTED_VALUE"""),"食物")</f>
        <v>食物</v>
      </c>
      <c r="D77" s="132">
        <f>IFERROR(__xludf.DUMMYFUNCTION("""COMPUTED_VALUE"""),2.74)</f>
        <v>2.74</v>
      </c>
      <c r="E77" s="132" t="str">
        <f>IFERROR(__xludf.DUMMYFUNCTION("""COMPUTED_VALUE"""),"Pigskin")</f>
        <v>Pigskin</v>
      </c>
      <c r="F77" s="132">
        <f>IFERROR(__xludf.DUMMYFUNCTION("""COMPUTED_VALUE"""),0.548)</f>
        <v>0.548</v>
      </c>
      <c r="G77" s="132">
        <f>IFERROR(__xludf.DUMMYFUNCTION("""COMPUTED_VALUE"""),0.548)</f>
        <v>0.548</v>
      </c>
      <c r="H77" s="132">
        <f>IFERROR(__xludf.DUMMYFUNCTION("""COMPUTED_VALUE"""),1.0)</f>
        <v>1</v>
      </c>
      <c r="I77" s="132">
        <f>IFERROR(__xludf.DUMMYFUNCTION("""COMPUTED_VALUE"""),1.0)</f>
        <v>1</v>
      </c>
      <c r="J77" s="132">
        <f>IFERROR(__xludf.DUMMYFUNCTION("""COMPUTED_VALUE"""),1.0)</f>
        <v>1</v>
      </c>
      <c r="K77" s="132">
        <f>IFERROR(__xludf.DUMMYFUNCTION("""COMPUTED_VALUE"""),1.0)</f>
        <v>1</v>
      </c>
      <c r="L77" s="132"/>
      <c r="M77" s="132">
        <f>IFERROR(__xludf.DUMMYFUNCTION("""COMPUTED_VALUE"""),1.0)</f>
        <v>1</v>
      </c>
      <c r="N77" s="132"/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3">
        <f>IFERROR(__xludf.DUMMYFUNCTION("""COMPUTED_VALUE"""),45469.0)</f>
        <v>45469</v>
      </c>
      <c r="B78" s="132" t="str">
        <f>IFERROR(__xludf.DUMMYFUNCTION("""COMPUTED_VALUE"""),"Ramen")</f>
        <v>Ramen</v>
      </c>
      <c r="C78" s="132" t="str">
        <f>IFERROR(__xludf.DUMMYFUNCTION("""COMPUTED_VALUE"""),"食物")</f>
        <v>食物</v>
      </c>
      <c r="D78" s="135">
        <f>IFERROR(__xludf.DUMMYFUNCTION("""COMPUTED_VALUE"""),55.82)</f>
        <v>55.82</v>
      </c>
      <c r="E78" s="132" t="str">
        <f>IFERROR(__xludf.DUMMYFUNCTION("""COMPUTED_VALUE"""),"BL")</f>
        <v>BL</v>
      </c>
      <c r="F78" s="132">
        <f>IFERROR(__xludf.DUMMYFUNCTION("""COMPUTED_VALUE"""),18.606666666666666)</f>
        <v>18.60666667</v>
      </c>
      <c r="G78" s="132">
        <f>IFERROR(__xludf.DUMMYFUNCTION("""COMPUTED_VALUE"""),18.606666666666666)</f>
        <v>18.60666667</v>
      </c>
      <c r="H78" s="132"/>
      <c r="I78" s="132"/>
      <c r="J78" s="132">
        <f>IFERROR(__xludf.DUMMYFUNCTION("""COMPUTED_VALUE"""),1.0)</f>
        <v>1</v>
      </c>
      <c r="K78" s="132">
        <f>IFERROR(__xludf.DUMMYFUNCTION("""COMPUTED_VALUE"""),1.0)</f>
        <v>1</v>
      </c>
      <c r="L78" s="132"/>
      <c r="M78" s="132">
        <f>IFERROR(__xludf.DUMMYFUNCTION("""COMPUTED_VALUE"""),1.0)</f>
        <v>1</v>
      </c>
      <c r="N78" s="132"/>
      <c r="O78" s="132"/>
      <c r="P78" s="132"/>
      <c r="Q78" s="134">
        <f>IFERROR(__xludf.DUMMYFUNCTION("""COMPUTED_VALUE"""),45413.0)</f>
        <v>45413</v>
      </c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6">
        <f>IFERROR(__xludf.DUMMYFUNCTION("""COMPUTED_VALUE"""),45454.0)</f>
        <v>45454</v>
      </c>
      <c r="B79" s="132" t="str">
        <f>IFERROR(__xludf.DUMMYFUNCTION("""COMPUTED_VALUE"""),"hand cream")</f>
        <v>hand cream</v>
      </c>
      <c r="C79" s="132" t="str">
        <f>IFERROR(__xludf.DUMMYFUNCTION("""COMPUTED_VALUE"""),"居家")</f>
        <v>居家</v>
      </c>
      <c r="D79" s="132">
        <f>IFERROR(__xludf.DUMMYFUNCTION("""COMPUTED_VALUE"""),25.98)</f>
        <v>25.98</v>
      </c>
      <c r="E79" s="132" t="str">
        <f>IFERROR(__xludf.DUMMYFUNCTION("""COMPUTED_VALUE"""),"BL")</f>
        <v>BL</v>
      </c>
      <c r="F79" s="132">
        <f>IFERROR(__xludf.DUMMYFUNCTION("""COMPUTED_VALUE"""),12.99)</f>
        <v>12.99</v>
      </c>
      <c r="G79" s="132">
        <f>IFERROR(__xludf.DUMMYFUNCTION("""COMPUTED_VALUE"""),12.99)</f>
        <v>12.99</v>
      </c>
      <c r="H79" s="132"/>
      <c r="I79" s="132"/>
      <c r="J79" s="132">
        <f>IFERROR(__xludf.DUMMYFUNCTION("""COMPUTED_VALUE"""),1.0)</f>
        <v>1</v>
      </c>
      <c r="K79" s="132">
        <f>IFERROR(__xludf.DUMMYFUNCTION("""COMPUTED_VALUE"""),1.0)</f>
        <v>1</v>
      </c>
      <c r="L79" s="132"/>
      <c r="M79" s="132"/>
      <c r="N79" s="132"/>
      <c r="O79" s="132"/>
      <c r="P79" s="132"/>
      <c r="Q79" s="132"/>
      <c r="R79" s="132" t="str">
        <f>IFERROR(__xludf.DUMMYFUNCTION("""COMPUTED_VALUE"""),"Water")</f>
        <v>Water</v>
      </c>
      <c r="S79" s="132">
        <f>IFERROR(__xludf.DUMMYFUNCTION("""COMPUTED_VALUE"""),428.7)</f>
        <v>428.7</v>
      </c>
      <c r="T79" s="132">
        <f>IFERROR(__xludf.DUMMYFUNCTION("""COMPUTED_VALUE"""),85.74)</f>
        <v>85.74</v>
      </c>
      <c r="U79" s="132" t="str">
        <f>IFERROR(__xludf.DUMMYFUNCTION("""COMPUTED_VALUE"""),"Paid")</f>
        <v>Paid</v>
      </c>
      <c r="V79" s="132" t="str">
        <f>IFERROR(__xludf.DUMMYFUNCTION("""COMPUTED_VALUE"""),"Paid")</f>
        <v>Paid</v>
      </c>
      <c r="W79" s="132" t="str">
        <f>IFERROR(__xludf.DUMMYFUNCTION("""COMPUTED_VALUE"""),"Paid")</f>
        <v>Paid</v>
      </c>
      <c r="X79" s="132" t="str">
        <f>IFERROR(__xludf.DUMMYFUNCTION("""COMPUTED_VALUE"""),"Paid")</f>
        <v>Paid</v>
      </c>
      <c r="Y79" s="132" t="str">
        <f>IFERROR(__xludf.DUMMYFUNCTION("""COMPUTED_VALUE"""),"Paid")</f>
        <v>Paid</v>
      </c>
      <c r="Z79" s="132"/>
    </row>
    <row r="80">
      <c r="A80" s="133">
        <f>IFERROR(__xludf.DUMMYFUNCTION("""COMPUTED_VALUE"""),45455.0)</f>
        <v>45455</v>
      </c>
      <c r="B80" s="132" t="str">
        <f>IFERROR(__xludf.DUMMYFUNCTION("""COMPUTED_VALUE"""),"Toothpaste")</f>
        <v>Toothpaste</v>
      </c>
      <c r="C80" s="132" t="str">
        <f>IFERROR(__xludf.DUMMYFUNCTION("""COMPUTED_VALUE"""),"居家")</f>
        <v>居家</v>
      </c>
      <c r="D80" s="132">
        <f>IFERROR(__xludf.DUMMYFUNCTION("""COMPUTED_VALUE"""),9.3903)</f>
        <v>9.3903</v>
      </c>
      <c r="E80" s="132" t="str">
        <f>IFERROR(__xludf.DUMMYFUNCTION("""COMPUTED_VALUE"""),"BL")</f>
        <v>BL</v>
      </c>
      <c r="F80" s="132">
        <f>IFERROR(__xludf.DUMMYFUNCTION("""COMPUTED_VALUE"""),3.1301)</f>
        <v>3.1301</v>
      </c>
      <c r="G80" s="132">
        <f>IFERROR(__xludf.DUMMYFUNCTION("""COMPUTED_VALUE"""),3.1301)</f>
        <v>3.1301</v>
      </c>
      <c r="H80" s="132"/>
      <c r="I80" s="132"/>
      <c r="J80" s="132">
        <f>IFERROR(__xludf.DUMMYFUNCTION("""COMPUTED_VALUE"""),1.0)</f>
        <v>1</v>
      </c>
      <c r="K80" s="132">
        <f>IFERROR(__xludf.DUMMYFUNCTION("""COMPUTED_VALUE"""),1.0)</f>
        <v>1</v>
      </c>
      <c r="L80" s="132"/>
      <c r="M80" s="132"/>
      <c r="N80" s="132">
        <f>IFERROR(__xludf.DUMMYFUNCTION("""COMPUTED_VALUE"""),1.0)</f>
        <v>1</v>
      </c>
      <c r="O80" s="132"/>
      <c r="P80" s="132"/>
      <c r="Q80" s="132"/>
      <c r="R80" s="132" t="str">
        <f>IFERROR(__xludf.DUMMYFUNCTION("""COMPUTED_VALUE"""),"Heat")</f>
        <v>Heat</v>
      </c>
      <c r="S80" s="132">
        <f>IFERROR(__xludf.DUMMYFUNCTION("""COMPUTED_VALUE"""),109.38)</f>
        <v>109.38</v>
      </c>
      <c r="T80" s="132">
        <f>IFERROR(__xludf.DUMMYFUNCTION("""COMPUTED_VALUE"""),21.875999999999998)</f>
        <v>21.876</v>
      </c>
      <c r="U80" s="132" t="str">
        <f>IFERROR(__xludf.DUMMYFUNCTION("""COMPUTED_VALUE"""),"Paid")</f>
        <v>Paid</v>
      </c>
      <c r="V80" s="132" t="str">
        <f>IFERROR(__xludf.DUMMYFUNCTION("""COMPUTED_VALUE"""),"Paid")</f>
        <v>Paid</v>
      </c>
      <c r="W80" s="132" t="str">
        <f>IFERROR(__xludf.DUMMYFUNCTION("""COMPUTED_VALUE"""),"Paid")</f>
        <v>Paid</v>
      </c>
      <c r="X80" s="132" t="str">
        <f>IFERROR(__xludf.DUMMYFUNCTION("""COMPUTED_VALUE"""),"Paid")</f>
        <v>Paid</v>
      </c>
      <c r="Y80" s="132" t="str">
        <f>IFERROR(__xludf.DUMMYFUNCTION("""COMPUTED_VALUE"""),"Paid")</f>
        <v>Paid</v>
      </c>
      <c r="Z80" s="132"/>
    </row>
    <row r="81">
      <c r="A81" s="133">
        <f>IFERROR(__xludf.DUMMYFUNCTION("""COMPUTED_VALUE"""),45455.0)</f>
        <v>45455</v>
      </c>
      <c r="B81" s="132" t="str">
        <f>IFERROR(__xludf.DUMMYFUNCTION("""COMPUTED_VALUE"""),"Spoon")</f>
        <v>Spoon</v>
      </c>
      <c r="C81" s="132" t="str">
        <f>IFERROR(__xludf.DUMMYFUNCTION("""COMPUTED_VALUE"""),"居家")</f>
        <v>居家</v>
      </c>
      <c r="D81" s="132">
        <f>IFERROR(__xludf.DUMMYFUNCTION("""COMPUTED_VALUE"""),22.588699999999996)</f>
        <v>22.5887</v>
      </c>
      <c r="E81" s="132" t="str">
        <f>IFERROR(__xludf.DUMMYFUNCTION("""COMPUTED_VALUE"""),"BL")</f>
        <v>BL</v>
      </c>
      <c r="F81" s="132">
        <f>IFERROR(__xludf.DUMMYFUNCTION("""COMPUTED_VALUE"""),4.517739999999999)</f>
        <v>4.51774</v>
      </c>
      <c r="G81" s="132">
        <f>IFERROR(__xludf.DUMMYFUNCTION("""COMPUTED_VALUE"""),4.517739999999999)</f>
        <v>4.51774</v>
      </c>
      <c r="H81" s="132">
        <f>IFERROR(__xludf.DUMMYFUNCTION("""COMPUTED_VALUE"""),1.0)</f>
        <v>1</v>
      </c>
      <c r="I81" s="132">
        <f>IFERROR(__xludf.DUMMYFUNCTION("""COMPUTED_VALUE"""),1.0)</f>
        <v>1</v>
      </c>
      <c r="J81" s="132">
        <f>IFERROR(__xludf.DUMMYFUNCTION("""COMPUTED_VALUE"""),1.0)</f>
        <v>1</v>
      </c>
      <c r="K81" s="132">
        <f>IFERROR(__xludf.DUMMYFUNCTION("""COMPUTED_VALUE"""),1.0)</f>
        <v>1</v>
      </c>
      <c r="L81" s="132"/>
      <c r="M81" s="132"/>
      <c r="N81" s="132">
        <f>IFERROR(__xludf.DUMMYFUNCTION("""COMPUTED_VALUE"""),1.0)</f>
        <v>1</v>
      </c>
      <c r="O81" s="132"/>
      <c r="P81" s="132"/>
      <c r="Q81" s="132"/>
      <c r="R81" s="132" t="str">
        <f>IFERROR(__xludf.DUMMYFUNCTION("""COMPUTED_VALUE"""),"Electricity")</f>
        <v>Electricity</v>
      </c>
      <c r="S81" s="132">
        <f>IFERROR(__xludf.DUMMYFUNCTION("""COMPUTED_VALUE"""),97.82)</f>
        <v>97.82</v>
      </c>
      <c r="T81" s="132">
        <f>IFERROR(__xludf.DUMMYFUNCTION("""COMPUTED_VALUE"""),19.564)</f>
        <v>19.564</v>
      </c>
      <c r="U81" s="132" t="str">
        <f>IFERROR(__xludf.DUMMYFUNCTION("""COMPUTED_VALUE"""),"Paid")</f>
        <v>Paid</v>
      </c>
      <c r="V81" s="132" t="str">
        <f>IFERROR(__xludf.DUMMYFUNCTION("""COMPUTED_VALUE"""),"Paid")</f>
        <v>Paid</v>
      </c>
      <c r="W81" s="132" t="str">
        <f>IFERROR(__xludf.DUMMYFUNCTION("""COMPUTED_VALUE"""),"Paid")</f>
        <v>Paid</v>
      </c>
      <c r="X81" s="132" t="str">
        <f>IFERROR(__xludf.DUMMYFUNCTION("""COMPUTED_VALUE"""),"Paid")</f>
        <v>Paid</v>
      </c>
      <c r="Y81" s="132" t="str">
        <f>IFERROR(__xludf.DUMMYFUNCTION("""COMPUTED_VALUE"""),"Paid")</f>
        <v>Paid</v>
      </c>
      <c r="Z81" s="132"/>
    </row>
    <row r="82">
      <c r="A82" s="133">
        <f>IFERROR(__xludf.DUMMYFUNCTION("""COMPUTED_VALUE"""),45464.0)</f>
        <v>45464</v>
      </c>
      <c r="B82" s="132" t="str">
        <f>IFERROR(__xludf.DUMMYFUNCTION("""COMPUTED_VALUE"""),"Macbook case")</f>
        <v>Macbook case</v>
      </c>
      <c r="C82" s="132" t="str">
        <f>IFERROR(__xludf.DUMMYFUNCTION("""COMPUTED_VALUE"""),"電子產品")</f>
        <v>電子產品</v>
      </c>
      <c r="D82" s="132">
        <f>IFERROR(__xludf.DUMMYFUNCTION("""COMPUTED_VALUE"""),30.5)</f>
        <v>30.5</v>
      </c>
      <c r="E82" s="132" t="str">
        <f>IFERROR(__xludf.DUMMYFUNCTION("""COMPUTED_VALUE"""),"BL")</f>
        <v>BL</v>
      </c>
      <c r="F82" s="132">
        <f>IFERROR(__xludf.DUMMYFUNCTION("""COMPUTED_VALUE"""),30.5)</f>
        <v>30.5</v>
      </c>
      <c r="G82" s="132">
        <f>IFERROR(__xludf.DUMMYFUNCTION("""COMPUTED_VALUE"""),30.5)</f>
        <v>30.5</v>
      </c>
      <c r="H82" s="132"/>
      <c r="I82" s="132"/>
      <c r="J82" s="132"/>
      <c r="K82" s="132"/>
      <c r="L82" s="132"/>
      <c r="M82" s="132">
        <f>IFERROR(__xludf.DUMMYFUNCTION("""COMPUTED_VALUE"""),1.0)</f>
        <v>1</v>
      </c>
      <c r="N82" s="132"/>
      <c r="O82" s="132"/>
      <c r="P82" s="132"/>
      <c r="Q82" s="132"/>
      <c r="R82" s="132" t="str">
        <f>IFERROR(__xludf.DUMMYFUNCTION("""COMPUTED_VALUE"""),"Internet")</f>
        <v>Internet</v>
      </c>
      <c r="S82" s="132">
        <f>IFERROR(__xludf.DUMMYFUNCTION("""COMPUTED_VALUE"""),56.5)</f>
        <v>56.5</v>
      </c>
      <c r="T82" s="132">
        <f>IFERROR(__xludf.DUMMYFUNCTION("""COMPUTED_VALUE"""),11.3)</f>
        <v>11.3</v>
      </c>
      <c r="U82" s="132" t="str">
        <f>IFERROR(__xludf.DUMMYFUNCTION("""COMPUTED_VALUE"""),"Paid")</f>
        <v>Paid</v>
      </c>
      <c r="V82" s="132" t="str">
        <f>IFERROR(__xludf.DUMMYFUNCTION("""COMPUTED_VALUE"""),"Paid")</f>
        <v>Paid</v>
      </c>
      <c r="W82" s="132" t="str">
        <f>IFERROR(__xludf.DUMMYFUNCTION("""COMPUTED_VALUE"""),"Paid")</f>
        <v>Paid</v>
      </c>
      <c r="X82" s="132" t="str">
        <f>IFERROR(__xludf.DUMMYFUNCTION("""COMPUTED_VALUE"""),"Paid")</f>
        <v>Paid</v>
      </c>
      <c r="Y82" s="132" t="str">
        <f>IFERROR(__xludf.DUMMYFUNCTION("""COMPUTED_VALUE"""),"Paid")</f>
        <v>Paid</v>
      </c>
      <c r="Z82" s="132"/>
    </row>
    <row r="83">
      <c r="A83" s="136">
        <f>IFERROR(__xludf.DUMMYFUNCTION("""COMPUTED_VALUE"""),45464.0)</f>
        <v>45464</v>
      </c>
      <c r="B83" s="132" t="str">
        <f>IFERROR(__xludf.DUMMYFUNCTION("""COMPUTED_VALUE"""),"Macbook case")</f>
        <v>Macbook case</v>
      </c>
      <c r="C83" s="132" t="str">
        <f>IFERROR(__xludf.DUMMYFUNCTION("""COMPUTED_VALUE"""),"電子產品")</f>
        <v>電子產品</v>
      </c>
      <c r="D83" s="132">
        <f>IFERROR(__xludf.DUMMYFUNCTION("""COMPUTED_VALUE"""),33.88)</f>
        <v>33.88</v>
      </c>
      <c r="E83" s="132" t="str">
        <f>IFERROR(__xludf.DUMMYFUNCTION("""COMPUTED_VALUE"""),"BL")</f>
        <v>BL</v>
      </c>
      <c r="F83" s="132">
        <f>IFERROR(__xludf.DUMMYFUNCTION("""COMPUTED_VALUE"""),33.88)</f>
        <v>33.88</v>
      </c>
      <c r="G83" s="132">
        <f>IFERROR(__xludf.DUMMYFUNCTION("""COMPUTED_VALUE"""),33.88)</f>
        <v>33.88</v>
      </c>
      <c r="H83" s="132"/>
      <c r="I83" s="132"/>
      <c r="J83" s="132"/>
      <c r="K83" s="132"/>
      <c r="L83" s="132"/>
      <c r="M83" s="132">
        <f>IFERROR(__xludf.DUMMYFUNCTION("""COMPUTED_VALUE"""),1.0)</f>
        <v>1</v>
      </c>
      <c r="N83" s="132"/>
      <c r="O83" s="132"/>
      <c r="P83" s="132"/>
      <c r="Q83" s="132"/>
      <c r="R83" s="132"/>
      <c r="S83" s="132">
        <f>IFERROR(__xludf.DUMMYFUNCTION("""COMPUTED_VALUE"""),692.3999999999999)</f>
        <v>692.4</v>
      </c>
      <c r="T83" s="132">
        <f>IFERROR(__xludf.DUMMYFUNCTION("""COMPUTED_VALUE"""),138.48)</f>
        <v>138.48</v>
      </c>
      <c r="U83" s="132"/>
      <c r="V83" s="132"/>
      <c r="W83" s="132"/>
      <c r="X83" s="132"/>
      <c r="Y83" s="132"/>
      <c r="Z83" s="132"/>
    </row>
    <row r="84">
      <c r="A84" s="136">
        <f>IFERROR(__xludf.DUMMYFUNCTION("""COMPUTED_VALUE"""),45467.0)</f>
        <v>45467</v>
      </c>
      <c r="B84" s="132" t="str">
        <f>IFERROR(__xludf.DUMMYFUNCTION("""COMPUTED_VALUE"""),"chopstick")</f>
        <v>chopstick</v>
      </c>
      <c r="C84" s="132" t="str">
        <f>IFERROR(__xludf.DUMMYFUNCTION("""COMPUTED_VALUE"""),"居家")</f>
        <v>居家</v>
      </c>
      <c r="D84" s="132">
        <f>IFERROR(__xludf.DUMMYFUNCTION("""COMPUTED_VALUE"""),23.66)</f>
        <v>23.66</v>
      </c>
      <c r="E84" s="132" t="str">
        <f>IFERROR(__xludf.DUMMYFUNCTION("""COMPUTED_VALUE"""),"BL")</f>
        <v>BL</v>
      </c>
      <c r="F84" s="132">
        <f>IFERROR(__xludf.DUMMYFUNCTION("""COMPUTED_VALUE"""),23.66)</f>
        <v>23.66</v>
      </c>
      <c r="G84" s="132">
        <f>IFERROR(__xludf.DUMMYFUNCTION("""COMPUTED_VALUE"""),23.66)</f>
        <v>23.66</v>
      </c>
      <c r="H84" s="132"/>
      <c r="I84" s="132"/>
      <c r="J84" s="132"/>
      <c r="K84" s="132"/>
      <c r="L84" s="132">
        <f>IFERROR(__xludf.DUMMYFUNCTION("""COMPUTED_VALUE"""),1.0)</f>
        <v>1</v>
      </c>
      <c r="M84" s="132"/>
      <c r="N84" s="132"/>
      <c r="O84" s="132"/>
      <c r="P84" s="132"/>
      <c r="Q84" s="134">
        <f>IFERROR(__xludf.DUMMYFUNCTION("""COMPUTED_VALUE"""),45444.0)</f>
        <v>45444</v>
      </c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3">
        <f>IFERROR(__xludf.DUMMYFUNCTION("""COMPUTED_VALUE"""),45472.0)</f>
        <v>45472</v>
      </c>
      <c r="B85" s="132" t="str">
        <f>IFERROR(__xludf.DUMMYFUNCTION("""COMPUTED_VALUE"""),"Umbrella")</f>
        <v>Umbrella</v>
      </c>
      <c r="C85" s="132" t="str">
        <f>IFERROR(__xludf.DUMMYFUNCTION("""COMPUTED_VALUE"""),"居家")</f>
        <v>居家</v>
      </c>
      <c r="D85" s="132">
        <f>IFERROR(__xludf.DUMMYFUNCTION("""COMPUTED_VALUE"""),20.328699999999998)</f>
        <v>20.3287</v>
      </c>
      <c r="E85" s="132" t="str">
        <f>IFERROR(__xludf.DUMMYFUNCTION("""COMPUTED_VALUE"""),"BL")</f>
        <v>BL</v>
      </c>
      <c r="F85" s="132">
        <f>IFERROR(__xludf.DUMMYFUNCTION("""COMPUTED_VALUE"""),20.328699999999998)</f>
        <v>20.3287</v>
      </c>
      <c r="G85" s="132">
        <f>IFERROR(__xludf.DUMMYFUNCTION("""COMPUTED_VALUE"""),20.328699999999998)</f>
        <v>20.3287</v>
      </c>
      <c r="H85" s="132"/>
      <c r="I85" s="132"/>
      <c r="J85" s="132"/>
      <c r="K85" s="132"/>
      <c r="L85" s="132"/>
      <c r="M85" s="132"/>
      <c r="N85" s="132">
        <f>IFERROR(__xludf.DUMMYFUNCTION("""COMPUTED_VALUE"""),1.0)</f>
        <v>1</v>
      </c>
      <c r="O85" s="132"/>
      <c r="P85" s="132"/>
      <c r="Q85" s="132"/>
      <c r="R85" s="132" t="str">
        <f>IFERROR(__xludf.DUMMYFUNCTION("""COMPUTED_VALUE"""),"Water")</f>
        <v>Water</v>
      </c>
      <c r="S85" s="132"/>
      <c r="T85" s="132">
        <f>IFERROR(__xludf.DUMMYFUNCTION("""COMPUTED_VALUE"""),0.0)</f>
        <v>0</v>
      </c>
      <c r="U85" s="132"/>
      <c r="V85" s="132"/>
      <c r="W85" s="132"/>
      <c r="X85" s="132"/>
      <c r="Y85" s="132"/>
      <c r="Z85" s="132"/>
    </row>
    <row r="86">
      <c r="A86" s="133">
        <f>IFERROR(__xludf.DUMMYFUNCTION("""COMPUTED_VALUE"""),45472.0)</f>
        <v>45472</v>
      </c>
      <c r="B86" s="132" t="str">
        <f>IFERROR(__xludf.DUMMYFUNCTION("""COMPUTED_VALUE"""),"Gummies")</f>
        <v>Gummies</v>
      </c>
      <c r="C86" s="132" t="str">
        <f>IFERROR(__xludf.DUMMYFUNCTION("""COMPUTED_VALUE"""),"醫藥")</f>
        <v>醫藥</v>
      </c>
      <c r="D86" s="132">
        <f>IFERROR(__xludf.DUMMYFUNCTION("""COMPUTED_VALUE"""),14.147599999999999)</f>
        <v>14.1476</v>
      </c>
      <c r="E86" s="132" t="str">
        <f>IFERROR(__xludf.DUMMYFUNCTION("""COMPUTED_VALUE"""),"BL")</f>
        <v>BL</v>
      </c>
      <c r="F86" s="132">
        <f>IFERROR(__xludf.DUMMYFUNCTION("""COMPUTED_VALUE"""),14.147599999999999)</f>
        <v>14.1476</v>
      </c>
      <c r="G86" s="132">
        <f>IFERROR(__xludf.DUMMYFUNCTION("""COMPUTED_VALUE"""),14.147599999999999)</f>
        <v>14.1476</v>
      </c>
      <c r="H86" s="132"/>
      <c r="I86" s="132"/>
      <c r="J86" s="132"/>
      <c r="K86" s="132"/>
      <c r="L86" s="132"/>
      <c r="M86" s="132"/>
      <c r="N86" s="132">
        <f>IFERROR(__xludf.DUMMYFUNCTION("""COMPUTED_VALUE"""),1.0)</f>
        <v>1</v>
      </c>
      <c r="O86" s="132"/>
      <c r="P86" s="132"/>
      <c r="Q86" s="132"/>
      <c r="R86" s="132" t="str">
        <f>IFERROR(__xludf.DUMMYFUNCTION("""COMPUTED_VALUE"""),"Heat")</f>
        <v>Heat</v>
      </c>
      <c r="S86" s="132">
        <f>IFERROR(__xludf.DUMMYFUNCTION("""COMPUTED_VALUE"""),91.03)</f>
        <v>91.03</v>
      </c>
      <c r="T86" s="132">
        <f>IFERROR(__xludf.DUMMYFUNCTION("""COMPUTED_VALUE"""),18.206)</f>
        <v>18.206</v>
      </c>
      <c r="U86" s="132" t="str">
        <f>IFERROR(__xludf.DUMMYFUNCTION("""COMPUTED_VALUE"""),"Paid")</f>
        <v>Paid</v>
      </c>
      <c r="V86" s="132" t="str">
        <f>IFERROR(__xludf.DUMMYFUNCTION("""COMPUTED_VALUE"""),"Paid")</f>
        <v>Paid</v>
      </c>
      <c r="W86" s="132" t="str">
        <f>IFERROR(__xludf.DUMMYFUNCTION("""COMPUTED_VALUE"""),"Paid")</f>
        <v>Paid</v>
      </c>
      <c r="X86" s="132" t="str">
        <f>IFERROR(__xludf.DUMMYFUNCTION("""COMPUTED_VALUE"""),"Paid")</f>
        <v>Paid</v>
      </c>
      <c r="Y86" s="132" t="str">
        <f>IFERROR(__xludf.DUMMYFUNCTION("""COMPUTED_VALUE"""),"Paid")</f>
        <v>Paid</v>
      </c>
      <c r="Z86" s="132"/>
    </row>
    <row r="87">
      <c r="A87" s="136">
        <f>IFERROR(__xludf.DUMMYFUNCTION("""COMPUTED_VALUE"""),45472.0)</f>
        <v>45472</v>
      </c>
      <c r="B87" s="132" t="str">
        <f>IFERROR(__xludf.DUMMYFUNCTION("""COMPUTED_VALUE"""),"Mic")</f>
        <v>Mic</v>
      </c>
      <c r="C87" s="132" t="str">
        <f>IFERROR(__xludf.DUMMYFUNCTION("""COMPUTED_VALUE"""),"娛樂")</f>
        <v>娛樂</v>
      </c>
      <c r="D87" s="132">
        <f>IFERROR(__xludf.DUMMYFUNCTION("""COMPUTED_VALUE"""),21.458699999999997)</f>
        <v>21.4587</v>
      </c>
      <c r="E87" s="132" t="str">
        <f>IFERROR(__xludf.DUMMYFUNCTION("""COMPUTED_VALUE"""),"BL")</f>
        <v>BL</v>
      </c>
      <c r="F87" s="132">
        <f>IFERROR(__xludf.DUMMYFUNCTION("""COMPUTED_VALUE"""),21.458699999999997)</f>
        <v>21.4587</v>
      </c>
      <c r="G87" s="132">
        <f>IFERROR(__xludf.DUMMYFUNCTION("""COMPUTED_VALUE"""),21.458699999999997)</f>
        <v>21.4587</v>
      </c>
      <c r="H87" s="132"/>
      <c r="I87" s="132"/>
      <c r="J87" s="132"/>
      <c r="K87" s="132"/>
      <c r="L87" s="132"/>
      <c r="M87" s="132"/>
      <c r="N87" s="132">
        <f>IFERROR(__xludf.DUMMYFUNCTION("""COMPUTED_VALUE"""),1.0)</f>
        <v>1</v>
      </c>
      <c r="O87" s="132"/>
      <c r="P87" s="132"/>
      <c r="Q87" s="132"/>
      <c r="R87" s="132" t="str">
        <f>IFERROR(__xludf.DUMMYFUNCTION("""COMPUTED_VALUE"""),"Electricity")</f>
        <v>Electricity</v>
      </c>
      <c r="S87" s="132">
        <f>IFERROR(__xludf.DUMMYFUNCTION("""COMPUTED_VALUE"""),122.11)</f>
        <v>122.11</v>
      </c>
      <c r="T87" s="132">
        <f>IFERROR(__xludf.DUMMYFUNCTION("""COMPUTED_VALUE"""),24.422)</f>
        <v>24.422</v>
      </c>
      <c r="U87" s="132" t="str">
        <f>IFERROR(__xludf.DUMMYFUNCTION("""COMPUTED_VALUE"""),"Paid")</f>
        <v>Paid</v>
      </c>
      <c r="V87" s="132" t="str">
        <f>IFERROR(__xludf.DUMMYFUNCTION("""COMPUTED_VALUE"""),"Paid")</f>
        <v>Paid</v>
      </c>
      <c r="W87" s="132" t="str">
        <f>IFERROR(__xludf.DUMMYFUNCTION("""COMPUTED_VALUE"""),"Paid")</f>
        <v>Paid</v>
      </c>
      <c r="X87" s="132" t="str">
        <f>IFERROR(__xludf.DUMMYFUNCTION("""COMPUTED_VALUE"""),"Paid")</f>
        <v>Paid</v>
      </c>
      <c r="Y87" s="132" t="str">
        <f>IFERROR(__xludf.DUMMYFUNCTION("""COMPUTED_VALUE"""),"Paid")</f>
        <v>Paid</v>
      </c>
      <c r="Z87" s="132"/>
    </row>
    <row r="88">
      <c r="A88" s="133"/>
      <c r="B88" s="132"/>
      <c r="C88" s="132"/>
      <c r="D88" s="132"/>
      <c r="E88" s="132"/>
      <c r="F88" s="132" t="str">
        <f>IFERROR(__xludf.DUMMYFUNCTION("""COMPUTED_VALUE"""),"#DIV/0!")</f>
        <v>#DIV/0!</v>
      </c>
      <c r="G88" s="132" t="str">
        <f>IFERROR(__xludf.DUMMYFUNCTION("""COMPUTED_VALUE"""),"#DIV/0!")</f>
        <v>#DIV/0!</v>
      </c>
      <c r="H88" s="132"/>
      <c r="I88" s="132"/>
      <c r="J88" s="132"/>
      <c r="K88" s="132"/>
      <c r="L88" s="132"/>
      <c r="M88" s="132"/>
      <c r="N88" s="132"/>
      <c r="O88" s="132"/>
      <c r="P88" s="132"/>
      <c r="Q88" s="132"/>
      <c r="R88" s="132" t="str">
        <f>IFERROR(__xludf.DUMMYFUNCTION("""COMPUTED_VALUE"""),"Internet")</f>
        <v>Internet</v>
      </c>
      <c r="S88" s="132">
        <f>IFERROR(__xludf.DUMMYFUNCTION("""COMPUTED_VALUE"""),56.5)</f>
        <v>56.5</v>
      </c>
      <c r="T88" s="132">
        <f>IFERROR(__xludf.DUMMYFUNCTION("""COMPUTED_VALUE"""),11.3)</f>
        <v>11.3</v>
      </c>
      <c r="U88" s="132" t="str">
        <f>IFERROR(__xludf.DUMMYFUNCTION("""COMPUTED_VALUE"""),"Paid")</f>
        <v>Paid</v>
      </c>
      <c r="V88" s="132" t="str">
        <f>IFERROR(__xludf.DUMMYFUNCTION("""COMPUTED_VALUE"""),"Paid")</f>
        <v>Paid</v>
      </c>
      <c r="W88" s="132" t="str">
        <f>IFERROR(__xludf.DUMMYFUNCTION("""COMPUTED_VALUE"""),"Paid")</f>
        <v>Paid</v>
      </c>
      <c r="X88" s="132" t="str">
        <f>IFERROR(__xludf.DUMMYFUNCTION("""COMPUTED_VALUE"""),"Paid")</f>
        <v>Paid</v>
      </c>
      <c r="Y88" s="132" t="str">
        <f>IFERROR(__xludf.DUMMYFUNCTION("""COMPUTED_VALUE"""),"Paid")</f>
        <v>Paid</v>
      </c>
      <c r="Z88" s="132"/>
    </row>
    <row r="89">
      <c r="A89" s="133"/>
      <c r="B89" s="132"/>
      <c r="C89" s="132"/>
      <c r="D89" s="132"/>
      <c r="E89" s="132"/>
      <c r="F89" s="132" t="str">
        <f>IFERROR(__xludf.DUMMYFUNCTION("""COMPUTED_VALUE"""),"#DIV/0!")</f>
        <v>#DIV/0!</v>
      </c>
      <c r="G89" s="132" t="str">
        <f>IFERROR(__xludf.DUMMYFUNCTION("""COMPUTED_VALUE"""),"#DIV/0!")</f>
        <v>#DIV/0!</v>
      </c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>
        <f>IFERROR(__xludf.DUMMYFUNCTION("""COMPUTED_VALUE"""),269.64)</f>
        <v>269.64</v>
      </c>
      <c r="T89" s="132">
        <f>IFERROR(__xludf.DUMMYFUNCTION("""COMPUTED_VALUE"""),53.928)</f>
        <v>53.928</v>
      </c>
      <c r="U89" s="132"/>
      <c r="V89" s="132"/>
      <c r="W89" s="132"/>
      <c r="X89" s="132"/>
      <c r="Y89" s="132"/>
      <c r="Z89" s="132"/>
    </row>
    <row r="90">
      <c r="A90" s="133"/>
      <c r="B90" s="132"/>
      <c r="C90" s="132"/>
      <c r="D90" s="132"/>
      <c r="E90" s="132"/>
      <c r="F90" s="132" t="str">
        <f>IFERROR(__xludf.DUMMYFUNCTION("""COMPUTED_VALUE"""),"#DIV/0!")</f>
        <v>#DIV/0!</v>
      </c>
      <c r="G90" s="132" t="str">
        <f>IFERROR(__xludf.DUMMYFUNCTION("""COMPUTED_VALUE"""),"#DIV/0!")</f>
        <v>#DIV/0!</v>
      </c>
      <c r="H90" s="132"/>
      <c r="I90" s="132"/>
      <c r="J90" s="132"/>
      <c r="K90" s="132"/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3">
        <f>IFERROR(__xludf.DUMMYFUNCTION("""COMPUTED_VALUE"""),45466.0)</f>
        <v>45466</v>
      </c>
      <c r="B91" s="132" t="str">
        <f>IFERROR(__xludf.DUMMYFUNCTION("""COMPUTED_VALUE"""),"tnt binlo")</f>
        <v>tnt binlo</v>
      </c>
      <c r="C91" s="132" t="str">
        <f>IFERROR(__xludf.DUMMYFUNCTION("""COMPUTED_VALUE"""),"食物")</f>
        <v>食物</v>
      </c>
      <c r="D91" s="132">
        <f>IFERROR(__xludf.DUMMYFUNCTION("""COMPUTED_VALUE"""),27.87)</f>
        <v>27.87</v>
      </c>
      <c r="E91" s="132" t="str">
        <f>IFERROR(__xludf.DUMMYFUNCTION("""COMPUTED_VALUE"""),"Morris")</f>
        <v>Morris</v>
      </c>
      <c r="F91" s="132">
        <f>IFERROR(__xludf.DUMMYFUNCTION("""COMPUTED_VALUE"""),3.0966666666666667)</f>
        <v>3.096666667</v>
      </c>
      <c r="G91" s="132">
        <f>IFERROR(__xludf.DUMMYFUNCTION("""COMPUTED_VALUE"""),3.0966666666666667)</f>
        <v>3.096666667</v>
      </c>
      <c r="H91" s="132">
        <f>IFERROR(__xludf.DUMMYFUNCTION("""COMPUTED_VALUE"""),1.0)</f>
        <v>1</v>
      </c>
      <c r="I91" s="132">
        <f>IFERROR(__xludf.DUMMYFUNCTION("""COMPUTED_VALUE"""),1.0)</f>
        <v>1</v>
      </c>
      <c r="J91" s="132">
        <f>IFERROR(__xludf.DUMMYFUNCTION("""COMPUTED_VALUE"""),1.0)</f>
        <v>1</v>
      </c>
      <c r="K91" s="132">
        <f>IFERROR(__xludf.DUMMYFUNCTION("""COMPUTED_VALUE"""),1.0)</f>
        <v>1</v>
      </c>
      <c r="L91" s="132">
        <f>IFERROR(__xludf.DUMMYFUNCTION("""COMPUTED_VALUE"""),1.0)</f>
        <v>1</v>
      </c>
      <c r="M91" s="132">
        <f>IFERROR(__xludf.DUMMYFUNCTION("""COMPUTED_VALUE"""),1.0)</f>
        <v>1</v>
      </c>
      <c r="N91" s="132">
        <f>IFERROR(__xludf.DUMMYFUNCTION("""COMPUTED_VALUE"""),1.0)</f>
        <v>1</v>
      </c>
      <c r="O91" s="132"/>
      <c r="P91" s="132"/>
      <c r="Q91" s="134">
        <f>IFERROR(__xludf.DUMMYFUNCTION("""COMPUTED_VALUE"""),45474.0)</f>
        <v>45474</v>
      </c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6"/>
      <c r="B92" s="132"/>
      <c r="C92" s="132"/>
      <c r="D92" s="132"/>
      <c r="E92" s="132"/>
      <c r="F92" s="132" t="str">
        <f>IFERROR(__xludf.DUMMYFUNCTION("""COMPUTED_VALUE"""),"#DIV/0!")</f>
        <v>#DIV/0!</v>
      </c>
      <c r="G92" s="132" t="str">
        <f>IFERROR(__xludf.DUMMYFUNCTION("""COMPUTED_VALUE"""),"#DIV/0!")</f>
        <v>#DIV/0!</v>
      </c>
      <c r="H92" s="132"/>
      <c r="I92" s="132"/>
      <c r="J92" s="132"/>
      <c r="K92" s="132"/>
      <c r="L92" s="132"/>
      <c r="M92" s="132"/>
      <c r="N92" s="132"/>
      <c r="O92" s="132"/>
      <c r="P92" s="132"/>
      <c r="Q92" s="132"/>
      <c r="R92" s="132" t="str">
        <f>IFERROR(__xludf.DUMMYFUNCTION("""COMPUTED_VALUE"""),"Water")</f>
        <v>Water</v>
      </c>
      <c r="S92" s="132"/>
      <c r="T92" s="132">
        <f>IFERROR(__xludf.DUMMYFUNCTION("""COMPUTED_VALUE"""),0.0)</f>
        <v>0</v>
      </c>
      <c r="U92" s="132"/>
      <c r="V92" s="132"/>
      <c r="W92" s="132"/>
      <c r="X92" s="132"/>
      <c r="Y92" s="132"/>
      <c r="Z92" s="132"/>
    </row>
    <row r="93">
      <c r="A93" s="133">
        <f>IFERROR(__xludf.DUMMYFUNCTION("""COMPUTED_VALUE"""),45466.0)</f>
        <v>45466</v>
      </c>
      <c r="B93" s="132" t="str">
        <f>IFERROR(__xludf.DUMMYFUNCTION("""COMPUTED_VALUE"""),"Binlo")</f>
        <v>Binlo</v>
      </c>
      <c r="C93" s="132" t="str">
        <f>IFERROR(__xludf.DUMMYFUNCTION("""COMPUTED_VALUE"""),"食物")</f>
        <v>食物</v>
      </c>
      <c r="D93" s="132">
        <f>IFERROR(__xludf.DUMMYFUNCTION("""COMPUTED_VALUE"""),105.54)</f>
        <v>105.54</v>
      </c>
      <c r="E93" s="132" t="str">
        <f>IFERROR(__xludf.DUMMYFUNCTION("""COMPUTED_VALUE"""),"Rachel")</f>
        <v>Rachel</v>
      </c>
      <c r="F93" s="132">
        <f>IFERROR(__xludf.DUMMYFUNCTION("""COMPUTED_VALUE"""),11.726666666666667)</f>
        <v>11.72666667</v>
      </c>
      <c r="G93" s="132">
        <f>IFERROR(__xludf.DUMMYFUNCTION("""COMPUTED_VALUE"""),11.726666666666667)</f>
        <v>11.72666667</v>
      </c>
      <c r="H93" s="132">
        <f>IFERROR(__xludf.DUMMYFUNCTION("""COMPUTED_VALUE"""),1.0)</f>
        <v>1</v>
      </c>
      <c r="I93" s="132">
        <f>IFERROR(__xludf.DUMMYFUNCTION("""COMPUTED_VALUE"""),1.0)</f>
        <v>1</v>
      </c>
      <c r="J93" s="132">
        <f>IFERROR(__xludf.DUMMYFUNCTION("""COMPUTED_VALUE"""),1.0)</f>
        <v>1</v>
      </c>
      <c r="K93" s="132">
        <f>IFERROR(__xludf.DUMMYFUNCTION("""COMPUTED_VALUE"""),1.0)</f>
        <v>1</v>
      </c>
      <c r="L93" s="132">
        <f>IFERROR(__xludf.DUMMYFUNCTION("""COMPUTED_VALUE"""),1.0)</f>
        <v>1</v>
      </c>
      <c r="M93" s="132">
        <f>IFERROR(__xludf.DUMMYFUNCTION("""COMPUTED_VALUE"""),1.0)</f>
        <v>1</v>
      </c>
      <c r="N93" s="132">
        <f>IFERROR(__xludf.DUMMYFUNCTION("""COMPUTED_VALUE"""),1.0)</f>
        <v>1</v>
      </c>
      <c r="O93" s="132"/>
      <c r="P93" s="132"/>
      <c r="Q93" s="132"/>
      <c r="R93" s="132" t="str">
        <f>IFERROR(__xludf.DUMMYFUNCTION("""COMPUTED_VALUE"""),"Heat")</f>
        <v>Heat</v>
      </c>
      <c r="S93" s="132">
        <f>IFERROR(__xludf.DUMMYFUNCTION("""COMPUTED_VALUE"""),101.27)</f>
        <v>101.27</v>
      </c>
      <c r="T93" s="132">
        <f>IFERROR(__xludf.DUMMYFUNCTION("""COMPUTED_VALUE"""),20.253999999999998)</f>
        <v>20.254</v>
      </c>
      <c r="U93" s="132" t="str">
        <f>IFERROR(__xludf.DUMMYFUNCTION("""COMPUTED_VALUE"""),"Paid")</f>
        <v>Paid</v>
      </c>
      <c r="V93" s="132" t="str">
        <f>IFERROR(__xludf.DUMMYFUNCTION("""COMPUTED_VALUE"""),"Paid")</f>
        <v>Paid</v>
      </c>
      <c r="W93" s="132" t="str">
        <f>IFERROR(__xludf.DUMMYFUNCTION("""COMPUTED_VALUE"""),"Paid")</f>
        <v>Paid</v>
      </c>
      <c r="X93" s="132" t="str">
        <f>IFERROR(__xludf.DUMMYFUNCTION("""COMPUTED_VALUE"""),"Paid")</f>
        <v>Paid</v>
      </c>
      <c r="Y93" s="132" t="str">
        <f>IFERROR(__xludf.DUMMYFUNCTION("""COMPUTED_VALUE"""),"Paid")</f>
        <v>Paid</v>
      </c>
      <c r="Z93" s="132"/>
    </row>
    <row r="94">
      <c r="A94" s="136">
        <f>IFERROR(__xludf.DUMMYFUNCTION("""COMPUTED_VALUE"""),45466.0)</f>
        <v>45466</v>
      </c>
      <c r="B94" s="132" t="str">
        <f>IFERROR(__xludf.DUMMYFUNCTION("""COMPUTED_VALUE"""),"Tnt")</f>
        <v>Tnt</v>
      </c>
      <c r="C94" s="132" t="str">
        <f>IFERROR(__xludf.DUMMYFUNCTION("""COMPUTED_VALUE"""),"食物")</f>
        <v>食物</v>
      </c>
      <c r="D94" s="132">
        <f>IFERROR(__xludf.DUMMYFUNCTION("""COMPUTED_VALUE"""),37.34)</f>
        <v>37.34</v>
      </c>
      <c r="E94" s="132" t="str">
        <f>IFERROR(__xludf.DUMMYFUNCTION("""COMPUTED_VALUE"""),"Timothy")</f>
        <v>Timothy</v>
      </c>
      <c r="F94" s="132">
        <f>IFERROR(__xludf.DUMMYFUNCTION("""COMPUTED_VALUE"""),4.148888888888889)</f>
        <v>4.148888889</v>
      </c>
      <c r="G94" s="132">
        <f>IFERROR(__xludf.DUMMYFUNCTION("""COMPUTED_VALUE"""),4.148888888888889)</f>
        <v>4.148888889</v>
      </c>
      <c r="H94" s="132">
        <f>IFERROR(__xludf.DUMMYFUNCTION("""COMPUTED_VALUE"""),1.0)</f>
        <v>1</v>
      </c>
      <c r="I94" s="132">
        <f>IFERROR(__xludf.DUMMYFUNCTION("""COMPUTED_VALUE"""),1.0)</f>
        <v>1</v>
      </c>
      <c r="J94" s="132">
        <f>IFERROR(__xludf.DUMMYFUNCTION("""COMPUTED_VALUE"""),1.0)</f>
        <v>1</v>
      </c>
      <c r="K94" s="132">
        <f>IFERROR(__xludf.DUMMYFUNCTION("""COMPUTED_VALUE"""),1.0)</f>
        <v>1</v>
      </c>
      <c r="L94" s="132">
        <f>IFERROR(__xludf.DUMMYFUNCTION("""COMPUTED_VALUE"""),1.0)</f>
        <v>1</v>
      </c>
      <c r="M94" s="132">
        <f>IFERROR(__xludf.DUMMYFUNCTION("""COMPUTED_VALUE"""),1.0)</f>
        <v>1</v>
      </c>
      <c r="N94" s="132">
        <f>IFERROR(__xludf.DUMMYFUNCTION("""COMPUTED_VALUE"""),1.0)</f>
        <v>1</v>
      </c>
      <c r="O94" s="132"/>
      <c r="P94" s="132"/>
      <c r="Q94" s="132"/>
      <c r="R94" s="132" t="str">
        <f>IFERROR(__xludf.DUMMYFUNCTION("""COMPUTED_VALUE"""),"Electricity")</f>
        <v>Electricity</v>
      </c>
      <c r="S94" s="132">
        <f>IFERROR(__xludf.DUMMYFUNCTION("""COMPUTED_VALUE"""),170.93)</f>
        <v>170.93</v>
      </c>
      <c r="T94" s="132">
        <f>IFERROR(__xludf.DUMMYFUNCTION("""COMPUTED_VALUE"""),34.186)</f>
        <v>34.186</v>
      </c>
      <c r="U94" s="132" t="str">
        <f>IFERROR(__xludf.DUMMYFUNCTION("""COMPUTED_VALUE"""),"Paid")</f>
        <v>Paid</v>
      </c>
      <c r="V94" s="132" t="str">
        <f>IFERROR(__xludf.DUMMYFUNCTION("""COMPUTED_VALUE"""),"Paid")</f>
        <v>Paid</v>
      </c>
      <c r="W94" s="132" t="str">
        <f>IFERROR(__xludf.DUMMYFUNCTION("""COMPUTED_VALUE"""),"Paid")</f>
        <v>Paid</v>
      </c>
      <c r="X94" s="132" t="str">
        <f>IFERROR(__xludf.DUMMYFUNCTION("""COMPUTED_VALUE"""),"Paid")</f>
        <v>Paid</v>
      </c>
      <c r="Y94" s="132" t="str">
        <f>IFERROR(__xludf.DUMMYFUNCTION("""COMPUTED_VALUE"""),"Paid")</f>
        <v>Paid</v>
      </c>
      <c r="Z94" s="132"/>
    </row>
    <row r="95">
      <c r="A95" s="133"/>
      <c r="B95" s="132"/>
      <c r="C95" s="132"/>
      <c r="D95" s="132"/>
      <c r="E95" s="132"/>
      <c r="F95" s="132" t="str">
        <f>IFERROR(__xludf.DUMMYFUNCTION("""COMPUTED_VALUE"""),"#DIV/0!")</f>
        <v>#DIV/0!</v>
      </c>
      <c r="G95" s="132" t="str">
        <f>IFERROR(__xludf.DUMMYFUNCTION("""COMPUTED_VALUE"""),"#DIV/0!")</f>
        <v>#DIV/0!</v>
      </c>
      <c r="H95" s="132"/>
      <c r="I95" s="132"/>
      <c r="J95" s="132"/>
      <c r="K95" s="132"/>
      <c r="L95" s="132"/>
      <c r="M95" s="132"/>
      <c r="N95" s="132"/>
      <c r="O95" s="132"/>
      <c r="P95" s="132"/>
      <c r="Q95" s="132"/>
      <c r="R95" s="132" t="str">
        <f>IFERROR(__xludf.DUMMYFUNCTION("""COMPUTED_VALUE"""),"Internet")</f>
        <v>Internet</v>
      </c>
      <c r="S95" s="132">
        <f>IFERROR(__xludf.DUMMYFUNCTION("""COMPUTED_VALUE"""),56.5)</f>
        <v>56.5</v>
      </c>
      <c r="T95" s="132">
        <f>IFERROR(__xludf.DUMMYFUNCTION("""COMPUTED_VALUE"""),11.3)</f>
        <v>11.3</v>
      </c>
      <c r="U95" s="132" t="str">
        <f>IFERROR(__xludf.DUMMYFUNCTION("""COMPUTED_VALUE"""),"Paid")</f>
        <v>Paid</v>
      </c>
      <c r="V95" s="132" t="str">
        <f>IFERROR(__xludf.DUMMYFUNCTION("""COMPUTED_VALUE"""),"Paid")</f>
        <v>Paid</v>
      </c>
      <c r="W95" s="132" t="str">
        <f>IFERROR(__xludf.DUMMYFUNCTION("""COMPUTED_VALUE"""),"Paid")</f>
        <v>Paid</v>
      </c>
      <c r="X95" s="132" t="str">
        <f>IFERROR(__xludf.DUMMYFUNCTION("""COMPUTED_VALUE"""),"Paid")</f>
        <v>Paid</v>
      </c>
      <c r="Y95" s="132" t="str">
        <f>IFERROR(__xludf.DUMMYFUNCTION("""COMPUTED_VALUE"""),"Paid")</f>
        <v>Paid</v>
      </c>
      <c r="Z95" s="132"/>
    </row>
    <row r="96">
      <c r="A96" s="136"/>
      <c r="B96" s="132"/>
      <c r="C96" s="132"/>
      <c r="D96" s="132"/>
      <c r="E96" s="132"/>
      <c r="F96" s="132" t="str">
        <f>IFERROR(__xludf.DUMMYFUNCTION("""COMPUTED_VALUE"""),"#DIV/0!")</f>
        <v>#DIV/0!</v>
      </c>
      <c r="G96" s="132" t="str">
        <f>IFERROR(__xludf.DUMMYFUNCTION("""COMPUTED_VALUE"""),"#DIV/0!")</f>
        <v>#DIV/0!</v>
      </c>
      <c r="H96" s="132"/>
      <c r="I96" s="132"/>
      <c r="J96" s="132"/>
      <c r="K96" s="132"/>
      <c r="L96" s="132"/>
      <c r="M96" s="132"/>
      <c r="N96" s="132"/>
      <c r="O96" s="132"/>
      <c r="P96" s="132"/>
      <c r="Q96" s="132"/>
      <c r="R96" s="132"/>
      <c r="S96" s="132">
        <f>IFERROR(__xludf.DUMMYFUNCTION("""COMPUTED_VALUE"""),328.7)</f>
        <v>328.7</v>
      </c>
      <c r="T96" s="132">
        <f>IFERROR(__xludf.DUMMYFUNCTION("""COMPUTED_VALUE"""),65.74)</f>
        <v>65.74</v>
      </c>
      <c r="U96" s="132"/>
      <c r="V96" s="132"/>
      <c r="W96" s="132"/>
      <c r="X96" s="132"/>
      <c r="Y96" s="132"/>
      <c r="Z96" s="132"/>
    </row>
    <row r="97">
      <c r="A97" s="136"/>
      <c r="B97" s="132"/>
      <c r="C97" s="132"/>
      <c r="D97" s="132"/>
      <c r="E97" s="132"/>
      <c r="F97" s="132" t="str">
        <f>IFERROR(__xludf.DUMMYFUNCTION("""COMPUTED_VALUE"""),"#DIV/0!")</f>
        <v>#DIV/0!</v>
      </c>
      <c r="G97" s="132" t="str">
        <f>IFERROR(__xludf.DUMMYFUNCTION("""COMPUTED_VALUE"""),"#DIV/0!")</f>
        <v>#DIV/0!</v>
      </c>
      <c r="H97" s="132"/>
      <c r="I97" s="132"/>
      <c r="J97" s="132"/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6"/>
      <c r="B98" s="132"/>
      <c r="C98" s="132"/>
      <c r="D98" s="132"/>
      <c r="E98" s="132"/>
      <c r="F98" s="132" t="str">
        <f>IFERROR(__xludf.DUMMYFUNCTION("""COMPUTED_VALUE"""),"#DIV/0!")</f>
        <v>#DIV/0!</v>
      </c>
      <c r="G98" s="132" t="str">
        <f>IFERROR(__xludf.DUMMYFUNCTION("""COMPUTED_VALUE"""),"#DIV/0!")</f>
        <v>#DIV/0!</v>
      </c>
      <c r="H98" s="132"/>
      <c r="I98" s="132"/>
      <c r="J98" s="132"/>
      <c r="K98" s="132"/>
      <c r="L98" s="132"/>
      <c r="M98" s="132"/>
      <c r="N98" s="132"/>
      <c r="O98" s="132"/>
      <c r="P98" s="132"/>
      <c r="Q98" s="134">
        <f>IFERROR(__xludf.DUMMYFUNCTION("""COMPUTED_VALUE"""),45505.0)</f>
        <v>45505</v>
      </c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3"/>
      <c r="B99" s="132"/>
      <c r="C99" s="132"/>
      <c r="D99" s="132"/>
      <c r="E99" s="132"/>
      <c r="F99" s="132" t="str">
        <f>IFERROR(__xludf.DUMMYFUNCTION("""COMPUTED_VALUE"""),"#DIV/0!")</f>
        <v>#DIV/0!</v>
      </c>
      <c r="G99" s="132" t="str">
        <f>IFERROR(__xludf.DUMMYFUNCTION("""COMPUTED_VALUE"""),"#DIV/0!")</f>
        <v>#DIV/0!</v>
      </c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 t="str">
        <f>IFERROR(__xludf.DUMMYFUNCTION("""COMPUTED_VALUE"""),"Water (Pay by Rachel)")</f>
        <v>Water (Pay by Rachel)</v>
      </c>
      <c r="S99" s="132">
        <f>IFERROR(__xludf.DUMMYFUNCTION("""COMPUTED_VALUE"""),375.27)</f>
        <v>375.27</v>
      </c>
      <c r="T99" s="132">
        <f>IFERROR(__xludf.DUMMYFUNCTION("""COMPUTED_VALUE"""),75.054)</f>
        <v>75.054</v>
      </c>
      <c r="U99" s="132" t="str">
        <f>IFERROR(__xludf.DUMMYFUNCTION("""COMPUTED_VALUE"""),"Paid")</f>
        <v>Paid</v>
      </c>
      <c r="V99" s="132" t="str">
        <f>IFERROR(__xludf.DUMMYFUNCTION("""COMPUTED_VALUE"""),"Paid")</f>
        <v>Paid</v>
      </c>
      <c r="W99" s="132" t="str">
        <f>IFERROR(__xludf.DUMMYFUNCTION("""COMPUTED_VALUE"""),"Paid")</f>
        <v>Paid</v>
      </c>
      <c r="X99" s="132" t="str">
        <f>IFERROR(__xludf.DUMMYFUNCTION("""COMPUTED_VALUE"""),"Paid")</f>
        <v>Paid</v>
      </c>
      <c r="Y99" s="132" t="str">
        <f>IFERROR(__xludf.DUMMYFUNCTION("""COMPUTED_VALUE"""),"Paid")</f>
        <v>Paid</v>
      </c>
      <c r="Z99" s="132"/>
    </row>
    <row r="100">
      <c r="A100" s="133"/>
      <c r="B100" s="132"/>
      <c r="C100" s="132"/>
      <c r="D100" s="132"/>
      <c r="E100" s="132"/>
      <c r="F100" s="132" t="str">
        <f>IFERROR(__xludf.DUMMYFUNCTION("""COMPUTED_VALUE"""),"#DIV/0!")</f>
        <v>#DIV/0!</v>
      </c>
      <c r="G100" s="132" t="str">
        <f>IFERROR(__xludf.DUMMYFUNCTION("""COMPUTED_VALUE"""),"#DIV/0!")</f>
        <v>#DIV/0!</v>
      </c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 t="str">
        <f>IFERROR(__xludf.DUMMYFUNCTION("""COMPUTED_VALUE"""),"Heat")</f>
        <v>Heat</v>
      </c>
      <c r="S100" s="132">
        <f>IFERROR(__xludf.DUMMYFUNCTION("""COMPUTED_VALUE"""),47.34)</f>
        <v>47.34</v>
      </c>
      <c r="T100" s="132">
        <f>IFERROR(__xludf.DUMMYFUNCTION("""COMPUTED_VALUE"""),9.468)</f>
        <v>9.468</v>
      </c>
      <c r="U100" s="132" t="str">
        <f>IFERROR(__xludf.DUMMYFUNCTION("""COMPUTED_VALUE"""),"Paid")</f>
        <v>Paid</v>
      </c>
      <c r="V100" s="132" t="str">
        <f>IFERROR(__xludf.DUMMYFUNCTION("""COMPUTED_VALUE"""),"Paid")</f>
        <v>Paid</v>
      </c>
      <c r="W100" s="132" t="str">
        <f>IFERROR(__xludf.DUMMYFUNCTION("""COMPUTED_VALUE"""),"Paid")</f>
        <v>Paid</v>
      </c>
      <c r="X100" s="132" t="str">
        <f>IFERROR(__xludf.DUMMYFUNCTION("""COMPUTED_VALUE"""),"Paid")</f>
        <v>Paid</v>
      </c>
      <c r="Y100" s="132" t="str">
        <f>IFERROR(__xludf.DUMMYFUNCTION("""COMPUTED_VALUE"""),"Paid")</f>
        <v>Paid</v>
      </c>
      <c r="Z100" s="132"/>
    </row>
    <row r="101">
      <c r="A101" s="133"/>
      <c r="B101" s="132"/>
      <c r="C101" s="132"/>
      <c r="D101" s="132"/>
      <c r="E101" s="132"/>
      <c r="F101" s="132" t="str">
        <f>IFERROR(__xludf.DUMMYFUNCTION("""COMPUTED_VALUE"""),"#DIV/0!")</f>
        <v>#DIV/0!</v>
      </c>
      <c r="G101" s="132" t="str">
        <f>IFERROR(__xludf.DUMMYFUNCTION("""COMPUTED_VALUE"""),"#DIV/0!")</f>
        <v>#DIV/0!</v>
      </c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 t="str">
        <f>IFERROR(__xludf.DUMMYFUNCTION("""COMPUTED_VALUE"""),"Electricity")</f>
        <v>Electricity</v>
      </c>
      <c r="S101" s="132">
        <f>IFERROR(__xludf.DUMMYFUNCTION("""COMPUTED_VALUE"""),208.04)</f>
        <v>208.04</v>
      </c>
      <c r="T101" s="132">
        <f>IFERROR(__xludf.DUMMYFUNCTION("""COMPUTED_VALUE"""),41.608)</f>
        <v>41.608</v>
      </c>
      <c r="U101" s="132" t="str">
        <f>IFERROR(__xludf.DUMMYFUNCTION("""COMPUTED_VALUE"""),"Paid")</f>
        <v>Paid</v>
      </c>
      <c r="V101" s="132" t="str">
        <f>IFERROR(__xludf.DUMMYFUNCTION("""COMPUTED_VALUE"""),"Paid")</f>
        <v>Paid</v>
      </c>
      <c r="W101" s="132" t="str">
        <f>IFERROR(__xludf.DUMMYFUNCTION("""COMPUTED_VALUE"""),"Paid")</f>
        <v>Paid</v>
      </c>
      <c r="X101" s="132" t="str">
        <f>IFERROR(__xludf.DUMMYFUNCTION("""COMPUTED_VALUE"""),"Paid")</f>
        <v>Paid</v>
      </c>
      <c r="Y101" s="132" t="str">
        <f>IFERROR(__xludf.DUMMYFUNCTION("""COMPUTED_VALUE"""),"Paid")</f>
        <v>Paid</v>
      </c>
      <c r="Z101" s="132"/>
    </row>
    <row r="102">
      <c r="A102" s="133"/>
      <c r="B102" s="132"/>
      <c r="C102" s="132"/>
      <c r="D102" s="132"/>
      <c r="E102" s="132"/>
      <c r="F102" s="132" t="str">
        <f>IFERROR(__xludf.DUMMYFUNCTION("""COMPUTED_VALUE"""),"#DIV/0!")</f>
        <v>#DIV/0!</v>
      </c>
      <c r="G102" s="132" t="str">
        <f>IFERROR(__xludf.DUMMYFUNCTION("""COMPUTED_VALUE"""),"#DIV/0!")</f>
        <v>#DIV/0!</v>
      </c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 t="str">
        <f>IFERROR(__xludf.DUMMYFUNCTION("""COMPUTED_VALUE"""),"Internet")</f>
        <v>Internet</v>
      </c>
      <c r="S102" s="132">
        <f>IFERROR(__xludf.DUMMYFUNCTION("""COMPUTED_VALUE"""),56.5)</f>
        <v>56.5</v>
      </c>
      <c r="T102" s="132">
        <f>IFERROR(__xludf.DUMMYFUNCTION("""COMPUTED_VALUE"""),11.3)</f>
        <v>11.3</v>
      </c>
      <c r="U102" s="132" t="str">
        <f>IFERROR(__xludf.DUMMYFUNCTION("""COMPUTED_VALUE"""),"Paid")</f>
        <v>Paid</v>
      </c>
      <c r="V102" s="132" t="str">
        <f>IFERROR(__xludf.DUMMYFUNCTION("""COMPUTED_VALUE"""),"Paid")</f>
        <v>Paid</v>
      </c>
      <c r="W102" s="132" t="str">
        <f>IFERROR(__xludf.DUMMYFUNCTION("""COMPUTED_VALUE"""),"Paid")</f>
        <v>Paid</v>
      </c>
      <c r="X102" s="132" t="str">
        <f>IFERROR(__xludf.DUMMYFUNCTION("""COMPUTED_VALUE"""),"Paid")</f>
        <v>Paid</v>
      </c>
      <c r="Y102" s="132" t="str">
        <f>IFERROR(__xludf.DUMMYFUNCTION("""COMPUTED_VALUE"""),"Paid")</f>
        <v>Paid</v>
      </c>
      <c r="Z102" s="132"/>
    </row>
    <row r="103">
      <c r="A103" s="133"/>
      <c r="B103" s="132"/>
      <c r="C103" s="132"/>
      <c r="D103" s="132"/>
      <c r="E103" s="132"/>
      <c r="F103" s="132" t="str">
        <f>IFERROR(__xludf.DUMMYFUNCTION("""COMPUTED_VALUE"""),"#DIV/0!")</f>
        <v>#DIV/0!</v>
      </c>
      <c r="G103" s="132" t="str">
        <f>IFERROR(__xludf.DUMMYFUNCTION("""COMPUTED_VALUE"""),"#DIV/0!")</f>
        <v>#DIV/0!</v>
      </c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>
        <f>IFERROR(__xludf.DUMMYFUNCTION("""COMPUTED_VALUE"""),687.15)</f>
        <v>687.15</v>
      </c>
      <c r="T103" s="132">
        <f>IFERROR(__xludf.DUMMYFUNCTION("""COMPUTED_VALUE"""),137.43)</f>
        <v>137.43</v>
      </c>
      <c r="U103" s="132"/>
      <c r="V103" s="132"/>
      <c r="W103" s="132"/>
      <c r="X103" s="132"/>
      <c r="Y103" s="132"/>
      <c r="Z103" s="132"/>
    </row>
    <row r="104">
      <c r="A104" s="133"/>
      <c r="B104" s="132"/>
      <c r="C104" s="132"/>
      <c r="D104" s="132"/>
      <c r="E104" s="132"/>
      <c r="F104" s="132" t="str">
        <f>IFERROR(__xludf.DUMMYFUNCTION("""COMPUTED_VALUE"""),"#DIV/0!")</f>
        <v>#DIV/0!</v>
      </c>
      <c r="G104" s="132" t="str">
        <f>IFERROR(__xludf.DUMMYFUNCTION("""COMPUTED_VALUE"""),"#DIV/0!")</f>
        <v>#DIV/0!</v>
      </c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3"/>
      <c r="B105" s="132"/>
      <c r="C105" s="132"/>
      <c r="D105" s="132"/>
      <c r="E105" s="132"/>
      <c r="F105" s="132" t="str">
        <f>IFERROR(__xludf.DUMMYFUNCTION("""COMPUTED_VALUE"""),"#DIV/0!")</f>
        <v>#DIV/0!</v>
      </c>
      <c r="G105" s="132" t="str">
        <f>IFERROR(__xludf.DUMMYFUNCTION("""COMPUTED_VALUE"""),"#DIV/0!")</f>
        <v>#DIV/0!</v>
      </c>
      <c r="H105" s="132"/>
      <c r="I105" s="132"/>
      <c r="J105" s="132"/>
      <c r="K105" s="132"/>
      <c r="L105" s="132"/>
      <c r="M105" s="132"/>
      <c r="N105" s="132"/>
      <c r="O105" s="132"/>
      <c r="P105" s="132"/>
      <c r="Q105" s="134">
        <f>IFERROR(__xludf.DUMMYFUNCTION("""COMPUTED_VALUE"""),45536.0)</f>
        <v>45536</v>
      </c>
      <c r="R105" s="132" t="str">
        <f>IFERROR(__xludf.DUMMYFUNCTION("""COMPUTED_VALUE"""),"Water ")</f>
        <v>Water </v>
      </c>
      <c r="S105" s="132">
        <f>IFERROR(__xludf.DUMMYFUNCTION("""COMPUTED_VALUE"""),100.0)</f>
        <v>100</v>
      </c>
      <c r="T105" s="132" t="str">
        <f>IFERROR(__xludf.DUMMYFUNCTION("""COMPUTED_VALUE"""),"喺key deposit退咗")</f>
        <v>喺key deposit退咗</v>
      </c>
      <c r="U105" s="132" t="str">
        <f>IFERROR(__xludf.DUMMYFUNCTION("""COMPUTED_VALUE"""),"Paid")</f>
        <v>Paid</v>
      </c>
      <c r="V105" s="132" t="str">
        <f>IFERROR(__xludf.DUMMYFUNCTION("""COMPUTED_VALUE"""),"Paid")</f>
        <v>Paid</v>
      </c>
      <c r="W105" s="132" t="str">
        <f>IFERROR(__xludf.DUMMYFUNCTION("""COMPUTED_VALUE"""),"Paid")</f>
        <v>Paid</v>
      </c>
      <c r="X105" s="132" t="str">
        <f>IFERROR(__xludf.DUMMYFUNCTION("""COMPUTED_VALUE"""),"Paid")</f>
        <v>Paid</v>
      </c>
      <c r="Y105" s="132" t="str">
        <f>IFERROR(__xludf.DUMMYFUNCTION("""COMPUTED_VALUE"""),"Paid")</f>
        <v>Paid</v>
      </c>
      <c r="Z105" s="132"/>
    </row>
    <row r="106">
      <c r="A106" s="132"/>
      <c r="B106" s="132"/>
      <c r="C106" s="132"/>
      <c r="D106" s="132"/>
      <c r="E106" s="132"/>
      <c r="F106" s="132" t="str">
        <f>IFERROR(__xludf.DUMMYFUNCTION("""COMPUTED_VALUE"""),"#DIV/0!")</f>
        <v>#DIV/0!</v>
      </c>
      <c r="G106" s="132" t="str">
        <f>IFERROR(__xludf.DUMMYFUNCTION("""COMPUTED_VALUE"""),"#DIV/0!")</f>
        <v>#DIV/0!</v>
      </c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 t="str">
        <f>IFERROR(__xludf.DUMMYFUNCTION("""COMPUTED_VALUE"""),"Key deposit (退俾大家）")</f>
        <v>Key deposit (退俾大家）</v>
      </c>
      <c r="S106" s="132">
        <f>IFERROR(__xludf.DUMMYFUNCTION("""COMPUTED_VALUE"""),-900.0)</f>
        <v>-900</v>
      </c>
      <c r="T106" s="132">
        <f>IFERROR(__xludf.DUMMYFUNCTION("""COMPUTED_VALUE"""),-180.0)</f>
        <v>-180</v>
      </c>
      <c r="U106" s="132" t="str">
        <f>IFERROR(__xludf.DUMMYFUNCTION("""COMPUTED_VALUE"""),"Paid")</f>
        <v>Paid</v>
      </c>
      <c r="V106" s="132" t="str">
        <f>IFERROR(__xludf.DUMMYFUNCTION("""COMPUTED_VALUE"""),"Paid")</f>
        <v>Paid</v>
      </c>
      <c r="W106" s="132" t="str">
        <f>IFERROR(__xludf.DUMMYFUNCTION("""COMPUTED_VALUE"""),"Paid")</f>
        <v>Paid</v>
      </c>
      <c r="X106" s="132" t="str">
        <f>IFERROR(__xludf.DUMMYFUNCTION("""COMPUTED_VALUE"""),"Paid")</f>
        <v>Paid</v>
      </c>
      <c r="Y106" s="132" t="str">
        <f>IFERROR(__xludf.DUMMYFUNCTION("""COMPUTED_VALUE"""),"Paid")</f>
        <v>Paid</v>
      </c>
      <c r="Z106" s="132"/>
    </row>
    <row r="107">
      <c r="A107" s="133"/>
      <c r="B107" s="132"/>
      <c r="C107" s="132"/>
      <c r="D107" s="132"/>
      <c r="E107" s="132"/>
      <c r="F107" s="132" t="str">
        <f>IFERROR(__xludf.DUMMYFUNCTION("""COMPUTED_VALUE"""),"#DIV/0!")</f>
        <v>#DIV/0!</v>
      </c>
      <c r="G107" s="132" t="str">
        <f>IFERROR(__xludf.DUMMYFUNCTION("""COMPUTED_VALUE"""),"#DIV/0!")</f>
        <v>#DIV/0!</v>
      </c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 t="str">
        <f>IFERROR(__xludf.DUMMYFUNCTION("""COMPUTED_VALUE"""),"Heat")</f>
        <v>Heat</v>
      </c>
      <c r="S107" s="132">
        <f>IFERROR(__xludf.DUMMYFUNCTION("""COMPUTED_VALUE"""),68.81)</f>
        <v>68.81</v>
      </c>
      <c r="T107" s="132">
        <f>IFERROR(__xludf.DUMMYFUNCTION("""COMPUTED_VALUE"""),13.762)</f>
        <v>13.762</v>
      </c>
      <c r="U107" s="132" t="str">
        <f>IFERROR(__xludf.DUMMYFUNCTION("""COMPUTED_VALUE"""),"Paid")</f>
        <v>Paid</v>
      </c>
      <c r="V107" s="132" t="str">
        <f>IFERROR(__xludf.DUMMYFUNCTION("""COMPUTED_VALUE"""),"Paid")</f>
        <v>Paid</v>
      </c>
      <c r="W107" s="132" t="str">
        <f>IFERROR(__xludf.DUMMYFUNCTION("""COMPUTED_VALUE"""),"Paid")</f>
        <v>Paid</v>
      </c>
      <c r="X107" s="132" t="str">
        <f>IFERROR(__xludf.DUMMYFUNCTION("""COMPUTED_VALUE"""),"Paid")</f>
        <v>Paid</v>
      </c>
      <c r="Y107" s="132" t="str">
        <f>IFERROR(__xludf.DUMMYFUNCTION("""COMPUTED_VALUE"""),"Paid")</f>
        <v>Paid</v>
      </c>
      <c r="Z107" s="132"/>
    </row>
    <row r="108">
      <c r="A108" s="133"/>
      <c r="B108" s="132"/>
      <c r="C108" s="132"/>
      <c r="D108" s="132"/>
      <c r="E108" s="132"/>
      <c r="F108" s="132" t="str">
        <f>IFERROR(__xludf.DUMMYFUNCTION("""COMPUTED_VALUE"""),"#DIV/0!")</f>
        <v>#DIV/0!</v>
      </c>
      <c r="G108" s="132" t="str">
        <f>IFERROR(__xludf.DUMMYFUNCTION("""COMPUTED_VALUE"""),"#DIV/0!")</f>
        <v>#DIV/0!</v>
      </c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 t="str">
        <f>IFERROR(__xludf.DUMMYFUNCTION("""COMPUTED_VALUE"""),"Electricity")</f>
        <v>Electricity</v>
      </c>
      <c r="S108" s="132">
        <f>IFERROR(__xludf.DUMMYFUNCTION("""COMPUTED_VALUE"""),185.28)</f>
        <v>185.28</v>
      </c>
      <c r="T108" s="132">
        <f>IFERROR(__xludf.DUMMYFUNCTION("""COMPUTED_VALUE"""),37.056)</f>
        <v>37.056</v>
      </c>
      <c r="U108" s="132" t="str">
        <f>IFERROR(__xludf.DUMMYFUNCTION("""COMPUTED_VALUE"""),"Paid")</f>
        <v>Paid</v>
      </c>
      <c r="V108" s="132" t="str">
        <f>IFERROR(__xludf.DUMMYFUNCTION("""COMPUTED_VALUE"""),"Paid")</f>
        <v>Paid</v>
      </c>
      <c r="W108" s="132" t="str">
        <f>IFERROR(__xludf.DUMMYFUNCTION("""COMPUTED_VALUE"""),"Paid")</f>
        <v>Paid</v>
      </c>
      <c r="X108" s="132" t="str">
        <f>IFERROR(__xludf.DUMMYFUNCTION("""COMPUTED_VALUE"""),"Paid")</f>
        <v>Paid</v>
      </c>
      <c r="Y108" s="132" t="str">
        <f>IFERROR(__xludf.DUMMYFUNCTION("""COMPUTED_VALUE"""),"Paid")</f>
        <v>Paid</v>
      </c>
      <c r="Z108" s="132"/>
    </row>
    <row r="109">
      <c r="A109" s="133"/>
      <c r="B109" s="132"/>
      <c r="C109" s="132"/>
      <c r="D109" s="135"/>
      <c r="E109" s="132"/>
      <c r="F109" s="132" t="str">
        <f>IFERROR(__xludf.DUMMYFUNCTION("""COMPUTED_VALUE"""),"#DIV/0!")</f>
        <v>#DIV/0!</v>
      </c>
      <c r="G109" s="132" t="str">
        <f>IFERROR(__xludf.DUMMYFUNCTION("""COMPUTED_VALUE"""),"#DIV/0!")</f>
        <v>#DIV/0!</v>
      </c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 t="str">
        <f>IFERROR(__xludf.DUMMYFUNCTION("""COMPUTED_VALUE"""),"Internet")</f>
        <v>Internet</v>
      </c>
      <c r="S109" s="132">
        <f>IFERROR(__xludf.DUMMYFUNCTION("""COMPUTED_VALUE"""),56.5)</f>
        <v>56.5</v>
      </c>
      <c r="T109" s="132">
        <f>IFERROR(__xludf.DUMMYFUNCTION("""COMPUTED_VALUE"""),11.3)</f>
        <v>11.3</v>
      </c>
      <c r="U109" s="132" t="str">
        <f>IFERROR(__xludf.DUMMYFUNCTION("""COMPUTED_VALUE"""),"Paid")</f>
        <v>Paid</v>
      </c>
      <c r="V109" s="132" t="str">
        <f>IFERROR(__xludf.DUMMYFUNCTION("""COMPUTED_VALUE"""),"Paid")</f>
        <v>Paid</v>
      </c>
      <c r="W109" s="132" t="str">
        <f>IFERROR(__xludf.DUMMYFUNCTION("""COMPUTED_VALUE"""),"Paid")</f>
        <v>Paid</v>
      </c>
      <c r="X109" s="132" t="str">
        <f>IFERROR(__xludf.DUMMYFUNCTION("""COMPUTED_VALUE"""),"Paid")</f>
        <v>Paid</v>
      </c>
      <c r="Y109" s="132" t="str">
        <f>IFERROR(__xludf.DUMMYFUNCTION("""COMPUTED_VALUE"""),"Paid")</f>
        <v>Paid</v>
      </c>
      <c r="Z109" s="132"/>
    </row>
    <row r="110">
      <c r="A110" s="133"/>
      <c r="B110" s="132"/>
      <c r="C110" s="132"/>
      <c r="D110" s="132"/>
      <c r="E110" s="132"/>
      <c r="F110" s="132" t="str">
        <f>IFERROR(__xludf.DUMMYFUNCTION("""COMPUTED_VALUE"""),"#DIV/0!")</f>
        <v>#DIV/0!</v>
      </c>
      <c r="G110" s="132" t="str">
        <f>IFERROR(__xludf.DUMMYFUNCTION("""COMPUTED_VALUE"""),"#DIV/0!")</f>
        <v>#DIV/0!</v>
      </c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>
        <f>IFERROR(__xludf.DUMMYFUNCTION("""COMPUTED_VALUE"""),-489.4100000000001)</f>
        <v>-489.41</v>
      </c>
      <c r="T110" s="132">
        <f>IFERROR(__xludf.DUMMYFUNCTION("""COMPUTED_VALUE"""),-117.88200000000002)</f>
        <v>-117.882</v>
      </c>
      <c r="U110" s="132"/>
      <c r="V110" s="132"/>
      <c r="W110" s="132"/>
      <c r="X110" s="132"/>
      <c r="Y110" s="132"/>
      <c r="Z110" s="132"/>
    </row>
    <row r="111">
      <c r="A111" s="133"/>
      <c r="B111" s="132"/>
      <c r="C111" s="132"/>
      <c r="D111" s="132"/>
      <c r="E111" s="132"/>
      <c r="F111" s="132" t="str">
        <f>IFERROR(__xludf.DUMMYFUNCTION("""COMPUTED_VALUE"""),"#DIV/0!")</f>
        <v>#DIV/0!</v>
      </c>
      <c r="G111" s="132" t="str">
        <f>IFERROR(__xludf.DUMMYFUNCTION("""COMPUTED_VALUE"""),"#DIV/0!")</f>
        <v>#DIV/0!</v>
      </c>
      <c r="H111" s="132"/>
      <c r="I111" s="132"/>
      <c r="J111" s="132"/>
      <c r="K111" s="132"/>
      <c r="L111" s="132"/>
      <c r="M111" s="132"/>
      <c r="N111" s="132"/>
      <c r="O111" s="132"/>
      <c r="P111" s="132"/>
      <c r="Q111" s="134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3"/>
      <c r="B112" s="132"/>
      <c r="C112" s="132"/>
      <c r="D112" s="132"/>
      <c r="E112" s="132"/>
      <c r="F112" s="132" t="str">
        <f>IFERROR(__xludf.DUMMYFUNCTION("""COMPUTED_VALUE"""),"#DIV/0!")</f>
        <v>#DIV/0!</v>
      </c>
      <c r="G112" s="132" t="str">
        <f>IFERROR(__xludf.DUMMYFUNCTION("""COMPUTED_VALUE"""),"#DIV/0!")</f>
        <v>#DIV/0!</v>
      </c>
      <c r="H112" s="132"/>
      <c r="I112" s="132"/>
      <c r="J112" s="132"/>
      <c r="K112" s="132"/>
      <c r="L112" s="132"/>
      <c r="M112" s="132"/>
      <c r="N112" s="132"/>
      <c r="O112" s="132"/>
      <c r="P112" s="132"/>
      <c r="Q112" s="134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3"/>
      <c r="B113" s="132"/>
      <c r="C113" s="132"/>
      <c r="D113" s="132"/>
      <c r="E113" s="132"/>
      <c r="F113" s="132" t="str">
        <f>IFERROR(__xludf.DUMMYFUNCTION("""COMPUTED_VALUE"""),"#DIV/0!")</f>
        <v>#DIV/0!</v>
      </c>
      <c r="G113" s="132" t="str">
        <f>IFERROR(__xludf.DUMMYFUNCTION("""COMPUTED_VALUE"""),"#DIV/0!")</f>
        <v>#DIV/0!</v>
      </c>
      <c r="H113" s="132"/>
      <c r="I113" s="132"/>
      <c r="J113" s="132"/>
      <c r="K113" s="132"/>
      <c r="L113" s="132"/>
      <c r="M113" s="132"/>
      <c r="N113" s="132"/>
      <c r="O113" s="132"/>
      <c r="P113" s="132"/>
      <c r="Q113" s="134">
        <f>IFERROR(__xludf.DUMMYFUNCTION("""COMPUTED_VALUE"""),45566.0)</f>
        <v>45566</v>
      </c>
      <c r="R113" s="132" t="str">
        <f>IFERROR(__xludf.DUMMYFUNCTION("""COMPUTED_VALUE"""),"Heat")</f>
        <v>Heat</v>
      </c>
      <c r="S113" s="132">
        <f>IFERROR(__xludf.DUMMYFUNCTION("""COMPUTED_VALUE"""),68.81)</f>
        <v>68.81</v>
      </c>
      <c r="T113" s="132">
        <f>IFERROR(__xludf.DUMMYFUNCTION("""COMPUTED_VALUE"""),11.468333333333334)</f>
        <v>11.46833333</v>
      </c>
      <c r="U113" s="132" t="str">
        <f>IFERROR(__xludf.DUMMYFUNCTION("""COMPUTED_VALUE"""),"Paid")</f>
        <v>Paid</v>
      </c>
      <c r="V113" s="132" t="str">
        <f>IFERROR(__xludf.DUMMYFUNCTION("""COMPUTED_VALUE"""),"Paid")</f>
        <v>Paid</v>
      </c>
      <c r="W113" s="132" t="str">
        <f>IFERROR(__xludf.DUMMYFUNCTION("""COMPUTED_VALUE"""),"Paid")</f>
        <v>Paid</v>
      </c>
      <c r="X113" s="132" t="str">
        <f>IFERROR(__xludf.DUMMYFUNCTION("""COMPUTED_VALUE"""),"Paid")</f>
        <v>Paid</v>
      </c>
      <c r="Y113" s="132" t="str">
        <f>IFERROR(__xludf.DUMMYFUNCTION("""COMPUTED_VALUE"""),"Paid")</f>
        <v>Paid</v>
      </c>
      <c r="Z113" s="132"/>
    </row>
    <row r="114">
      <c r="A114" s="133"/>
      <c r="B114" s="132"/>
      <c r="C114" s="132"/>
      <c r="D114" s="132"/>
      <c r="E114" s="132"/>
      <c r="F114" s="132" t="str">
        <f>IFERROR(__xludf.DUMMYFUNCTION("""COMPUTED_VALUE"""),"#DIV/0!")</f>
        <v>#DIV/0!</v>
      </c>
      <c r="G114" s="132" t="str">
        <f>IFERROR(__xludf.DUMMYFUNCTION("""COMPUTED_VALUE"""),"#DIV/0!")</f>
        <v>#DIV/0!</v>
      </c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 t="str">
        <f>IFERROR(__xludf.DUMMYFUNCTION("""COMPUTED_VALUE"""),"Electricity")</f>
        <v>Electricity</v>
      </c>
      <c r="S114" s="132">
        <f>IFERROR(__xludf.DUMMYFUNCTION("""COMPUTED_VALUE"""),128.04)</f>
        <v>128.04</v>
      </c>
      <c r="T114" s="132">
        <f>IFERROR(__xludf.DUMMYFUNCTION("""COMPUTED_VALUE"""),21.34)</f>
        <v>21.34</v>
      </c>
      <c r="U114" s="132" t="str">
        <f>IFERROR(__xludf.DUMMYFUNCTION("""COMPUTED_VALUE"""),"Paid")</f>
        <v>Paid</v>
      </c>
      <c r="V114" s="132" t="str">
        <f>IFERROR(__xludf.DUMMYFUNCTION("""COMPUTED_VALUE"""),"Paid")</f>
        <v>Paid</v>
      </c>
      <c r="W114" s="132" t="str">
        <f>IFERROR(__xludf.DUMMYFUNCTION("""COMPUTED_VALUE"""),"Paid")</f>
        <v>Paid</v>
      </c>
      <c r="X114" s="132" t="str">
        <f>IFERROR(__xludf.DUMMYFUNCTION("""COMPUTED_VALUE"""),"Paid")</f>
        <v>Paid</v>
      </c>
      <c r="Y114" s="132" t="str">
        <f>IFERROR(__xludf.DUMMYFUNCTION("""COMPUTED_VALUE"""),"Paid")</f>
        <v>Paid</v>
      </c>
      <c r="Z114" s="132"/>
    </row>
    <row r="115">
      <c r="A115" s="133"/>
      <c r="B115" s="132"/>
      <c r="C115" s="132"/>
      <c r="D115" s="135"/>
      <c r="E115" s="132"/>
      <c r="F115" s="132" t="str">
        <f>IFERROR(__xludf.DUMMYFUNCTION("""COMPUTED_VALUE"""),"#DIV/0!")</f>
        <v>#DIV/0!</v>
      </c>
      <c r="G115" s="132" t="str">
        <f>IFERROR(__xludf.DUMMYFUNCTION("""COMPUTED_VALUE"""),"#DIV/0!")</f>
        <v>#DIV/0!</v>
      </c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 t="str">
        <f>IFERROR(__xludf.DUMMYFUNCTION("""COMPUTED_VALUE"""),"Internet")</f>
        <v>Internet</v>
      </c>
      <c r="S115" s="132">
        <f>IFERROR(__xludf.DUMMYFUNCTION("""COMPUTED_VALUE"""),56.5)</f>
        <v>56.5</v>
      </c>
      <c r="T115" s="132">
        <f>IFERROR(__xludf.DUMMYFUNCTION("""COMPUTED_VALUE"""),9.416666666666666)</f>
        <v>9.416666667</v>
      </c>
      <c r="U115" s="132" t="str">
        <f>IFERROR(__xludf.DUMMYFUNCTION("""COMPUTED_VALUE"""),"Paid")</f>
        <v>Paid</v>
      </c>
      <c r="V115" s="132" t="str">
        <f>IFERROR(__xludf.DUMMYFUNCTION("""COMPUTED_VALUE"""),"Paid")</f>
        <v>Paid</v>
      </c>
      <c r="W115" s="132" t="str">
        <f>IFERROR(__xludf.DUMMYFUNCTION("""COMPUTED_VALUE"""),"Paid")</f>
        <v>Paid</v>
      </c>
      <c r="X115" s="132" t="str">
        <f>IFERROR(__xludf.DUMMYFUNCTION("""COMPUTED_VALUE"""),"Paid")</f>
        <v>Paid</v>
      </c>
      <c r="Y115" s="132" t="str">
        <f>IFERROR(__xludf.DUMMYFUNCTION("""COMPUTED_VALUE"""),"Paid")</f>
        <v>Paid</v>
      </c>
      <c r="Z115" s="132"/>
    </row>
    <row r="116">
      <c r="A116" s="133"/>
      <c r="B116" s="132"/>
      <c r="C116" s="132"/>
      <c r="D116" s="132"/>
      <c r="E116" s="132"/>
      <c r="F116" s="132" t="str">
        <f>IFERROR(__xludf.DUMMYFUNCTION("""COMPUTED_VALUE"""),"#DIV/0!")</f>
        <v>#DIV/0!</v>
      </c>
      <c r="G116" s="132" t="str">
        <f>IFERROR(__xludf.DUMMYFUNCTION("""COMPUTED_VALUE"""),"#DIV/0!")</f>
        <v>#DIV/0!</v>
      </c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 t="str">
        <f>IFERROR(__xludf.DUMMYFUNCTION("""COMPUTED_VALUE"""),"Rent for 2 months")</f>
        <v>Rent for 2 months</v>
      </c>
      <c r="S116" s="132">
        <f>IFERROR(__xludf.DUMMYFUNCTION("""COMPUTED_VALUE"""),7800.0)</f>
        <v>7800</v>
      </c>
      <c r="T116" s="132">
        <f>IFERROR(__xludf.DUMMYFUNCTION("""COMPUTED_VALUE"""),1300.0)</f>
        <v>1300</v>
      </c>
      <c r="U116" s="132" t="str">
        <f>IFERROR(__xludf.DUMMYFUNCTION("""COMPUTED_VALUE"""),"Paid")</f>
        <v>Paid</v>
      </c>
      <c r="V116" s="132" t="str">
        <f>IFERROR(__xludf.DUMMYFUNCTION("""COMPUTED_VALUE"""),"Paid")</f>
        <v>Paid</v>
      </c>
      <c r="W116" s="132" t="str">
        <f>IFERROR(__xludf.DUMMYFUNCTION("""COMPUTED_VALUE"""),"Paid")</f>
        <v>Paid</v>
      </c>
      <c r="X116" s="132" t="str">
        <f>IFERROR(__xludf.DUMMYFUNCTION("""COMPUTED_VALUE"""),"Paid")</f>
        <v>Paid</v>
      </c>
      <c r="Y116" s="132" t="str">
        <f>IFERROR(__xludf.DUMMYFUNCTION("""COMPUTED_VALUE"""),"Paid")</f>
        <v>Paid</v>
      </c>
      <c r="Z116" s="132"/>
    </row>
    <row r="117">
      <c r="A117" s="133"/>
      <c r="B117" s="132"/>
      <c r="C117" s="132"/>
      <c r="D117" s="135"/>
      <c r="E117" s="132"/>
      <c r="F117" s="132" t="str">
        <f>IFERROR(__xludf.DUMMYFUNCTION("""COMPUTED_VALUE"""),"#DIV/0!")</f>
        <v>#DIV/0!</v>
      </c>
      <c r="G117" s="132" t="str">
        <f>IFERROR(__xludf.DUMMYFUNCTION("""COMPUTED_VALUE"""),"#DIV/0!")</f>
        <v>#DIV/0!</v>
      </c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 t="str">
        <f>IFERROR(__xludf.DUMMYFUNCTION("""COMPUTED_VALUE"""),"Key deposit")</f>
        <v>Key deposit</v>
      </c>
      <c r="S117" s="132">
        <f>IFERROR(__xludf.DUMMYFUNCTION("""COMPUTED_VALUE"""),500.0)</f>
        <v>500</v>
      </c>
      <c r="T117" s="132">
        <f>IFERROR(__xludf.DUMMYFUNCTION("""COMPUTED_VALUE"""),83.33333333333333)</f>
        <v>83.33333333</v>
      </c>
      <c r="U117" s="132" t="str">
        <f>IFERROR(__xludf.DUMMYFUNCTION("""COMPUTED_VALUE"""),"Paid")</f>
        <v>Paid</v>
      </c>
      <c r="V117" s="132" t="str">
        <f>IFERROR(__xludf.DUMMYFUNCTION("""COMPUTED_VALUE"""),"Paid")</f>
        <v>Paid</v>
      </c>
      <c r="W117" s="132" t="str">
        <f>IFERROR(__xludf.DUMMYFUNCTION("""COMPUTED_VALUE"""),"Paid")</f>
        <v>Paid</v>
      </c>
      <c r="X117" s="132" t="str">
        <f>IFERROR(__xludf.DUMMYFUNCTION("""COMPUTED_VALUE"""),"Paid")</f>
        <v>Paid</v>
      </c>
      <c r="Y117" s="132" t="str">
        <f>IFERROR(__xludf.DUMMYFUNCTION("""COMPUTED_VALUE"""),"Paid")</f>
        <v>Paid</v>
      </c>
      <c r="Z117" s="132"/>
    </row>
    <row r="118">
      <c r="A118" s="132"/>
      <c r="B118" s="132"/>
      <c r="C118" s="132"/>
      <c r="D118" s="132"/>
      <c r="E118" s="132"/>
      <c r="F118" s="132" t="str">
        <f>IFERROR(__xludf.DUMMYFUNCTION("""COMPUTED_VALUE"""),"#DIV/0!")</f>
        <v>#DIV/0!</v>
      </c>
      <c r="G118" s="132" t="str">
        <f>IFERROR(__xludf.DUMMYFUNCTION("""COMPUTED_VALUE"""),"#DIV/0!")</f>
        <v>#DIV/0!</v>
      </c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3"/>
      <c r="B119" s="132"/>
      <c r="C119" s="132"/>
      <c r="D119" s="132"/>
      <c r="E119" s="132"/>
      <c r="F119" s="132" t="str">
        <f>IFERROR(__xludf.DUMMYFUNCTION("""COMPUTED_VALUE"""),"#DIV/0!")</f>
        <v>#DIV/0!</v>
      </c>
      <c r="G119" s="132" t="str">
        <f>IFERROR(__xludf.DUMMYFUNCTION("""COMPUTED_VALUE"""),"#DIV/0!")</f>
        <v>#DIV/0!</v>
      </c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3"/>
      <c r="B120" s="132"/>
      <c r="C120" s="132"/>
      <c r="D120" s="132"/>
      <c r="E120" s="132"/>
      <c r="F120" s="132" t="str">
        <f>IFERROR(__xludf.DUMMYFUNCTION("""COMPUTED_VALUE"""),"#DIV/0!")</f>
        <v>#DIV/0!</v>
      </c>
      <c r="G120" s="132" t="str">
        <f>IFERROR(__xludf.DUMMYFUNCTION("""COMPUTED_VALUE"""),"#DIV/0!")</f>
        <v>#DIV/0!</v>
      </c>
      <c r="H120" s="132"/>
      <c r="I120" s="132"/>
      <c r="J120" s="132"/>
      <c r="K120" s="132"/>
      <c r="L120" s="132"/>
      <c r="M120" s="132"/>
      <c r="N120" s="132"/>
      <c r="O120" s="132"/>
      <c r="P120" s="132"/>
      <c r="Q120" s="134">
        <f>IFERROR(__xludf.DUMMYFUNCTION("""COMPUTED_VALUE"""),45597.0)</f>
        <v>45597</v>
      </c>
      <c r="R120" s="132" t="str">
        <f>IFERROR(__xludf.DUMMYFUNCTION("""COMPUTED_VALUE"""),"Rent")</f>
        <v>Rent</v>
      </c>
      <c r="S120" s="132">
        <f>IFERROR(__xludf.DUMMYFUNCTION("""COMPUTED_VALUE"""),3900.0)</f>
        <v>3900</v>
      </c>
      <c r="T120" s="132">
        <f>IFERROR(__xludf.DUMMYFUNCTION("""COMPUTED_VALUE"""),650.0)</f>
        <v>650</v>
      </c>
      <c r="U120" s="132" t="str">
        <f>IFERROR(__xludf.DUMMYFUNCTION("""COMPUTED_VALUE"""),"Paid")</f>
        <v>Paid</v>
      </c>
      <c r="V120" s="132" t="str">
        <f>IFERROR(__xludf.DUMMYFUNCTION("""COMPUTED_VALUE"""),"Paid")</f>
        <v>Paid</v>
      </c>
      <c r="W120" s="132" t="str">
        <f>IFERROR(__xludf.DUMMYFUNCTION("""COMPUTED_VALUE"""),"Paid")</f>
        <v>Paid</v>
      </c>
      <c r="X120" s="132" t="str">
        <f>IFERROR(__xludf.DUMMYFUNCTION("""COMPUTED_VALUE"""),"Paid")</f>
        <v>Paid</v>
      </c>
      <c r="Y120" s="132" t="str">
        <f>IFERROR(__xludf.DUMMYFUNCTION("""COMPUTED_VALUE"""),"Paid")</f>
        <v>Paid</v>
      </c>
      <c r="Z120" s="132"/>
    </row>
    <row r="121">
      <c r="A121" s="133"/>
      <c r="B121" s="132"/>
      <c r="C121" s="132"/>
      <c r="D121" s="132"/>
      <c r="E121" s="132"/>
      <c r="F121" s="132" t="str">
        <f>IFERROR(__xludf.DUMMYFUNCTION("""COMPUTED_VALUE"""),"#DIV/0!")</f>
        <v>#DIV/0!</v>
      </c>
      <c r="G121" s="132" t="str">
        <f>IFERROR(__xludf.DUMMYFUNCTION("""COMPUTED_VALUE"""),"#DIV/0!")</f>
        <v>#DIV/0!</v>
      </c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 t="str">
        <f>IFERROR(__xludf.DUMMYFUNCTION("""COMPUTED_VALUE"""),"Heat")</f>
        <v>Heat</v>
      </c>
      <c r="S121" s="132">
        <f>IFERROR(__xludf.DUMMYFUNCTION("""COMPUTED_VALUE"""),158.95)</f>
        <v>158.95</v>
      </c>
      <c r="T121" s="132">
        <f>IFERROR(__xludf.DUMMYFUNCTION("""COMPUTED_VALUE"""),26.491666666666664)</f>
        <v>26.49166667</v>
      </c>
      <c r="U121" s="132" t="str">
        <f>IFERROR(__xludf.DUMMYFUNCTION("""COMPUTED_VALUE"""),"Paid")</f>
        <v>Paid</v>
      </c>
      <c r="V121" s="132" t="str">
        <f>IFERROR(__xludf.DUMMYFUNCTION("""COMPUTED_VALUE"""),"Paid")</f>
        <v>Paid</v>
      </c>
      <c r="W121" s="132" t="str">
        <f>IFERROR(__xludf.DUMMYFUNCTION("""COMPUTED_VALUE"""),"Paid")</f>
        <v>Paid</v>
      </c>
      <c r="X121" s="132" t="str">
        <f>IFERROR(__xludf.DUMMYFUNCTION("""COMPUTED_VALUE"""),"Paid")</f>
        <v>Paid</v>
      </c>
      <c r="Y121" s="132" t="str">
        <f>IFERROR(__xludf.DUMMYFUNCTION("""COMPUTED_VALUE"""),"Paid")</f>
        <v>Paid</v>
      </c>
      <c r="Z121" s="132"/>
    </row>
    <row r="122">
      <c r="A122" s="133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 t="str">
        <f>IFERROR(__xludf.DUMMYFUNCTION("""COMPUTED_VALUE"""),"Electricity")</f>
        <v>Electricity</v>
      </c>
      <c r="S122" s="132">
        <f>IFERROR(__xludf.DUMMYFUNCTION("""COMPUTED_VALUE"""),167.9)</f>
        <v>167.9</v>
      </c>
      <c r="T122" s="132">
        <f>IFERROR(__xludf.DUMMYFUNCTION("""COMPUTED_VALUE"""),27.983333333333334)</f>
        <v>27.98333333</v>
      </c>
      <c r="U122" s="132" t="str">
        <f>IFERROR(__xludf.DUMMYFUNCTION("""COMPUTED_VALUE"""),"Paid")</f>
        <v>Paid</v>
      </c>
      <c r="V122" s="132" t="str">
        <f>IFERROR(__xludf.DUMMYFUNCTION("""COMPUTED_VALUE"""),"Paid")</f>
        <v>Paid</v>
      </c>
      <c r="W122" s="132" t="str">
        <f>IFERROR(__xludf.DUMMYFUNCTION("""COMPUTED_VALUE"""),"Paid")</f>
        <v>Paid</v>
      </c>
      <c r="X122" s="132" t="str">
        <f>IFERROR(__xludf.DUMMYFUNCTION("""COMPUTED_VALUE"""),"Paid")</f>
        <v>Paid</v>
      </c>
      <c r="Y122" s="132" t="str">
        <f>IFERROR(__xludf.DUMMYFUNCTION("""COMPUTED_VALUE"""),"Paid")</f>
        <v>Paid</v>
      </c>
      <c r="Z122" s="132"/>
    </row>
    <row r="123">
      <c r="A123" s="133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 t="str">
        <f>IFERROR(__xludf.DUMMYFUNCTION("""COMPUTED_VALUE"""),"Internet")</f>
        <v>Internet</v>
      </c>
      <c r="S123" s="132">
        <f>IFERROR(__xludf.DUMMYFUNCTION("""COMPUTED_VALUE"""),56.5)</f>
        <v>56.5</v>
      </c>
      <c r="T123" s="132">
        <f>IFERROR(__xludf.DUMMYFUNCTION("""COMPUTED_VALUE"""),9.416666666666666)</f>
        <v>9.416666667</v>
      </c>
      <c r="U123" s="132" t="str">
        <f>IFERROR(__xludf.DUMMYFUNCTION("""COMPUTED_VALUE"""),"Paid")</f>
        <v>Paid</v>
      </c>
      <c r="V123" s="132" t="str">
        <f>IFERROR(__xludf.DUMMYFUNCTION("""COMPUTED_VALUE"""),"Paid")</f>
        <v>Paid</v>
      </c>
      <c r="W123" s="132" t="str">
        <f>IFERROR(__xludf.DUMMYFUNCTION("""COMPUTED_VALUE"""),"Paid")</f>
        <v>Paid</v>
      </c>
      <c r="X123" s="132" t="str">
        <f>IFERROR(__xludf.DUMMYFUNCTION("""COMPUTED_VALUE"""),"Paid")</f>
        <v>Paid</v>
      </c>
      <c r="Y123" s="132" t="str">
        <f>IFERROR(__xludf.DUMMYFUNCTION("""COMPUTED_VALUE"""),"Paid")</f>
        <v>Paid</v>
      </c>
      <c r="Z123" s="132"/>
    </row>
    <row r="124">
      <c r="A124" s="133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3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3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4">
        <f>IFERROR(__xludf.DUMMYFUNCTION("""COMPUTED_VALUE"""),45627.0)</f>
        <v>45627</v>
      </c>
      <c r="R126" s="132" t="str">
        <f>IFERROR(__xludf.DUMMYFUNCTION("""COMPUTED_VALUE"""),"Rent")</f>
        <v>Rent</v>
      </c>
      <c r="S126" s="132">
        <f>IFERROR(__xludf.DUMMYFUNCTION("""COMPUTED_VALUE"""),3900.0)</f>
        <v>3900</v>
      </c>
      <c r="T126" s="132">
        <f>IFERROR(__xludf.DUMMYFUNCTION("""COMPUTED_VALUE"""),650.0)</f>
        <v>650</v>
      </c>
      <c r="U126" s="132" t="str">
        <f>IFERROR(__xludf.DUMMYFUNCTION("""COMPUTED_VALUE"""),"Paid")</f>
        <v>Paid</v>
      </c>
      <c r="V126" s="132" t="str">
        <f>IFERROR(__xludf.DUMMYFUNCTION("""COMPUTED_VALUE"""),"Paid")</f>
        <v>Paid</v>
      </c>
      <c r="W126" s="132" t="str">
        <f>IFERROR(__xludf.DUMMYFUNCTION("""COMPUTED_VALUE"""),"Paid")</f>
        <v>Paid</v>
      </c>
      <c r="X126" s="132" t="str">
        <f>IFERROR(__xludf.DUMMYFUNCTION("""COMPUTED_VALUE"""),"Paid")</f>
        <v>Paid</v>
      </c>
      <c r="Y126" s="132" t="str">
        <f>IFERROR(__xludf.DUMMYFUNCTION("""COMPUTED_VALUE"""),"Paid")</f>
        <v>Paid</v>
      </c>
      <c r="Z126" s="132"/>
    </row>
    <row r="127">
      <c r="A127" s="133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 t="str">
        <f>IFERROR(__xludf.DUMMYFUNCTION("""COMPUTED_VALUE"""),"Heat")</f>
        <v>Heat</v>
      </c>
      <c r="S127" s="132">
        <f>IFERROR(__xludf.DUMMYFUNCTION("""COMPUTED_VALUE"""),182.8)</f>
        <v>182.8</v>
      </c>
      <c r="T127" s="132">
        <f>IFERROR(__xludf.DUMMYFUNCTION("""COMPUTED_VALUE"""),30.46666666666667)</f>
        <v>30.46666667</v>
      </c>
      <c r="U127" s="132" t="str">
        <f>IFERROR(__xludf.DUMMYFUNCTION("""COMPUTED_VALUE"""),"Paid")</f>
        <v>Paid</v>
      </c>
      <c r="V127" s="132" t="str">
        <f>IFERROR(__xludf.DUMMYFUNCTION("""COMPUTED_VALUE"""),"Paid")</f>
        <v>Paid</v>
      </c>
      <c r="W127" s="132" t="str">
        <f>IFERROR(__xludf.DUMMYFUNCTION("""COMPUTED_VALUE"""),"Paid")</f>
        <v>Paid</v>
      </c>
      <c r="X127" s="132" t="str">
        <f>IFERROR(__xludf.DUMMYFUNCTION("""COMPUTED_VALUE"""),"Paid")</f>
        <v>Paid</v>
      </c>
      <c r="Y127" s="132" t="str">
        <f>IFERROR(__xludf.DUMMYFUNCTION("""COMPUTED_VALUE"""),"Paid")</f>
        <v>Paid</v>
      </c>
      <c r="Z127" s="132"/>
    </row>
    <row r="128">
      <c r="A128" s="133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 t="str">
        <f>IFERROR(__xludf.DUMMYFUNCTION("""COMPUTED_VALUE"""),"Electricity")</f>
        <v>Electricity</v>
      </c>
      <c r="S128" s="132">
        <f>IFERROR(__xludf.DUMMYFUNCTION("""COMPUTED_VALUE"""),166.37)</f>
        <v>166.37</v>
      </c>
      <c r="T128" s="132">
        <f>IFERROR(__xludf.DUMMYFUNCTION("""COMPUTED_VALUE"""),27.728333333333335)</f>
        <v>27.72833333</v>
      </c>
      <c r="U128" s="132" t="str">
        <f>IFERROR(__xludf.DUMMYFUNCTION("""COMPUTED_VALUE"""),"Paid")</f>
        <v>Paid</v>
      </c>
      <c r="V128" s="132" t="str">
        <f>IFERROR(__xludf.DUMMYFUNCTION("""COMPUTED_VALUE"""),"Paid")</f>
        <v>Paid</v>
      </c>
      <c r="W128" s="132" t="str">
        <f>IFERROR(__xludf.DUMMYFUNCTION("""COMPUTED_VALUE"""),"Paid")</f>
        <v>Paid</v>
      </c>
      <c r="X128" s="132" t="str">
        <f>IFERROR(__xludf.DUMMYFUNCTION("""COMPUTED_VALUE"""),"Paid")</f>
        <v>Paid</v>
      </c>
      <c r="Y128" s="132" t="str">
        <f>IFERROR(__xludf.DUMMYFUNCTION("""COMPUTED_VALUE"""),"Paid")</f>
        <v>Paid</v>
      </c>
      <c r="Z128" s="132"/>
    </row>
    <row r="129">
      <c r="A129" s="13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Q129" s="88"/>
      <c r="R129" s="88" t="str">
        <f>IFERROR(__xludf.DUMMYFUNCTION("""COMPUTED_VALUE"""),"Internet")</f>
        <v>Internet</v>
      </c>
      <c r="S129" s="88">
        <f>IFERROR(__xludf.DUMMYFUNCTION("""COMPUTED_VALUE"""),56.5)</f>
        <v>56.5</v>
      </c>
      <c r="T129" s="88">
        <f>IFERROR(__xludf.DUMMYFUNCTION("""COMPUTED_VALUE"""),9.416666666666666)</f>
        <v>9.416666667</v>
      </c>
      <c r="U129" s="88" t="str">
        <f>IFERROR(__xludf.DUMMYFUNCTION("""COMPUTED_VALUE"""),"Paid")</f>
        <v>Paid</v>
      </c>
      <c r="V129" s="88" t="str">
        <f>IFERROR(__xludf.DUMMYFUNCTION("""COMPUTED_VALUE"""),"Paid")</f>
        <v>Paid</v>
      </c>
      <c r="W129" s="88" t="str">
        <f>IFERROR(__xludf.DUMMYFUNCTION("""COMPUTED_VALUE"""),"Paid")</f>
        <v>Paid</v>
      </c>
      <c r="X129" s="88" t="str">
        <f>IFERROR(__xludf.DUMMYFUNCTION("""COMPUTED_VALUE"""),"Paid")</f>
        <v>Paid</v>
      </c>
      <c r="Y129" s="88" t="str">
        <f>IFERROR(__xludf.DUMMYFUNCTION("""COMPUTED_VALUE"""),"Paid")</f>
        <v>Paid</v>
      </c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Q130" s="88"/>
      <c r="R130" s="88"/>
      <c r="S130" s="88"/>
      <c r="T130" s="88"/>
      <c r="U130" s="88"/>
      <c r="V130" s="88"/>
      <c r="W130" s="88"/>
      <c r="X130" s="88"/>
      <c r="Y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Q131" s="138">
        <f>IFERROR(__xludf.DUMMYFUNCTION("""COMPUTED_VALUE"""),45658.0)</f>
        <v>45658</v>
      </c>
      <c r="R131" s="88" t="str">
        <f>IFERROR(__xludf.DUMMYFUNCTION("""COMPUTED_VALUE"""),"Rent")</f>
        <v>Rent</v>
      </c>
      <c r="S131" s="88">
        <f>IFERROR(__xludf.DUMMYFUNCTION("""COMPUTED_VALUE"""),3900.0)</f>
        <v>3900</v>
      </c>
      <c r="T131" s="88">
        <f>IFERROR(__xludf.DUMMYFUNCTION("""COMPUTED_VALUE"""),650.0)</f>
        <v>650</v>
      </c>
      <c r="U131" s="88" t="str">
        <f>IFERROR(__xludf.DUMMYFUNCTION("""COMPUTED_VALUE"""),"Paid")</f>
        <v>Paid</v>
      </c>
      <c r="V131" s="88" t="str">
        <f>IFERROR(__xludf.DUMMYFUNCTION("""COMPUTED_VALUE"""),"Paid")</f>
        <v>Paid</v>
      </c>
      <c r="W131" s="88" t="str">
        <f>IFERROR(__xludf.DUMMYFUNCTION("""COMPUTED_VALUE"""),"Paid")</f>
        <v>Paid</v>
      </c>
      <c r="X131" s="88" t="str">
        <f>IFERROR(__xludf.DUMMYFUNCTION("""COMPUTED_VALUE"""),"Paid")</f>
        <v>Paid</v>
      </c>
      <c r="Y131" s="88" t="str">
        <f>IFERROR(__xludf.DUMMYFUNCTION("""COMPUTED_VALUE"""),"Paid")</f>
        <v>Paid</v>
      </c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Q132" s="88"/>
      <c r="R132" s="88" t="str">
        <f>IFERROR(__xludf.DUMMYFUNCTION("""COMPUTED_VALUE"""),"Heat January 17, 2025 - February 18, 2025")</f>
        <v>Heat January 17, 2025 - February 18, 2025</v>
      </c>
      <c r="S132" s="88">
        <f>IFERROR(__xludf.DUMMYFUNCTION("""COMPUTED_VALUE"""),303.55)</f>
        <v>303.55</v>
      </c>
      <c r="T132" s="88">
        <f>IFERROR(__xludf.DUMMYFUNCTION("""COMPUTED_VALUE"""),60.71)</f>
        <v>60.71</v>
      </c>
      <c r="U132" s="88"/>
      <c r="V132" s="88"/>
      <c r="W132" s="88"/>
      <c r="X132" s="88"/>
      <c r="Y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Q133" s="88"/>
      <c r="R133" s="88" t="str">
        <f>IFERROR(__xludf.DUMMYFUNCTION("""COMPUTED_VALUE"""),"Electricity")</f>
        <v>Electricity</v>
      </c>
      <c r="S133" s="88">
        <f>IFERROR(__xludf.DUMMYFUNCTION("""COMPUTED_VALUE"""),202.18)</f>
        <v>202.18</v>
      </c>
      <c r="T133" s="88">
        <f>IFERROR(__xludf.DUMMYFUNCTION("""COMPUTED_VALUE"""),33.696666666666665)</f>
        <v>33.69666667</v>
      </c>
      <c r="U133" s="88"/>
      <c r="V133" s="88"/>
      <c r="W133" s="88"/>
      <c r="X133" s="88"/>
      <c r="Y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Q134" s="88"/>
      <c r="R134" s="88" t="str">
        <f>IFERROR(__xludf.DUMMYFUNCTION("""COMPUTED_VALUE"""),"Internet")</f>
        <v>Internet</v>
      </c>
      <c r="S134" s="88">
        <f>IFERROR(__xludf.DUMMYFUNCTION("""COMPUTED_VALUE"""),56.5)</f>
        <v>56.5</v>
      </c>
      <c r="T134" s="88">
        <f>IFERROR(__xludf.DUMMYFUNCTION("""COMPUTED_VALUE"""),9.416666666666666)</f>
        <v>9.416666667</v>
      </c>
      <c r="U134" s="88"/>
      <c r="V134" s="88"/>
      <c r="W134" s="88"/>
      <c r="X134" s="88"/>
      <c r="Y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Q135" s="88"/>
      <c r="R135" s="88" t="str">
        <f>IFERROR(__xludf.DUMMYFUNCTION("""COMPUTED_VALUE"""),"Water")</f>
        <v>Water</v>
      </c>
      <c r="S135" s="88">
        <f>IFERROR(__xludf.DUMMYFUNCTION("""COMPUTED_VALUE"""),136.32)</f>
        <v>136.32</v>
      </c>
      <c r="T135" s="88">
        <f>IFERROR(__xludf.DUMMYFUNCTION("""COMPUTED_VALUE"""),22.72)</f>
        <v>22.72</v>
      </c>
      <c r="U135" s="88"/>
      <c r="V135" s="88"/>
      <c r="W135" s="88"/>
      <c r="X135" s="88"/>
      <c r="Y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Q136" s="88"/>
      <c r="R136" s="88"/>
      <c r="S136" s="88"/>
      <c r="T136" s="88"/>
      <c r="U136" s="88"/>
      <c r="V136" s="88"/>
      <c r="W136" s="88"/>
      <c r="X136" s="88"/>
      <c r="Y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Q137" s="138">
        <f>IFERROR(__xludf.DUMMYFUNCTION("""COMPUTED_VALUE"""),45689.0)</f>
        <v>45689</v>
      </c>
      <c r="R137" s="88" t="str">
        <f>IFERROR(__xludf.DUMMYFUNCTION("""COMPUTED_VALUE"""),"Rent")</f>
        <v>Rent</v>
      </c>
      <c r="S137" s="88">
        <f>IFERROR(__xludf.DUMMYFUNCTION("""COMPUTED_VALUE"""),3900.0)</f>
        <v>3900</v>
      </c>
      <c r="T137" s="88">
        <f>IFERROR(__xludf.DUMMYFUNCTION("""COMPUTED_VALUE"""),650.0)</f>
        <v>650</v>
      </c>
      <c r="U137" s="88" t="str">
        <f>IFERROR(__xludf.DUMMYFUNCTION("""COMPUTED_VALUE"""),"Paid")</f>
        <v>Paid</v>
      </c>
      <c r="V137" s="88" t="str">
        <f>IFERROR(__xludf.DUMMYFUNCTION("""COMPUTED_VALUE"""),"Paid")</f>
        <v>Paid</v>
      </c>
      <c r="W137" s="88" t="str">
        <f>IFERROR(__xludf.DUMMYFUNCTION("""COMPUTED_VALUE"""),"Paid")</f>
        <v>Paid</v>
      </c>
      <c r="X137" s="88" t="str">
        <f>IFERROR(__xludf.DUMMYFUNCTION("""COMPUTED_VALUE"""),"Paid")</f>
        <v>Paid</v>
      </c>
      <c r="Y137" s="88" t="str">
        <f>IFERROR(__xludf.DUMMYFUNCTION("""COMPUTED_VALUE"""),"Paid")</f>
        <v>Paid</v>
      </c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Q138" s="88"/>
      <c r="R138" s="88" t="str">
        <f>IFERROR(__xludf.DUMMYFUNCTION("""COMPUTED_VALUE"""),"Heat Feb 19 - Mar 18")</f>
        <v>Heat Feb 19 - Mar 18</v>
      </c>
      <c r="S138" s="88">
        <f>IFERROR(__xludf.DUMMYFUNCTION("""COMPUTED_VALUE"""),146.59)</f>
        <v>146.59</v>
      </c>
      <c r="T138" s="88">
        <f>IFERROR(__xludf.DUMMYFUNCTION("""COMPUTED_VALUE"""),48.86333333333334)</f>
        <v>48.86333333</v>
      </c>
      <c r="U138" s="88"/>
      <c r="V138" s="88"/>
      <c r="W138" s="88"/>
      <c r="X138" s="88"/>
      <c r="Y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Q139" s="88"/>
      <c r="R139" s="88" t="str">
        <f>IFERROR(__xludf.DUMMYFUNCTION("""COMPUTED_VALUE"""),"Electricity")</f>
        <v>Electricity</v>
      </c>
      <c r="S139" s="88">
        <f>IFERROR(__xludf.DUMMYFUNCTION("""COMPUTED_VALUE"""),147.53)</f>
        <v>147.53</v>
      </c>
      <c r="T139" s="88"/>
      <c r="U139" s="88"/>
      <c r="V139" s="88"/>
      <c r="W139" s="88"/>
      <c r="X139" s="88"/>
      <c r="Y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Q140" s="88"/>
      <c r="R140" s="88" t="str">
        <f>IFERROR(__xludf.DUMMYFUNCTION("""COMPUTED_VALUE"""),"Internet")</f>
        <v>Internet</v>
      </c>
      <c r="S140" s="88">
        <f>IFERROR(__xludf.DUMMYFUNCTION("""COMPUTED_VALUE"""),56.5)</f>
        <v>56.5</v>
      </c>
      <c r="T140" s="88">
        <f>IFERROR(__xludf.DUMMYFUNCTION("""COMPUTED_VALUE"""),9.416666666666666)</f>
        <v>9.416666667</v>
      </c>
      <c r="U140" s="88"/>
      <c r="V140" s="88"/>
      <c r="W140" s="88"/>
      <c r="X140" s="88"/>
      <c r="Y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Q141" s="88"/>
      <c r="R141" s="88"/>
      <c r="S141" s="88"/>
      <c r="T141" s="88"/>
      <c r="U141" s="88"/>
      <c r="V141" s="88"/>
      <c r="W141" s="88"/>
      <c r="X141" s="88"/>
      <c r="Y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Q142" s="88"/>
      <c r="R142" s="88"/>
      <c r="S142" s="88"/>
      <c r="T142" s="88"/>
      <c r="U142" s="88"/>
      <c r="V142" s="88"/>
      <c r="W142" s="88"/>
      <c r="X142" s="88"/>
      <c r="Y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Q143" s="138">
        <f>IFERROR(__xludf.DUMMYFUNCTION("""COMPUTED_VALUE"""),45717.0)</f>
        <v>45717</v>
      </c>
      <c r="R143" s="88" t="str">
        <f>IFERROR(__xludf.DUMMYFUNCTION("""COMPUTED_VALUE"""),"Rent")</f>
        <v>Rent</v>
      </c>
      <c r="S143" s="88">
        <f>IFERROR(__xludf.DUMMYFUNCTION("""COMPUTED_VALUE"""),3900.0)</f>
        <v>3900</v>
      </c>
      <c r="T143" s="88">
        <f>IFERROR(__xludf.DUMMYFUNCTION("""COMPUTED_VALUE"""),650.0)</f>
        <v>650</v>
      </c>
      <c r="U143" s="88" t="str">
        <f>IFERROR(__xludf.DUMMYFUNCTION("""COMPUTED_VALUE"""),"Paid")</f>
        <v>Paid</v>
      </c>
      <c r="V143" s="88" t="str">
        <f>IFERROR(__xludf.DUMMYFUNCTION("""COMPUTED_VALUE"""),"Paid")</f>
        <v>Paid</v>
      </c>
      <c r="W143" s="88"/>
      <c r="X143" s="88" t="str">
        <f>IFERROR(__xludf.DUMMYFUNCTION("""COMPUTED_VALUE"""),"Paid")</f>
        <v>Paid</v>
      </c>
      <c r="Y143" s="88" t="str">
        <f>IFERROR(__xludf.DUMMYFUNCTION("""COMPUTED_VALUE"""),"Paid")</f>
        <v>Paid</v>
      </c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Q144" s="88"/>
      <c r="R144" s="88" t="str">
        <f>IFERROR(__xludf.DUMMYFUNCTION("""COMPUTED_VALUE"""),"Heat")</f>
        <v>Heat</v>
      </c>
      <c r="S144" s="88"/>
      <c r="T144" s="88"/>
      <c r="U144" s="88"/>
      <c r="V144" s="88"/>
      <c r="W144" s="88"/>
      <c r="X144" s="88"/>
      <c r="Y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Q145" s="88"/>
      <c r="R145" s="88" t="str">
        <f>IFERROR(__xludf.DUMMYFUNCTION("""COMPUTED_VALUE"""),"Electricity")</f>
        <v>Electricity</v>
      </c>
      <c r="S145" s="88">
        <f>IFERROR(__xludf.DUMMYFUNCTION("""COMPUTED_VALUE"""),100.34)</f>
        <v>100.34</v>
      </c>
      <c r="T145" s="88"/>
      <c r="U145" s="88"/>
      <c r="V145" s="88"/>
      <c r="W145" s="88"/>
      <c r="X145" s="88"/>
      <c r="Y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Q146" s="88"/>
      <c r="R146" s="88" t="str">
        <f>IFERROR(__xludf.DUMMYFUNCTION("""COMPUTED_VALUE"""),"Internet")</f>
        <v>Internet</v>
      </c>
      <c r="S146" s="88">
        <f>IFERROR(__xludf.DUMMYFUNCTION("""COMPUTED_VALUE"""),56.5)</f>
        <v>56.5</v>
      </c>
      <c r="T146" s="88">
        <f>IFERROR(__xludf.DUMMYFUNCTION("""COMPUTED_VALUE"""),9.416666666666666)</f>
        <v>9.416666667</v>
      </c>
      <c r="U146" s="88"/>
      <c r="V146" s="88"/>
      <c r="W146" s="88"/>
      <c r="X146" s="88"/>
      <c r="Y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Q147" s="88"/>
      <c r="R147" s="88"/>
      <c r="S147" s="88"/>
      <c r="T147" s="88"/>
      <c r="U147" s="88"/>
      <c r="V147" s="88"/>
      <c r="W147" s="88"/>
      <c r="X147" s="88"/>
      <c r="Y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Q148" s="88"/>
      <c r="R148" s="88"/>
      <c r="S148" s="88"/>
      <c r="T148" s="88"/>
      <c r="U148" s="88"/>
      <c r="V148" s="88"/>
      <c r="W148" s="88"/>
      <c r="X148" s="88"/>
      <c r="Y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Q149" s="88"/>
      <c r="R149" s="88"/>
      <c r="S149" s="88"/>
      <c r="T149" s="88"/>
      <c r="U149" s="88"/>
      <c r="V149" s="88"/>
      <c r="W149" s="88"/>
      <c r="X149" s="88"/>
      <c r="Y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Q150" s="88"/>
      <c r="R150" s="88"/>
      <c r="S150" s="88"/>
      <c r="T150" s="88"/>
      <c r="U150" s="88"/>
      <c r="V150" s="88"/>
      <c r="W150" s="88"/>
      <c r="X150" s="88"/>
      <c r="Y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Q151" s="88"/>
      <c r="R151" s="88"/>
      <c r="S151" s="88"/>
      <c r="T151" s="88"/>
      <c r="U151" s="88"/>
      <c r="V151" s="88"/>
      <c r="W151" s="88"/>
      <c r="X151" s="88"/>
      <c r="Y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Q152" s="88"/>
      <c r="R152" s="88"/>
      <c r="S152" s="88"/>
      <c r="T152" s="88"/>
      <c r="U152" s="88"/>
      <c r="V152" s="88"/>
      <c r="W152" s="88"/>
      <c r="X152" s="88"/>
      <c r="Y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Q153" s="88"/>
      <c r="R153" s="88"/>
      <c r="S153" s="88"/>
      <c r="T153" s="88"/>
      <c r="U153" s="88"/>
      <c r="V153" s="88"/>
      <c r="W153" s="88"/>
      <c r="X153" s="88"/>
      <c r="Y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Q154" s="88"/>
      <c r="R154" s="88"/>
      <c r="S154" s="88"/>
      <c r="T154" s="88"/>
      <c r="U154" s="88"/>
      <c r="V154" s="88"/>
      <c r="W154" s="88"/>
      <c r="X154" s="88"/>
      <c r="Y154" s="88"/>
    </row>
    <row r="155">
      <c r="A155" s="88"/>
      <c r="B155" s="88"/>
      <c r="C155" s="88"/>
      <c r="D155" s="88"/>
      <c r="E155" s="88"/>
      <c r="F155" s="88" t="str">
        <f>IFERROR(__xludf.DUMMYFUNCTION("""COMPUTED_VALUE"""),"#DIV/0!")</f>
        <v>#DIV/0!</v>
      </c>
      <c r="G155" s="88"/>
      <c r="H155" s="88"/>
      <c r="I155" s="88"/>
      <c r="J155" s="88"/>
      <c r="K155" s="88"/>
      <c r="L155" s="88"/>
      <c r="M155" s="88"/>
      <c r="N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>
      <c r="A156" s="88"/>
      <c r="B156" s="88"/>
      <c r="C156" s="88"/>
      <c r="D156" s="88"/>
      <c r="E156" s="88"/>
      <c r="F156" s="88" t="str">
        <f>IFERROR(__xludf.DUMMYFUNCTION("""COMPUTED_VALUE"""),"#DIV/0!")</f>
        <v>#DIV/0!</v>
      </c>
      <c r="G156" s="88"/>
      <c r="H156" s="88"/>
      <c r="I156" s="88"/>
      <c r="J156" s="88"/>
      <c r="K156" s="88"/>
      <c r="L156" s="88"/>
      <c r="M156" s="88"/>
      <c r="N156" s="88"/>
      <c r="Q156" s="88"/>
      <c r="R156" s="88"/>
      <c r="S156" s="88"/>
      <c r="T156" s="88"/>
      <c r="U156" s="88"/>
      <c r="V156" s="88"/>
      <c r="W156" s="88"/>
      <c r="X156" s="88"/>
      <c r="Y156" s="88"/>
    </row>
    <row r="157">
      <c r="A157" s="88"/>
      <c r="B157" s="88"/>
      <c r="C157" s="88"/>
      <c r="D157" s="88"/>
      <c r="E157" s="88"/>
      <c r="F157" s="88" t="str">
        <f>IFERROR(__xludf.DUMMYFUNCTION("""COMPUTED_VALUE"""),"#DIV/0!")</f>
        <v>#DIV/0!</v>
      </c>
      <c r="G157" s="88"/>
      <c r="H157" s="88"/>
      <c r="I157" s="88"/>
      <c r="J157" s="88"/>
      <c r="K157" s="88"/>
      <c r="L157" s="88"/>
      <c r="M157" s="88"/>
      <c r="N157" s="88"/>
      <c r="Q157" s="88"/>
      <c r="R157" s="88"/>
      <c r="S157" s="88"/>
      <c r="T157" s="88"/>
      <c r="U157" s="88"/>
      <c r="V157" s="88"/>
      <c r="W157" s="88"/>
      <c r="X157" s="88"/>
      <c r="Y157" s="88"/>
    </row>
    <row r="158">
      <c r="A158" s="88"/>
      <c r="B158" s="88"/>
      <c r="C158" s="88"/>
      <c r="D158" s="88"/>
      <c r="E158" s="88"/>
      <c r="F158" s="88" t="str">
        <f>IFERROR(__xludf.DUMMYFUNCTION("""COMPUTED_VALUE"""),"#DIV/0!")</f>
        <v>#DIV/0!</v>
      </c>
      <c r="G158" s="88"/>
      <c r="H158" s="88"/>
      <c r="I158" s="88"/>
      <c r="J158" s="88"/>
      <c r="K158" s="88"/>
      <c r="L158" s="88"/>
      <c r="M158" s="88"/>
      <c r="N158" s="88"/>
      <c r="Q158" s="88"/>
      <c r="R158" s="88"/>
      <c r="S158" s="88"/>
      <c r="T158" s="88"/>
      <c r="U158" s="88"/>
      <c r="V158" s="88"/>
      <c r="W158" s="88"/>
      <c r="X158" s="88"/>
      <c r="Y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Q159" s="88"/>
      <c r="R159" s="88"/>
      <c r="S159" s="88"/>
      <c r="T159" s="88"/>
      <c r="U159" s="88"/>
      <c r="V159" s="88"/>
      <c r="W159" s="88"/>
      <c r="X159" s="88"/>
      <c r="Y159" s="88"/>
    </row>
    <row r="160">
      <c r="A160" s="137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Q160" s="88"/>
      <c r="R160" s="88"/>
      <c r="S160" s="88"/>
      <c r="T160" s="88"/>
      <c r="U160" s="88"/>
      <c r="V160" s="88"/>
      <c r="W160" s="88"/>
      <c r="X160" s="88"/>
      <c r="Y160" s="88"/>
    </row>
    <row r="161">
      <c r="A161" s="137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Q161" s="88"/>
      <c r="R161" s="88"/>
      <c r="S161" s="88"/>
      <c r="T161" s="88"/>
      <c r="U161" s="88"/>
      <c r="V161" s="88"/>
      <c r="W161" s="88"/>
      <c r="X161" s="88"/>
      <c r="Y161" s="88"/>
    </row>
    <row r="162">
      <c r="A162" s="137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Q162" s="88"/>
      <c r="R162" s="88"/>
      <c r="S162" s="88"/>
      <c r="T162" s="88"/>
      <c r="U162" s="88"/>
      <c r="V162" s="88"/>
      <c r="W162" s="88"/>
      <c r="X162" s="88"/>
      <c r="Y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Q163" s="88"/>
      <c r="R163" s="88"/>
      <c r="S163" s="88"/>
      <c r="T163" s="88"/>
      <c r="U163" s="88"/>
      <c r="V163" s="88"/>
      <c r="W163" s="88"/>
      <c r="X163" s="88"/>
      <c r="Y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Q164" s="88"/>
      <c r="R164" s="88"/>
      <c r="S164" s="88"/>
      <c r="T164" s="88"/>
      <c r="U164" s="88"/>
      <c r="V164" s="88"/>
      <c r="W164" s="88"/>
      <c r="X164" s="88"/>
      <c r="Y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Q165" s="88"/>
      <c r="R165" s="88"/>
      <c r="S165" s="88"/>
      <c r="T165" s="88"/>
      <c r="U165" s="88"/>
      <c r="V165" s="88"/>
      <c r="W165" s="88"/>
      <c r="X165" s="88"/>
      <c r="Y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Q166" s="88"/>
      <c r="R166" s="88"/>
      <c r="S166" s="88"/>
      <c r="T166" s="88"/>
      <c r="U166" s="88"/>
      <c r="V166" s="88"/>
      <c r="W166" s="88"/>
      <c r="X166" s="88"/>
      <c r="Y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Q167" s="88"/>
      <c r="R167" s="88"/>
      <c r="S167" s="88"/>
      <c r="T167" s="88"/>
      <c r="U167" s="88"/>
      <c r="V167" s="88"/>
      <c r="W167" s="88"/>
      <c r="X167" s="88"/>
      <c r="Y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Q168" s="88"/>
      <c r="R168" s="88"/>
      <c r="S168" s="88"/>
      <c r="T168" s="88"/>
      <c r="U168" s="88"/>
      <c r="V168" s="88"/>
      <c r="W168" s="88"/>
      <c r="X168" s="88"/>
      <c r="Y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Q169" s="88"/>
      <c r="R169" s="88"/>
      <c r="S169" s="88"/>
      <c r="T169" s="88"/>
      <c r="U169" s="88"/>
      <c r="V169" s="88"/>
      <c r="W169" s="88"/>
      <c r="X169" s="88"/>
      <c r="Y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Q170" s="88"/>
      <c r="R170" s="88"/>
      <c r="S170" s="88"/>
      <c r="T170" s="88"/>
      <c r="U170" s="88"/>
      <c r="V170" s="88"/>
      <c r="W170" s="88"/>
      <c r="X170" s="88"/>
      <c r="Y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Q171" s="88"/>
      <c r="R171" s="88"/>
      <c r="S171" s="88"/>
      <c r="T171" s="88"/>
      <c r="U171" s="88"/>
      <c r="V171" s="88"/>
      <c r="W171" s="88"/>
      <c r="X171" s="88"/>
      <c r="Y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Q173" s="88"/>
      <c r="R173" s="88"/>
      <c r="S173" s="88"/>
      <c r="T173" s="88"/>
      <c r="U173" s="88"/>
      <c r="V173" s="88"/>
      <c r="W173" s="88"/>
      <c r="X173" s="88"/>
      <c r="Y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Q174" s="88"/>
      <c r="R174" s="88"/>
      <c r="S174" s="88"/>
      <c r="T174" s="88"/>
      <c r="U174" s="88"/>
      <c r="V174" s="88"/>
      <c r="W174" s="88"/>
      <c r="X174" s="88"/>
      <c r="Y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Q176" s="88"/>
      <c r="R176" s="88"/>
      <c r="S176" s="88"/>
      <c r="T176" s="88"/>
      <c r="U176" s="88"/>
      <c r="V176" s="88"/>
      <c r="W176" s="88"/>
      <c r="X176" s="88"/>
      <c r="Y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Q177" s="88"/>
      <c r="R177" s="88"/>
      <c r="S177" s="88"/>
      <c r="T177" s="88"/>
      <c r="U177" s="88"/>
      <c r="V177" s="88"/>
      <c r="W177" s="88"/>
      <c r="X177" s="88"/>
      <c r="Y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Q178" s="88"/>
      <c r="R178" s="88"/>
      <c r="S178" s="88"/>
      <c r="T178" s="88"/>
      <c r="U178" s="88"/>
      <c r="V178" s="88"/>
      <c r="W178" s="88"/>
      <c r="X178" s="88"/>
      <c r="Y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Q179" s="88"/>
      <c r="R179" s="88"/>
      <c r="S179" s="88"/>
      <c r="T179" s="88"/>
      <c r="U179" s="88"/>
      <c r="V179" s="88"/>
      <c r="W179" s="88"/>
      <c r="X179" s="88"/>
      <c r="Y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Q180" s="88"/>
      <c r="R180" s="88"/>
      <c r="S180" s="88"/>
      <c r="T180" s="88"/>
      <c r="U180" s="88"/>
      <c r="V180" s="88"/>
      <c r="W180" s="88"/>
      <c r="X180" s="88"/>
      <c r="Y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Q181" s="88"/>
      <c r="R181" s="88"/>
      <c r="S181" s="88"/>
      <c r="T181" s="88"/>
      <c r="U181" s="88"/>
      <c r="V181" s="88"/>
      <c r="W181" s="88"/>
      <c r="X181" s="88"/>
      <c r="Y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Q183" s="88"/>
      <c r="R183" s="88"/>
      <c r="S183" s="88"/>
      <c r="T183" s="88"/>
      <c r="U183" s="88"/>
      <c r="V183" s="88"/>
      <c r="W183" s="88"/>
      <c r="X183" s="88"/>
      <c r="Y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Q184" s="88"/>
      <c r="R184" s="88"/>
      <c r="S184" s="88"/>
      <c r="T184" s="88"/>
      <c r="U184" s="88"/>
      <c r="V184" s="88"/>
      <c r="W184" s="88"/>
      <c r="X184" s="88"/>
      <c r="Y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Q185" s="88"/>
      <c r="R185" s="88"/>
      <c r="S185" s="88"/>
      <c r="T185" s="88"/>
      <c r="U185" s="88"/>
      <c r="V185" s="88"/>
      <c r="W185" s="88"/>
      <c r="X185" s="88"/>
      <c r="Y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Q186" s="88"/>
      <c r="R186" s="88"/>
      <c r="S186" s="88"/>
      <c r="T186" s="88"/>
      <c r="U186" s="88"/>
      <c r="V186" s="88"/>
      <c r="W186" s="88"/>
      <c r="X186" s="88"/>
      <c r="Y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Q187" s="88"/>
      <c r="R187" s="88"/>
      <c r="S187" s="88"/>
      <c r="T187" s="88"/>
      <c r="U187" s="88"/>
      <c r="V187" s="88"/>
      <c r="W187" s="88"/>
      <c r="X187" s="88"/>
      <c r="Y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Q188" s="88"/>
      <c r="R188" s="88"/>
      <c r="S188" s="88"/>
      <c r="T188" s="88"/>
      <c r="U188" s="88"/>
      <c r="V188" s="88"/>
      <c r="W188" s="88"/>
      <c r="X188" s="88"/>
      <c r="Y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Q189" s="88"/>
      <c r="R189" s="88"/>
      <c r="S189" s="88"/>
      <c r="T189" s="88"/>
      <c r="U189" s="88"/>
      <c r="V189" s="88"/>
      <c r="W189" s="88"/>
      <c r="X189" s="88"/>
      <c r="Y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Q190" s="88"/>
      <c r="R190" s="88"/>
      <c r="S190" s="88"/>
      <c r="T190" s="88"/>
      <c r="U190" s="88"/>
      <c r="V190" s="88"/>
      <c r="W190" s="88"/>
      <c r="X190" s="139"/>
      <c r="Y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Q191" s="88"/>
      <c r="R191" s="88"/>
      <c r="S191" s="88"/>
      <c r="T191" s="88"/>
      <c r="U191" s="88"/>
      <c r="V191" s="88"/>
      <c r="W191" s="88"/>
      <c r="X191" s="139"/>
      <c r="Y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Q193" s="88"/>
      <c r="R193" s="88"/>
      <c r="S193" s="88"/>
      <c r="T193" s="88"/>
      <c r="U193" s="88"/>
      <c r="V193" s="88"/>
      <c r="W193" s="88"/>
      <c r="X193" s="139"/>
      <c r="Y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Q194" s="88"/>
      <c r="R194" s="88"/>
      <c r="S194" s="88"/>
      <c r="T194" s="88"/>
      <c r="U194" s="88"/>
      <c r="V194" s="88"/>
      <c r="W194" s="88"/>
      <c r="X194" s="139"/>
      <c r="Y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Q195" s="88"/>
      <c r="R195" s="88"/>
      <c r="S195" s="88"/>
      <c r="T195" s="88"/>
      <c r="U195" s="88"/>
      <c r="V195" s="88"/>
      <c r="W195" s="88"/>
      <c r="X195" s="139"/>
      <c r="Y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Q196" s="88"/>
      <c r="R196" s="88"/>
      <c r="S196" s="88"/>
      <c r="T196" s="88"/>
      <c r="U196" s="88"/>
      <c r="V196" s="88"/>
      <c r="W196" s="88"/>
      <c r="X196" s="139"/>
      <c r="Y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Q197" s="88"/>
      <c r="R197" s="88"/>
      <c r="S197" s="88"/>
      <c r="T197" s="88"/>
      <c r="U197" s="88"/>
      <c r="V197" s="88"/>
      <c r="W197" s="88"/>
      <c r="X197" s="139"/>
      <c r="Y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Q198" s="88"/>
      <c r="R198" s="88"/>
      <c r="S198" s="88"/>
      <c r="T198" s="88"/>
      <c r="U198" s="88"/>
      <c r="V198" s="88"/>
      <c r="W198" s="88"/>
      <c r="X198" s="139"/>
      <c r="Y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Q199" s="88"/>
      <c r="R199" s="88"/>
      <c r="S199" s="88"/>
      <c r="T199" s="88"/>
      <c r="U199" s="88"/>
      <c r="V199" s="88"/>
      <c r="W199" s="88"/>
      <c r="X199" s="88"/>
      <c r="Y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Q200" s="88"/>
      <c r="R200" s="88"/>
      <c r="S200" s="88"/>
      <c r="T200" s="88"/>
      <c r="U200" s="88"/>
      <c r="V200" s="88"/>
      <c r="W200" s="88"/>
      <c r="X200" s="139"/>
      <c r="Y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Q201" s="88"/>
      <c r="R201" s="88"/>
      <c r="S201" s="88"/>
      <c r="T201" s="88"/>
      <c r="U201" s="88"/>
      <c r="V201" s="88"/>
      <c r="W201" s="88"/>
      <c r="X201" s="88"/>
      <c r="Y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Q202" s="88"/>
      <c r="R202" s="88"/>
      <c r="S202" s="88"/>
      <c r="T202" s="88"/>
      <c r="U202" s="88"/>
      <c r="V202" s="88"/>
      <c r="W202" s="88"/>
      <c r="X202" s="88"/>
      <c r="Y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Q203" s="88"/>
      <c r="R203" s="88"/>
      <c r="S203" s="88"/>
      <c r="T203" s="88"/>
      <c r="U203" s="88"/>
      <c r="V203" s="88"/>
      <c r="W203" s="88"/>
      <c r="X203" s="139"/>
      <c r="Y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Q204" s="88"/>
      <c r="R204" s="88"/>
      <c r="S204" s="88"/>
      <c r="T204" s="88"/>
      <c r="U204" s="88"/>
      <c r="V204" s="88"/>
      <c r="W204" s="88"/>
      <c r="X204" s="88"/>
      <c r="Y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Q205" s="88"/>
      <c r="R205" s="88"/>
      <c r="S205" s="88"/>
      <c r="T205" s="88"/>
      <c r="U205" s="88"/>
      <c r="V205" s="88"/>
      <c r="W205" s="88"/>
      <c r="X205" s="88"/>
      <c r="Y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Q206" s="88"/>
      <c r="R206" s="88"/>
      <c r="S206" s="88"/>
      <c r="T206" s="88"/>
      <c r="U206" s="88"/>
      <c r="V206" s="88"/>
      <c r="W206" s="88"/>
      <c r="X206" s="88"/>
      <c r="Y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Q207" s="88"/>
      <c r="R207" s="88"/>
      <c r="S207" s="88"/>
      <c r="T207" s="88"/>
      <c r="U207" s="88"/>
      <c r="V207" s="88"/>
      <c r="W207" s="88"/>
      <c r="X207" s="88"/>
      <c r="Y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Q208" s="88"/>
      <c r="R208" s="88"/>
      <c r="S208" s="88"/>
      <c r="T208" s="88"/>
      <c r="U208" s="88"/>
      <c r="V208" s="88"/>
      <c r="W208" s="88"/>
      <c r="X208" s="88"/>
      <c r="Y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Q209" s="88"/>
      <c r="R209" s="88"/>
      <c r="S209" s="88"/>
      <c r="T209" s="88"/>
      <c r="U209" s="88"/>
      <c r="V209" s="88"/>
      <c r="W209" s="88"/>
      <c r="X209" s="88"/>
      <c r="Y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Q210" s="88"/>
      <c r="R210" s="88"/>
      <c r="S210" s="88"/>
      <c r="T210" s="88"/>
      <c r="U210" s="88"/>
      <c r="V210" s="88"/>
      <c r="W210" s="88"/>
      <c r="X210" s="88"/>
      <c r="Y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Q211" s="88"/>
      <c r="R211" s="88"/>
      <c r="S211" s="88"/>
      <c r="T211" s="88"/>
      <c r="U211" s="88"/>
      <c r="V211" s="88"/>
      <c r="W211" s="88"/>
      <c r="X211" s="88"/>
      <c r="Y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Q212" s="88"/>
      <c r="R212" s="88"/>
      <c r="S212" s="88"/>
      <c r="T212" s="88"/>
      <c r="U212" s="88"/>
      <c r="V212" s="88"/>
      <c r="W212" s="88"/>
      <c r="X212" s="88"/>
      <c r="Y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Q213" s="88"/>
      <c r="R213" s="88"/>
      <c r="S213" s="88"/>
      <c r="T213" s="88"/>
      <c r="U213" s="88"/>
      <c r="V213" s="88"/>
      <c r="W213" s="88"/>
      <c r="X213" s="88"/>
      <c r="Y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Q214" s="88"/>
      <c r="R214" s="88"/>
      <c r="S214" s="88"/>
      <c r="T214" s="88"/>
      <c r="U214" s="88"/>
      <c r="V214" s="88"/>
      <c r="W214" s="88"/>
      <c r="X214" s="88"/>
      <c r="Y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Q215" s="88"/>
      <c r="R215" s="88"/>
      <c r="S215" s="88"/>
      <c r="T215" s="88"/>
      <c r="U215" s="88"/>
      <c r="V215" s="88"/>
      <c r="W215" s="88"/>
      <c r="X215" s="88"/>
      <c r="Y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Q216" s="88"/>
      <c r="R216" s="88"/>
      <c r="S216" s="88"/>
      <c r="T216" s="88"/>
      <c r="U216" s="88"/>
      <c r="V216" s="88"/>
      <c r="W216" s="88"/>
      <c r="X216" s="88"/>
      <c r="Y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Q217" s="88"/>
      <c r="R217" s="88"/>
      <c r="S217" s="88"/>
      <c r="T217" s="88"/>
      <c r="U217" s="88"/>
      <c r="V217" s="88"/>
      <c r="W217" s="88"/>
      <c r="X217" s="88"/>
      <c r="Y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Q218" s="88"/>
      <c r="R218" s="88"/>
      <c r="S218" s="88"/>
      <c r="T218" s="88"/>
      <c r="U218" s="88"/>
      <c r="V218" s="88"/>
      <c r="W218" s="88"/>
      <c r="X218" s="88"/>
      <c r="Y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Q219" s="88"/>
      <c r="R219" s="88"/>
      <c r="S219" s="88"/>
      <c r="T219" s="88"/>
      <c r="U219" s="88"/>
      <c r="V219" s="88"/>
      <c r="W219" s="88"/>
      <c r="X219" s="88"/>
      <c r="Y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Q220" s="88"/>
      <c r="R220" s="88"/>
      <c r="S220" s="88"/>
      <c r="T220" s="88"/>
      <c r="U220" s="88"/>
      <c r="V220" s="88"/>
      <c r="W220" s="88"/>
      <c r="X220" s="88"/>
      <c r="Y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Q221" s="88"/>
      <c r="R221" s="88"/>
      <c r="S221" s="88"/>
      <c r="T221" s="88"/>
      <c r="U221" s="88"/>
      <c r="V221" s="88"/>
      <c r="W221" s="88"/>
      <c r="X221" s="88"/>
      <c r="Y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Q222" s="88"/>
      <c r="R222" s="88"/>
      <c r="S222" s="88"/>
      <c r="T222" s="88"/>
      <c r="U222" s="88"/>
      <c r="V222" s="88"/>
      <c r="W222" s="88"/>
      <c r="X222" s="88"/>
      <c r="Y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Q223" s="88"/>
      <c r="R223" s="88"/>
      <c r="S223" s="88"/>
      <c r="T223" s="88"/>
      <c r="U223" s="88"/>
      <c r="V223" s="88"/>
      <c r="W223" s="88"/>
      <c r="X223" s="88"/>
      <c r="Y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Q224" s="88"/>
      <c r="R224" s="88"/>
      <c r="S224" s="88"/>
      <c r="T224" s="88"/>
      <c r="U224" s="88"/>
      <c r="V224" s="88"/>
      <c r="W224" s="88"/>
      <c r="X224" s="88"/>
      <c r="Y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Q225" s="88"/>
      <c r="R225" s="88"/>
      <c r="S225" s="88"/>
      <c r="T225" s="88"/>
      <c r="U225" s="88"/>
      <c r="V225" s="88"/>
      <c r="W225" s="88"/>
      <c r="X225" s="88"/>
      <c r="Y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Q226" s="88"/>
      <c r="R226" s="88"/>
      <c r="S226" s="88"/>
      <c r="T226" s="88"/>
      <c r="U226" s="88"/>
      <c r="V226" s="88"/>
      <c r="W226" s="88"/>
      <c r="X226" s="88"/>
      <c r="Y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Q227" s="88"/>
      <c r="R227" s="88"/>
      <c r="S227" s="88"/>
      <c r="T227" s="88"/>
      <c r="U227" s="88"/>
      <c r="V227" s="88"/>
      <c r="W227" s="88"/>
      <c r="X227" s="88"/>
      <c r="Y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Q228" s="88"/>
      <c r="R228" s="88"/>
      <c r="S228" s="88"/>
      <c r="T228" s="88"/>
      <c r="U228" s="88"/>
      <c r="V228" s="88"/>
      <c r="W228" s="88"/>
      <c r="X228" s="88"/>
      <c r="Y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Q229" s="88"/>
      <c r="R229" s="88"/>
      <c r="S229" s="88"/>
      <c r="T229" s="88"/>
      <c r="U229" s="88"/>
      <c r="V229" s="88"/>
      <c r="W229" s="88"/>
      <c r="X229" s="88"/>
      <c r="Y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Q230" s="88"/>
      <c r="R230" s="88"/>
      <c r="S230" s="88"/>
      <c r="T230" s="88"/>
      <c r="U230" s="88"/>
      <c r="V230" s="88"/>
      <c r="W230" s="88"/>
      <c r="X230" s="88"/>
      <c r="Y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Q231" s="88"/>
      <c r="R231" s="88"/>
      <c r="S231" s="88"/>
      <c r="T231" s="88"/>
      <c r="U231" s="88"/>
      <c r="V231" s="88"/>
      <c r="W231" s="88"/>
      <c r="X231" s="88"/>
      <c r="Y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Q232" s="88"/>
      <c r="R232" s="88"/>
      <c r="S232" s="88"/>
      <c r="T232" s="88"/>
      <c r="U232" s="88"/>
      <c r="V232" s="88"/>
      <c r="W232" s="88"/>
      <c r="X232" s="88"/>
      <c r="Y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Q233" s="88"/>
      <c r="R233" s="88"/>
      <c r="S233" s="88"/>
      <c r="T233" s="88"/>
      <c r="U233" s="88"/>
      <c r="V233" s="88"/>
      <c r="W233" s="88"/>
      <c r="X233" s="88"/>
      <c r="Y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Q234" s="88"/>
      <c r="R234" s="88"/>
      <c r="S234" s="88"/>
      <c r="T234" s="88"/>
      <c r="U234" s="88"/>
      <c r="V234" s="88"/>
      <c r="W234" s="88"/>
      <c r="X234" s="88"/>
      <c r="Y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Q235" s="88"/>
      <c r="R235" s="88"/>
      <c r="S235" s="88"/>
      <c r="T235" s="88"/>
      <c r="U235" s="88"/>
      <c r="V235" s="88"/>
      <c r="W235" s="88"/>
      <c r="X235" s="88"/>
      <c r="Y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Q236" s="88"/>
      <c r="R236" s="88"/>
      <c r="S236" s="88"/>
      <c r="T236" s="88"/>
      <c r="U236" s="88"/>
      <c r="V236" s="88"/>
      <c r="W236" s="88"/>
      <c r="X236" s="88"/>
      <c r="Y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Q237" s="88"/>
      <c r="R237" s="88"/>
      <c r="S237" s="88"/>
      <c r="T237" s="88"/>
      <c r="U237" s="88"/>
      <c r="V237" s="88"/>
      <c r="W237" s="88"/>
      <c r="X237" s="88"/>
      <c r="Y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Q238" s="88"/>
      <c r="R238" s="88"/>
      <c r="S238" s="88"/>
      <c r="T238" s="88"/>
      <c r="U238" s="88"/>
      <c r="V238" s="88"/>
      <c r="W238" s="88"/>
      <c r="X238" s="88"/>
      <c r="Y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Q239" s="88"/>
      <c r="R239" s="88"/>
      <c r="S239" s="88"/>
      <c r="T239" s="88"/>
      <c r="U239" s="88"/>
      <c r="V239" s="88"/>
      <c r="W239" s="88"/>
      <c r="X239" s="88"/>
      <c r="Y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Q240" s="88"/>
      <c r="R240" s="88"/>
      <c r="S240" s="88"/>
      <c r="T240" s="88"/>
      <c r="U240" s="88"/>
      <c r="V240" s="88"/>
      <c r="W240" s="88"/>
      <c r="X240" s="88"/>
      <c r="Y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Q241" s="88"/>
      <c r="R241" s="88"/>
      <c r="S241" s="88"/>
      <c r="T241" s="88"/>
      <c r="U241" s="88"/>
      <c r="V241" s="88"/>
      <c r="W241" s="88"/>
      <c r="X241" s="88"/>
      <c r="Y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Q242" s="88"/>
      <c r="R242" s="88"/>
      <c r="S242" s="88"/>
      <c r="T242" s="88"/>
      <c r="U242" s="88"/>
      <c r="V242" s="88"/>
      <c r="W242" s="88"/>
      <c r="X242" s="88"/>
      <c r="Y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Q243" s="88"/>
      <c r="R243" s="88"/>
      <c r="S243" s="88"/>
      <c r="T243" s="88"/>
      <c r="U243" s="88"/>
      <c r="V243" s="88"/>
      <c r="W243" s="88"/>
      <c r="X243" s="88"/>
      <c r="Y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Q244" s="88"/>
      <c r="R244" s="88"/>
      <c r="S244" s="88"/>
      <c r="T244" s="88"/>
      <c r="U244" s="88"/>
      <c r="V244" s="88"/>
      <c r="W244" s="88"/>
      <c r="X244" s="88"/>
      <c r="Y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Q245" s="88"/>
      <c r="R245" s="88"/>
      <c r="S245" s="88"/>
      <c r="T245" s="88"/>
      <c r="U245" s="88"/>
      <c r="V245" s="88"/>
      <c r="W245" s="88"/>
      <c r="X245" s="88"/>
      <c r="Y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Q246" s="88"/>
      <c r="R246" s="88"/>
      <c r="S246" s="88"/>
      <c r="T246" s="88"/>
      <c r="U246" s="88"/>
      <c r="V246" s="88"/>
      <c r="W246" s="88"/>
      <c r="X246" s="88"/>
      <c r="Y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Q247" s="88"/>
      <c r="R247" s="88"/>
      <c r="S247" s="88"/>
      <c r="T247" s="88"/>
      <c r="U247" s="88"/>
      <c r="V247" s="88"/>
      <c r="W247" s="88"/>
      <c r="X247" s="88"/>
      <c r="Y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Q248" s="88"/>
      <c r="R248" s="88"/>
      <c r="S248" s="88"/>
      <c r="T248" s="88"/>
      <c r="U248" s="88"/>
      <c r="V248" s="88"/>
      <c r="W248" s="88"/>
      <c r="X248" s="88"/>
      <c r="Y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Q249" s="88"/>
      <c r="R249" s="88"/>
      <c r="S249" s="88"/>
      <c r="T249" s="88"/>
      <c r="U249" s="88"/>
      <c r="V249" s="88"/>
      <c r="W249" s="88"/>
      <c r="X249" s="88"/>
      <c r="Y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Q250" s="88"/>
      <c r="R250" s="88"/>
      <c r="S250" s="88"/>
      <c r="T250" s="88"/>
      <c r="U250" s="88"/>
      <c r="V250" s="88"/>
      <c r="W250" s="88"/>
      <c r="X250" s="88"/>
      <c r="Y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Q251" s="88"/>
      <c r="R251" s="88"/>
      <c r="S251" s="88"/>
      <c r="T251" s="88"/>
      <c r="U251" s="88"/>
      <c r="V251" s="88"/>
      <c r="W251" s="88"/>
      <c r="X251" s="88"/>
      <c r="Y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Q252" s="88"/>
      <c r="R252" s="88"/>
      <c r="S252" s="88"/>
      <c r="T252" s="88"/>
      <c r="U252" s="88"/>
      <c r="V252" s="88"/>
      <c r="W252" s="88"/>
      <c r="X252" s="88"/>
      <c r="Y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Q253" s="88"/>
      <c r="R253" s="88"/>
      <c r="S253" s="88"/>
      <c r="T253" s="88"/>
      <c r="U253" s="88"/>
      <c r="V253" s="88"/>
      <c r="W253" s="88"/>
      <c r="X253" s="88"/>
      <c r="Y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Q254" s="88"/>
      <c r="R254" s="88"/>
      <c r="S254" s="88"/>
      <c r="T254" s="88"/>
      <c r="U254" s="88"/>
      <c r="V254" s="88"/>
      <c r="W254" s="88"/>
      <c r="X254" s="88"/>
      <c r="Y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Q255" s="88"/>
      <c r="R255" s="88"/>
      <c r="S255" s="88"/>
      <c r="T255" s="88"/>
      <c r="U255" s="88"/>
      <c r="V255" s="88"/>
      <c r="W255" s="88"/>
      <c r="X255" s="88"/>
      <c r="Y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Q256" s="88"/>
      <c r="R256" s="88"/>
      <c r="S256" s="88"/>
      <c r="T256" s="88"/>
      <c r="U256" s="88"/>
      <c r="V256" s="88"/>
      <c r="W256" s="88"/>
      <c r="X256" s="88"/>
      <c r="Y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Q257" s="88"/>
      <c r="R257" s="88"/>
      <c r="S257" s="88"/>
      <c r="T257" s="88"/>
      <c r="U257" s="88"/>
      <c r="V257" s="88"/>
      <c r="W257" s="88"/>
      <c r="X257" s="88"/>
      <c r="Y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Q258" s="88"/>
      <c r="R258" s="88"/>
      <c r="S258" s="88"/>
      <c r="T258" s="88"/>
      <c r="U258" s="88"/>
      <c r="V258" s="88"/>
      <c r="W258" s="88"/>
      <c r="X258" s="88"/>
      <c r="Y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Q259" s="88"/>
      <c r="R259" s="88"/>
      <c r="S259" s="88"/>
      <c r="T259" s="88"/>
      <c r="U259" s="88"/>
      <c r="V259" s="88"/>
      <c r="W259" s="88"/>
      <c r="X259" s="88"/>
      <c r="Y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Q260" s="88"/>
      <c r="R260" s="88"/>
      <c r="S260" s="88"/>
      <c r="T260" s="88"/>
      <c r="U260" s="88"/>
      <c r="V260" s="88"/>
      <c r="W260" s="88"/>
      <c r="X260" s="88"/>
      <c r="Y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Q261" s="88"/>
      <c r="R261" s="88"/>
      <c r="S261" s="88"/>
      <c r="T261" s="88"/>
      <c r="U261" s="88"/>
      <c r="V261" s="88"/>
      <c r="W261" s="88"/>
      <c r="X261" s="88"/>
      <c r="Y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Q262" s="88"/>
      <c r="R262" s="88"/>
      <c r="S262" s="88"/>
      <c r="T262" s="88"/>
      <c r="U262" s="88"/>
      <c r="V262" s="88"/>
      <c r="W262" s="88"/>
      <c r="X262" s="88"/>
      <c r="Y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Q263" s="88"/>
      <c r="R263" s="88"/>
      <c r="S263" s="88"/>
      <c r="T263" s="88"/>
      <c r="U263" s="88"/>
      <c r="V263" s="88"/>
      <c r="W263" s="88"/>
      <c r="X263" s="88"/>
      <c r="Y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Q264" s="88"/>
      <c r="R264" s="88"/>
      <c r="S264" s="88"/>
      <c r="T264" s="88"/>
      <c r="U264" s="88"/>
      <c r="V264" s="88"/>
      <c r="W264" s="88"/>
      <c r="X264" s="88"/>
      <c r="Y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Q266" s="88"/>
      <c r="R266" s="88"/>
      <c r="S266" s="88"/>
      <c r="T266" s="88"/>
      <c r="U266" s="88"/>
      <c r="V266" s="88"/>
      <c r="W266" s="88"/>
      <c r="X266" s="88"/>
      <c r="Y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Q267" s="88"/>
      <c r="R267" s="88"/>
      <c r="S267" s="88"/>
      <c r="T267" s="88"/>
      <c r="U267" s="88"/>
      <c r="V267" s="88"/>
      <c r="W267" s="88"/>
      <c r="X267" s="88"/>
      <c r="Y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Q268" s="88"/>
      <c r="R268" s="88"/>
      <c r="S268" s="88"/>
      <c r="T268" s="88"/>
      <c r="U268" s="88"/>
      <c r="V268" s="88"/>
      <c r="W268" s="88"/>
      <c r="X268" s="88"/>
      <c r="Y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Q269" s="88"/>
      <c r="R269" s="88"/>
      <c r="S269" s="88"/>
      <c r="T269" s="88"/>
      <c r="U269" s="88"/>
      <c r="V269" s="88"/>
      <c r="W269" s="88"/>
      <c r="X269" s="88"/>
      <c r="Y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Q270" s="88"/>
      <c r="R270" s="88"/>
      <c r="S270" s="88"/>
      <c r="T270" s="88"/>
      <c r="U270" s="88"/>
      <c r="V270" s="88"/>
      <c r="W270" s="88"/>
      <c r="X270" s="88"/>
      <c r="Y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Q271" s="88"/>
      <c r="R271" s="88"/>
      <c r="S271" s="88"/>
      <c r="T271" s="88"/>
      <c r="U271" s="88"/>
      <c r="V271" s="88"/>
      <c r="W271" s="88"/>
      <c r="X271" s="88"/>
      <c r="Y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Q272" s="88"/>
      <c r="R272" s="88"/>
      <c r="S272" s="88"/>
      <c r="T272" s="88"/>
      <c r="U272" s="88"/>
      <c r="V272" s="88"/>
      <c r="W272" s="88"/>
      <c r="X272" s="88"/>
      <c r="Y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Q273" s="88"/>
      <c r="R273" s="88"/>
      <c r="S273" s="88"/>
      <c r="T273" s="88"/>
      <c r="U273" s="88"/>
      <c r="V273" s="88"/>
      <c r="W273" s="88"/>
      <c r="X273" s="88"/>
      <c r="Y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Q274" s="88"/>
      <c r="R274" s="88"/>
      <c r="S274" s="88"/>
      <c r="T274" s="88"/>
      <c r="U274" s="88"/>
      <c r="V274" s="88"/>
      <c r="W274" s="88"/>
      <c r="X274" s="88"/>
      <c r="Y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Q275" s="88"/>
      <c r="R275" s="88"/>
      <c r="S275" s="88"/>
      <c r="T275" s="88"/>
      <c r="U275" s="88"/>
      <c r="V275" s="88"/>
      <c r="W275" s="88"/>
      <c r="X275" s="88"/>
      <c r="Y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Q276" s="88"/>
      <c r="R276" s="88"/>
      <c r="S276" s="88"/>
      <c r="T276" s="88"/>
      <c r="U276" s="88"/>
      <c r="V276" s="88"/>
      <c r="W276" s="88"/>
      <c r="X276" s="88"/>
      <c r="Y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Q277" s="88"/>
      <c r="R277" s="88"/>
      <c r="S277" s="88"/>
      <c r="T277" s="88"/>
      <c r="U277" s="88"/>
      <c r="V277" s="88"/>
      <c r="W277" s="88"/>
      <c r="X277" s="88"/>
      <c r="Y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Q278" s="88"/>
      <c r="R278" s="88"/>
      <c r="S278" s="88"/>
      <c r="T278" s="88"/>
      <c r="U278" s="88"/>
      <c r="V278" s="88"/>
      <c r="W278" s="88"/>
      <c r="X278" s="88"/>
      <c r="Y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Q279" s="88"/>
      <c r="R279" s="88"/>
      <c r="S279" s="88"/>
      <c r="T279" s="88"/>
      <c r="U279" s="88"/>
      <c r="V279" s="88"/>
      <c r="W279" s="88"/>
      <c r="X279" s="88"/>
      <c r="Y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Q280" s="88"/>
      <c r="R280" s="88"/>
      <c r="S280" s="88"/>
      <c r="T280" s="88"/>
      <c r="U280" s="88"/>
      <c r="V280" s="88"/>
      <c r="W280" s="88"/>
      <c r="X280" s="88"/>
      <c r="Y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Q281" s="88"/>
      <c r="R281" s="88"/>
      <c r="S281" s="88"/>
      <c r="T281" s="88"/>
      <c r="U281" s="88"/>
      <c r="V281" s="88"/>
      <c r="W281" s="88"/>
      <c r="X281" s="88"/>
      <c r="Y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Q282" s="88"/>
      <c r="R282" s="88"/>
      <c r="S282" s="88"/>
      <c r="T282" s="88"/>
      <c r="U282" s="88"/>
      <c r="V282" s="88"/>
      <c r="W282" s="88"/>
      <c r="X282" s="88"/>
      <c r="Y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Q283" s="88"/>
      <c r="R283" s="88"/>
      <c r="S283" s="88"/>
      <c r="T283" s="88"/>
      <c r="U283" s="88"/>
      <c r="V283" s="88"/>
      <c r="W283" s="88"/>
      <c r="X283" s="88"/>
      <c r="Y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Q284" s="88"/>
      <c r="R284" s="88"/>
      <c r="S284" s="88"/>
      <c r="T284" s="88"/>
      <c r="U284" s="88"/>
      <c r="V284" s="88"/>
      <c r="W284" s="88"/>
      <c r="X284" s="88"/>
      <c r="Y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Q285" s="88"/>
      <c r="R285" s="88"/>
      <c r="S285" s="88"/>
      <c r="T285" s="88"/>
      <c r="U285" s="88"/>
      <c r="V285" s="88"/>
      <c r="W285" s="88"/>
      <c r="X285" s="88"/>
      <c r="Y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Q286" s="88"/>
      <c r="R286" s="88"/>
      <c r="S286" s="88"/>
      <c r="T286" s="88"/>
      <c r="U286" s="88"/>
      <c r="V286" s="88"/>
      <c r="W286" s="88"/>
      <c r="X286" s="88"/>
      <c r="Y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Q287" s="88"/>
      <c r="R287" s="88"/>
      <c r="S287" s="88"/>
      <c r="T287" s="88"/>
      <c r="U287" s="88"/>
      <c r="V287" s="88"/>
      <c r="W287" s="88"/>
      <c r="X287" s="88"/>
      <c r="Y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Q288" s="88"/>
      <c r="R288" s="88"/>
      <c r="S288" s="88"/>
      <c r="T288" s="88"/>
      <c r="U288" s="88"/>
      <c r="V288" s="88"/>
      <c r="W288" s="88"/>
      <c r="X288" s="88"/>
      <c r="Y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Q289" s="88"/>
      <c r="R289" s="88"/>
      <c r="S289" s="88"/>
      <c r="T289" s="88"/>
      <c r="U289" s="88"/>
      <c r="V289" s="88"/>
      <c r="W289" s="88"/>
      <c r="X289" s="88"/>
      <c r="Y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Q290" s="88"/>
      <c r="R290" s="88"/>
      <c r="S290" s="88"/>
      <c r="T290" s="88"/>
      <c r="U290" s="88"/>
      <c r="V290" s="88"/>
      <c r="W290" s="88"/>
      <c r="X290" s="88"/>
      <c r="Y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Q291" s="88"/>
      <c r="R291" s="88"/>
      <c r="S291" s="88"/>
      <c r="T291" s="88"/>
      <c r="U291" s="88"/>
      <c r="V291" s="88"/>
      <c r="W291" s="88"/>
      <c r="X291" s="88"/>
      <c r="Y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Q292" s="88"/>
      <c r="R292" s="88"/>
      <c r="S292" s="88"/>
      <c r="T292" s="88"/>
      <c r="U292" s="88"/>
      <c r="V292" s="88"/>
      <c r="W292" s="88"/>
      <c r="X292" s="88"/>
      <c r="Y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Q293" s="88"/>
      <c r="R293" s="88"/>
      <c r="S293" s="88"/>
      <c r="T293" s="88"/>
      <c r="U293" s="88"/>
      <c r="V293" s="88"/>
      <c r="W293" s="88"/>
      <c r="X293" s="88"/>
      <c r="Y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Q294" s="88"/>
      <c r="R294" s="88"/>
      <c r="S294" s="88"/>
      <c r="T294" s="88"/>
      <c r="U294" s="88"/>
      <c r="V294" s="88"/>
      <c r="W294" s="88"/>
      <c r="X294" s="88"/>
      <c r="Y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Q295" s="88"/>
      <c r="R295" s="88"/>
      <c r="S295" s="88"/>
      <c r="T295" s="88"/>
      <c r="U295" s="88"/>
      <c r="V295" s="88"/>
      <c r="W295" s="88"/>
      <c r="X295" s="88"/>
      <c r="Y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Q296" s="88"/>
      <c r="R296" s="88"/>
      <c r="S296" s="88"/>
      <c r="T296" s="88"/>
      <c r="U296" s="88"/>
      <c r="V296" s="88"/>
      <c r="W296" s="88"/>
      <c r="X296" s="88"/>
      <c r="Y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Q297" s="88"/>
      <c r="R297" s="88"/>
      <c r="S297" s="88"/>
      <c r="T297" s="88"/>
      <c r="U297" s="88"/>
      <c r="V297" s="88"/>
      <c r="W297" s="88"/>
      <c r="X297" s="88"/>
      <c r="Y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Q298" s="88"/>
      <c r="R298" s="88"/>
      <c r="S298" s="88"/>
      <c r="T298" s="88"/>
      <c r="U298" s="88"/>
      <c r="V298" s="88"/>
      <c r="W298" s="88"/>
      <c r="X298" s="88"/>
      <c r="Y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Q299" s="88"/>
      <c r="R299" s="88"/>
      <c r="S299" s="88"/>
      <c r="T299" s="88"/>
      <c r="U299" s="88"/>
      <c r="V299" s="88"/>
      <c r="W299" s="88"/>
      <c r="X299" s="88"/>
      <c r="Y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Q300" s="88"/>
      <c r="R300" s="88"/>
      <c r="S300" s="88"/>
      <c r="T300" s="88"/>
      <c r="U300" s="88"/>
      <c r="V300" s="88"/>
      <c r="W300" s="88"/>
      <c r="X300" s="88"/>
      <c r="Y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Q301" s="88"/>
      <c r="R301" s="88"/>
      <c r="S301" s="88"/>
      <c r="T301" s="88"/>
      <c r="U301" s="88"/>
      <c r="V301" s="88"/>
      <c r="W301" s="88"/>
      <c r="X301" s="88"/>
      <c r="Y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Q302" s="88"/>
      <c r="R302" s="88"/>
      <c r="S302" s="88"/>
      <c r="T302" s="88"/>
      <c r="U302" s="88"/>
      <c r="V302" s="88"/>
      <c r="W302" s="88"/>
      <c r="X302" s="88"/>
      <c r="Y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Q303" s="88"/>
      <c r="R303" s="88"/>
      <c r="S303" s="88"/>
      <c r="T303" s="88"/>
      <c r="U303" s="88"/>
      <c r="V303" s="88"/>
      <c r="W303" s="88"/>
      <c r="X303" s="88"/>
      <c r="Y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Q304" s="88"/>
      <c r="R304" s="88"/>
      <c r="S304" s="88"/>
      <c r="T304" s="88"/>
      <c r="U304" s="88"/>
      <c r="V304" s="88"/>
      <c r="W304" s="88"/>
      <c r="X304" s="88"/>
      <c r="Y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Q305" s="88"/>
      <c r="R305" s="88"/>
      <c r="S305" s="88"/>
      <c r="T305" s="88"/>
      <c r="U305" s="88"/>
      <c r="V305" s="88"/>
      <c r="W305" s="88"/>
      <c r="X305" s="88"/>
      <c r="Y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Q306" s="88"/>
      <c r="R306" s="88"/>
      <c r="S306" s="88"/>
      <c r="T306" s="88"/>
      <c r="U306" s="88"/>
      <c r="V306" s="88"/>
      <c r="W306" s="88"/>
      <c r="X306" s="88"/>
      <c r="Y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Q307" s="88"/>
      <c r="R307" s="88"/>
      <c r="S307" s="88"/>
      <c r="T307" s="88"/>
      <c r="U307" s="88"/>
      <c r="V307" s="88"/>
      <c r="W307" s="88"/>
      <c r="X307" s="88"/>
      <c r="Y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Q308" s="88"/>
      <c r="R308" s="88"/>
      <c r="S308" s="88"/>
      <c r="T308" s="88"/>
      <c r="U308" s="88"/>
      <c r="V308" s="88"/>
      <c r="W308" s="88"/>
      <c r="X308" s="88"/>
      <c r="Y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Q309" s="88"/>
      <c r="R309" s="88"/>
      <c r="S309" s="88"/>
      <c r="T309" s="88"/>
      <c r="U309" s="88"/>
      <c r="V309" s="88"/>
      <c r="W309" s="88"/>
      <c r="X309" s="88"/>
      <c r="Y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Q310" s="88"/>
      <c r="R310" s="88"/>
      <c r="S310" s="88"/>
      <c r="T310" s="88"/>
      <c r="U310" s="88"/>
      <c r="V310" s="88"/>
      <c r="W310" s="88"/>
      <c r="X310" s="88"/>
      <c r="Y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Q311" s="88"/>
      <c r="R311" s="88"/>
      <c r="S311" s="88"/>
      <c r="T311" s="88"/>
      <c r="U311" s="88"/>
      <c r="V311" s="88"/>
      <c r="W311" s="88"/>
      <c r="X311" s="88"/>
      <c r="Y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Q312" s="88"/>
      <c r="R312" s="88"/>
      <c r="S312" s="88"/>
      <c r="T312" s="88"/>
      <c r="U312" s="88"/>
      <c r="V312" s="88"/>
      <c r="W312" s="88"/>
      <c r="X312" s="88"/>
      <c r="Y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Q313" s="88"/>
      <c r="R313" s="88"/>
      <c r="S313" s="88"/>
      <c r="T313" s="88"/>
      <c r="U313" s="88"/>
      <c r="V313" s="88"/>
      <c r="W313" s="88"/>
      <c r="X313" s="88"/>
      <c r="Y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Q314" s="88"/>
      <c r="R314" s="88"/>
      <c r="S314" s="88"/>
      <c r="T314" s="88"/>
      <c r="U314" s="88"/>
      <c r="V314" s="88"/>
      <c r="W314" s="88"/>
      <c r="X314" s="88"/>
      <c r="Y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Q315" s="88"/>
      <c r="R315" s="88"/>
      <c r="S315" s="88"/>
      <c r="T315" s="88"/>
      <c r="U315" s="88"/>
      <c r="V315" s="88"/>
      <c r="W315" s="88"/>
      <c r="X315" s="88"/>
      <c r="Y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Q316" s="88"/>
      <c r="R316" s="88"/>
      <c r="S316" s="88"/>
      <c r="T316" s="88"/>
      <c r="U316" s="88"/>
      <c r="V316" s="88"/>
      <c r="W316" s="88"/>
      <c r="X316" s="88"/>
      <c r="Y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Q317" s="88"/>
      <c r="R317" s="88"/>
      <c r="S317" s="88"/>
      <c r="T317" s="88"/>
      <c r="U317" s="88"/>
      <c r="V317" s="88"/>
      <c r="W317" s="88"/>
      <c r="X317" s="88"/>
      <c r="Y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Q318" s="88"/>
      <c r="R318" s="88"/>
      <c r="S318" s="88"/>
      <c r="T318" s="88"/>
      <c r="U318" s="88"/>
      <c r="V318" s="88"/>
      <c r="W318" s="88"/>
      <c r="X318" s="88"/>
      <c r="Y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Q319" s="88"/>
      <c r="R319" s="88"/>
      <c r="S319" s="88"/>
      <c r="T319" s="88"/>
      <c r="U319" s="88"/>
      <c r="V319" s="88"/>
      <c r="W319" s="88"/>
      <c r="X319" s="88"/>
      <c r="Y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Q320" s="88"/>
      <c r="R320" s="88"/>
      <c r="S320" s="88"/>
      <c r="T320" s="88"/>
      <c r="U320" s="88"/>
      <c r="V320" s="88"/>
      <c r="W320" s="88"/>
      <c r="X320" s="88"/>
      <c r="Y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Q321" s="88"/>
      <c r="R321" s="88"/>
      <c r="S321" s="88"/>
      <c r="T321" s="88"/>
      <c r="U321" s="88"/>
      <c r="V321" s="88"/>
      <c r="W321" s="88"/>
      <c r="X321" s="88"/>
      <c r="Y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Q322" s="88"/>
      <c r="R322" s="88"/>
      <c r="S322" s="88"/>
      <c r="T322" s="88"/>
      <c r="U322" s="88"/>
      <c r="V322" s="88"/>
      <c r="W322" s="88"/>
      <c r="X322" s="88"/>
      <c r="Y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Q323" s="88"/>
      <c r="R323" s="88"/>
      <c r="S323" s="88"/>
      <c r="T323" s="88"/>
      <c r="U323" s="88"/>
      <c r="V323" s="88"/>
      <c r="W323" s="88"/>
      <c r="X323" s="88"/>
      <c r="Y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Q324" s="88"/>
      <c r="R324" s="88"/>
      <c r="S324" s="88"/>
      <c r="T324" s="88"/>
      <c r="U324" s="88"/>
      <c r="V324" s="88"/>
      <c r="W324" s="88"/>
      <c r="X324" s="88"/>
      <c r="Y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Q325" s="88"/>
      <c r="R325" s="88"/>
      <c r="S325" s="88"/>
      <c r="T325" s="88"/>
      <c r="U325" s="88"/>
      <c r="V325" s="88"/>
      <c r="W325" s="88"/>
      <c r="X325" s="88"/>
      <c r="Y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Q326" s="88"/>
      <c r="R326" s="88"/>
      <c r="S326" s="88"/>
      <c r="T326" s="88"/>
      <c r="U326" s="88"/>
      <c r="V326" s="88"/>
      <c r="W326" s="88"/>
      <c r="X326" s="88"/>
      <c r="Y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Q327" s="88"/>
      <c r="R327" s="88"/>
      <c r="S327" s="88"/>
      <c r="T327" s="88"/>
      <c r="U327" s="88"/>
      <c r="V327" s="88"/>
      <c r="W327" s="88"/>
      <c r="X327" s="88"/>
      <c r="Y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Q328" s="88"/>
      <c r="R328" s="88"/>
      <c r="S328" s="88"/>
      <c r="T328" s="88"/>
      <c r="U328" s="88"/>
      <c r="V328" s="88"/>
      <c r="W328" s="88"/>
      <c r="X328" s="88"/>
      <c r="Y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Q329" s="88"/>
      <c r="R329" s="88"/>
      <c r="S329" s="88"/>
      <c r="T329" s="88"/>
      <c r="U329" s="88"/>
      <c r="V329" s="88"/>
      <c r="W329" s="88"/>
      <c r="X329" s="88"/>
      <c r="Y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Q330" s="88"/>
      <c r="R330" s="88"/>
      <c r="S330" s="88"/>
      <c r="T330" s="88"/>
      <c r="U330" s="88"/>
      <c r="V330" s="88"/>
      <c r="W330" s="88"/>
      <c r="X330" s="88"/>
      <c r="Y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Q331" s="88"/>
      <c r="R331" s="88"/>
      <c r="S331" s="88"/>
      <c r="T331" s="88"/>
      <c r="U331" s="88"/>
      <c r="V331" s="88"/>
      <c r="W331" s="88"/>
      <c r="X331" s="88"/>
      <c r="Y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Q332" s="88"/>
      <c r="R332" s="88"/>
      <c r="S332" s="88"/>
      <c r="T332" s="88"/>
      <c r="U332" s="88"/>
      <c r="V332" s="88"/>
      <c r="W332" s="88"/>
      <c r="X332" s="88"/>
      <c r="Y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Q333" s="88"/>
      <c r="R333" s="88"/>
      <c r="S333" s="88"/>
      <c r="T333" s="88"/>
      <c r="U333" s="88"/>
      <c r="V333" s="88"/>
      <c r="W333" s="88"/>
      <c r="X333" s="88"/>
      <c r="Y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Q334" s="88"/>
      <c r="R334" s="88"/>
      <c r="S334" s="88"/>
      <c r="T334" s="88"/>
      <c r="U334" s="88"/>
      <c r="V334" s="88"/>
      <c r="W334" s="88"/>
      <c r="X334" s="88"/>
      <c r="Y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Q335" s="88"/>
      <c r="R335" s="88"/>
      <c r="S335" s="88"/>
      <c r="T335" s="88"/>
      <c r="U335" s="88"/>
      <c r="V335" s="88"/>
      <c r="W335" s="88"/>
      <c r="X335" s="88"/>
      <c r="Y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Q336" s="88"/>
      <c r="R336" s="88"/>
      <c r="S336" s="88"/>
      <c r="T336" s="88"/>
      <c r="U336" s="88"/>
      <c r="V336" s="88"/>
      <c r="W336" s="88"/>
      <c r="X336" s="88"/>
      <c r="Y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Q337" s="88"/>
      <c r="R337" s="88"/>
      <c r="S337" s="88"/>
      <c r="T337" s="88"/>
      <c r="U337" s="88"/>
      <c r="V337" s="88"/>
      <c r="W337" s="88"/>
      <c r="X337" s="88"/>
      <c r="Y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Q338" s="88"/>
      <c r="R338" s="88"/>
      <c r="S338" s="88"/>
      <c r="T338" s="88"/>
      <c r="U338" s="88"/>
      <c r="V338" s="88"/>
      <c r="W338" s="88"/>
      <c r="X338" s="88"/>
      <c r="Y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Q339" s="88"/>
      <c r="R339" s="88"/>
      <c r="S339" s="88"/>
      <c r="T339" s="88"/>
      <c r="U339" s="88"/>
      <c r="V339" s="88"/>
      <c r="W339" s="88"/>
      <c r="X339" s="88"/>
      <c r="Y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Q340" s="88"/>
      <c r="R340" s="88"/>
      <c r="S340" s="88"/>
      <c r="T340" s="88"/>
      <c r="U340" s="88"/>
      <c r="V340" s="88"/>
      <c r="W340" s="88"/>
      <c r="X340" s="88"/>
      <c r="Y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Q341" s="88"/>
      <c r="R341" s="88"/>
      <c r="S341" s="88"/>
      <c r="T341" s="88"/>
      <c r="U341" s="88"/>
      <c r="V341" s="88"/>
      <c r="W341" s="88"/>
      <c r="X341" s="88"/>
      <c r="Y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Q342" s="88"/>
      <c r="R342" s="88"/>
      <c r="S342" s="88"/>
      <c r="T342" s="88"/>
      <c r="U342" s="88"/>
      <c r="V342" s="88"/>
      <c r="W342" s="88"/>
      <c r="X342" s="88"/>
      <c r="Y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Q343" s="88"/>
      <c r="R343" s="88"/>
      <c r="S343" s="88"/>
      <c r="T343" s="88"/>
      <c r="U343" s="88"/>
      <c r="V343" s="88"/>
      <c r="W343" s="88"/>
      <c r="X343" s="88"/>
      <c r="Y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Q344" s="88"/>
      <c r="R344" s="88"/>
      <c r="S344" s="88"/>
      <c r="T344" s="88"/>
      <c r="U344" s="88"/>
      <c r="V344" s="88"/>
      <c r="W344" s="88"/>
      <c r="X344" s="88"/>
      <c r="Y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Q345" s="88"/>
      <c r="R345" s="88"/>
      <c r="S345" s="88"/>
      <c r="T345" s="88"/>
      <c r="U345" s="88"/>
      <c r="V345" s="88"/>
      <c r="W345" s="88"/>
      <c r="X345" s="88"/>
      <c r="Y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Q346" s="88"/>
      <c r="R346" s="88"/>
      <c r="S346" s="88"/>
      <c r="T346" s="88"/>
      <c r="U346" s="88"/>
      <c r="V346" s="88"/>
      <c r="W346" s="88"/>
      <c r="X346" s="88"/>
      <c r="Y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Q347" s="88"/>
      <c r="R347" s="88"/>
      <c r="S347" s="88"/>
      <c r="T347" s="88"/>
      <c r="U347" s="88"/>
      <c r="V347" s="88"/>
      <c r="W347" s="88"/>
      <c r="X347" s="88"/>
      <c r="Y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Q348" s="88"/>
      <c r="R348" s="88"/>
      <c r="S348" s="88"/>
      <c r="T348" s="88"/>
      <c r="U348" s="88"/>
      <c r="V348" s="88"/>
      <c r="W348" s="88"/>
      <c r="X348" s="88"/>
      <c r="Y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Q349" s="88"/>
      <c r="R349" s="88"/>
      <c r="S349" s="88"/>
      <c r="T349" s="88"/>
      <c r="U349" s="88"/>
      <c r="V349" s="88"/>
      <c r="W349" s="88"/>
      <c r="X349" s="88"/>
      <c r="Y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Q350" s="88"/>
      <c r="R350" s="88"/>
      <c r="S350" s="88"/>
      <c r="T350" s="88"/>
      <c r="U350" s="88"/>
      <c r="V350" s="88"/>
      <c r="W350" s="88"/>
      <c r="X350" s="88"/>
      <c r="Y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Q351" s="88"/>
      <c r="R351" s="88"/>
      <c r="S351" s="88"/>
      <c r="T351" s="88"/>
      <c r="U351" s="88"/>
      <c r="V351" s="88"/>
      <c r="W351" s="88"/>
      <c r="X351" s="88"/>
      <c r="Y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Q352" s="88"/>
      <c r="R352" s="88"/>
      <c r="S352" s="88"/>
      <c r="T352" s="88"/>
      <c r="U352" s="88"/>
      <c r="V352" s="88"/>
      <c r="W352" s="88"/>
      <c r="X352" s="88"/>
      <c r="Y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Q353" s="88"/>
      <c r="R353" s="88"/>
      <c r="S353" s="88"/>
      <c r="T353" s="88"/>
      <c r="U353" s="88"/>
      <c r="V353" s="88"/>
      <c r="W353" s="88"/>
      <c r="X353" s="88"/>
      <c r="Y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Q354" s="88"/>
      <c r="R354" s="88"/>
      <c r="S354" s="88"/>
      <c r="T354" s="88"/>
      <c r="U354" s="88"/>
      <c r="V354" s="88"/>
      <c r="W354" s="88"/>
      <c r="X354" s="88"/>
      <c r="Y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Q355" s="88"/>
      <c r="R355" s="88"/>
      <c r="S355" s="88"/>
      <c r="T355" s="88"/>
      <c r="U355" s="88"/>
      <c r="V355" s="88"/>
      <c r="W355" s="88"/>
      <c r="X355" s="88"/>
      <c r="Y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Q356" s="88"/>
      <c r="R356" s="88"/>
      <c r="S356" s="88"/>
      <c r="T356" s="88"/>
      <c r="U356" s="88"/>
      <c r="V356" s="88"/>
      <c r="W356" s="88"/>
      <c r="X356" s="88"/>
      <c r="Y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Q357" s="88"/>
      <c r="R357" s="88"/>
      <c r="S357" s="88"/>
      <c r="T357" s="88"/>
      <c r="U357" s="88"/>
      <c r="V357" s="88"/>
      <c r="W357" s="88"/>
      <c r="X357" s="88"/>
      <c r="Y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Q358" s="88"/>
      <c r="R358" s="88"/>
      <c r="S358" s="88"/>
      <c r="T358" s="88"/>
      <c r="U358" s="88"/>
      <c r="V358" s="88"/>
      <c r="W358" s="88"/>
      <c r="X358" s="88"/>
      <c r="Y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Q359" s="88"/>
      <c r="R359" s="88"/>
      <c r="S359" s="88"/>
      <c r="T359" s="88"/>
      <c r="U359" s="88"/>
      <c r="V359" s="88"/>
      <c r="W359" s="88"/>
      <c r="X359" s="88"/>
      <c r="Y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Q360" s="88"/>
      <c r="R360" s="88"/>
      <c r="S360" s="88"/>
      <c r="T360" s="88"/>
      <c r="U360" s="88"/>
      <c r="V360" s="88"/>
      <c r="W360" s="88"/>
      <c r="X360" s="88"/>
      <c r="Y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Q361" s="88"/>
      <c r="R361" s="88"/>
      <c r="S361" s="88"/>
      <c r="T361" s="88"/>
      <c r="U361" s="88"/>
      <c r="V361" s="88"/>
      <c r="W361" s="88"/>
      <c r="X361" s="88"/>
      <c r="Y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Q362" s="88"/>
      <c r="R362" s="88"/>
      <c r="S362" s="88"/>
      <c r="T362" s="88"/>
      <c r="U362" s="88"/>
      <c r="V362" s="88"/>
      <c r="W362" s="88"/>
      <c r="X362" s="88"/>
      <c r="Y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Q363" s="88"/>
      <c r="R363" s="88"/>
      <c r="S363" s="88"/>
      <c r="T363" s="88"/>
      <c r="U363" s="88"/>
      <c r="V363" s="88"/>
      <c r="W363" s="88"/>
      <c r="X363" s="88"/>
      <c r="Y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Q364" s="88"/>
      <c r="R364" s="88"/>
      <c r="S364" s="88"/>
      <c r="T364" s="88"/>
      <c r="U364" s="88"/>
      <c r="V364" s="88"/>
      <c r="W364" s="88"/>
      <c r="X364" s="88"/>
      <c r="Y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Q365" s="88"/>
      <c r="R365" s="88"/>
      <c r="S365" s="88"/>
      <c r="T365" s="88"/>
      <c r="U365" s="88"/>
      <c r="V365" s="88"/>
      <c r="W365" s="88"/>
      <c r="X365" s="88"/>
      <c r="Y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Q366" s="88"/>
      <c r="R366" s="88"/>
      <c r="S366" s="88"/>
      <c r="T366" s="88"/>
      <c r="U366" s="88"/>
      <c r="V366" s="88"/>
      <c r="W366" s="88"/>
      <c r="X366" s="88"/>
      <c r="Y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Q367" s="88"/>
      <c r="R367" s="88"/>
      <c r="S367" s="88"/>
      <c r="T367" s="88"/>
      <c r="U367" s="88"/>
      <c r="V367" s="88"/>
      <c r="W367" s="88"/>
      <c r="X367" s="88"/>
      <c r="Y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Q368" s="88"/>
      <c r="R368" s="88"/>
      <c r="S368" s="88"/>
      <c r="T368" s="88"/>
      <c r="U368" s="88"/>
      <c r="V368" s="88"/>
      <c r="W368" s="88"/>
      <c r="X368" s="88"/>
      <c r="Y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Q369" s="88"/>
      <c r="R369" s="88"/>
      <c r="S369" s="88"/>
      <c r="T369" s="88"/>
      <c r="U369" s="88"/>
      <c r="V369" s="88"/>
      <c r="W369" s="88"/>
      <c r="X369" s="88"/>
      <c r="Y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Q370" s="88"/>
      <c r="R370" s="88"/>
      <c r="S370" s="88"/>
      <c r="T370" s="88"/>
      <c r="U370" s="88"/>
      <c r="V370" s="88"/>
      <c r="W370" s="88"/>
      <c r="X370" s="88"/>
      <c r="Y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Q371" s="88"/>
      <c r="R371" s="88"/>
      <c r="S371" s="88"/>
      <c r="T371" s="88"/>
      <c r="U371" s="88"/>
      <c r="V371" s="88"/>
      <c r="W371" s="88"/>
      <c r="X371" s="88"/>
      <c r="Y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Q372" s="88"/>
      <c r="R372" s="88"/>
      <c r="S372" s="88"/>
      <c r="T372" s="88"/>
      <c r="U372" s="88"/>
      <c r="V372" s="88"/>
      <c r="W372" s="88"/>
      <c r="X372" s="88"/>
      <c r="Y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Q373" s="88"/>
      <c r="R373" s="88"/>
      <c r="S373" s="88"/>
      <c r="T373" s="88"/>
      <c r="U373" s="88"/>
      <c r="V373" s="88"/>
      <c r="W373" s="88"/>
      <c r="X373" s="88"/>
      <c r="Y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Q374" s="88"/>
      <c r="R374" s="88"/>
      <c r="S374" s="88"/>
      <c r="T374" s="88"/>
      <c r="U374" s="88"/>
      <c r="V374" s="88"/>
      <c r="W374" s="88"/>
      <c r="X374" s="88"/>
      <c r="Y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Q375" s="88"/>
      <c r="R375" s="88"/>
      <c r="S375" s="88"/>
      <c r="T375" s="88"/>
      <c r="U375" s="88"/>
      <c r="V375" s="88"/>
      <c r="W375" s="88"/>
      <c r="X375" s="88"/>
      <c r="Y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Q376" s="88"/>
      <c r="R376" s="88"/>
      <c r="S376" s="88"/>
      <c r="T376" s="88"/>
      <c r="U376" s="88"/>
      <c r="V376" s="88"/>
      <c r="W376" s="88"/>
      <c r="X376" s="88"/>
      <c r="Y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Q377" s="88"/>
      <c r="R377" s="88"/>
      <c r="S377" s="88"/>
      <c r="T377" s="88"/>
      <c r="U377" s="88"/>
      <c r="V377" s="88"/>
      <c r="W377" s="88"/>
      <c r="X377" s="88"/>
      <c r="Y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Q378" s="88"/>
      <c r="R378" s="88"/>
      <c r="S378" s="88"/>
      <c r="T378" s="88"/>
      <c r="U378" s="88"/>
      <c r="V378" s="88"/>
      <c r="W378" s="88"/>
      <c r="X378" s="88"/>
      <c r="Y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Q379" s="88"/>
      <c r="R379" s="88"/>
      <c r="S379" s="88"/>
      <c r="T379" s="88"/>
      <c r="U379" s="88"/>
      <c r="V379" s="88"/>
      <c r="W379" s="88"/>
      <c r="X379" s="88"/>
      <c r="Y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Q380" s="88"/>
      <c r="R380" s="88"/>
      <c r="S380" s="88"/>
      <c r="T380" s="88"/>
      <c r="U380" s="88"/>
      <c r="V380" s="88"/>
      <c r="W380" s="88"/>
      <c r="X380" s="88"/>
      <c r="Y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Q381" s="88"/>
      <c r="R381" s="88"/>
      <c r="S381" s="88"/>
      <c r="T381" s="88"/>
      <c r="U381" s="88"/>
      <c r="V381" s="88"/>
      <c r="W381" s="88"/>
      <c r="X381" s="88"/>
      <c r="Y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Q382" s="88"/>
      <c r="R382" s="88"/>
      <c r="S382" s="88"/>
      <c r="T382" s="88"/>
      <c r="U382" s="88"/>
      <c r="V382" s="88"/>
      <c r="W382" s="88"/>
      <c r="X382" s="88"/>
      <c r="Y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Q383" s="88"/>
      <c r="R383" s="88"/>
      <c r="S383" s="88"/>
      <c r="T383" s="88"/>
      <c r="U383" s="88"/>
      <c r="V383" s="88"/>
      <c r="W383" s="88"/>
      <c r="X383" s="88"/>
      <c r="Y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Q384" s="88"/>
      <c r="R384" s="88"/>
      <c r="S384" s="88"/>
      <c r="T384" s="88"/>
      <c r="U384" s="88"/>
      <c r="V384" s="88"/>
      <c r="W384" s="88"/>
      <c r="X384" s="88"/>
      <c r="Y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Q385" s="88"/>
      <c r="R385" s="88"/>
      <c r="S385" s="88"/>
      <c r="T385" s="88"/>
      <c r="U385" s="88"/>
      <c r="V385" s="88"/>
      <c r="W385" s="88"/>
      <c r="X385" s="88"/>
      <c r="Y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Q386" s="88"/>
      <c r="R386" s="88"/>
      <c r="S386" s="88"/>
      <c r="T386" s="88"/>
      <c r="U386" s="88"/>
      <c r="V386" s="88"/>
      <c r="W386" s="88"/>
      <c r="X386" s="88"/>
      <c r="Y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Q387" s="88"/>
      <c r="R387" s="88"/>
      <c r="S387" s="88"/>
      <c r="T387" s="88"/>
      <c r="U387" s="88"/>
      <c r="V387" s="88"/>
      <c r="W387" s="88"/>
      <c r="X387" s="88"/>
      <c r="Y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Q388" s="88"/>
      <c r="R388" s="88"/>
      <c r="S388" s="88"/>
      <c r="T388" s="88"/>
      <c r="U388" s="88"/>
      <c r="V388" s="88"/>
      <c r="W388" s="88"/>
      <c r="X388" s="88"/>
      <c r="Y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Q389" s="88"/>
      <c r="R389" s="88"/>
      <c r="S389" s="88"/>
      <c r="T389" s="88"/>
      <c r="U389" s="88"/>
      <c r="V389" s="88"/>
      <c r="W389" s="88"/>
      <c r="X389" s="88"/>
      <c r="Y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Q390" s="88"/>
      <c r="R390" s="88"/>
      <c r="S390" s="88"/>
      <c r="T390" s="88"/>
      <c r="U390" s="88"/>
      <c r="V390" s="88"/>
      <c r="W390" s="88"/>
      <c r="X390" s="88"/>
      <c r="Y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Q391" s="88"/>
      <c r="R391" s="88"/>
      <c r="S391" s="88"/>
      <c r="T391" s="88"/>
      <c r="U391" s="88"/>
      <c r="V391" s="88"/>
      <c r="W391" s="88"/>
      <c r="X391" s="88"/>
      <c r="Y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Q392" s="88"/>
      <c r="R392" s="88"/>
      <c r="S392" s="88"/>
      <c r="T392" s="88"/>
      <c r="U392" s="88"/>
      <c r="V392" s="88"/>
      <c r="W392" s="88"/>
      <c r="X392" s="88"/>
      <c r="Y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Q393" s="88"/>
      <c r="R393" s="88"/>
      <c r="S393" s="88"/>
      <c r="T393" s="88"/>
      <c r="U393" s="88"/>
      <c r="V393" s="88"/>
      <c r="W393" s="88"/>
      <c r="X393" s="88"/>
      <c r="Y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Q394" s="88"/>
      <c r="R394" s="88"/>
      <c r="S394" s="88"/>
      <c r="T394" s="88"/>
      <c r="U394" s="88"/>
      <c r="V394" s="88"/>
      <c r="W394" s="88"/>
      <c r="X394" s="88"/>
      <c r="Y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Q395" s="88"/>
      <c r="R395" s="88"/>
      <c r="S395" s="88"/>
      <c r="T395" s="88"/>
      <c r="U395" s="88"/>
      <c r="V395" s="88"/>
      <c r="W395" s="88"/>
      <c r="X395" s="88"/>
      <c r="Y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Q396" s="88"/>
      <c r="R396" s="88"/>
      <c r="S396" s="88"/>
      <c r="T396" s="88"/>
      <c r="U396" s="88"/>
      <c r="V396" s="88"/>
      <c r="W396" s="88"/>
      <c r="X396" s="88"/>
      <c r="Y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Q397" s="88"/>
      <c r="R397" s="88"/>
      <c r="S397" s="88"/>
      <c r="T397" s="88"/>
      <c r="U397" s="88"/>
      <c r="V397" s="88"/>
      <c r="W397" s="88"/>
      <c r="X397" s="88"/>
      <c r="Y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Q398" s="88"/>
      <c r="R398" s="88"/>
      <c r="S398" s="88"/>
      <c r="T398" s="88"/>
      <c r="U398" s="88"/>
      <c r="V398" s="88"/>
      <c r="W398" s="88"/>
      <c r="X398" s="88"/>
      <c r="Y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Q399" s="88"/>
      <c r="R399" s="88"/>
      <c r="S399" s="88"/>
      <c r="T399" s="88"/>
      <c r="U399" s="88"/>
      <c r="V399" s="88"/>
      <c r="W399" s="88"/>
      <c r="X399" s="88"/>
      <c r="Y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Q400" s="88"/>
      <c r="R400" s="88"/>
      <c r="S400" s="88"/>
      <c r="T400" s="88"/>
      <c r="U400" s="88"/>
      <c r="V400" s="88"/>
      <c r="W400" s="88"/>
      <c r="X400" s="88"/>
      <c r="Y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Q401" s="88"/>
      <c r="R401" s="88"/>
      <c r="S401" s="88"/>
      <c r="T401" s="88"/>
      <c r="U401" s="88"/>
      <c r="V401" s="88"/>
      <c r="W401" s="88"/>
      <c r="X401" s="88"/>
      <c r="Y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Q402" s="88"/>
      <c r="R402" s="88"/>
      <c r="S402" s="88"/>
      <c r="T402" s="88"/>
      <c r="U402" s="88"/>
      <c r="V402" s="88"/>
      <c r="W402" s="88"/>
      <c r="X402" s="88"/>
      <c r="Y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Q403" s="88"/>
      <c r="R403" s="88"/>
      <c r="S403" s="88"/>
      <c r="T403" s="88"/>
      <c r="U403" s="88"/>
      <c r="V403" s="88"/>
      <c r="W403" s="88"/>
      <c r="X403" s="88"/>
      <c r="Y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Q404" s="88"/>
      <c r="R404" s="88"/>
      <c r="S404" s="88"/>
      <c r="T404" s="88"/>
      <c r="U404" s="88"/>
      <c r="V404" s="88"/>
      <c r="W404" s="88"/>
      <c r="X404" s="88"/>
      <c r="Y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Q405" s="88"/>
      <c r="R405" s="88"/>
      <c r="S405" s="88"/>
      <c r="T405" s="88"/>
      <c r="U405" s="88"/>
      <c r="V405" s="88"/>
      <c r="W405" s="88"/>
      <c r="X405" s="88"/>
      <c r="Y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Q406" s="88"/>
      <c r="R406" s="88"/>
      <c r="S406" s="88"/>
      <c r="T406" s="88"/>
      <c r="U406" s="88"/>
      <c r="V406" s="88"/>
      <c r="W406" s="88"/>
      <c r="X406" s="88"/>
      <c r="Y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Q407" s="88"/>
      <c r="R407" s="88"/>
      <c r="S407" s="88"/>
      <c r="T407" s="88"/>
      <c r="U407" s="88"/>
      <c r="V407" s="88"/>
      <c r="W407" s="88"/>
      <c r="X407" s="88"/>
      <c r="Y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Q408" s="88"/>
      <c r="R408" s="88"/>
      <c r="S408" s="88"/>
      <c r="T408" s="88"/>
      <c r="U408" s="88"/>
      <c r="V408" s="88"/>
      <c r="W408" s="88"/>
      <c r="X408" s="88"/>
      <c r="Y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Q409" s="88"/>
      <c r="R409" s="88"/>
      <c r="S409" s="88"/>
      <c r="T409" s="88"/>
      <c r="U409" s="88"/>
      <c r="V409" s="88"/>
      <c r="W409" s="88"/>
      <c r="X409" s="88"/>
      <c r="Y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Q410" s="88"/>
      <c r="R410" s="88"/>
      <c r="S410" s="88"/>
      <c r="T410" s="88"/>
      <c r="U410" s="88"/>
      <c r="V410" s="88"/>
      <c r="W410" s="88"/>
      <c r="X410" s="88"/>
      <c r="Y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Q411" s="88"/>
      <c r="R411" s="88"/>
      <c r="S411" s="88"/>
      <c r="T411" s="88"/>
      <c r="U411" s="88"/>
      <c r="V411" s="88"/>
      <c r="W411" s="88"/>
      <c r="X411" s="88"/>
      <c r="Y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Q412" s="88"/>
      <c r="R412" s="88"/>
      <c r="S412" s="88"/>
      <c r="T412" s="88"/>
      <c r="U412" s="88"/>
      <c r="V412" s="88"/>
      <c r="W412" s="88"/>
      <c r="X412" s="88"/>
      <c r="Y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Q413" s="88"/>
      <c r="R413" s="88"/>
      <c r="S413" s="88"/>
      <c r="T413" s="88"/>
      <c r="U413" s="88"/>
      <c r="V413" s="88"/>
      <c r="W413" s="88"/>
      <c r="X413" s="88"/>
      <c r="Y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Q414" s="88"/>
      <c r="R414" s="88"/>
      <c r="S414" s="88"/>
      <c r="T414" s="88"/>
      <c r="U414" s="88"/>
      <c r="V414" s="88"/>
      <c r="W414" s="88"/>
      <c r="X414" s="88"/>
      <c r="Y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Q415" s="88"/>
      <c r="R415" s="88"/>
      <c r="S415" s="88"/>
      <c r="T415" s="88"/>
      <c r="U415" s="88"/>
      <c r="V415" s="88"/>
      <c r="W415" s="88"/>
      <c r="X415" s="88"/>
      <c r="Y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Q416" s="88"/>
      <c r="R416" s="88"/>
      <c r="S416" s="88"/>
      <c r="T416" s="88"/>
      <c r="U416" s="88"/>
      <c r="V416" s="88"/>
      <c r="W416" s="88"/>
      <c r="X416" s="88"/>
      <c r="Y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Q417" s="88"/>
      <c r="R417" s="88"/>
      <c r="S417" s="88"/>
      <c r="T417" s="88"/>
      <c r="U417" s="88"/>
      <c r="V417" s="88"/>
      <c r="W417" s="88"/>
      <c r="X417" s="88"/>
      <c r="Y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Q418" s="88"/>
      <c r="R418" s="88"/>
      <c r="S418" s="88"/>
      <c r="T418" s="88"/>
      <c r="U418" s="88"/>
      <c r="V418" s="88"/>
      <c r="W418" s="88"/>
      <c r="X418" s="88"/>
      <c r="Y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Q419" s="88"/>
      <c r="R419" s="88"/>
      <c r="S419" s="88"/>
      <c r="T419" s="88"/>
      <c r="U419" s="88"/>
      <c r="V419" s="88"/>
      <c r="W419" s="88"/>
      <c r="X419" s="88"/>
      <c r="Y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Q420" s="88"/>
      <c r="R420" s="88"/>
      <c r="S420" s="88"/>
      <c r="T420" s="88"/>
      <c r="U420" s="88"/>
      <c r="V420" s="88"/>
      <c r="W420" s="88"/>
      <c r="X420" s="88"/>
      <c r="Y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Q421" s="88"/>
      <c r="R421" s="88"/>
      <c r="S421" s="88"/>
      <c r="T421" s="88"/>
      <c r="U421" s="88"/>
      <c r="V421" s="88"/>
      <c r="W421" s="88"/>
      <c r="X421" s="88"/>
      <c r="Y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Q422" s="88"/>
      <c r="R422" s="88"/>
      <c r="S422" s="88"/>
      <c r="T422" s="88"/>
      <c r="U422" s="88"/>
      <c r="V422" s="88"/>
      <c r="W422" s="88"/>
      <c r="X422" s="88"/>
      <c r="Y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Q423" s="88"/>
      <c r="R423" s="88"/>
      <c r="S423" s="88"/>
      <c r="T423" s="88"/>
      <c r="U423" s="88"/>
      <c r="V423" s="88"/>
      <c r="W423" s="88"/>
      <c r="X423" s="88"/>
      <c r="Y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Q424" s="88"/>
      <c r="R424" s="88"/>
      <c r="S424" s="88"/>
      <c r="T424" s="88"/>
      <c r="U424" s="88"/>
      <c r="V424" s="88"/>
      <c r="W424" s="88"/>
      <c r="X424" s="88"/>
      <c r="Y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Q425" s="88"/>
      <c r="R425" s="88"/>
      <c r="S425" s="88"/>
      <c r="T425" s="88"/>
      <c r="U425" s="88"/>
      <c r="V425" s="88"/>
      <c r="W425" s="88"/>
      <c r="X425" s="88"/>
      <c r="Y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Q426" s="88"/>
      <c r="R426" s="88"/>
      <c r="S426" s="88"/>
      <c r="T426" s="88"/>
      <c r="U426" s="88"/>
      <c r="V426" s="88"/>
      <c r="W426" s="88"/>
      <c r="X426" s="88"/>
      <c r="Y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Q427" s="88"/>
      <c r="R427" s="88"/>
      <c r="S427" s="88"/>
      <c r="T427" s="88"/>
      <c r="U427" s="88"/>
      <c r="V427" s="88"/>
      <c r="W427" s="88"/>
      <c r="X427" s="88"/>
      <c r="Y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Q428" s="88"/>
      <c r="R428" s="88"/>
      <c r="S428" s="88"/>
      <c r="T428" s="88"/>
      <c r="U428" s="88"/>
      <c r="V428" s="88"/>
      <c r="W428" s="88"/>
      <c r="X428" s="88"/>
      <c r="Y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Q429" s="88"/>
      <c r="R429" s="88"/>
      <c r="S429" s="88"/>
      <c r="T429" s="88"/>
      <c r="U429" s="88"/>
      <c r="V429" s="88"/>
      <c r="W429" s="88"/>
      <c r="X429" s="88"/>
      <c r="Y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Q430" s="88"/>
      <c r="R430" s="88"/>
      <c r="S430" s="88"/>
      <c r="T430" s="88"/>
      <c r="U430" s="88"/>
      <c r="V430" s="88"/>
      <c r="W430" s="88"/>
      <c r="X430" s="88"/>
      <c r="Y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Q431" s="88"/>
      <c r="R431" s="88"/>
      <c r="S431" s="88"/>
      <c r="T431" s="88"/>
      <c r="U431" s="88"/>
      <c r="V431" s="88"/>
      <c r="W431" s="88"/>
      <c r="X431" s="88"/>
      <c r="Y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Q432" s="88"/>
      <c r="R432" s="88"/>
      <c r="S432" s="88"/>
      <c r="T432" s="88"/>
      <c r="U432" s="88"/>
      <c r="V432" s="88"/>
      <c r="W432" s="88"/>
      <c r="X432" s="88"/>
      <c r="Y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Q433" s="88"/>
      <c r="R433" s="88"/>
      <c r="S433" s="88"/>
      <c r="T433" s="88"/>
      <c r="U433" s="88"/>
      <c r="V433" s="88"/>
      <c r="W433" s="88"/>
      <c r="X433" s="88"/>
      <c r="Y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Q434" s="88"/>
      <c r="R434" s="88"/>
      <c r="S434" s="88"/>
      <c r="T434" s="88"/>
      <c r="U434" s="88"/>
      <c r="V434" s="88"/>
      <c r="W434" s="88"/>
      <c r="X434" s="88"/>
      <c r="Y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Q435" s="88"/>
      <c r="R435" s="88"/>
      <c r="S435" s="88"/>
      <c r="T435" s="88"/>
      <c r="U435" s="88"/>
      <c r="V435" s="88"/>
      <c r="W435" s="88"/>
      <c r="X435" s="88"/>
      <c r="Y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Q436" s="88"/>
      <c r="R436" s="88"/>
      <c r="S436" s="88"/>
      <c r="T436" s="88"/>
      <c r="U436" s="88"/>
      <c r="V436" s="88"/>
      <c r="W436" s="88"/>
      <c r="X436" s="88"/>
      <c r="Y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Q437" s="88"/>
      <c r="R437" s="88"/>
      <c r="S437" s="88"/>
      <c r="T437" s="88"/>
      <c r="U437" s="88"/>
      <c r="V437" s="88"/>
      <c r="W437" s="88"/>
      <c r="X437" s="88"/>
      <c r="Y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Q454" s="88"/>
      <c r="R454" s="88"/>
      <c r="S454" s="88"/>
      <c r="T454" s="88"/>
      <c r="U454" s="88"/>
      <c r="V454" s="88"/>
      <c r="W454" s="88"/>
      <c r="X454" s="88"/>
      <c r="Y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Q455" s="88"/>
      <c r="R455" s="88"/>
      <c r="S455" s="88"/>
      <c r="T455" s="88"/>
      <c r="U455" s="88"/>
      <c r="V455" s="88"/>
      <c r="W455" s="88"/>
      <c r="X455" s="88"/>
      <c r="Y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Q456" s="88"/>
      <c r="R456" s="88"/>
      <c r="S456" s="88"/>
      <c r="T456" s="88"/>
      <c r="U456" s="88"/>
      <c r="V456" s="88"/>
      <c r="W456" s="88"/>
      <c r="X456" s="88"/>
      <c r="Y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Q457" s="88"/>
      <c r="R457" s="88"/>
      <c r="S457" s="88"/>
      <c r="T457" s="88"/>
      <c r="U457" s="88"/>
      <c r="V457" s="88"/>
      <c r="W457" s="88"/>
      <c r="X457" s="88"/>
      <c r="Y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Q458" s="88"/>
      <c r="R458" s="88"/>
      <c r="S458" s="88"/>
      <c r="T458" s="88"/>
      <c r="U458" s="88"/>
      <c r="V458" s="88"/>
      <c r="W458" s="88"/>
      <c r="X458" s="88"/>
      <c r="Y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Q459" s="88"/>
      <c r="R459" s="88"/>
      <c r="S459" s="88"/>
      <c r="T459" s="88"/>
      <c r="U459" s="88"/>
      <c r="V459" s="88"/>
      <c r="W459" s="88"/>
      <c r="X459" s="88"/>
      <c r="Y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Q460" s="88"/>
      <c r="R460" s="88"/>
      <c r="S460" s="88"/>
      <c r="T460" s="88"/>
      <c r="U460" s="88"/>
      <c r="V460" s="88"/>
      <c r="W460" s="88"/>
      <c r="X460" s="88"/>
      <c r="Y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Q461" s="88"/>
      <c r="R461" s="88"/>
      <c r="S461" s="88"/>
      <c r="T461" s="88"/>
      <c r="U461" s="88"/>
      <c r="V461" s="88"/>
      <c r="W461" s="88"/>
      <c r="X461" s="88"/>
      <c r="Y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Q462" s="88"/>
      <c r="R462" s="88"/>
      <c r="S462" s="88"/>
      <c r="T462" s="88"/>
      <c r="U462" s="88"/>
      <c r="V462" s="88"/>
      <c r="W462" s="88"/>
      <c r="X462" s="88"/>
      <c r="Y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Q463" s="88"/>
      <c r="R463" s="88"/>
      <c r="S463" s="88"/>
      <c r="T463" s="88"/>
      <c r="U463" s="88"/>
      <c r="V463" s="88"/>
      <c r="W463" s="88"/>
      <c r="X463" s="88"/>
      <c r="Y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Q464" s="88"/>
      <c r="R464" s="88"/>
      <c r="S464" s="88"/>
      <c r="T464" s="88"/>
      <c r="U464" s="88"/>
      <c r="V464" s="88"/>
      <c r="W464" s="88"/>
      <c r="X464" s="88"/>
      <c r="Y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Q465" s="88"/>
      <c r="R465" s="88"/>
      <c r="S465" s="88"/>
      <c r="T465" s="88"/>
      <c r="U465" s="88"/>
      <c r="V465" s="88"/>
      <c r="W465" s="88"/>
      <c r="X465" s="88"/>
      <c r="Y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Q466" s="88"/>
      <c r="R466" s="88"/>
      <c r="S466" s="88"/>
      <c r="T466" s="88"/>
      <c r="U466" s="88"/>
      <c r="V466" s="88"/>
      <c r="W466" s="88"/>
      <c r="X466" s="88"/>
      <c r="Y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Q467" s="88"/>
      <c r="R467" s="88"/>
      <c r="S467" s="88"/>
      <c r="T467" s="88"/>
      <c r="U467" s="88"/>
      <c r="V467" s="88"/>
      <c r="W467" s="88"/>
      <c r="X467" s="88"/>
      <c r="Y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Q468" s="88"/>
      <c r="R468" s="88"/>
      <c r="S468" s="88"/>
      <c r="T468" s="88"/>
      <c r="U468" s="88"/>
      <c r="V468" s="88"/>
      <c r="W468" s="88"/>
      <c r="X468" s="88"/>
      <c r="Y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Q469" s="88"/>
      <c r="R469" s="88"/>
      <c r="S469" s="88"/>
      <c r="T469" s="88"/>
      <c r="U469" s="88"/>
      <c r="V469" s="88"/>
      <c r="W469" s="88"/>
      <c r="X469" s="88"/>
      <c r="Y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Q470" s="88"/>
      <c r="R470" s="88"/>
      <c r="S470" s="88"/>
      <c r="T470" s="88"/>
      <c r="U470" s="88"/>
      <c r="V470" s="88"/>
      <c r="W470" s="88"/>
      <c r="X470" s="88"/>
      <c r="Y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Q471" s="88"/>
      <c r="R471" s="88"/>
      <c r="S471" s="88"/>
      <c r="T471" s="88"/>
      <c r="U471" s="88"/>
      <c r="V471" s="88"/>
      <c r="W471" s="88"/>
      <c r="X471" s="88"/>
      <c r="Y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Q472" s="88"/>
      <c r="R472" s="88"/>
      <c r="S472" s="88"/>
      <c r="T472" s="88"/>
      <c r="U472" s="88"/>
      <c r="V472" s="88"/>
      <c r="W472" s="88"/>
      <c r="X472" s="88"/>
      <c r="Y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Q473" s="88"/>
      <c r="R473" s="88"/>
      <c r="S473" s="88"/>
      <c r="T473" s="88"/>
      <c r="U473" s="88"/>
      <c r="V473" s="88"/>
      <c r="W473" s="88"/>
      <c r="X473" s="88"/>
      <c r="Y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Q474" s="88"/>
      <c r="R474" s="88"/>
      <c r="S474" s="88"/>
      <c r="T474" s="88"/>
      <c r="U474" s="88"/>
      <c r="V474" s="88"/>
      <c r="W474" s="88"/>
      <c r="X474" s="88"/>
      <c r="Y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Q475" s="88"/>
      <c r="R475" s="88"/>
      <c r="S475" s="88"/>
      <c r="T475" s="88"/>
      <c r="U475" s="88"/>
      <c r="V475" s="88"/>
      <c r="W475" s="88"/>
      <c r="X475" s="88"/>
      <c r="Y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Q476" s="88"/>
      <c r="R476" s="88"/>
      <c r="S476" s="88"/>
      <c r="T476" s="88"/>
      <c r="U476" s="88"/>
      <c r="V476" s="88"/>
      <c r="W476" s="88"/>
      <c r="X476" s="88"/>
      <c r="Y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Q477" s="88"/>
      <c r="R477" s="88"/>
      <c r="S477" s="88"/>
      <c r="T477" s="88"/>
      <c r="U477" s="88"/>
      <c r="V477" s="88"/>
      <c r="W477" s="88"/>
      <c r="X477" s="88"/>
      <c r="Y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Q478" s="88"/>
      <c r="R478" s="88"/>
      <c r="S478" s="88"/>
      <c r="T478" s="88"/>
      <c r="U478" s="88"/>
      <c r="V478" s="88"/>
      <c r="W478" s="88"/>
      <c r="X478" s="88"/>
      <c r="Y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Q479" s="88"/>
      <c r="R479" s="88"/>
      <c r="S479" s="88"/>
      <c r="T479" s="88"/>
      <c r="U479" s="88"/>
      <c r="V479" s="88"/>
      <c r="W479" s="88"/>
      <c r="X479" s="88"/>
      <c r="Y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Q480" s="88"/>
      <c r="R480" s="88"/>
      <c r="S480" s="88"/>
      <c r="T480" s="88"/>
      <c r="U480" s="88"/>
      <c r="V480" s="88"/>
      <c r="W480" s="88"/>
      <c r="X480" s="88"/>
      <c r="Y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Q481" s="88"/>
      <c r="R481" s="88"/>
      <c r="S481" s="88"/>
      <c r="T481" s="88"/>
      <c r="U481" s="88"/>
      <c r="V481" s="88"/>
      <c r="W481" s="88"/>
      <c r="X481" s="88"/>
      <c r="Y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Q482" s="88"/>
      <c r="R482" s="88"/>
      <c r="S482" s="88"/>
      <c r="T482" s="88"/>
      <c r="U482" s="88"/>
      <c r="V482" s="88"/>
      <c r="W482" s="88"/>
      <c r="X482" s="88"/>
      <c r="Y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Q483" s="88"/>
      <c r="R483" s="88"/>
      <c r="S483" s="88"/>
      <c r="T483" s="88"/>
      <c r="U483" s="88"/>
      <c r="V483" s="88"/>
      <c r="W483" s="88"/>
      <c r="X483" s="88"/>
      <c r="Y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Q484" s="88"/>
      <c r="R484" s="88"/>
      <c r="S484" s="88"/>
      <c r="T484" s="88"/>
      <c r="U484" s="88"/>
      <c r="V484" s="88"/>
      <c r="W484" s="88"/>
      <c r="X484" s="88"/>
      <c r="Y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Q485" s="88"/>
      <c r="R485" s="88"/>
      <c r="S485" s="88"/>
      <c r="T485" s="88"/>
      <c r="U485" s="88"/>
      <c r="V485" s="88"/>
      <c r="W485" s="88"/>
      <c r="X485" s="88"/>
      <c r="Y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Q486" s="88"/>
      <c r="R486" s="88"/>
      <c r="S486" s="88"/>
      <c r="T486" s="88"/>
      <c r="U486" s="88"/>
      <c r="V486" s="88"/>
      <c r="W486" s="88"/>
      <c r="X486" s="88"/>
      <c r="Y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Q487" s="88"/>
      <c r="R487" s="88"/>
      <c r="S487" s="88"/>
      <c r="T487" s="88"/>
      <c r="U487" s="88"/>
      <c r="V487" s="88"/>
      <c r="W487" s="88"/>
      <c r="X487" s="88"/>
      <c r="Y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Q488" s="88"/>
      <c r="R488" s="88"/>
      <c r="S488" s="88"/>
      <c r="T488" s="88"/>
      <c r="U488" s="88"/>
      <c r="V488" s="88"/>
      <c r="W488" s="88"/>
      <c r="X488" s="88"/>
      <c r="Y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Q489" s="88"/>
      <c r="R489" s="88"/>
      <c r="S489" s="88"/>
      <c r="T489" s="88"/>
      <c r="U489" s="88"/>
      <c r="V489" s="88"/>
      <c r="W489" s="88"/>
      <c r="X489" s="88"/>
      <c r="Y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Q490" s="88"/>
      <c r="R490" s="88"/>
      <c r="S490" s="88"/>
      <c r="T490" s="88"/>
      <c r="U490" s="88"/>
      <c r="V490" s="88"/>
      <c r="W490" s="88"/>
      <c r="X490" s="88"/>
      <c r="Y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Q491" s="88"/>
      <c r="R491" s="88"/>
      <c r="S491" s="88"/>
      <c r="T491" s="88"/>
      <c r="U491" s="88"/>
      <c r="V491" s="88"/>
      <c r="W491" s="88"/>
      <c r="X491" s="88"/>
      <c r="Y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Q492" s="88"/>
      <c r="R492" s="88"/>
      <c r="S492" s="88"/>
      <c r="T492" s="88"/>
      <c r="U492" s="88"/>
      <c r="V492" s="88"/>
      <c r="W492" s="88"/>
      <c r="X492" s="88"/>
      <c r="Y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Q493" s="88"/>
      <c r="R493" s="88"/>
      <c r="S493" s="88"/>
      <c r="T493" s="88"/>
      <c r="U493" s="88"/>
      <c r="V493" s="88"/>
      <c r="W493" s="88"/>
      <c r="X493" s="88"/>
      <c r="Y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Q494" s="88"/>
      <c r="R494" s="88"/>
      <c r="S494" s="88"/>
      <c r="T494" s="88"/>
      <c r="U494" s="88"/>
      <c r="V494" s="88"/>
      <c r="W494" s="88"/>
      <c r="X494" s="88"/>
      <c r="Y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Q495" s="88"/>
      <c r="R495" s="88"/>
      <c r="S495" s="88"/>
      <c r="T495" s="88"/>
      <c r="U495" s="88"/>
      <c r="V495" s="88"/>
      <c r="W495" s="88"/>
      <c r="X495" s="88"/>
      <c r="Y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Q496" s="88"/>
      <c r="R496" s="88"/>
      <c r="S496" s="88"/>
      <c r="T496" s="88"/>
      <c r="U496" s="88"/>
      <c r="V496" s="88"/>
      <c r="W496" s="88"/>
      <c r="X496" s="88"/>
      <c r="Y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Q497" s="88"/>
      <c r="R497" s="88"/>
      <c r="S497" s="88"/>
      <c r="T497" s="88"/>
      <c r="U497" s="88"/>
      <c r="V497" s="88"/>
      <c r="W497" s="88"/>
      <c r="X497" s="88"/>
      <c r="Y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Q498" s="88"/>
      <c r="R498" s="88"/>
      <c r="S498" s="88"/>
      <c r="T498" s="88"/>
      <c r="U498" s="88"/>
      <c r="V498" s="88"/>
      <c r="W498" s="88"/>
      <c r="X498" s="88"/>
      <c r="Y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Q499" s="88"/>
      <c r="R499" s="88"/>
      <c r="S499" s="88"/>
      <c r="T499" s="88"/>
      <c r="U499" s="88"/>
      <c r="V499" s="88"/>
      <c r="W499" s="88"/>
      <c r="X499" s="88"/>
      <c r="Y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Q500" s="88"/>
      <c r="R500" s="88"/>
      <c r="S500" s="88"/>
      <c r="T500" s="88"/>
      <c r="U500" s="88"/>
      <c r="V500" s="88"/>
      <c r="W500" s="88"/>
      <c r="X500" s="88"/>
      <c r="Y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Q501" s="88"/>
      <c r="R501" s="88"/>
      <c r="S501" s="88"/>
      <c r="T501" s="88"/>
      <c r="U501" s="88"/>
      <c r="V501" s="88"/>
      <c r="W501" s="88"/>
      <c r="X501" s="88"/>
      <c r="Y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Q502" s="88"/>
      <c r="R502" s="88"/>
      <c r="S502" s="88"/>
      <c r="T502" s="88"/>
      <c r="U502" s="88"/>
      <c r="V502" s="88"/>
      <c r="W502" s="88"/>
      <c r="X502" s="88"/>
      <c r="Y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Q503" s="88"/>
      <c r="R503" s="88"/>
      <c r="S503" s="88"/>
      <c r="T503" s="88"/>
      <c r="U503" s="88"/>
      <c r="V503" s="88"/>
      <c r="W503" s="88"/>
      <c r="X503" s="88"/>
      <c r="Y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Q504" s="88"/>
      <c r="R504" s="88"/>
      <c r="S504" s="88"/>
      <c r="T504" s="88"/>
      <c r="U504" s="88"/>
      <c r="V504" s="88"/>
      <c r="W504" s="88"/>
      <c r="X504" s="88"/>
      <c r="Y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Q505" s="88"/>
      <c r="R505" s="88"/>
      <c r="S505" s="88"/>
      <c r="T505" s="88"/>
      <c r="U505" s="88"/>
      <c r="V505" s="88"/>
      <c r="W505" s="88"/>
      <c r="X505" s="88"/>
      <c r="Y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Q506" s="88"/>
      <c r="R506" s="88"/>
      <c r="S506" s="88"/>
      <c r="T506" s="88"/>
      <c r="U506" s="88"/>
      <c r="V506" s="88"/>
      <c r="W506" s="88"/>
      <c r="X506" s="88"/>
      <c r="Y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Q507" s="88"/>
      <c r="R507" s="88"/>
      <c r="S507" s="88"/>
      <c r="T507" s="88"/>
      <c r="U507" s="88"/>
      <c r="V507" s="88"/>
      <c r="W507" s="88"/>
      <c r="X507" s="88"/>
      <c r="Y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Q508" s="88"/>
      <c r="R508" s="88"/>
      <c r="S508" s="88"/>
      <c r="T508" s="88"/>
      <c r="U508" s="88"/>
      <c r="V508" s="88"/>
      <c r="W508" s="88"/>
      <c r="X508" s="88"/>
      <c r="Y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Q509" s="88"/>
      <c r="R509" s="88"/>
      <c r="S509" s="88"/>
      <c r="T509" s="88"/>
      <c r="U509" s="88"/>
      <c r="V509" s="88"/>
      <c r="W509" s="88"/>
      <c r="X509" s="88"/>
      <c r="Y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Q510" s="88"/>
      <c r="R510" s="88"/>
      <c r="S510" s="88"/>
      <c r="T510" s="88"/>
      <c r="U510" s="88"/>
      <c r="V510" s="88"/>
      <c r="W510" s="88"/>
      <c r="X510" s="88"/>
      <c r="Y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Q511" s="88"/>
      <c r="R511" s="88"/>
      <c r="S511" s="88"/>
      <c r="T511" s="88"/>
      <c r="U511" s="88"/>
      <c r="V511" s="88"/>
      <c r="W511" s="88"/>
      <c r="X511" s="88"/>
      <c r="Y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Q512" s="88"/>
      <c r="R512" s="88"/>
      <c r="S512" s="88"/>
      <c r="T512" s="88"/>
      <c r="U512" s="88"/>
      <c r="V512" s="88"/>
      <c r="W512" s="88"/>
      <c r="X512" s="88"/>
      <c r="Y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Q513" s="88"/>
      <c r="R513" s="88"/>
      <c r="S513" s="88"/>
      <c r="T513" s="88"/>
      <c r="U513" s="88"/>
      <c r="V513" s="88"/>
      <c r="W513" s="88"/>
      <c r="X513" s="88"/>
      <c r="Y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Q514" s="88"/>
      <c r="R514" s="88"/>
      <c r="S514" s="88"/>
      <c r="T514" s="88"/>
      <c r="U514" s="88"/>
      <c r="V514" s="88"/>
      <c r="W514" s="88"/>
      <c r="X514" s="88"/>
      <c r="Y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Q515" s="88"/>
      <c r="R515" s="88"/>
      <c r="S515" s="88"/>
      <c r="T515" s="88"/>
      <c r="U515" s="88"/>
      <c r="V515" s="88"/>
      <c r="W515" s="88"/>
      <c r="X515" s="88"/>
      <c r="Y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Q516" s="88"/>
      <c r="R516" s="88"/>
      <c r="S516" s="88"/>
      <c r="T516" s="88"/>
      <c r="U516" s="88"/>
      <c r="V516" s="88"/>
      <c r="W516" s="88"/>
      <c r="X516" s="88"/>
      <c r="Y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Q517" s="88"/>
      <c r="R517" s="88"/>
      <c r="S517" s="88"/>
      <c r="T517" s="88"/>
      <c r="U517" s="88"/>
      <c r="V517" s="88"/>
      <c r="W517" s="88"/>
      <c r="X517" s="88"/>
      <c r="Y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Q518" s="88"/>
      <c r="R518" s="88"/>
      <c r="S518" s="88"/>
      <c r="T518" s="88"/>
      <c r="U518" s="88"/>
      <c r="V518" s="88"/>
      <c r="W518" s="88"/>
      <c r="X518" s="88"/>
      <c r="Y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Q519" s="88"/>
      <c r="R519" s="88"/>
      <c r="S519" s="88"/>
      <c r="T519" s="88"/>
      <c r="U519" s="88"/>
      <c r="V519" s="88"/>
      <c r="W519" s="88"/>
      <c r="X519" s="88"/>
      <c r="Y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Q520" s="88"/>
      <c r="R520" s="88"/>
      <c r="S520" s="88"/>
      <c r="T520" s="88"/>
      <c r="U520" s="88"/>
      <c r="V520" s="88"/>
      <c r="W520" s="88"/>
      <c r="X520" s="88"/>
      <c r="Y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Q521" s="88"/>
      <c r="R521" s="88"/>
      <c r="S521" s="88"/>
      <c r="T521" s="88"/>
      <c r="U521" s="88"/>
      <c r="V521" s="88"/>
      <c r="W521" s="88"/>
      <c r="X521" s="88"/>
      <c r="Y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Q522" s="88"/>
      <c r="R522" s="88"/>
      <c r="S522" s="88"/>
      <c r="T522" s="88"/>
      <c r="U522" s="88"/>
      <c r="V522" s="88"/>
      <c r="W522" s="88"/>
      <c r="X522" s="88"/>
      <c r="Y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Q523" s="88"/>
      <c r="R523" s="88"/>
      <c r="S523" s="88"/>
      <c r="T523" s="88"/>
      <c r="U523" s="88"/>
      <c r="V523" s="88"/>
      <c r="W523" s="88"/>
      <c r="X523" s="88"/>
      <c r="Y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Q524" s="88"/>
      <c r="R524" s="88"/>
      <c r="S524" s="88"/>
      <c r="T524" s="88"/>
      <c r="U524" s="88"/>
      <c r="V524" s="88"/>
      <c r="W524" s="88"/>
      <c r="X524" s="88"/>
      <c r="Y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Q525" s="88"/>
      <c r="R525" s="88"/>
      <c r="S525" s="88"/>
      <c r="T525" s="88"/>
      <c r="U525" s="88"/>
      <c r="V525" s="88"/>
      <c r="W525" s="88"/>
      <c r="X525" s="88"/>
      <c r="Y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Q526" s="88"/>
      <c r="R526" s="88"/>
      <c r="S526" s="88"/>
      <c r="T526" s="88"/>
      <c r="U526" s="88"/>
      <c r="V526" s="88"/>
      <c r="W526" s="88"/>
      <c r="X526" s="88"/>
      <c r="Y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Q527" s="88"/>
      <c r="R527" s="88"/>
      <c r="S527" s="88"/>
      <c r="T527" s="88"/>
      <c r="U527" s="88"/>
      <c r="V527" s="88"/>
      <c r="W527" s="88"/>
      <c r="X527" s="88"/>
      <c r="Y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Q528" s="88"/>
      <c r="R528" s="88"/>
      <c r="S528" s="88"/>
      <c r="T528" s="88"/>
      <c r="U528" s="88"/>
      <c r="V528" s="88"/>
      <c r="W528" s="88"/>
      <c r="X528" s="88"/>
      <c r="Y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Q529" s="88"/>
      <c r="R529" s="88"/>
      <c r="S529" s="88"/>
      <c r="T529" s="88"/>
      <c r="U529" s="88"/>
      <c r="V529" s="88"/>
      <c r="W529" s="88"/>
      <c r="X529" s="88"/>
      <c r="Y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Q530" s="88"/>
      <c r="R530" s="88"/>
      <c r="S530" s="88"/>
      <c r="T530" s="88"/>
      <c r="U530" s="88"/>
      <c r="V530" s="88"/>
      <c r="W530" s="88"/>
      <c r="X530" s="88"/>
      <c r="Y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Q531" s="88"/>
      <c r="R531" s="88"/>
      <c r="S531" s="88"/>
      <c r="T531" s="88"/>
      <c r="U531" s="88"/>
      <c r="V531" s="88"/>
      <c r="W531" s="88"/>
      <c r="X531" s="88"/>
      <c r="Y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Q532" s="88"/>
      <c r="R532" s="88"/>
      <c r="S532" s="88"/>
      <c r="T532" s="88"/>
      <c r="U532" s="88"/>
      <c r="V532" s="88"/>
      <c r="W532" s="88"/>
      <c r="X532" s="88"/>
      <c r="Y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Q533" s="88"/>
      <c r="R533" s="88"/>
      <c r="S533" s="88"/>
      <c r="T533" s="88"/>
      <c r="U533" s="88"/>
      <c r="V533" s="88"/>
      <c r="W533" s="88"/>
      <c r="X533" s="88"/>
      <c r="Y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Q534" s="88"/>
      <c r="R534" s="88"/>
      <c r="S534" s="88"/>
      <c r="T534" s="88"/>
      <c r="U534" s="88"/>
      <c r="V534" s="88"/>
      <c r="W534" s="88"/>
      <c r="X534" s="88"/>
      <c r="Y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Q535" s="88"/>
      <c r="R535" s="88"/>
      <c r="S535" s="88"/>
      <c r="T535" s="88"/>
      <c r="U535" s="88"/>
      <c r="V535" s="88"/>
      <c r="W535" s="88"/>
      <c r="X535" s="88"/>
      <c r="Y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Q536" s="88"/>
      <c r="R536" s="88"/>
      <c r="S536" s="88"/>
      <c r="T536" s="88"/>
      <c r="U536" s="88"/>
      <c r="V536" s="88"/>
      <c r="W536" s="88"/>
      <c r="X536" s="88"/>
      <c r="Y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Q537" s="88"/>
      <c r="R537" s="88"/>
      <c r="S537" s="88"/>
      <c r="T537" s="88"/>
      <c r="U537" s="88"/>
      <c r="V537" s="88"/>
      <c r="W537" s="88"/>
      <c r="X537" s="88"/>
      <c r="Y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Q538" s="88"/>
      <c r="R538" s="88"/>
      <c r="S538" s="88"/>
      <c r="T538" s="88"/>
      <c r="U538" s="88"/>
      <c r="V538" s="88"/>
      <c r="W538" s="88"/>
      <c r="X538" s="88"/>
      <c r="Y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Q539" s="88"/>
      <c r="R539" s="88"/>
      <c r="S539" s="88"/>
      <c r="T539" s="88"/>
      <c r="U539" s="88"/>
      <c r="V539" s="88"/>
      <c r="W539" s="88"/>
      <c r="X539" s="88"/>
      <c r="Y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Q540" s="88"/>
      <c r="R540" s="88"/>
      <c r="S540" s="88"/>
      <c r="T540" s="88"/>
      <c r="U540" s="88"/>
      <c r="V540" s="88"/>
      <c r="W540" s="88"/>
      <c r="X540" s="88"/>
      <c r="Y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Q541" s="88"/>
      <c r="R541" s="88"/>
      <c r="S541" s="88"/>
      <c r="T541" s="88"/>
      <c r="U541" s="88"/>
      <c r="V541" s="88"/>
      <c r="W541" s="88"/>
      <c r="X541" s="88"/>
      <c r="Y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Q542" s="88"/>
      <c r="R542" s="88"/>
      <c r="S542" s="88"/>
      <c r="T542" s="88"/>
      <c r="U542" s="88"/>
      <c r="V542" s="88"/>
      <c r="W542" s="88"/>
      <c r="X542" s="88"/>
      <c r="Y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Q543" s="88"/>
      <c r="R543" s="88"/>
      <c r="S543" s="88"/>
      <c r="T543" s="88"/>
      <c r="U543" s="88"/>
      <c r="V543" s="88"/>
      <c r="W543" s="88"/>
      <c r="X543" s="88"/>
      <c r="Y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Q544" s="88"/>
      <c r="R544" s="88"/>
      <c r="S544" s="88"/>
      <c r="T544" s="88"/>
      <c r="U544" s="88"/>
      <c r="V544" s="88"/>
      <c r="W544" s="88"/>
      <c r="X544" s="88"/>
      <c r="Y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Q545" s="88"/>
      <c r="R545" s="88"/>
      <c r="S545" s="88"/>
      <c r="T545" s="88"/>
      <c r="U545" s="88"/>
      <c r="V545" s="88"/>
      <c r="W545" s="88"/>
      <c r="X545" s="88"/>
      <c r="Y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Q546" s="88"/>
      <c r="R546" s="88"/>
      <c r="S546" s="88"/>
      <c r="T546" s="88"/>
      <c r="U546" s="88"/>
      <c r="V546" s="88"/>
      <c r="W546" s="88"/>
      <c r="X546" s="88"/>
      <c r="Y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Q547" s="88"/>
      <c r="R547" s="88"/>
      <c r="S547" s="88"/>
      <c r="T547" s="88"/>
      <c r="U547" s="88"/>
      <c r="V547" s="88"/>
      <c r="W547" s="88"/>
      <c r="X547" s="88"/>
      <c r="Y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Q548" s="88"/>
      <c r="R548" s="88"/>
      <c r="S548" s="88"/>
      <c r="T548" s="88"/>
      <c r="U548" s="88"/>
      <c r="V548" s="88"/>
      <c r="W548" s="88"/>
      <c r="X548" s="88"/>
      <c r="Y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Q549" s="88"/>
      <c r="R549" s="88"/>
      <c r="S549" s="88"/>
      <c r="T549" s="88"/>
      <c r="U549" s="88"/>
      <c r="V549" s="88"/>
      <c r="W549" s="88"/>
      <c r="X549" s="88"/>
      <c r="Y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Q550" s="88"/>
      <c r="R550" s="88"/>
      <c r="S550" s="88"/>
      <c r="T550" s="88"/>
      <c r="U550" s="88"/>
      <c r="V550" s="88"/>
      <c r="W550" s="88"/>
      <c r="X550" s="88"/>
      <c r="Y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Q551" s="88"/>
      <c r="R551" s="88"/>
      <c r="S551" s="88"/>
      <c r="T551" s="88"/>
      <c r="U551" s="88"/>
      <c r="V551" s="88"/>
      <c r="W551" s="88"/>
      <c r="X551" s="88"/>
      <c r="Y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Q552" s="88"/>
      <c r="R552" s="88"/>
      <c r="S552" s="88"/>
      <c r="T552" s="88"/>
      <c r="U552" s="88"/>
      <c r="V552" s="88"/>
      <c r="W552" s="88"/>
      <c r="X552" s="88"/>
      <c r="Y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Q553" s="88"/>
      <c r="R553" s="88"/>
      <c r="S553" s="88"/>
      <c r="T553" s="88"/>
      <c r="U553" s="88"/>
      <c r="V553" s="88"/>
      <c r="W553" s="88"/>
      <c r="X553" s="88"/>
      <c r="Y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Q554" s="88"/>
      <c r="R554" s="88"/>
      <c r="S554" s="88"/>
      <c r="T554" s="88"/>
      <c r="U554" s="88"/>
      <c r="V554" s="88"/>
      <c r="W554" s="88"/>
      <c r="X554" s="88"/>
      <c r="Y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Q555" s="88"/>
      <c r="R555" s="88"/>
      <c r="S555" s="88"/>
      <c r="T555" s="88"/>
      <c r="U555" s="88"/>
      <c r="V555" s="88"/>
      <c r="W555" s="88"/>
      <c r="X555" s="88"/>
      <c r="Y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Q556" s="88"/>
      <c r="R556" s="88"/>
      <c r="S556" s="88"/>
      <c r="T556" s="88"/>
      <c r="U556" s="88"/>
      <c r="V556" s="88"/>
      <c r="W556" s="88"/>
      <c r="X556" s="88"/>
      <c r="Y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Q557" s="88"/>
      <c r="R557" s="88"/>
      <c r="S557" s="88"/>
      <c r="T557" s="88"/>
      <c r="U557" s="88"/>
      <c r="V557" s="88"/>
      <c r="W557" s="88"/>
      <c r="X557" s="88"/>
      <c r="Y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Q558" s="88"/>
      <c r="R558" s="88"/>
      <c r="S558" s="88"/>
      <c r="T558" s="88"/>
      <c r="U558" s="88"/>
      <c r="V558" s="88"/>
      <c r="W558" s="88"/>
      <c r="X558" s="88"/>
      <c r="Y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Q559" s="88"/>
      <c r="R559" s="88"/>
      <c r="S559" s="88"/>
      <c r="T559" s="88"/>
      <c r="U559" s="88"/>
      <c r="V559" s="88"/>
      <c r="W559" s="88"/>
      <c r="X559" s="88"/>
      <c r="Y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Q560" s="88"/>
      <c r="R560" s="88"/>
      <c r="S560" s="88"/>
      <c r="T560" s="88"/>
      <c r="U560" s="88"/>
      <c r="V560" s="88"/>
      <c r="W560" s="88"/>
      <c r="X560" s="88"/>
      <c r="Y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Q561" s="88"/>
      <c r="R561" s="88"/>
      <c r="S561" s="88"/>
      <c r="T561" s="88"/>
      <c r="U561" s="88"/>
      <c r="V561" s="88"/>
      <c r="W561" s="88"/>
      <c r="X561" s="88"/>
      <c r="Y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Q562" s="88"/>
      <c r="R562" s="88"/>
      <c r="S562" s="88"/>
      <c r="T562" s="88"/>
      <c r="U562" s="88"/>
      <c r="V562" s="88"/>
      <c r="W562" s="88"/>
      <c r="X562" s="88"/>
      <c r="Y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Q563" s="88"/>
      <c r="R563" s="88"/>
      <c r="S563" s="88"/>
      <c r="T563" s="88"/>
      <c r="U563" s="88"/>
      <c r="V563" s="88"/>
      <c r="W563" s="88"/>
      <c r="X563" s="88"/>
      <c r="Y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Q564" s="88"/>
      <c r="R564" s="88"/>
      <c r="S564" s="88"/>
      <c r="T564" s="88"/>
      <c r="U564" s="88"/>
      <c r="V564" s="88"/>
      <c r="W564" s="88"/>
      <c r="X564" s="88"/>
      <c r="Y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Q565" s="88"/>
      <c r="R565" s="88"/>
      <c r="S565" s="88"/>
      <c r="T565" s="88"/>
      <c r="U565" s="88"/>
      <c r="V565" s="88"/>
      <c r="W565" s="88"/>
      <c r="X565" s="88"/>
      <c r="Y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Q566" s="88"/>
      <c r="R566" s="88"/>
      <c r="S566" s="88"/>
      <c r="T566" s="88"/>
      <c r="U566" s="88"/>
      <c r="V566" s="88"/>
      <c r="W566" s="88"/>
      <c r="X566" s="88"/>
      <c r="Y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Q567" s="88"/>
      <c r="R567" s="88"/>
      <c r="S567" s="88"/>
      <c r="T567" s="88"/>
      <c r="U567" s="88"/>
      <c r="V567" s="88"/>
      <c r="W567" s="88"/>
      <c r="X567" s="88"/>
      <c r="Y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Q568" s="88"/>
      <c r="R568" s="88"/>
      <c r="S568" s="88"/>
      <c r="T568" s="88"/>
      <c r="U568" s="88"/>
      <c r="V568" s="88"/>
      <c r="W568" s="88"/>
      <c r="X568" s="88"/>
      <c r="Y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Q569" s="88"/>
      <c r="R569" s="88"/>
      <c r="S569" s="88"/>
      <c r="T569" s="88"/>
      <c r="U569" s="88"/>
      <c r="V569" s="88"/>
      <c r="W569" s="88"/>
      <c r="X569" s="88"/>
      <c r="Y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Q570" s="88"/>
      <c r="R570" s="88"/>
      <c r="S570" s="88"/>
      <c r="T570" s="88"/>
      <c r="U570" s="88"/>
      <c r="V570" s="88"/>
      <c r="W570" s="88"/>
      <c r="X570" s="88"/>
      <c r="Y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Q571" s="88"/>
      <c r="R571" s="88"/>
      <c r="S571" s="88"/>
      <c r="T571" s="88"/>
      <c r="U571" s="88"/>
      <c r="V571" s="88"/>
      <c r="W571" s="88"/>
      <c r="X571" s="88"/>
      <c r="Y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Q605" s="88"/>
      <c r="R605" s="88"/>
      <c r="S605" s="88"/>
      <c r="T605" s="88"/>
      <c r="U605" s="88"/>
      <c r="V605" s="88"/>
      <c r="W605" s="88"/>
      <c r="X605" s="88"/>
      <c r="Y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Q606" s="88"/>
      <c r="R606" s="88"/>
      <c r="S606" s="88"/>
      <c r="T606" s="88"/>
      <c r="U606" s="88"/>
      <c r="V606" s="88"/>
      <c r="W606" s="88"/>
      <c r="X606" s="88"/>
      <c r="Y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Q607" s="88"/>
      <c r="R607" s="88"/>
      <c r="S607" s="88"/>
      <c r="T607" s="88"/>
      <c r="U607" s="88"/>
      <c r="V607" s="88"/>
      <c r="W607" s="88"/>
      <c r="X607" s="88"/>
      <c r="Y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Q608" s="88"/>
      <c r="R608" s="88"/>
      <c r="S608" s="88"/>
      <c r="T608" s="88"/>
      <c r="U608" s="88"/>
      <c r="V608" s="88"/>
      <c r="W608" s="88"/>
      <c r="X608" s="88"/>
      <c r="Y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Q609" s="88"/>
      <c r="R609" s="88"/>
      <c r="S609" s="88"/>
      <c r="T609" s="88"/>
      <c r="U609" s="88"/>
      <c r="V609" s="88"/>
      <c r="W609" s="88"/>
      <c r="X609" s="88"/>
      <c r="Y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Q610" s="88"/>
      <c r="R610" s="88"/>
      <c r="S610" s="88"/>
      <c r="T610" s="88"/>
      <c r="U610" s="88"/>
      <c r="V610" s="88"/>
      <c r="W610" s="88"/>
      <c r="X610" s="88"/>
      <c r="Y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Q611" s="88"/>
      <c r="R611" s="88"/>
      <c r="S611" s="88"/>
      <c r="T611" s="88"/>
      <c r="U611" s="88"/>
      <c r="V611" s="88"/>
      <c r="W611" s="88"/>
      <c r="X611" s="88"/>
      <c r="Y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Q612" s="88"/>
      <c r="R612" s="88"/>
      <c r="S612" s="88"/>
      <c r="T612" s="88"/>
      <c r="U612" s="88"/>
      <c r="V612" s="88"/>
      <c r="W612" s="88"/>
      <c r="X612" s="88"/>
      <c r="Y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Q613" s="88"/>
      <c r="R613" s="88"/>
      <c r="S613" s="88"/>
      <c r="T613" s="88"/>
      <c r="U613" s="88"/>
      <c r="V613" s="88"/>
      <c r="W613" s="88"/>
      <c r="X613" s="88"/>
      <c r="Y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Q614" s="88"/>
      <c r="R614" s="88"/>
      <c r="S614" s="88"/>
      <c r="T614" s="88"/>
      <c r="U614" s="88"/>
      <c r="V614" s="88"/>
      <c r="W614" s="88"/>
      <c r="X614" s="88"/>
      <c r="Y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Q615" s="88"/>
      <c r="R615" s="88"/>
      <c r="S615" s="88"/>
      <c r="T615" s="88"/>
      <c r="U615" s="88"/>
      <c r="V615" s="88"/>
      <c r="W615" s="88"/>
      <c r="X615" s="88"/>
      <c r="Y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Q616" s="88"/>
      <c r="R616" s="88"/>
      <c r="S616" s="88"/>
      <c r="T616" s="88"/>
      <c r="U616" s="88"/>
      <c r="V616" s="88"/>
      <c r="W616" s="88"/>
      <c r="X616" s="88"/>
      <c r="Y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Q617" s="88"/>
      <c r="R617" s="88"/>
      <c r="S617" s="88"/>
      <c r="T617" s="88"/>
      <c r="U617" s="88"/>
      <c r="V617" s="88"/>
      <c r="W617" s="88"/>
      <c r="X617" s="88"/>
      <c r="Y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Q618" s="88"/>
      <c r="R618" s="88"/>
      <c r="S618" s="88"/>
      <c r="T618" s="88"/>
      <c r="U618" s="88"/>
      <c r="V618" s="88"/>
      <c r="W618" s="88"/>
      <c r="X618" s="88"/>
      <c r="Y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Q619" s="88"/>
      <c r="R619" s="88"/>
      <c r="S619" s="88"/>
      <c r="T619" s="88"/>
      <c r="U619" s="88"/>
      <c r="V619" s="88"/>
      <c r="W619" s="88"/>
      <c r="X619" s="88"/>
      <c r="Y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Q620" s="88"/>
      <c r="R620" s="88"/>
      <c r="S620" s="88"/>
      <c r="T620" s="88"/>
      <c r="U620" s="88"/>
      <c r="V620" s="88"/>
      <c r="W620" s="88"/>
      <c r="X620" s="88"/>
      <c r="Y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Q621" s="88"/>
      <c r="R621" s="88"/>
      <c r="S621" s="88"/>
      <c r="T621" s="88"/>
      <c r="U621" s="88"/>
      <c r="V621" s="88"/>
      <c r="W621" s="88"/>
      <c r="X621" s="88"/>
      <c r="Y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Q622" s="88"/>
      <c r="R622" s="88"/>
      <c r="S622" s="88"/>
      <c r="T622" s="88"/>
      <c r="U622" s="88"/>
      <c r="V622" s="88"/>
      <c r="W622" s="88"/>
      <c r="X622" s="88"/>
      <c r="Y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Q623" s="88"/>
      <c r="R623" s="88"/>
      <c r="S623" s="88"/>
      <c r="T623" s="88"/>
      <c r="U623" s="88"/>
      <c r="V623" s="88"/>
      <c r="W623" s="88"/>
      <c r="X623" s="88"/>
      <c r="Y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Q624" s="88"/>
      <c r="R624" s="88"/>
      <c r="S624" s="88"/>
      <c r="T624" s="88"/>
      <c r="U624" s="88"/>
      <c r="V624" s="88"/>
      <c r="W624" s="88"/>
      <c r="X624" s="88"/>
      <c r="Y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Q625" s="88"/>
      <c r="R625" s="88"/>
      <c r="S625" s="88"/>
      <c r="T625" s="88"/>
      <c r="U625" s="88"/>
      <c r="V625" s="88"/>
      <c r="W625" s="88"/>
      <c r="X625" s="88"/>
      <c r="Y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Q626" s="88"/>
      <c r="R626" s="88"/>
      <c r="S626" s="88"/>
      <c r="T626" s="88"/>
      <c r="U626" s="88"/>
      <c r="V626" s="88"/>
      <c r="W626" s="88"/>
      <c r="X626" s="88"/>
      <c r="Y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Q627" s="88"/>
      <c r="R627" s="88"/>
      <c r="S627" s="88"/>
      <c r="T627" s="88"/>
      <c r="U627" s="88"/>
      <c r="V627" s="88"/>
      <c r="W627" s="88"/>
      <c r="X627" s="88"/>
      <c r="Y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Q628" s="88"/>
      <c r="R628" s="88"/>
      <c r="S628" s="88"/>
      <c r="T628" s="88"/>
      <c r="U628" s="88"/>
      <c r="V628" s="88"/>
      <c r="W628" s="88"/>
      <c r="X628" s="88"/>
      <c r="Y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Q629" s="88"/>
      <c r="R629" s="88"/>
      <c r="S629" s="88"/>
      <c r="T629" s="88"/>
      <c r="U629" s="88"/>
      <c r="V629" s="88"/>
      <c r="W629" s="88"/>
      <c r="X629" s="88"/>
      <c r="Y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Q630" s="88"/>
      <c r="R630" s="88"/>
      <c r="S630" s="88"/>
      <c r="T630" s="88"/>
      <c r="U630" s="88"/>
      <c r="V630" s="88"/>
      <c r="W630" s="88"/>
      <c r="X630" s="88"/>
      <c r="Y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Q631" s="88"/>
      <c r="R631" s="88"/>
      <c r="S631" s="88"/>
      <c r="T631" s="88"/>
      <c r="U631" s="88"/>
      <c r="V631" s="88"/>
      <c r="W631" s="88"/>
      <c r="X631" s="88"/>
      <c r="Y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Q632" s="88"/>
      <c r="R632" s="88"/>
      <c r="S632" s="88"/>
      <c r="T632" s="88"/>
      <c r="U632" s="88"/>
      <c r="V632" s="88"/>
      <c r="W632" s="88"/>
      <c r="X632" s="88"/>
      <c r="Y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Q633" s="88"/>
      <c r="R633" s="88"/>
      <c r="S633" s="88"/>
      <c r="T633" s="88"/>
      <c r="U633" s="88"/>
      <c r="V633" s="88"/>
      <c r="W633" s="88"/>
      <c r="X633" s="88"/>
      <c r="Y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Q634" s="88"/>
      <c r="R634" s="88"/>
      <c r="S634" s="88"/>
      <c r="T634" s="88"/>
      <c r="U634" s="88"/>
      <c r="V634" s="88"/>
      <c r="W634" s="88"/>
      <c r="X634" s="88"/>
      <c r="Y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Q635" s="88"/>
      <c r="R635" s="88"/>
      <c r="S635" s="88"/>
      <c r="T635" s="88"/>
      <c r="U635" s="88"/>
      <c r="V635" s="88"/>
      <c r="W635" s="88"/>
      <c r="X635" s="88"/>
      <c r="Y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Q636" s="88"/>
      <c r="R636" s="88"/>
      <c r="S636" s="88"/>
      <c r="T636" s="88"/>
      <c r="U636" s="88"/>
      <c r="V636" s="88"/>
      <c r="W636" s="88"/>
      <c r="X636" s="88"/>
      <c r="Y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Q637" s="88"/>
      <c r="R637" s="88"/>
      <c r="S637" s="88"/>
      <c r="T637" s="88"/>
      <c r="U637" s="88"/>
      <c r="V637" s="88"/>
      <c r="W637" s="88"/>
      <c r="X637" s="88"/>
      <c r="Y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Q638" s="88"/>
      <c r="R638" s="88"/>
      <c r="S638" s="88"/>
      <c r="T638" s="88"/>
      <c r="U638" s="88"/>
      <c r="V638" s="88"/>
      <c r="W638" s="88"/>
      <c r="X638" s="88"/>
      <c r="Y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Q639" s="88"/>
      <c r="R639" s="88"/>
      <c r="S639" s="88"/>
      <c r="T639" s="88"/>
      <c r="U639" s="88"/>
      <c r="V639" s="88"/>
      <c r="W639" s="88"/>
      <c r="X639" s="88"/>
      <c r="Y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Q640" s="88"/>
      <c r="R640" s="88"/>
      <c r="S640" s="88"/>
      <c r="T640" s="88"/>
      <c r="U640" s="88"/>
      <c r="V640" s="88"/>
      <c r="W640" s="88"/>
      <c r="X640" s="88"/>
      <c r="Y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Q641" s="88"/>
      <c r="R641" s="88"/>
      <c r="S641" s="88"/>
      <c r="T641" s="88"/>
      <c r="U641" s="88"/>
      <c r="V641" s="88"/>
      <c r="W641" s="88"/>
      <c r="X641" s="88"/>
      <c r="Y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Q642" s="88"/>
      <c r="R642" s="88"/>
      <c r="S642" s="88"/>
      <c r="T642" s="88"/>
      <c r="U642" s="88"/>
      <c r="V642" s="88"/>
      <c r="W642" s="88"/>
      <c r="X642" s="88"/>
      <c r="Y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Q643" s="88"/>
      <c r="R643" s="88"/>
      <c r="S643" s="88"/>
      <c r="T643" s="88"/>
      <c r="U643" s="88"/>
      <c r="V643" s="88"/>
      <c r="W643" s="88"/>
      <c r="X643" s="88"/>
      <c r="Y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Q644" s="88"/>
      <c r="R644" s="88"/>
      <c r="S644" s="88"/>
      <c r="T644" s="88"/>
      <c r="U644" s="88"/>
      <c r="V644" s="88"/>
      <c r="W644" s="88"/>
      <c r="X644" s="88"/>
      <c r="Y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Q645" s="88"/>
      <c r="R645" s="88"/>
      <c r="S645" s="88"/>
      <c r="T645" s="88"/>
      <c r="U645" s="88"/>
      <c r="V645" s="88"/>
      <c r="W645" s="88"/>
      <c r="X645" s="88"/>
      <c r="Y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Q646" s="88"/>
      <c r="R646" s="88"/>
      <c r="S646" s="88"/>
      <c r="T646" s="88"/>
      <c r="U646" s="88"/>
      <c r="V646" s="88"/>
      <c r="W646" s="88"/>
      <c r="X646" s="88"/>
      <c r="Y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Q647" s="88"/>
      <c r="R647" s="88"/>
      <c r="S647" s="88"/>
      <c r="T647" s="88"/>
      <c r="U647" s="88"/>
      <c r="V647" s="88"/>
      <c r="W647" s="88"/>
      <c r="X647" s="88"/>
      <c r="Y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Q648" s="88"/>
      <c r="R648" s="88"/>
      <c r="S648" s="88"/>
      <c r="T648" s="88"/>
      <c r="U648" s="88"/>
      <c r="V648" s="88"/>
      <c r="W648" s="88"/>
      <c r="X648" s="88"/>
      <c r="Y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Q649" s="88"/>
      <c r="R649" s="88"/>
      <c r="S649" s="88"/>
      <c r="T649" s="88"/>
      <c r="U649" s="88"/>
      <c r="V649" s="88"/>
      <c r="W649" s="88"/>
      <c r="X649" s="88"/>
      <c r="Y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Q650" s="88"/>
      <c r="R650" s="88"/>
      <c r="S650" s="88"/>
      <c r="T650" s="88"/>
      <c r="U650" s="88"/>
      <c r="V650" s="88"/>
      <c r="W650" s="88"/>
      <c r="X650" s="88"/>
      <c r="Y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Q651" s="88"/>
      <c r="R651" s="88"/>
      <c r="S651" s="88"/>
      <c r="T651" s="88"/>
      <c r="U651" s="88"/>
      <c r="V651" s="88"/>
      <c r="W651" s="88"/>
      <c r="X651" s="88"/>
      <c r="Y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Q652" s="88"/>
      <c r="R652" s="88"/>
      <c r="S652" s="88"/>
      <c r="T652" s="88"/>
      <c r="U652" s="88"/>
      <c r="V652" s="88"/>
      <c r="W652" s="88"/>
      <c r="X652" s="88"/>
      <c r="Y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Q653" s="88"/>
      <c r="R653" s="88"/>
      <c r="S653" s="88"/>
      <c r="T653" s="88"/>
      <c r="U653" s="88"/>
      <c r="V653" s="88"/>
      <c r="W653" s="88"/>
      <c r="X653" s="88"/>
      <c r="Y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Q654" s="88"/>
      <c r="R654" s="88"/>
      <c r="S654" s="88"/>
      <c r="T654" s="88"/>
      <c r="U654" s="88"/>
      <c r="V654" s="88"/>
      <c r="W654" s="88"/>
      <c r="X654" s="88"/>
      <c r="Y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Q655" s="88"/>
      <c r="R655" s="88"/>
      <c r="S655" s="88"/>
      <c r="T655" s="88"/>
      <c r="U655" s="88"/>
      <c r="V655" s="88"/>
      <c r="W655" s="88"/>
      <c r="X655" s="88"/>
      <c r="Y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Q656" s="88"/>
      <c r="R656" s="88"/>
      <c r="S656" s="88"/>
      <c r="T656" s="88"/>
      <c r="U656" s="88"/>
      <c r="V656" s="88"/>
      <c r="W656" s="88"/>
      <c r="X656" s="88"/>
      <c r="Y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Q657" s="88"/>
      <c r="R657" s="88"/>
      <c r="S657" s="88"/>
      <c r="T657" s="88"/>
      <c r="U657" s="88"/>
      <c r="V657" s="88"/>
      <c r="W657" s="88"/>
      <c r="X657" s="88"/>
      <c r="Y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Q658" s="88"/>
      <c r="R658" s="88"/>
      <c r="S658" s="88"/>
      <c r="T658" s="88"/>
      <c r="U658" s="88"/>
      <c r="V658" s="88"/>
      <c r="W658" s="88"/>
      <c r="X658" s="88"/>
      <c r="Y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Q659" s="88"/>
      <c r="R659" s="88"/>
      <c r="S659" s="88"/>
      <c r="T659" s="88"/>
      <c r="U659" s="88"/>
      <c r="V659" s="88"/>
      <c r="W659" s="88"/>
      <c r="X659" s="88"/>
      <c r="Y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Q660" s="88"/>
      <c r="R660" s="88"/>
      <c r="S660" s="88"/>
      <c r="T660" s="88"/>
      <c r="U660" s="88"/>
      <c r="V660" s="88"/>
      <c r="W660" s="88"/>
      <c r="X660" s="88"/>
      <c r="Y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Q661" s="88"/>
      <c r="R661" s="88"/>
      <c r="S661" s="88"/>
      <c r="T661" s="88"/>
      <c r="U661" s="88"/>
      <c r="V661" s="88"/>
      <c r="W661" s="88"/>
      <c r="X661" s="88"/>
      <c r="Y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Q662" s="88"/>
      <c r="R662" s="88"/>
      <c r="S662" s="88"/>
      <c r="T662" s="88"/>
      <c r="U662" s="88"/>
      <c r="V662" s="88"/>
      <c r="W662" s="88"/>
      <c r="X662" s="88"/>
      <c r="Y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Q663" s="88"/>
      <c r="R663" s="88"/>
      <c r="S663" s="88"/>
      <c r="T663" s="88"/>
      <c r="U663" s="88"/>
      <c r="V663" s="88"/>
      <c r="W663" s="88"/>
      <c r="X663" s="88"/>
      <c r="Y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Q664" s="88"/>
      <c r="R664" s="88"/>
      <c r="S664" s="88"/>
      <c r="T664" s="88"/>
      <c r="U664" s="88"/>
      <c r="V664" s="88"/>
      <c r="W664" s="88"/>
      <c r="X664" s="88"/>
      <c r="Y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Q665" s="88"/>
      <c r="R665" s="88"/>
      <c r="S665" s="88"/>
      <c r="T665" s="88"/>
      <c r="U665" s="88"/>
      <c r="V665" s="88"/>
      <c r="W665" s="88"/>
      <c r="X665" s="88"/>
      <c r="Y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Q666" s="88"/>
      <c r="R666" s="88"/>
      <c r="S666" s="88"/>
      <c r="T666" s="88"/>
      <c r="U666" s="88"/>
      <c r="V666" s="88"/>
      <c r="W666" s="88"/>
      <c r="X666" s="88"/>
      <c r="Y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Q667" s="88"/>
      <c r="R667" s="88"/>
      <c r="S667" s="88"/>
      <c r="T667" s="88"/>
      <c r="U667" s="88"/>
      <c r="V667" s="88"/>
      <c r="W667" s="88"/>
      <c r="X667" s="88"/>
      <c r="Y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Q668" s="88"/>
      <c r="R668" s="88"/>
      <c r="S668" s="88"/>
      <c r="T668" s="88"/>
      <c r="U668" s="88"/>
      <c r="V668" s="88"/>
      <c r="W668" s="88"/>
      <c r="X668" s="88"/>
      <c r="Y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Q669" s="88"/>
      <c r="R669" s="88"/>
      <c r="S669" s="88"/>
      <c r="T669" s="88"/>
      <c r="U669" s="88"/>
      <c r="V669" s="88"/>
      <c r="W669" s="88"/>
      <c r="X669" s="88"/>
      <c r="Y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Q670" s="88"/>
      <c r="R670" s="88"/>
      <c r="S670" s="88"/>
      <c r="T670" s="88"/>
      <c r="U670" s="88"/>
      <c r="V670" s="88"/>
      <c r="W670" s="88"/>
      <c r="X670" s="88"/>
      <c r="Y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Q671" s="88"/>
      <c r="R671" s="88"/>
      <c r="S671" s="88"/>
      <c r="T671" s="88"/>
      <c r="U671" s="88"/>
      <c r="V671" s="88"/>
      <c r="W671" s="88"/>
      <c r="X671" s="88"/>
      <c r="Y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Q672" s="88"/>
      <c r="R672" s="88"/>
      <c r="S672" s="88"/>
      <c r="T672" s="88"/>
      <c r="U672" s="88"/>
      <c r="V672" s="88"/>
      <c r="W672" s="88"/>
      <c r="X672" s="88"/>
      <c r="Y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Q673" s="88"/>
      <c r="R673" s="88"/>
      <c r="S673" s="88"/>
      <c r="T673" s="88"/>
      <c r="U673" s="88"/>
      <c r="V673" s="88"/>
      <c r="W673" s="88"/>
      <c r="X673" s="88"/>
      <c r="Y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Q674" s="88"/>
      <c r="R674" s="88"/>
      <c r="S674" s="88"/>
      <c r="T674" s="88"/>
      <c r="U674" s="88"/>
      <c r="V674" s="88"/>
      <c r="W674" s="88"/>
      <c r="X674" s="88"/>
      <c r="Y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Q675" s="88"/>
      <c r="R675" s="88"/>
      <c r="S675" s="88"/>
      <c r="T675" s="88"/>
      <c r="U675" s="88"/>
      <c r="V675" s="88"/>
      <c r="W675" s="88"/>
      <c r="X675" s="88"/>
      <c r="Y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Q676" s="88"/>
      <c r="R676" s="88"/>
      <c r="S676" s="88"/>
      <c r="T676" s="88"/>
      <c r="U676" s="88"/>
      <c r="V676" s="88"/>
      <c r="W676" s="88"/>
      <c r="X676" s="88"/>
      <c r="Y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Q677" s="88"/>
      <c r="R677" s="88"/>
      <c r="S677" s="88"/>
      <c r="T677" s="88"/>
      <c r="U677" s="88"/>
      <c r="V677" s="88"/>
      <c r="W677" s="88"/>
      <c r="X677" s="88"/>
      <c r="Y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Q678" s="88"/>
      <c r="R678" s="88"/>
      <c r="S678" s="88"/>
      <c r="T678" s="88"/>
      <c r="U678" s="88"/>
      <c r="V678" s="88"/>
      <c r="W678" s="88"/>
      <c r="X678" s="88"/>
      <c r="Y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Q679" s="88"/>
      <c r="R679" s="88"/>
      <c r="S679" s="88"/>
      <c r="T679" s="88"/>
      <c r="U679" s="88"/>
      <c r="V679" s="88"/>
      <c r="W679" s="88"/>
      <c r="X679" s="88"/>
      <c r="Y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Q680" s="88"/>
      <c r="R680" s="88"/>
      <c r="S680" s="88"/>
      <c r="T680" s="88"/>
      <c r="U680" s="88"/>
      <c r="V680" s="88"/>
      <c r="W680" s="88"/>
      <c r="X680" s="88"/>
      <c r="Y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Q681" s="88"/>
      <c r="R681" s="88"/>
      <c r="S681" s="88"/>
      <c r="T681" s="88"/>
      <c r="U681" s="88"/>
      <c r="V681" s="88"/>
      <c r="W681" s="88"/>
      <c r="X681" s="88"/>
      <c r="Y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Q682" s="88"/>
      <c r="R682" s="88"/>
      <c r="S682" s="88"/>
      <c r="T682" s="88"/>
      <c r="U682" s="88"/>
      <c r="V682" s="88"/>
      <c r="W682" s="88"/>
      <c r="X682" s="88"/>
      <c r="Y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Q683" s="88"/>
      <c r="R683" s="88"/>
      <c r="S683" s="88"/>
      <c r="T683" s="88"/>
      <c r="U683" s="88"/>
      <c r="V683" s="88"/>
      <c r="W683" s="88"/>
      <c r="X683" s="88"/>
      <c r="Y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Q684" s="88"/>
      <c r="R684" s="88"/>
      <c r="S684" s="88"/>
      <c r="T684" s="88"/>
      <c r="U684" s="88"/>
      <c r="V684" s="88"/>
      <c r="W684" s="88"/>
      <c r="X684" s="88"/>
      <c r="Y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Q685" s="88"/>
      <c r="R685" s="88"/>
      <c r="S685" s="88"/>
      <c r="T685" s="88"/>
      <c r="U685" s="88"/>
      <c r="V685" s="88"/>
      <c r="W685" s="88"/>
      <c r="X685" s="88"/>
      <c r="Y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Q686" s="88"/>
      <c r="R686" s="88"/>
      <c r="S686" s="88"/>
      <c r="T686" s="88"/>
      <c r="U686" s="88"/>
      <c r="V686" s="88"/>
      <c r="W686" s="88"/>
      <c r="X686" s="88"/>
      <c r="Y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Q687" s="88"/>
      <c r="R687" s="88"/>
      <c r="S687" s="88"/>
      <c r="T687" s="88"/>
      <c r="U687" s="88"/>
      <c r="V687" s="88"/>
      <c r="W687" s="88"/>
      <c r="X687" s="88"/>
      <c r="Y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Q688" s="88"/>
      <c r="R688" s="88"/>
      <c r="S688" s="88"/>
      <c r="T688" s="88"/>
      <c r="U688" s="88"/>
      <c r="V688" s="88"/>
      <c r="W688" s="88"/>
      <c r="X688" s="88"/>
      <c r="Y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Q689" s="88"/>
      <c r="R689" s="88"/>
      <c r="S689" s="88"/>
      <c r="T689" s="88"/>
      <c r="U689" s="88"/>
      <c r="V689" s="88"/>
      <c r="W689" s="88"/>
      <c r="X689" s="88"/>
      <c r="Y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Q690" s="88"/>
      <c r="R690" s="88"/>
      <c r="S690" s="88"/>
      <c r="T690" s="88"/>
      <c r="U690" s="88"/>
      <c r="V690" s="88"/>
      <c r="W690" s="88"/>
      <c r="X690" s="88"/>
      <c r="Y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Q691" s="88"/>
      <c r="R691" s="88"/>
      <c r="S691" s="88"/>
      <c r="T691" s="88"/>
      <c r="U691" s="88"/>
      <c r="V691" s="88"/>
      <c r="W691" s="88"/>
      <c r="X691" s="88"/>
      <c r="Y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Q692" s="88"/>
      <c r="R692" s="88"/>
      <c r="S692" s="88"/>
      <c r="T692" s="88"/>
      <c r="U692" s="88"/>
      <c r="V692" s="88"/>
      <c r="W692" s="88"/>
      <c r="X692" s="88"/>
      <c r="Y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Q693" s="88"/>
      <c r="R693" s="88"/>
      <c r="S693" s="88"/>
      <c r="T693" s="88"/>
      <c r="U693" s="88"/>
      <c r="V693" s="88"/>
      <c r="W693" s="88"/>
      <c r="X693" s="88"/>
      <c r="Y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Q694" s="88"/>
      <c r="R694" s="88"/>
      <c r="S694" s="88"/>
      <c r="T694" s="88"/>
      <c r="U694" s="88"/>
      <c r="V694" s="88"/>
      <c r="W694" s="88"/>
      <c r="X694" s="88"/>
      <c r="Y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Q695" s="88"/>
      <c r="R695" s="88"/>
      <c r="S695" s="88"/>
      <c r="T695" s="88"/>
      <c r="U695" s="88"/>
      <c r="V695" s="88"/>
      <c r="W695" s="88"/>
      <c r="X695" s="88"/>
      <c r="Y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Q696" s="88"/>
      <c r="R696" s="88"/>
      <c r="S696" s="88"/>
      <c r="T696" s="88"/>
      <c r="U696" s="88"/>
      <c r="V696" s="88"/>
      <c r="W696" s="88"/>
      <c r="X696" s="88"/>
      <c r="Y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Q697" s="88"/>
      <c r="R697" s="88"/>
      <c r="S697" s="88"/>
      <c r="T697" s="88"/>
      <c r="U697" s="88"/>
      <c r="V697" s="88"/>
      <c r="W697" s="88"/>
      <c r="X697" s="88"/>
      <c r="Y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Q698" s="88"/>
      <c r="R698" s="88"/>
      <c r="S698" s="88"/>
      <c r="T698" s="88"/>
      <c r="U698" s="88"/>
      <c r="V698" s="88"/>
      <c r="W698" s="88"/>
      <c r="X698" s="88"/>
      <c r="Y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Q699" s="88"/>
      <c r="R699" s="88"/>
      <c r="S699" s="88"/>
      <c r="T699" s="88"/>
      <c r="U699" s="88"/>
      <c r="V699" s="88"/>
      <c r="W699" s="88"/>
      <c r="X699" s="88"/>
      <c r="Y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Q700" s="88"/>
      <c r="R700" s="88"/>
      <c r="S700" s="88"/>
      <c r="T700" s="88"/>
      <c r="U700" s="88"/>
      <c r="V700" s="88"/>
      <c r="W700" s="88"/>
      <c r="X700" s="88"/>
      <c r="Y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Q701" s="88"/>
      <c r="R701" s="88"/>
      <c r="S701" s="88"/>
      <c r="T701" s="88"/>
      <c r="U701" s="88"/>
      <c r="V701" s="88"/>
      <c r="W701" s="88"/>
      <c r="X701" s="88"/>
      <c r="Y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Q702" s="88"/>
      <c r="R702" s="88"/>
      <c r="S702" s="88"/>
      <c r="T702" s="88"/>
      <c r="U702" s="88"/>
      <c r="V702" s="88"/>
      <c r="W702" s="88"/>
      <c r="X702" s="88"/>
      <c r="Y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Q703" s="88"/>
      <c r="R703" s="88"/>
      <c r="S703" s="88"/>
      <c r="T703" s="88"/>
      <c r="U703" s="88"/>
      <c r="V703" s="88"/>
      <c r="W703" s="88"/>
      <c r="X703" s="88"/>
      <c r="Y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Q704" s="88"/>
      <c r="R704" s="88"/>
      <c r="S704" s="88"/>
      <c r="T704" s="88"/>
      <c r="U704" s="88"/>
      <c r="V704" s="88"/>
      <c r="W704" s="88"/>
      <c r="X704" s="88"/>
      <c r="Y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Q705" s="88"/>
      <c r="R705" s="88"/>
      <c r="S705" s="88"/>
      <c r="T705" s="88"/>
      <c r="U705" s="88"/>
      <c r="V705" s="88"/>
      <c r="W705" s="88"/>
      <c r="X705" s="88"/>
      <c r="Y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Q706" s="88"/>
      <c r="R706" s="88"/>
      <c r="S706" s="88"/>
      <c r="T706" s="88"/>
      <c r="U706" s="88"/>
      <c r="V706" s="88"/>
      <c r="W706" s="88"/>
      <c r="X706" s="88"/>
      <c r="Y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Q707" s="88"/>
      <c r="R707" s="88"/>
      <c r="S707" s="88"/>
      <c r="T707" s="88"/>
      <c r="U707" s="88"/>
      <c r="V707" s="88"/>
      <c r="W707" s="88"/>
      <c r="X707" s="88"/>
      <c r="Y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Q708" s="88"/>
      <c r="R708" s="88"/>
      <c r="S708" s="88"/>
      <c r="T708" s="88"/>
      <c r="U708" s="88"/>
      <c r="V708" s="88"/>
      <c r="W708" s="88"/>
      <c r="X708" s="88"/>
      <c r="Y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Q709" s="88"/>
      <c r="R709" s="88"/>
      <c r="S709" s="88"/>
      <c r="T709" s="88"/>
      <c r="U709" s="88"/>
      <c r="V709" s="88"/>
      <c r="W709" s="88"/>
      <c r="X709" s="88"/>
      <c r="Y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Q710" s="88"/>
      <c r="R710" s="88"/>
      <c r="S710" s="88"/>
      <c r="T710" s="88"/>
      <c r="U710" s="88"/>
      <c r="V710" s="88"/>
      <c r="W710" s="88"/>
      <c r="X710" s="88"/>
      <c r="Y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Q711" s="88"/>
      <c r="R711" s="88"/>
      <c r="S711" s="88"/>
      <c r="T711" s="88"/>
      <c r="U711" s="88"/>
      <c r="V711" s="88"/>
      <c r="W711" s="88"/>
      <c r="X711" s="88"/>
      <c r="Y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Q712" s="88"/>
      <c r="R712" s="88"/>
      <c r="S712" s="88"/>
      <c r="T712" s="88"/>
      <c r="U712" s="88"/>
      <c r="V712" s="88"/>
      <c r="W712" s="88"/>
      <c r="X712" s="88"/>
      <c r="Y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Q713" s="88"/>
      <c r="R713" s="88"/>
      <c r="S713" s="88"/>
      <c r="T713" s="88"/>
      <c r="U713" s="88"/>
      <c r="V713" s="88"/>
      <c r="W713" s="88"/>
      <c r="X713" s="88"/>
      <c r="Y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Q714" s="88"/>
      <c r="R714" s="88"/>
      <c r="S714" s="88"/>
      <c r="T714" s="88"/>
      <c r="U714" s="88"/>
      <c r="V714" s="88"/>
      <c r="W714" s="88"/>
      <c r="X714" s="88"/>
      <c r="Y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Q715" s="88"/>
      <c r="R715" s="88"/>
      <c r="S715" s="88"/>
      <c r="T715" s="88"/>
      <c r="U715" s="88"/>
      <c r="V715" s="88"/>
      <c r="W715" s="88"/>
      <c r="X715" s="88"/>
      <c r="Y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Q716" s="88"/>
      <c r="R716" s="88"/>
      <c r="S716" s="88"/>
      <c r="T716" s="88"/>
      <c r="U716" s="88"/>
      <c r="V716" s="88"/>
      <c r="W716" s="88"/>
      <c r="X716" s="88"/>
      <c r="Y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Q717" s="88"/>
      <c r="R717" s="88"/>
      <c r="S717" s="88"/>
      <c r="T717" s="88"/>
      <c r="U717" s="88"/>
      <c r="V717" s="88"/>
      <c r="W717" s="88"/>
      <c r="X717" s="88"/>
      <c r="Y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Q718" s="88"/>
      <c r="R718" s="88"/>
      <c r="S718" s="88"/>
      <c r="T718" s="88"/>
      <c r="U718" s="88"/>
      <c r="V718" s="88"/>
      <c r="W718" s="88"/>
      <c r="X718" s="88"/>
      <c r="Y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Q719" s="88"/>
      <c r="R719" s="88"/>
      <c r="S719" s="88"/>
      <c r="T719" s="88"/>
      <c r="U719" s="88"/>
      <c r="V719" s="88"/>
      <c r="W719" s="88"/>
      <c r="X719" s="88"/>
      <c r="Y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Q720" s="88"/>
      <c r="R720" s="88"/>
      <c r="S720" s="88"/>
      <c r="T720" s="88"/>
      <c r="U720" s="88"/>
      <c r="V720" s="88"/>
      <c r="W720" s="88"/>
      <c r="X720" s="88"/>
      <c r="Y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Q721" s="88"/>
      <c r="R721" s="88"/>
      <c r="S721" s="88"/>
      <c r="T721" s="88"/>
      <c r="U721" s="88"/>
      <c r="V721" s="88"/>
      <c r="W721" s="88"/>
      <c r="X721" s="88"/>
      <c r="Y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Q722" s="88"/>
      <c r="R722" s="88"/>
      <c r="S722" s="88"/>
      <c r="T722" s="88"/>
      <c r="U722" s="88"/>
      <c r="V722" s="88"/>
      <c r="W722" s="88"/>
      <c r="X722" s="88"/>
      <c r="Y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Q723" s="88"/>
      <c r="R723" s="88"/>
      <c r="S723" s="88"/>
      <c r="T723" s="88"/>
      <c r="U723" s="88"/>
      <c r="V723" s="88"/>
      <c r="W723" s="88"/>
      <c r="X723" s="88"/>
      <c r="Y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Q724" s="88"/>
      <c r="R724" s="88"/>
      <c r="S724" s="88"/>
      <c r="T724" s="88"/>
      <c r="U724" s="88"/>
      <c r="V724" s="88"/>
      <c r="W724" s="88"/>
      <c r="X724" s="88"/>
      <c r="Y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Q725" s="88"/>
      <c r="R725" s="88"/>
      <c r="S725" s="88"/>
      <c r="T725" s="88"/>
      <c r="U725" s="88"/>
      <c r="V725" s="88"/>
      <c r="W725" s="88"/>
      <c r="X725" s="88"/>
      <c r="Y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Q726" s="88"/>
      <c r="R726" s="88"/>
      <c r="S726" s="88"/>
      <c r="T726" s="88"/>
      <c r="U726" s="88"/>
      <c r="V726" s="88"/>
      <c r="W726" s="88"/>
      <c r="X726" s="88"/>
      <c r="Y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Q727" s="88"/>
      <c r="R727" s="88"/>
      <c r="S727" s="88"/>
      <c r="T727" s="88"/>
      <c r="U727" s="88"/>
      <c r="V727" s="88"/>
      <c r="W727" s="88"/>
      <c r="X727" s="88"/>
      <c r="Y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Q728" s="88"/>
      <c r="R728" s="88"/>
      <c r="S728" s="88"/>
      <c r="T728" s="88"/>
      <c r="U728" s="88"/>
      <c r="V728" s="88"/>
      <c r="W728" s="88"/>
      <c r="X728" s="88"/>
      <c r="Y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Q729" s="88"/>
      <c r="R729" s="88"/>
      <c r="S729" s="88"/>
      <c r="T729" s="88"/>
      <c r="U729" s="88"/>
      <c r="V729" s="88"/>
      <c r="W729" s="88"/>
      <c r="X729" s="88"/>
      <c r="Y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Q730" s="88"/>
      <c r="R730" s="88"/>
      <c r="S730" s="88"/>
      <c r="T730" s="88"/>
      <c r="U730" s="88"/>
      <c r="V730" s="88"/>
      <c r="W730" s="88"/>
      <c r="X730" s="88"/>
      <c r="Y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Q731" s="88"/>
      <c r="R731" s="88"/>
      <c r="S731" s="88"/>
      <c r="T731" s="88"/>
      <c r="U731" s="88"/>
      <c r="V731" s="88"/>
      <c r="W731" s="88"/>
      <c r="X731" s="88"/>
      <c r="Y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Q732" s="88"/>
      <c r="R732" s="88"/>
      <c r="S732" s="88"/>
      <c r="T732" s="88"/>
      <c r="U732" s="88"/>
      <c r="V732" s="88"/>
      <c r="W732" s="88"/>
      <c r="X732" s="88"/>
      <c r="Y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Q733" s="88"/>
      <c r="R733" s="88"/>
      <c r="S733" s="88"/>
      <c r="T733" s="88"/>
      <c r="U733" s="88"/>
      <c r="V733" s="88"/>
      <c r="W733" s="88"/>
      <c r="X733" s="88"/>
      <c r="Y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Q734" s="88"/>
      <c r="R734" s="88"/>
      <c r="S734" s="88"/>
      <c r="T734" s="88"/>
      <c r="U734" s="88"/>
      <c r="V734" s="88"/>
      <c r="W734" s="88"/>
      <c r="X734" s="88"/>
      <c r="Y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Q735" s="88"/>
      <c r="R735" s="88"/>
      <c r="S735" s="88"/>
      <c r="T735" s="88"/>
      <c r="U735" s="88"/>
      <c r="V735" s="88"/>
      <c r="W735" s="88"/>
      <c r="X735" s="88"/>
      <c r="Y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Q736" s="88"/>
      <c r="R736" s="88"/>
      <c r="S736" s="88"/>
      <c r="T736" s="88"/>
      <c r="U736" s="88"/>
      <c r="V736" s="88"/>
      <c r="W736" s="88"/>
      <c r="X736" s="88"/>
      <c r="Y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Q737" s="88"/>
      <c r="R737" s="88"/>
      <c r="S737" s="88"/>
      <c r="T737" s="88"/>
      <c r="U737" s="88"/>
      <c r="V737" s="88"/>
      <c r="W737" s="88"/>
      <c r="X737" s="88"/>
      <c r="Y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Q738" s="88"/>
      <c r="R738" s="88"/>
      <c r="S738" s="88"/>
      <c r="T738" s="88"/>
      <c r="U738" s="88"/>
      <c r="V738" s="88"/>
      <c r="W738" s="88"/>
      <c r="X738" s="88"/>
      <c r="Y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Q739" s="88"/>
      <c r="R739" s="88"/>
      <c r="S739" s="88"/>
      <c r="T739" s="88"/>
      <c r="U739" s="88"/>
      <c r="V739" s="88"/>
      <c r="W739" s="88"/>
      <c r="X739" s="88"/>
      <c r="Y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Q740" s="88"/>
      <c r="R740" s="88"/>
      <c r="S740" s="88"/>
      <c r="T740" s="88"/>
      <c r="U740" s="88"/>
      <c r="V740" s="88"/>
      <c r="W740" s="88"/>
      <c r="X740" s="88"/>
      <c r="Y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Q741" s="88"/>
      <c r="R741" s="88"/>
      <c r="S741" s="88"/>
      <c r="T741" s="88"/>
      <c r="U741" s="88"/>
      <c r="V741" s="88"/>
      <c r="W741" s="88"/>
      <c r="X741" s="88"/>
      <c r="Y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Q742" s="88"/>
      <c r="R742" s="88"/>
      <c r="S742" s="88"/>
      <c r="T742" s="88"/>
      <c r="U742" s="88"/>
      <c r="V742" s="88"/>
      <c r="W742" s="88"/>
      <c r="X742" s="88"/>
      <c r="Y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Q743" s="88"/>
      <c r="R743" s="88"/>
      <c r="S743" s="88"/>
      <c r="T743" s="88"/>
      <c r="U743" s="88"/>
      <c r="V743" s="88"/>
      <c r="W743" s="88"/>
      <c r="X743" s="88"/>
      <c r="Y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Q744" s="88"/>
      <c r="R744" s="88"/>
      <c r="S744" s="88"/>
      <c r="T744" s="88"/>
      <c r="U744" s="88"/>
      <c r="V744" s="88"/>
      <c r="W744" s="88"/>
      <c r="X744" s="88"/>
      <c r="Y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Q745" s="88"/>
      <c r="R745" s="88"/>
      <c r="S745" s="88"/>
      <c r="T745" s="88"/>
      <c r="U745" s="88"/>
      <c r="V745" s="88"/>
      <c r="W745" s="88"/>
      <c r="X745" s="88"/>
      <c r="Y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Q746" s="88"/>
      <c r="R746" s="88"/>
      <c r="S746" s="88"/>
      <c r="T746" s="88"/>
      <c r="U746" s="88"/>
      <c r="V746" s="88"/>
      <c r="W746" s="88"/>
      <c r="X746" s="88"/>
      <c r="Y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Q747" s="88"/>
      <c r="R747" s="88"/>
      <c r="S747" s="88"/>
      <c r="T747" s="88"/>
      <c r="U747" s="88"/>
      <c r="V747" s="88"/>
      <c r="W747" s="88"/>
      <c r="X747" s="88"/>
      <c r="Y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Q748" s="88"/>
      <c r="R748" s="88"/>
      <c r="S748" s="88"/>
      <c r="T748" s="88"/>
      <c r="U748" s="88"/>
      <c r="V748" s="88"/>
      <c r="W748" s="88"/>
      <c r="X748" s="88"/>
      <c r="Y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Q749" s="88"/>
      <c r="R749" s="88"/>
      <c r="S749" s="88"/>
      <c r="T749" s="88"/>
      <c r="U749" s="88"/>
      <c r="V749" s="88"/>
      <c r="W749" s="88"/>
      <c r="X749" s="88"/>
      <c r="Y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Q750" s="88"/>
      <c r="R750" s="88"/>
      <c r="S750" s="88"/>
      <c r="T750" s="88"/>
      <c r="U750" s="88"/>
      <c r="V750" s="88"/>
      <c r="W750" s="88"/>
      <c r="X750" s="88"/>
      <c r="Y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Q751" s="88"/>
      <c r="R751" s="88"/>
      <c r="S751" s="88"/>
      <c r="T751" s="88"/>
      <c r="U751" s="88"/>
      <c r="V751" s="88"/>
      <c r="W751" s="88"/>
      <c r="X751" s="88"/>
      <c r="Y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Q752" s="88"/>
      <c r="R752" s="88"/>
      <c r="S752" s="88"/>
      <c r="T752" s="88"/>
      <c r="U752" s="88"/>
      <c r="V752" s="88"/>
      <c r="W752" s="88"/>
      <c r="X752" s="88"/>
      <c r="Y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Q753" s="88"/>
      <c r="R753" s="88"/>
      <c r="S753" s="88"/>
      <c r="T753" s="88"/>
      <c r="U753" s="88"/>
      <c r="V753" s="88"/>
      <c r="W753" s="88"/>
      <c r="X753" s="88"/>
      <c r="Y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Q754" s="88"/>
      <c r="R754" s="88"/>
      <c r="S754" s="88"/>
      <c r="T754" s="88"/>
      <c r="U754" s="88"/>
      <c r="V754" s="88"/>
      <c r="W754" s="88"/>
      <c r="X754" s="88"/>
      <c r="Y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Q755" s="88"/>
      <c r="R755" s="88"/>
      <c r="S755" s="88"/>
      <c r="T755" s="88"/>
      <c r="U755" s="88"/>
      <c r="V755" s="88"/>
      <c r="W755" s="88"/>
      <c r="X755" s="88"/>
      <c r="Y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Q756" s="88"/>
      <c r="R756" s="88"/>
      <c r="S756" s="88"/>
      <c r="T756" s="88"/>
      <c r="U756" s="88"/>
      <c r="V756" s="88"/>
      <c r="W756" s="88"/>
      <c r="X756" s="88"/>
      <c r="Y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Q757" s="88"/>
      <c r="R757" s="88"/>
      <c r="S757" s="88"/>
      <c r="T757" s="88"/>
      <c r="U757" s="88"/>
      <c r="V757" s="88"/>
      <c r="W757" s="88"/>
      <c r="X757" s="88"/>
      <c r="Y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Q758" s="88"/>
      <c r="R758" s="88"/>
      <c r="S758" s="88"/>
      <c r="T758" s="88"/>
      <c r="U758" s="88"/>
      <c r="V758" s="88"/>
      <c r="W758" s="88"/>
      <c r="X758" s="88"/>
      <c r="Y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Q759" s="88"/>
      <c r="R759" s="88"/>
      <c r="S759" s="88"/>
      <c r="T759" s="88"/>
      <c r="U759" s="88"/>
      <c r="V759" s="88"/>
      <c r="W759" s="88"/>
      <c r="X759" s="88"/>
      <c r="Y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Q760" s="88"/>
      <c r="R760" s="88"/>
      <c r="S760" s="88"/>
      <c r="T760" s="88"/>
      <c r="U760" s="88"/>
      <c r="V760" s="88"/>
      <c r="W760" s="88"/>
      <c r="X760" s="88"/>
      <c r="Y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Q761" s="88"/>
      <c r="R761" s="88"/>
      <c r="S761" s="88"/>
      <c r="T761" s="88"/>
      <c r="U761" s="88"/>
      <c r="V761" s="88"/>
      <c r="W761" s="88"/>
      <c r="X761" s="88"/>
      <c r="Y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Q762" s="88"/>
      <c r="R762" s="88"/>
      <c r="S762" s="88"/>
      <c r="T762" s="88"/>
      <c r="U762" s="88"/>
      <c r="V762" s="88"/>
      <c r="W762" s="88"/>
      <c r="X762" s="88"/>
      <c r="Y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Q763" s="88"/>
      <c r="R763" s="88"/>
      <c r="S763" s="88"/>
      <c r="T763" s="88"/>
      <c r="U763" s="88"/>
      <c r="V763" s="88"/>
      <c r="W763" s="88"/>
      <c r="X763" s="88"/>
      <c r="Y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Q764" s="88"/>
      <c r="R764" s="88"/>
      <c r="S764" s="88"/>
      <c r="T764" s="88"/>
      <c r="U764" s="88"/>
      <c r="V764" s="88"/>
      <c r="W764" s="88"/>
      <c r="X764" s="88"/>
      <c r="Y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Q765" s="88"/>
      <c r="R765" s="88"/>
      <c r="S765" s="88"/>
      <c r="T765" s="88"/>
      <c r="U765" s="88"/>
      <c r="V765" s="88"/>
      <c r="W765" s="88"/>
      <c r="X765" s="88"/>
      <c r="Y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Q766" s="88"/>
      <c r="R766" s="88"/>
      <c r="S766" s="88"/>
      <c r="T766" s="88"/>
      <c r="U766" s="88"/>
      <c r="V766" s="88"/>
      <c r="W766" s="88"/>
      <c r="X766" s="88"/>
      <c r="Y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Q767" s="88"/>
      <c r="R767" s="88"/>
      <c r="S767" s="88"/>
      <c r="T767" s="88"/>
      <c r="U767" s="88"/>
      <c r="V767" s="88"/>
      <c r="W767" s="88"/>
      <c r="X767" s="88"/>
      <c r="Y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Q768" s="88"/>
      <c r="R768" s="88"/>
      <c r="S768" s="88"/>
      <c r="T768" s="88"/>
      <c r="U768" s="88"/>
      <c r="V768" s="88"/>
      <c r="W768" s="88"/>
      <c r="X768" s="88"/>
      <c r="Y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Q769" s="88"/>
      <c r="R769" s="88"/>
      <c r="S769" s="88"/>
      <c r="T769" s="88"/>
      <c r="U769" s="88"/>
      <c r="V769" s="88"/>
      <c r="W769" s="88"/>
      <c r="X769" s="88"/>
      <c r="Y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Q770" s="88"/>
      <c r="R770" s="88"/>
      <c r="S770" s="88"/>
      <c r="T770" s="88"/>
      <c r="U770" s="88"/>
      <c r="V770" s="88"/>
      <c r="W770" s="88"/>
      <c r="X770" s="88"/>
      <c r="Y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Q771" s="88"/>
      <c r="R771" s="88"/>
      <c r="S771" s="88"/>
      <c r="T771" s="88"/>
      <c r="U771" s="88"/>
      <c r="V771" s="88"/>
      <c r="W771" s="88"/>
      <c r="X771" s="88"/>
      <c r="Y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Q772" s="88"/>
      <c r="R772" s="88"/>
      <c r="S772" s="88"/>
      <c r="T772" s="88"/>
      <c r="U772" s="88"/>
      <c r="V772" s="88"/>
      <c r="W772" s="88"/>
      <c r="X772" s="88"/>
      <c r="Y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Q773" s="88"/>
      <c r="R773" s="88"/>
      <c r="S773" s="88"/>
      <c r="T773" s="88"/>
      <c r="U773" s="88"/>
      <c r="V773" s="88"/>
      <c r="W773" s="88"/>
      <c r="X773" s="88"/>
      <c r="Y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Q774" s="88"/>
      <c r="R774" s="88"/>
      <c r="S774" s="88"/>
      <c r="T774" s="88"/>
      <c r="U774" s="88"/>
      <c r="V774" s="88"/>
      <c r="W774" s="88"/>
      <c r="X774" s="88"/>
      <c r="Y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Q775" s="88"/>
      <c r="R775" s="88"/>
      <c r="S775" s="88"/>
      <c r="T775" s="88"/>
      <c r="U775" s="88"/>
      <c r="V775" s="88"/>
      <c r="W775" s="88"/>
      <c r="X775" s="88"/>
      <c r="Y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Q776" s="88"/>
      <c r="R776" s="88"/>
      <c r="S776" s="88"/>
      <c r="T776" s="88"/>
      <c r="U776" s="88"/>
      <c r="V776" s="88"/>
      <c r="W776" s="88"/>
      <c r="X776" s="88"/>
      <c r="Y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Q777" s="88"/>
      <c r="R777" s="88"/>
      <c r="S777" s="88"/>
      <c r="T777" s="88"/>
      <c r="U777" s="88"/>
      <c r="V777" s="88"/>
      <c r="W777" s="88"/>
      <c r="X777" s="88"/>
      <c r="Y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Q778" s="88"/>
      <c r="R778" s="88"/>
      <c r="S778" s="88"/>
      <c r="T778" s="88"/>
      <c r="U778" s="88"/>
      <c r="V778" s="88"/>
      <c r="W778" s="88"/>
      <c r="X778" s="88"/>
      <c r="Y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Q779" s="88"/>
      <c r="R779" s="88"/>
      <c r="S779" s="88"/>
      <c r="T779" s="88"/>
      <c r="U779" s="88"/>
      <c r="V779" s="88"/>
      <c r="W779" s="88"/>
      <c r="X779" s="88"/>
      <c r="Y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Q780" s="88"/>
      <c r="R780" s="88"/>
      <c r="S780" s="88"/>
      <c r="T780" s="88"/>
      <c r="U780" s="88"/>
      <c r="V780" s="88"/>
      <c r="W780" s="88"/>
      <c r="X780" s="88"/>
      <c r="Y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Q781" s="88"/>
      <c r="R781" s="88"/>
      <c r="S781" s="88"/>
      <c r="T781" s="88"/>
      <c r="U781" s="88"/>
      <c r="V781" s="88"/>
      <c r="W781" s="88"/>
      <c r="X781" s="88"/>
      <c r="Y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Q782" s="88"/>
      <c r="R782" s="88"/>
      <c r="S782" s="88"/>
      <c r="T782" s="88"/>
      <c r="U782" s="88"/>
      <c r="V782" s="88"/>
      <c r="W782" s="88"/>
      <c r="X782" s="88"/>
      <c r="Y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Q783" s="88"/>
      <c r="R783" s="88"/>
      <c r="S783" s="88"/>
      <c r="T783" s="88"/>
      <c r="U783" s="88"/>
      <c r="V783" s="88"/>
      <c r="W783" s="88"/>
      <c r="X783" s="88"/>
      <c r="Y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Q784" s="88"/>
      <c r="R784" s="88"/>
      <c r="S784" s="88"/>
      <c r="T784" s="88"/>
      <c r="U784" s="88"/>
      <c r="V784" s="88"/>
      <c r="W784" s="88"/>
      <c r="X784" s="88"/>
      <c r="Y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Q785" s="88"/>
      <c r="R785" s="88"/>
      <c r="S785" s="88"/>
      <c r="T785" s="88"/>
      <c r="U785" s="88"/>
      <c r="V785" s="88"/>
      <c r="W785" s="88"/>
      <c r="X785" s="88"/>
      <c r="Y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Q786" s="88"/>
      <c r="R786" s="88"/>
      <c r="S786" s="88"/>
      <c r="T786" s="88"/>
      <c r="U786" s="88"/>
      <c r="V786" s="88"/>
      <c r="W786" s="88"/>
      <c r="X786" s="88"/>
      <c r="Y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Q787" s="88"/>
      <c r="R787" s="88"/>
      <c r="S787" s="88"/>
      <c r="T787" s="88"/>
      <c r="U787" s="88"/>
      <c r="V787" s="88"/>
      <c r="W787" s="88"/>
      <c r="X787" s="88"/>
      <c r="Y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Q788" s="88"/>
      <c r="R788" s="88"/>
      <c r="S788" s="88"/>
      <c r="T788" s="88"/>
      <c r="U788" s="88"/>
      <c r="V788" s="88"/>
      <c r="W788" s="88"/>
      <c r="X788" s="88"/>
      <c r="Y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Q789" s="88"/>
      <c r="R789" s="88"/>
      <c r="S789" s="88"/>
      <c r="T789" s="88"/>
      <c r="U789" s="88"/>
      <c r="V789" s="88"/>
      <c r="W789" s="88"/>
      <c r="X789" s="88"/>
      <c r="Y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Q790" s="88"/>
      <c r="R790" s="88"/>
      <c r="S790" s="88"/>
      <c r="T790" s="88"/>
      <c r="U790" s="88"/>
      <c r="V790" s="88"/>
      <c r="W790" s="88"/>
      <c r="X790" s="88"/>
      <c r="Y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Q791" s="88"/>
      <c r="R791" s="88"/>
      <c r="S791" s="88"/>
      <c r="T791" s="88"/>
      <c r="U791" s="88"/>
      <c r="V791" s="88"/>
      <c r="W791" s="88"/>
      <c r="X791" s="88"/>
      <c r="Y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Q792" s="88"/>
      <c r="R792" s="88"/>
      <c r="S792" s="88"/>
      <c r="T792" s="88"/>
      <c r="U792" s="88"/>
      <c r="V792" s="88"/>
      <c r="W792" s="88"/>
      <c r="X792" s="88"/>
      <c r="Y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Q793" s="88"/>
      <c r="R793" s="88"/>
      <c r="S793" s="88"/>
      <c r="T793" s="88"/>
      <c r="U793" s="88"/>
      <c r="V793" s="88"/>
      <c r="W793" s="88"/>
      <c r="X793" s="88"/>
      <c r="Y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Q794" s="88"/>
      <c r="R794" s="88"/>
      <c r="S794" s="88"/>
      <c r="T794" s="88"/>
      <c r="U794" s="88"/>
      <c r="V794" s="88"/>
      <c r="W794" s="88"/>
      <c r="X794" s="88"/>
      <c r="Y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Q795" s="88"/>
      <c r="R795" s="88"/>
      <c r="S795" s="88"/>
      <c r="T795" s="88"/>
      <c r="U795" s="88"/>
      <c r="V795" s="88"/>
      <c r="W795" s="88"/>
      <c r="X795" s="88"/>
      <c r="Y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Q796" s="88"/>
      <c r="R796" s="88"/>
      <c r="S796" s="88"/>
      <c r="T796" s="88"/>
      <c r="U796" s="88"/>
      <c r="V796" s="88"/>
      <c r="W796" s="88"/>
      <c r="X796" s="88"/>
      <c r="Y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Q797" s="88"/>
      <c r="R797" s="88"/>
      <c r="S797" s="88"/>
      <c r="T797" s="88"/>
      <c r="U797" s="88"/>
      <c r="V797" s="88"/>
      <c r="W797" s="88"/>
      <c r="X797" s="88"/>
      <c r="Y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Q798" s="88"/>
      <c r="R798" s="88"/>
      <c r="S798" s="88"/>
      <c r="T798" s="88"/>
      <c r="U798" s="88"/>
      <c r="V798" s="88"/>
      <c r="W798" s="88"/>
      <c r="X798" s="88"/>
      <c r="Y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Q799" s="88"/>
      <c r="R799" s="88"/>
      <c r="S799" s="88"/>
      <c r="T799" s="88"/>
      <c r="U799" s="88"/>
      <c r="V799" s="88"/>
      <c r="W799" s="88"/>
      <c r="X799" s="88"/>
      <c r="Y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Q800" s="88"/>
      <c r="R800" s="88"/>
      <c r="S800" s="88"/>
      <c r="T800" s="88"/>
      <c r="U800" s="88"/>
      <c r="V800" s="88"/>
      <c r="W800" s="88"/>
      <c r="X800" s="88"/>
      <c r="Y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Q801" s="88"/>
      <c r="R801" s="88"/>
      <c r="S801" s="88"/>
      <c r="T801" s="88"/>
      <c r="U801" s="88"/>
      <c r="V801" s="88"/>
      <c r="W801" s="88"/>
      <c r="X801" s="88"/>
      <c r="Y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Q802" s="88"/>
      <c r="R802" s="88"/>
      <c r="S802" s="88"/>
      <c r="T802" s="88"/>
      <c r="U802" s="88"/>
      <c r="V802" s="88"/>
      <c r="W802" s="88"/>
      <c r="X802" s="88"/>
      <c r="Y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Q803" s="88"/>
      <c r="R803" s="88"/>
      <c r="S803" s="88"/>
      <c r="T803" s="88"/>
      <c r="U803" s="88"/>
      <c r="V803" s="88"/>
      <c r="W803" s="88"/>
      <c r="X803" s="88"/>
      <c r="Y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Q804" s="88"/>
      <c r="R804" s="88"/>
      <c r="S804" s="88"/>
      <c r="T804" s="88"/>
      <c r="U804" s="88"/>
      <c r="V804" s="88"/>
      <c r="W804" s="88"/>
      <c r="X804" s="88"/>
      <c r="Y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Q805" s="88"/>
      <c r="R805" s="88"/>
      <c r="S805" s="88"/>
      <c r="T805" s="88"/>
      <c r="U805" s="88"/>
      <c r="V805" s="88"/>
      <c r="W805" s="88"/>
      <c r="X805" s="88"/>
      <c r="Y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Q806" s="88"/>
      <c r="R806" s="88"/>
      <c r="S806" s="88"/>
      <c r="T806" s="88"/>
      <c r="U806" s="88"/>
      <c r="V806" s="88"/>
      <c r="W806" s="88"/>
      <c r="X806" s="88"/>
      <c r="Y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Q807" s="88"/>
      <c r="R807" s="88"/>
      <c r="S807" s="88"/>
      <c r="T807" s="88"/>
      <c r="U807" s="88"/>
      <c r="V807" s="88"/>
      <c r="W807" s="88"/>
      <c r="X807" s="88"/>
      <c r="Y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Q808" s="88"/>
      <c r="R808" s="88"/>
      <c r="S808" s="88"/>
      <c r="T808" s="88"/>
      <c r="U808" s="88"/>
      <c r="V808" s="88"/>
      <c r="W808" s="88"/>
      <c r="X808" s="88"/>
      <c r="Y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Q809" s="88"/>
      <c r="R809" s="88"/>
      <c r="S809" s="88"/>
      <c r="T809" s="88"/>
      <c r="U809" s="88"/>
      <c r="V809" s="88"/>
      <c r="W809" s="88"/>
      <c r="X809" s="88"/>
      <c r="Y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Q810" s="88"/>
      <c r="R810" s="88"/>
      <c r="S810" s="88"/>
      <c r="T810" s="88"/>
      <c r="U810" s="88"/>
      <c r="V810" s="88"/>
      <c r="W810" s="88"/>
      <c r="X810" s="88"/>
      <c r="Y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Q811" s="88"/>
      <c r="R811" s="88"/>
      <c r="S811" s="88"/>
      <c r="T811" s="88"/>
      <c r="U811" s="88"/>
      <c r="V811" s="88"/>
      <c r="W811" s="88"/>
      <c r="X811" s="88"/>
      <c r="Y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Q812" s="88"/>
      <c r="R812" s="88"/>
      <c r="S812" s="88"/>
      <c r="T812" s="88"/>
      <c r="U812" s="88"/>
      <c r="V812" s="88"/>
      <c r="W812" s="88"/>
      <c r="X812" s="88"/>
      <c r="Y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Q813" s="88"/>
      <c r="R813" s="88"/>
      <c r="S813" s="88"/>
      <c r="T813" s="88"/>
      <c r="U813" s="88"/>
      <c r="V813" s="88"/>
      <c r="W813" s="88"/>
      <c r="X813" s="88"/>
      <c r="Y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Q814" s="88"/>
      <c r="R814" s="88"/>
      <c r="S814" s="88"/>
      <c r="T814" s="88"/>
      <c r="U814" s="88"/>
      <c r="V814" s="88"/>
      <c r="W814" s="88"/>
      <c r="X814" s="88"/>
      <c r="Y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Q815" s="88"/>
      <c r="R815" s="88"/>
      <c r="S815" s="88"/>
      <c r="T815" s="88"/>
      <c r="U815" s="88"/>
      <c r="V815" s="88"/>
      <c r="W815" s="88"/>
      <c r="X815" s="88"/>
      <c r="Y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Q816" s="88"/>
      <c r="R816" s="88"/>
      <c r="S816" s="88"/>
      <c r="T816" s="88"/>
      <c r="U816" s="88"/>
      <c r="V816" s="88"/>
      <c r="W816" s="88"/>
      <c r="X816" s="88"/>
      <c r="Y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Q817" s="88"/>
      <c r="R817" s="88"/>
      <c r="S817" s="88"/>
      <c r="T817" s="88"/>
      <c r="U817" s="88"/>
      <c r="V817" s="88"/>
      <c r="W817" s="88"/>
      <c r="X817" s="88"/>
      <c r="Y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Q818" s="88"/>
      <c r="R818" s="88"/>
      <c r="S818" s="88"/>
      <c r="T818" s="88"/>
      <c r="U818" s="88"/>
      <c r="V818" s="88"/>
      <c r="W818" s="88"/>
      <c r="X818" s="88"/>
      <c r="Y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Q819" s="88"/>
      <c r="R819" s="88"/>
      <c r="S819" s="88"/>
      <c r="T819" s="88"/>
      <c r="U819" s="88"/>
      <c r="V819" s="88"/>
      <c r="W819" s="88"/>
      <c r="X819" s="88"/>
      <c r="Y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Q820" s="88"/>
      <c r="R820" s="88"/>
      <c r="S820" s="88"/>
      <c r="T820" s="88"/>
      <c r="U820" s="88"/>
      <c r="V820" s="88"/>
      <c r="W820" s="88"/>
      <c r="X820" s="88"/>
      <c r="Y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Q821" s="88"/>
      <c r="R821" s="88"/>
      <c r="S821" s="88"/>
      <c r="T821" s="88"/>
      <c r="U821" s="88"/>
      <c r="V821" s="88"/>
      <c r="W821" s="88"/>
      <c r="X821" s="88"/>
      <c r="Y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Q822" s="88"/>
      <c r="R822" s="88"/>
      <c r="S822" s="88"/>
      <c r="T822" s="88"/>
      <c r="U822" s="88"/>
      <c r="V822" s="88"/>
      <c r="W822" s="88"/>
      <c r="X822" s="88"/>
      <c r="Y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Q823" s="88"/>
      <c r="R823" s="88"/>
      <c r="S823" s="88"/>
      <c r="T823" s="88"/>
      <c r="U823" s="88"/>
      <c r="V823" s="88"/>
      <c r="W823" s="88"/>
      <c r="X823" s="88"/>
      <c r="Y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Q824" s="88"/>
      <c r="R824" s="88"/>
      <c r="S824" s="88"/>
      <c r="T824" s="88"/>
      <c r="U824" s="88"/>
      <c r="V824" s="88"/>
      <c r="W824" s="88"/>
      <c r="X824" s="88"/>
      <c r="Y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Q825" s="88"/>
      <c r="R825" s="88"/>
      <c r="S825" s="88"/>
      <c r="T825" s="88"/>
      <c r="U825" s="88"/>
      <c r="V825" s="88"/>
      <c r="W825" s="88"/>
      <c r="X825" s="88"/>
      <c r="Y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Q826" s="88"/>
      <c r="R826" s="88"/>
      <c r="S826" s="88"/>
      <c r="T826" s="88"/>
      <c r="U826" s="88"/>
      <c r="V826" s="88"/>
      <c r="W826" s="88"/>
      <c r="X826" s="88"/>
      <c r="Y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Q827" s="88"/>
      <c r="R827" s="88"/>
      <c r="S827" s="88"/>
      <c r="T827" s="88"/>
      <c r="U827" s="88"/>
      <c r="V827" s="88"/>
      <c r="W827" s="88"/>
      <c r="X827" s="88"/>
      <c r="Y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Q828" s="88"/>
      <c r="R828" s="88"/>
      <c r="S828" s="88"/>
      <c r="T828" s="88"/>
      <c r="U828" s="88"/>
      <c r="V828" s="88"/>
      <c r="W828" s="88"/>
      <c r="X828" s="88"/>
      <c r="Y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Q829" s="88"/>
      <c r="R829" s="88"/>
      <c r="S829" s="88"/>
      <c r="T829" s="88"/>
      <c r="U829" s="88"/>
      <c r="V829" s="88"/>
      <c r="W829" s="88"/>
      <c r="X829" s="88"/>
      <c r="Y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Q830" s="88"/>
      <c r="R830" s="88"/>
      <c r="S830" s="88"/>
      <c r="T830" s="88"/>
      <c r="U830" s="88"/>
      <c r="V830" s="88"/>
      <c r="W830" s="88"/>
      <c r="X830" s="88"/>
      <c r="Y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Q831" s="88"/>
      <c r="R831" s="88"/>
      <c r="S831" s="88"/>
      <c r="T831" s="88"/>
      <c r="U831" s="88"/>
      <c r="V831" s="88"/>
      <c r="W831" s="88"/>
      <c r="X831" s="88"/>
      <c r="Y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Q832" s="88"/>
      <c r="R832" s="88"/>
      <c r="S832" s="88"/>
      <c r="T832" s="88"/>
      <c r="U832" s="88"/>
      <c r="V832" s="88"/>
      <c r="W832" s="88"/>
      <c r="X832" s="88"/>
      <c r="Y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Q833" s="88"/>
      <c r="R833" s="88"/>
      <c r="S833" s="88"/>
      <c r="T833" s="88"/>
      <c r="U833" s="88"/>
      <c r="V833" s="88"/>
      <c r="W833" s="88"/>
      <c r="X833" s="88"/>
      <c r="Y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Q834" s="88"/>
      <c r="R834" s="88"/>
      <c r="S834" s="88"/>
      <c r="T834" s="88"/>
      <c r="U834" s="88"/>
      <c r="V834" s="88"/>
      <c r="W834" s="88"/>
      <c r="X834" s="88"/>
      <c r="Y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Q835" s="88"/>
      <c r="R835" s="88"/>
      <c r="S835" s="88"/>
      <c r="T835" s="88"/>
      <c r="U835" s="88"/>
      <c r="V835" s="88"/>
      <c r="W835" s="88"/>
      <c r="X835" s="88"/>
      <c r="Y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Q836" s="88"/>
      <c r="R836" s="88"/>
      <c r="S836" s="88"/>
      <c r="T836" s="88"/>
      <c r="U836" s="88"/>
      <c r="V836" s="88"/>
      <c r="W836" s="88"/>
      <c r="X836" s="88"/>
      <c r="Y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Q837" s="88"/>
      <c r="R837" s="88"/>
      <c r="S837" s="88"/>
      <c r="T837" s="88"/>
      <c r="U837" s="88"/>
      <c r="V837" s="88"/>
      <c r="W837" s="88"/>
      <c r="X837" s="88"/>
      <c r="Y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Q838" s="88"/>
      <c r="R838" s="88"/>
      <c r="S838" s="88"/>
      <c r="T838" s="88"/>
      <c r="U838" s="88"/>
      <c r="V838" s="88"/>
      <c r="W838" s="88"/>
      <c r="X838" s="88"/>
      <c r="Y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Q839" s="88"/>
      <c r="R839" s="88"/>
      <c r="S839" s="88"/>
      <c r="T839" s="88"/>
      <c r="U839" s="88"/>
      <c r="V839" s="88"/>
      <c r="W839" s="88"/>
      <c r="X839" s="88"/>
      <c r="Y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Q840" s="88"/>
      <c r="R840" s="88"/>
      <c r="S840" s="88"/>
      <c r="T840" s="88"/>
      <c r="U840" s="88"/>
      <c r="V840" s="88"/>
      <c r="W840" s="88"/>
      <c r="X840" s="88"/>
      <c r="Y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Q841" s="88"/>
      <c r="R841" s="88"/>
      <c r="S841" s="88"/>
      <c r="T841" s="88"/>
      <c r="U841" s="88"/>
      <c r="V841" s="88"/>
      <c r="W841" s="88"/>
      <c r="X841" s="88"/>
      <c r="Y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Q842" s="88"/>
      <c r="R842" s="88"/>
      <c r="S842" s="88"/>
      <c r="T842" s="88"/>
      <c r="U842" s="88"/>
      <c r="V842" s="88"/>
      <c r="W842" s="88"/>
      <c r="X842" s="88"/>
      <c r="Y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Q843" s="88"/>
      <c r="R843" s="88"/>
      <c r="S843" s="88"/>
      <c r="T843" s="88"/>
      <c r="U843" s="88"/>
      <c r="V843" s="88"/>
      <c r="W843" s="88"/>
      <c r="X843" s="88"/>
      <c r="Y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Q844" s="88"/>
      <c r="R844" s="88"/>
      <c r="S844" s="88"/>
      <c r="T844" s="88"/>
      <c r="U844" s="88"/>
      <c r="V844" s="88"/>
      <c r="W844" s="88"/>
      <c r="X844" s="88"/>
      <c r="Y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Q845" s="88"/>
      <c r="R845" s="88"/>
      <c r="S845" s="88"/>
      <c r="T845" s="88"/>
      <c r="U845" s="88"/>
      <c r="V845" s="88"/>
      <c r="W845" s="88"/>
      <c r="X845" s="88"/>
      <c r="Y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Q846" s="88"/>
      <c r="R846" s="88"/>
      <c r="S846" s="88"/>
      <c r="T846" s="88"/>
      <c r="U846" s="88"/>
      <c r="V846" s="88"/>
      <c r="W846" s="88"/>
      <c r="X846" s="88"/>
      <c r="Y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Q847" s="88"/>
      <c r="R847" s="88"/>
      <c r="S847" s="88"/>
      <c r="T847" s="88"/>
      <c r="U847" s="88"/>
      <c r="V847" s="88"/>
      <c r="W847" s="88"/>
      <c r="X847" s="88"/>
      <c r="Y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Q848" s="88"/>
      <c r="R848" s="88"/>
      <c r="S848" s="88"/>
      <c r="T848" s="88"/>
      <c r="U848" s="88"/>
      <c r="V848" s="88"/>
      <c r="W848" s="88"/>
      <c r="X848" s="88"/>
      <c r="Y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Q849" s="88"/>
      <c r="R849" s="88"/>
      <c r="S849" s="88"/>
      <c r="T849" s="88"/>
      <c r="U849" s="88"/>
      <c r="V849" s="88"/>
      <c r="W849" s="88"/>
      <c r="X849" s="88"/>
      <c r="Y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Q850" s="88"/>
      <c r="R850" s="88"/>
      <c r="S850" s="88"/>
      <c r="T850" s="88"/>
      <c r="U850" s="88"/>
      <c r="V850" s="88"/>
      <c r="W850" s="88"/>
      <c r="X850" s="88"/>
      <c r="Y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Q851" s="88"/>
      <c r="R851" s="88"/>
      <c r="S851" s="88"/>
      <c r="T851" s="88"/>
      <c r="U851" s="88"/>
      <c r="V851" s="88"/>
      <c r="W851" s="88"/>
      <c r="X851" s="88"/>
      <c r="Y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Q852" s="88"/>
      <c r="R852" s="88"/>
      <c r="S852" s="88"/>
      <c r="T852" s="88"/>
      <c r="U852" s="88"/>
      <c r="V852" s="88"/>
      <c r="W852" s="88"/>
      <c r="X852" s="88"/>
      <c r="Y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Q853" s="88"/>
      <c r="R853" s="88"/>
      <c r="S853" s="88"/>
      <c r="T853" s="88"/>
      <c r="U853" s="88"/>
      <c r="V853" s="88"/>
      <c r="W853" s="88"/>
      <c r="X853" s="88"/>
      <c r="Y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Q854" s="88"/>
      <c r="R854" s="88"/>
      <c r="S854" s="88"/>
      <c r="T854" s="88"/>
      <c r="U854" s="88"/>
      <c r="V854" s="88"/>
      <c r="W854" s="88"/>
      <c r="X854" s="88"/>
      <c r="Y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Q855" s="88"/>
      <c r="R855" s="88"/>
      <c r="S855" s="88"/>
      <c r="T855" s="88"/>
      <c r="U855" s="88"/>
      <c r="V855" s="88"/>
      <c r="W855" s="88"/>
      <c r="X855" s="88"/>
      <c r="Y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Q856" s="88"/>
      <c r="R856" s="88"/>
      <c r="S856" s="88"/>
      <c r="T856" s="88"/>
      <c r="U856" s="88"/>
      <c r="V856" s="88"/>
      <c r="W856" s="88"/>
      <c r="X856" s="88"/>
      <c r="Y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Q857" s="88"/>
      <c r="R857" s="88"/>
      <c r="S857" s="88"/>
      <c r="T857" s="88"/>
      <c r="U857" s="88"/>
      <c r="V857" s="88"/>
      <c r="W857" s="88"/>
      <c r="X857" s="88"/>
      <c r="Y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Q858" s="88"/>
      <c r="R858" s="88"/>
      <c r="S858" s="88"/>
      <c r="T858" s="88"/>
      <c r="U858" s="88"/>
      <c r="V858" s="88"/>
      <c r="W858" s="88"/>
      <c r="X858" s="88"/>
      <c r="Y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Q859" s="88"/>
      <c r="R859" s="88"/>
      <c r="S859" s="88"/>
      <c r="T859" s="88"/>
      <c r="U859" s="88"/>
      <c r="V859" s="88"/>
      <c r="W859" s="88"/>
      <c r="X859" s="88"/>
      <c r="Y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Q860" s="88"/>
      <c r="R860" s="88"/>
      <c r="S860" s="88"/>
      <c r="T860" s="88"/>
      <c r="U860" s="88"/>
      <c r="V860" s="88"/>
      <c r="W860" s="88"/>
      <c r="X860" s="88"/>
      <c r="Y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Q861" s="88"/>
      <c r="R861" s="88"/>
      <c r="S861" s="88"/>
      <c r="T861" s="88"/>
      <c r="U861" s="88"/>
      <c r="V861" s="88"/>
      <c r="W861" s="88"/>
      <c r="X861" s="88"/>
      <c r="Y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Q862" s="88"/>
      <c r="R862" s="88"/>
      <c r="S862" s="88"/>
      <c r="T862" s="88"/>
      <c r="U862" s="88"/>
      <c r="V862" s="88"/>
      <c r="W862" s="88"/>
      <c r="X862" s="88"/>
      <c r="Y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Q863" s="88"/>
      <c r="R863" s="88"/>
      <c r="S863" s="88"/>
      <c r="T863" s="88"/>
      <c r="U863" s="88"/>
      <c r="V863" s="88"/>
      <c r="W863" s="88"/>
      <c r="X863" s="88"/>
      <c r="Y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Q864" s="88"/>
      <c r="R864" s="88"/>
      <c r="S864" s="88"/>
      <c r="T864" s="88"/>
      <c r="U864" s="88"/>
      <c r="V864" s="88"/>
      <c r="W864" s="88"/>
      <c r="X864" s="88"/>
      <c r="Y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Q865" s="88"/>
      <c r="R865" s="88"/>
      <c r="S865" s="88"/>
      <c r="T865" s="88"/>
      <c r="U865" s="88"/>
      <c r="V865" s="88"/>
      <c r="W865" s="88"/>
      <c r="X865" s="88"/>
      <c r="Y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Q866" s="88"/>
      <c r="R866" s="88"/>
      <c r="S866" s="88"/>
      <c r="T866" s="88"/>
      <c r="U866" s="88"/>
      <c r="V866" s="88"/>
      <c r="W866" s="88"/>
      <c r="X866" s="88"/>
      <c r="Y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Q867" s="88"/>
      <c r="R867" s="88"/>
      <c r="S867" s="88"/>
      <c r="T867" s="88"/>
      <c r="U867" s="88"/>
      <c r="V867" s="88"/>
      <c r="W867" s="88"/>
      <c r="X867" s="88"/>
      <c r="Y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Q868" s="88"/>
      <c r="R868" s="88"/>
      <c r="S868" s="88"/>
      <c r="T868" s="88"/>
      <c r="U868" s="88"/>
      <c r="V868" s="88"/>
      <c r="W868" s="88"/>
      <c r="X868" s="88"/>
      <c r="Y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Q869" s="88"/>
      <c r="R869" s="88"/>
      <c r="S869" s="88"/>
      <c r="T869" s="88"/>
      <c r="U869" s="88"/>
      <c r="V869" s="88"/>
      <c r="W869" s="88"/>
      <c r="X869" s="88"/>
      <c r="Y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Q870" s="88"/>
      <c r="R870" s="88"/>
      <c r="S870" s="88"/>
      <c r="T870" s="88"/>
      <c r="U870" s="88"/>
      <c r="V870" s="88"/>
      <c r="W870" s="88"/>
      <c r="X870" s="88"/>
      <c r="Y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Q871" s="88"/>
      <c r="R871" s="88"/>
      <c r="S871" s="88"/>
      <c r="T871" s="88"/>
      <c r="U871" s="88"/>
      <c r="V871" s="88"/>
      <c r="W871" s="88"/>
      <c r="X871" s="88"/>
      <c r="Y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Q872" s="88"/>
      <c r="R872" s="88"/>
      <c r="S872" s="88"/>
      <c r="T872" s="88"/>
      <c r="U872" s="88"/>
      <c r="V872" s="88"/>
      <c r="W872" s="88"/>
      <c r="X872" s="88"/>
      <c r="Y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Q873" s="88"/>
      <c r="R873" s="88"/>
      <c r="S873" s="88"/>
      <c r="T873" s="88"/>
      <c r="U873" s="88"/>
      <c r="V873" s="88"/>
      <c r="W873" s="88"/>
      <c r="X873" s="88"/>
      <c r="Y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Q874" s="88"/>
      <c r="R874" s="88"/>
      <c r="S874" s="88"/>
      <c r="T874" s="88"/>
      <c r="U874" s="88"/>
      <c r="V874" s="88"/>
      <c r="W874" s="88"/>
      <c r="X874" s="88"/>
      <c r="Y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Q875" s="88"/>
      <c r="R875" s="88"/>
      <c r="S875" s="88"/>
      <c r="T875" s="88"/>
      <c r="U875" s="88"/>
      <c r="V875" s="88"/>
      <c r="W875" s="88"/>
      <c r="X875" s="88"/>
      <c r="Y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Q876" s="88"/>
      <c r="R876" s="88"/>
      <c r="S876" s="88"/>
      <c r="T876" s="88"/>
      <c r="U876" s="88"/>
      <c r="V876" s="88"/>
      <c r="W876" s="88"/>
      <c r="X876" s="88"/>
      <c r="Y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Q877" s="88"/>
      <c r="R877" s="88"/>
      <c r="S877" s="88"/>
      <c r="T877" s="88"/>
      <c r="U877" s="88"/>
      <c r="V877" s="88"/>
      <c r="W877" s="88"/>
      <c r="X877" s="88"/>
      <c r="Y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Q878" s="88"/>
      <c r="R878" s="88"/>
      <c r="S878" s="88"/>
      <c r="T878" s="88"/>
      <c r="U878" s="88"/>
      <c r="V878" s="88"/>
      <c r="W878" s="88"/>
      <c r="X878" s="88"/>
      <c r="Y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Q879" s="88"/>
      <c r="R879" s="88"/>
      <c r="S879" s="88"/>
      <c r="T879" s="88"/>
      <c r="U879" s="88"/>
      <c r="V879" s="88"/>
      <c r="W879" s="88"/>
      <c r="X879" s="88"/>
      <c r="Y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Q880" s="88"/>
      <c r="R880" s="88"/>
      <c r="S880" s="88"/>
      <c r="T880" s="88"/>
      <c r="U880" s="88"/>
      <c r="V880" s="88"/>
      <c r="W880" s="88"/>
      <c r="X880" s="88"/>
      <c r="Y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Q881" s="88"/>
      <c r="R881" s="88"/>
      <c r="S881" s="88"/>
      <c r="T881" s="88"/>
      <c r="U881" s="88"/>
      <c r="V881" s="88"/>
      <c r="W881" s="88"/>
      <c r="X881" s="88"/>
      <c r="Y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Q882" s="88"/>
      <c r="R882" s="88"/>
      <c r="S882" s="88"/>
      <c r="T882" s="88"/>
      <c r="U882" s="88"/>
      <c r="V882" s="88"/>
      <c r="W882" s="88"/>
      <c r="X882" s="88"/>
      <c r="Y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Q883" s="88"/>
      <c r="R883" s="88"/>
      <c r="S883" s="88"/>
      <c r="T883" s="88"/>
      <c r="U883" s="88"/>
      <c r="V883" s="88"/>
      <c r="W883" s="88"/>
      <c r="X883" s="88"/>
      <c r="Y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Q884" s="88"/>
      <c r="R884" s="88"/>
      <c r="S884" s="88"/>
      <c r="T884" s="88"/>
      <c r="U884" s="88"/>
      <c r="V884" s="88"/>
      <c r="W884" s="88"/>
      <c r="X884" s="88"/>
      <c r="Y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Q885" s="88"/>
      <c r="R885" s="88"/>
      <c r="S885" s="88"/>
      <c r="T885" s="88"/>
      <c r="U885" s="88"/>
      <c r="V885" s="88"/>
      <c r="W885" s="88"/>
      <c r="X885" s="88"/>
      <c r="Y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Q886" s="88"/>
      <c r="R886" s="88"/>
      <c r="S886" s="88"/>
      <c r="T886" s="88"/>
      <c r="U886" s="88"/>
      <c r="V886" s="88"/>
      <c r="W886" s="88"/>
      <c r="X886" s="88"/>
      <c r="Y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Q887" s="88"/>
      <c r="R887" s="88"/>
      <c r="S887" s="88"/>
      <c r="T887" s="88"/>
      <c r="U887" s="88"/>
      <c r="V887" s="88"/>
      <c r="W887" s="88"/>
      <c r="X887" s="88"/>
      <c r="Y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Q888" s="88"/>
      <c r="R888" s="88"/>
      <c r="S888" s="88"/>
      <c r="T888" s="88"/>
      <c r="U888" s="88"/>
      <c r="V888" s="88"/>
      <c r="W888" s="88"/>
      <c r="X888" s="88"/>
      <c r="Y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Q889" s="88"/>
      <c r="R889" s="88"/>
      <c r="S889" s="88"/>
      <c r="T889" s="88"/>
      <c r="U889" s="88"/>
      <c r="V889" s="88"/>
      <c r="W889" s="88"/>
      <c r="X889" s="88"/>
      <c r="Y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Q890" s="88"/>
      <c r="R890" s="88"/>
      <c r="S890" s="88"/>
      <c r="T890" s="88"/>
      <c r="U890" s="88"/>
      <c r="V890" s="88"/>
      <c r="W890" s="88"/>
      <c r="X890" s="88"/>
      <c r="Y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Q891" s="88"/>
      <c r="R891" s="88"/>
      <c r="S891" s="88"/>
      <c r="T891" s="88"/>
      <c r="U891" s="88"/>
      <c r="V891" s="88"/>
      <c r="W891" s="88"/>
      <c r="X891" s="88"/>
      <c r="Y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Q892" s="88"/>
      <c r="R892" s="88"/>
      <c r="S892" s="88"/>
      <c r="T892" s="88"/>
      <c r="U892" s="88"/>
      <c r="V892" s="88"/>
      <c r="W892" s="88"/>
      <c r="X892" s="88"/>
      <c r="Y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Q893" s="88"/>
      <c r="R893" s="88"/>
      <c r="S893" s="88"/>
      <c r="T893" s="88"/>
      <c r="U893" s="88"/>
      <c r="V893" s="88"/>
      <c r="W893" s="88"/>
      <c r="X893" s="88"/>
      <c r="Y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Q894" s="88"/>
      <c r="R894" s="88"/>
      <c r="S894" s="88"/>
      <c r="T894" s="88"/>
      <c r="U894" s="88"/>
      <c r="V894" s="88"/>
      <c r="W894" s="88"/>
      <c r="X894" s="88"/>
      <c r="Y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Q895" s="88"/>
      <c r="R895" s="88"/>
      <c r="S895" s="88"/>
      <c r="T895" s="88"/>
      <c r="U895" s="88"/>
      <c r="V895" s="88"/>
      <c r="W895" s="88"/>
      <c r="X895" s="88"/>
      <c r="Y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Q896" s="88"/>
      <c r="R896" s="88"/>
      <c r="S896" s="88"/>
      <c r="T896" s="88"/>
      <c r="U896" s="88"/>
      <c r="V896" s="88"/>
      <c r="W896" s="88"/>
      <c r="X896" s="88"/>
      <c r="Y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Q897" s="88"/>
      <c r="R897" s="88"/>
      <c r="S897" s="88"/>
      <c r="T897" s="88"/>
      <c r="U897" s="88"/>
      <c r="V897" s="88"/>
      <c r="W897" s="88"/>
      <c r="X897" s="88"/>
      <c r="Y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Q898" s="88"/>
      <c r="R898" s="88"/>
      <c r="S898" s="88"/>
      <c r="T898" s="88"/>
      <c r="U898" s="88"/>
      <c r="V898" s="88"/>
      <c r="W898" s="88"/>
      <c r="X898" s="88"/>
      <c r="Y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Q899" s="88"/>
      <c r="R899" s="88"/>
      <c r="S899" s="88"/>
      <c r="T899" s="88"/>
      <c r="U899" s="88"/>
      <c r="V899" s="88"/>
      <c r="W899" s="88"/>
      <c r="X899" s="88"/>
      <c r="Y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Q900" s="88"/>
      <c r="R900" s="88"/>
      <c r="S900" s="88"/>
      <c r="T900" s="88"/>
      <c r="U900" s="88"/>
      <c r="V900" s="88"/>
      <c r="W900" s="88"/>
      <c r="X900" s="88"/>
      <c r="Y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Q901" s="88"/>
      <c r="R901" s="88"/>
      <c r="S901" s="88"/>
      <c r="T901" s="88"/>
      <c r="U901" s="88"/>
      <c r="V901" s="88"/>
      <c r="W901" s="88"/>
      <c r="X901" s="88"/>
      <c r="Y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Q902" s="88"/>
      <c r="R902" s="88"/>
      <c r="S902" s="88"/>
      <c r="T902" s="88"/>
      <c r="U902" s="88"/>
      <c r="V902" s="88"/>
      <c r="W902" s="88"/>
      <c r="X902" s="88"/>
      <c r="Y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Q903" s="88"/>
      <c r="R903" s="88"/>
      <c r="S903" s="88"/>
      <c r="T903" s="88"/>
      <c r="U903" s="88"/>
      <c r="V903" s="88"/>
      <c r="W903" s="88"/>
      <c r="X903" s="88"/>
      <c r="Y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Q904" s="88"/>
      <c r="R904" s="88"/>
      <c r="S904" s="88"/>
      <c r="T904" s="88"/>
      <c r="U904" s="88"/>
      <c r="V904" s="88"/>
      <c r="W904" s="88"/>
      <c r="X904" s="88"/>
      <c r="Y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Q905" s="88"/>
      <c r="R905" s="88"/>
      <c r="S905" s="88"/>
      <c r="T905" s="88"/>
      <c r="U905" s="88"/>
      <c r="V905" s="88"/>
      <c r="W905" s="88"/>
      <c r="X905" s="88"/>
      <c r="Y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Q906" s="88"/>
      <c r="R906" s="88"/>
      <c r="S906" s="88"/>
      <c r="T906" s="88"/>
      <c r="U906" s="88"/>
      <c r="V906" s="88"/>
      <c r="W906" s="88"/>
      <c r="X906" s="88"/>
      <c r="Y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Q907" s="88"/>
      <c r="R907" s="88"/>
      <c r="S907" s="88"/>
      <c r="T907" s="88"/>
      <c r="U907" s="88"/>
      <c r="V907" s="88"/>
      <c r="W907" s="88"/>
      <c r="X907" s="88"/>
      <c r="Y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Q908" s="88"/>
      <c r="R908" s="88"/>
      <c r="S908" s="88"/>
      <c r="T908" s="88"/>
      <c r="U908" s="88"/>
      <c r="V908" s="88"/>
      <c r="W908" s="88"/>
      <c r="X908" s="88"/>
      <c r="Y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Q909" s="88"/>
      <c r="R909" s="88"/>
      <c r="S909" s="88"/>
      <c r="T909" s="88"/>
      <c r="U909" s="88"/>
      <c r="V909" s="88"/>
      <c r="W909" s="88"/>
      <c r="X909" s="88"/>
      <c r="Y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Q910" s="88"/>
      <c r="R910" s="88"/>
      <c r="S910" s="88"/>
      <c r="T910" s="88"/>
      <c r="U910" s="88"/>
      <c r="V910" s="88"/>
      <c r="W910" s="88"/>
      <c r="X910" s="88"/>
      <c r="Y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Q911" s="88"/>
      <c r="R911" s="88"/>
      <c r="S911" s="88"/>
      <c r="T911" s="88"/>
      <c r="U911" s="88"/>
      <c r="V911" s="88"/>
      <c r="W911" s="88"/>
      <c r="X911" s="88"/>
      <c r="Y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Q912" s="88"/>
      <c r="R912" s="88"/>
      <c r="S912" s="88"/>
      <c r="T912" s="88"/>
      <c r="U912" s="88"/>
      <c r="V912" s="88"/>
      <c r="W912" s="88"/>
      <c r="X912" s="88"/>
      <c r="Y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Q913" s="88"/>
      <c r="R913" s="88"/>
      <c r="S913" s="88"/>
      <c r="T913" s="88"/>
      <c r="U913" s="88"/>
      <c r="V913" s="88"/>
      <c r="W913" s="88"/>
      <c r="X913" s="88"/>
      <c r="Y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Q914" s="88"/>
      <c r="R914" s="88"/>
      <c r="S914" s="88"/>
      <c r="T914" s="88"/>
      <c r="U914" s="88"/>
      <c r="V914" s="88"/>
      <c r="W914" s="88"/>
      <c r="X914" s="88"/>
      <c r="Y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Q915" s="88"/>
      <c r="R915" s="88"/>
      <c r="S915" s="88"/>
      <c r="T915" s="88"/>
      <c r="U915" s="88"/>
      <c r="V915" s="88"/>
      <c r="W915" s="88"/>
      <c r="X915" s="88"/>
      <c r="Y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Q916" s="88"/>
      <c r="R916" s="88"/>
      <c r="S916" s="88"/>
      <c r="T916" s="88"/>
      <c r="U916" s="88"/>
      <c r="V916" s="88"/>
      <c r="W916" s="88"/>
      <c r="X916" s="88"/>
      <c r="Y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Q917" s="88"/>
      <c r="R917" s="88"/>
      <c r="S917" s="88"/>
      <c r="T917" s="88"/>
      <c r="U917" s="88"/>
      <c r="V917" s="88"/>
      <c r="W917" s="88"/>
      <c r="X917" s="88"/>
      <c r="Y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Q918" s="88"/>
      <c r="R918" s="88"/>
      <c r="S918" s="88"/>
      <c r="T918" s="88"/>
      <c r="U918" s="88"/>
      <c r="V918" s="88"/>
      <c r="W918" s="88"/>
      <c r="X918" s="88"/>
      <c r="Y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Q919" s="88"/>
      <c r="R919" s="88"/>
      <c r="S919" s="88"/>
      <c r="T919" s="88"/>
      <c r="U919" s="88"/>
      <c r="V919" s="88"/>
      <c r="W919" s="88"/>
      <c r="X919" s="88"/>
      <c r="Y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Q920" s="88"/>
      <c r="R920" s="88"/>
      <c r="S920" s="88"/>
      <c r="T920" s="88"/>
      <c r="U920" s="88"/>
      <c r="V920" s="88"/>
      <c r="W920" s="88"/>
      <c r="X920" s="88"/>
      <c r="Y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Q921" s="88"/>
      <c r="R921" s="88"/>
      <c r="S921" s="88"/>
      <c r="T921" s="88"/>
      <c r="U921" s="88"/>
      <c r="V921" s="88"/>
      <c r="W921" s="88"/>
      <c r="X921" s="88"/>
      <c r="Y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Q922" s="88"/>
      <c r="R922" s="88"/>
      <c r="S922" s="88"/>
      <c r="T922" s="88"/>
      <c r="U922" s="88"/>
      <c r="V922" s="88"/>
      <c r="W922" s="88"/>
      <c r="X922" s="88"/>
      <c r="Y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Q923" s="88"/>
      <c r="R923" s="88"/>
      <c r="S923" s="88"/>
      <c r="T923" s="88"/>
      <c r="U923" s="88"/>
      <c r="V923" s="88"/>
      <c r="W923" s="88"/>
      <c r="X923" s="88"/>
      <c r="Y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Q924" s="88"/>
      <c r="R924" s="88"/>
      <c r="S924" s="88"/>
      <c r="T924" s="88"/>
      <c r="U924" s="88"/>
      <c r="V924" s="88"/>
      <c r="W924" s="88"/>
      <c r="X924" s="88"/>
      <c r="Y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Q925" s="88"/>
      <c r="R925" s="88"/>
      <c r="S925" s="88"/>
      <c r="T925" s="88"/>
      <c r="U925" s="88"/>
      <c r="V925" s="88"/>
      <c r="W925" s="88"/>
      <c r="X925" s="88"/>
      <c r="Y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Q926" s="88"/>
      <c r="R926" s="88"/>
      <c r="S926" s="88"/>
      <c r="T926" s="88"/>
      <c r="U926" s="88"/>
      <c r="V926" s="88"/>
      <c r="W926" s="88"/>
      <c r="X926" s="88"/>
      <c r="Y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Q927" s="88"/>
      <c r="R927" s="88"/>
      <c r="S927" s="88"/>
      <c r="T927" s="88"/>
      <c r="U927" s="88"/>
      <c r="V927" s="88"/>
      <c r="W927" s="88"/>
      <c r="X927" s="88"/>
      <c r="Y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Q928" s="88"/>
      <c r="R928" s="88"/>
      <c r="S928" s="88"/>
      <c r="T928" s="88"/>
      <c r="U928" s="88"/>
      <c r="V928" s="88"/>
      <c r="W928" s="88"/>
      <c r="X928" s="88"/>
      <c r="Y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Q929" s="88"/>
      <c r="R929" s="88"/>
      <c r="S929" s="88"/>
      <c r="T929" s="88"/>
      <c r="U929" s="88"/>
      <c r="V929" s="88"/>
      <c r="W929" s="88"/>
      <c r="X929" s="88"/>
      <c r="Y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Q930" s="88"/>
      <c r="R930" s="88"/>
      <c r="S930" s="88"/>
      <c r="T930" s="88"/>
      <c r="U930" s="88"/>
      <c r="V930" s="88"/>
      <c r="W930" s="88"/>
      <c r="X930" s="88"/>
      <c r="Y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Q931" s="88"/>
      <c r="R931" s="88"/>
      <c r="S931" s="88"/>
      <c r="T931" s="88"/>
      <c r="U931" s="88"/>
      <c r="V931" s="88"/>
      <c r="W931" s="88"/>
      <c r="X931" s="88"/>
      <c r="Y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Q932" s="88"/>
      <c r="R932" s="88"/>
      <c r="S932" s="88"/>
      <c r="T932" s="88"/>
      <c r="U932" s="88"/>
      <c r="V932" s="88"/>
      <c r="W932" s="88"/>
      <c r="X932" s="88"/>
      <c r="Y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Q933" s="88"/>
      <c r="R933" s="88"/>
      <c r="S933" s="88"/>
      <c r="T933" s="88"/>
      <c r="U933" s="88"/>
      <c r="V933" s="88"/>
      <c r="W933" s="88"/>
      <c r="X933" s="88"/>
      <c r="Y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Q934" s="88"/>
      <c r="R934" s="88"/>
      <c r="S934" s="88"/>
      <c r="T934" s="88"/>
      <c r="U934" s="88"/>
      <c r="V934" s="88"/>
      <c r="W934" s="88"/>
      <c r="X934" s="88"/>
      <c r="Y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Q935" s="88"/>
      <c r="R935" s="88"/>
      <c r="S935" s="88"/>
      <c r="T935" s="88"/>
      <c r="U935" s="88"/>
      <c r="V935" s="88"/>
      <c r="W935" s="88"/>
      <c r="X935" s="88"/>
      <c r="Y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Q936" s="88"/>
      <c r="R936" s="88"/>
      <c r="S936" s="88"/>
      <c r="T936" s="88"/>
      <c r="U936" s="88"/>
      <c r="V936" s="88"/>
      <c r="W936" s="88"/>
      <c r="X936" s="88"/>
      <c r="Y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Q937" s="88"/>
      <c r="R937" s="88"/>
      <c r="S937" s="88"/>
      <c r="T937" s="88"/>
      <c r="U937" s="88"/>
      <c r="V937" s="88"/>
      <c r="W937" s="88"/>
      <c r="X937" s="88"/>
      <c r="Y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Q938" s="88"/>
      <c r="R938" s="88"/>
      <c r="S938" s="88"/>
      <c r="T938" s="88"/>
      <c r="U938" s="88"/>
      <c r="V938" s="88"/>
      <c r="W938" s="88"/>
      <c r="X938" s="88"/>
      <c r="Y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Q939" s="88"/>
      <c r="R939" s="88"/>
      <c r="S939" s="88"/>
      <c r="T939" s="88"/>
      <c r="U939" s="88"/>
      <c r="V939" s="88"/>
      <c r="W939" s="88"/>
      <c r="X939" s="88"/>
      <c r="Y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Q940" s="88"/>
      <c r="R940" s="88"/>
      <c r="S940" s="88"/>
      <c r="T940" s="88"/>
      <c r="U940" s="88"/>
      <c r="V940" s="88"/>
      <c r="W940" s="88"/>
      <c r="X940" s="88"/>
      <c r="Y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Q941" s="88"/>
      <c r="R941" s="88"/>
      <c r="S941" s="88"/>
      <c r="T941" s="88"/>
      <c r="U941" s="88"/>
      <c r="V941" s="88"/>
      <c r="W941" s="88"/>
      <c r="X941" s="88"/>
      <c r="Y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Q942" s="88"/>
      <c r="R942" s="88"/>
      <c r="S942" s="88"/>
      <c r="T942" s="88"/>
      <c r="U942" s="88"/>
      <c r="V942" s="88"/>
      <c r="W942" s="88"/>
      <c r="X942" s="88"/>
      <c r="Y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Q943" s="88"/>
      <c r="R943" s="88"/>
      <c r="S943" s="88"/>
      <c r="T943" s="88"/>
      <c r="U943" s="88"/>
      <c r="V943" s="88"/>
      <c r="W943" s="88"/>
      <c r="X943" s="88"/>
      <c r="Y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Q944" s="88"/>
      <c r="R944" s="88"/>
      <c r="S944" s="88"/>
      <c r="T944" s="88"/>
      <c r="U944" s="88"/>
      <c r="V944" s="88"/>
      <c r="W944" s="88"/>
      <c r="X944" s="88"/>
      <c r="Y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Q945" s="88"/>
      <c r="R945" s="88"/>
      <c r="S945" s="88"/>
      <c r="T945" s="88"/>
      <c r="U945" s="88"/>
      <c r="V945" s="88"/>
      <c r="W945" s="88"/>
      <c r="X945" s="88"/>
      <c r="Y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Q946" s="88"/>
      <c r="R946" s="88"/>
      <c r="S946" s="88"/>
      <c r="T946" s="88"/>
      <c r="U946" s="88"/>
      <c r="V946" s="88"/>
      <c r="W946" s="88"/>
      <c r="X946" s="88"/>
      <c r="Y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Q947" s="88"/>
      <c r="R947" s="88"/>
      <c r="S947" s="88"/>
      <c r="T947" s="88"/>
      <c r="U947" s="88"/>
      <c r="V947" s="88"/>
      <c r="W947" s="88"/>
      <c r="X947" s="88"/>
      <c r="Y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Q948" s="88"/>
      <c r="R948" s="88"/>
      <c r="S948" s="88"/>
      <c r="T948" s="88"/>
      <c r="U948" s="88"/>
      <c r="V948" s="88"/>
      <c r="W948" s="88"/>
      <c r="X948" s="88"/>
      <c r="Y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Q949" s="88"/>
      <c r="R949" s="88"/>
      <c r="S949" s="88"/>
      <c r="T949" s="88"/>
      <c r="U949" s="88"/>
      <c r="V949" s="88"/>
      <c r="W949" s="88"/>
      <c r="X949" s="88"/>
      <c r="Y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Q950" s="88"/>
      <c r="R950" s="88"/>
      <c r="S950" s="88"/>
      <c r="T950" s="88"/>
      <c r="U950" s="88"/>
      <c r="V950" s="88"/>
      <c r="W950" s="88"/>
      <c r="X950" s="88"/>
      <c r="Y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Q951" s="88"/>
      <c r="R951" s="88"/>
      <c r="S951" s="88"/>
      <c r="T951" s="88"/>
      <c r="U951" s="88"/>
      <c r="V951" s="88"/>
      <c r="W951" s="88"/>
      <c r="X951" s="88"/>
      <c r="Y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Q952" s="88"/>
      <c r="R952" s="88"/>
      <c r="S952" s="88"/>
      <c r="T952" s="88"/>
      <c r="U952" s="88"/>
      <c r="V952" s="88"/>
      <c r="W952" s="88"/>
      <c r="X952" s="88"/>
      <c r="Y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Q953" s="88"/>
      <c r="R953" s="88"/>
      <c r="S953" s="88"/>
      <c r="T953" s="88"/>
      <c r="U953" s="88"/>
      <c r="V953" s="88"/>
      <c r="W953" s="88"/>
      <c r="X953" s="88"/>
      <c r="Y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Q954" s="88"/>
      <c r="R954" s="88"/>
      <c r="S954" s="88"/>
      <c r="T954" s="88"/>
      <c r="U954" s="88"/>
      <c r="V954" s="88"/>
      <c r="W954" s="88"/>
      <c r="X954" s="88"/>
      <c r="Y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Q955" s="88"/>
      <c r="R955" s="88"/>
      <c r="S955" s="88"/>
      <c r="T955" s="88"/>
      <c r="U955" s="88"/>
      <c r="V955" s="88"/>
      <c r="W955" s="88"/>
      <c r="X955" s="88"/>
      <c r="Y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Q956" s="88"/>
      <c r="R956" s="88"/>
      <c r="S956" s="88"/>
      <c r="T956" s="88"/>
      <c r="U956" s="88"/>
      <c r="V956" s="88"/>
      <c r="W956" s="88"/>
      <c r="X956" s="88"/>
      <c r="Y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Q957" s="88"/>
      <c r="R957" s="88"/>
      <c r="S957" s="88"/>
      <c r="T957" s="88"/>
      <c r="U957" s="88"/>
      <c r="V957" s="88"/>
      <c r="W957" s="88"/>
      <c r="X957" s="88"/>
      <c r="Y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Q958" s="88"/>
      <c r="R958" s="88"/>
      <c r="S958" s="88"/>
      <c r="T958" s="88"/>
      <c r="U958" s="88"/>
      <c r="V958" s="88"/>
      <c r="W958" s="88"/>
      <c r="X958" s="88"/>
      <c r="Y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Q959" s="88"/>
      <c r="R959" s="88"/>
      <c r="S959" s="88"/>
      <c r="T959" s="88"/>
      <c r="U959" s="88"/>
      <c r="V959" s="88"/>
      <c r="W959" s="88"/>
      <c r="X959" s="88"/>
      <c r="Y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Q960" s="88"/>
      <c r="R960" s="88"/>
      <c r="S960" s="88"/>
      <c r="T960" s="88"/>
      <c r="U960" s="88"/>
      <c r="V960" s="88"/>
      <c r="W960" s="88"/>
      <c r="X960" s="88"/>
      <c r="Y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Q961" s="88"/>
      <c r="R961" s="88"/>
      <c r="S961" s="88"/>
      <c r="T961" s="88"/>
      <c r="U961" s="88"/>
      <c r="V961" s="88"/>
      <c r="W961" s="88"/>
      <c r="X961" s="88"/>
      <c r="Y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Q962" s="88"/>
      <c r="R962" s="88"/>
      <c r="S962" s="88"/>
      <c r="T962" s="88"/>
      <c r="U962" s="88"/>
      <c r="V962" s="88"/>
      <c r="W962" s="88"/>
      <c r="X962" s="88"/>
      <c r="Y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Q963" s="88"/>
      <c r="R963" s="88"/>
      <c r="S963" s="88"/>
      <c r="T963" s="88"/>
      <c r="U963" s="88"/>
      <c r="V963" s="88"/>
      <c r="W963" s="88"/>
      <c r="X963" s="88"/>
      <c r="Y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Q964" s="88"/>
      <c r="R964" s="88"/>
      <c r="S964" s="88"/>
      <c r="T964" s="88"/>
      <c r="U964" s="88"/>
      <c r="V964" s="88"/>
      <c r="W964" s="88"/>
      <c r="X964" s="88"/>
      <c r="Y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Q965" s="88"/>
      <c r="R965" s="88"/>
      <c r="S965" s="88"/>
      <c r="T965" s="88"/>
      <c r="U965" s="88"/>
      <c r="V965" s="88"/>
      <c r="W965" s="88"/>
      <c r="X965" s="88"/>
      <c r="Y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Q966" s="88"/>
      <c r="R966" s="88"/>
      <c r="S966" s="88"/>
      <c r="T966" s="88"/>
      <c r="U966" s="88"/>
      <c r="V966" s="88"/>
      <c r="W966" s="88"/>
      <c r="X966" s="88"/>
      <c r="Y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Q967" s="88"/>
      <c r="R967" s="88"/>
      <c r="S967" s="88"/>
      <c r="T967" s="88"/>
      <c r="U967" s="88"/>
      <c r="V967" s="88"/>
      <c r="W967" s="88"/>
      <c r="X967" s="88"/>
      <c r="Y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Q968" s="88"/>
      <c r="R968" s="88"/>
      <c r="S968" s="88"/>
      <c r="T968" s="88"/>
      <c r="U968" s="88"/>
      <c r="V968" s="88"/>
      <c r="W968" s="88"/>
      <c r="X968" s="88"/>
      <c r="Y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Q969" s="88"/>
      <c r="R969" s="88"/>
      <c r="S969" s="88"/>
      <c r="T969" s="88"/>
      <c r="U969" s="88"/>
      <c r="V969" s="88"/>
      <c r="W969" s="88"/>
      <c r="X969" s="88"/>
      <c r="Y969" s="88"/>
    </row>
    <row r="970">
      <c r="A970" s="140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Q970" s="88"/>
      <c r="R970" s="88"/>
      <c r="S970" s="88"/>
      <c r="T970" s="88"/>
      <c r="U970" s="88"/>
      <c r="V970" s="88"/>
      <c r="W970" s="88"/>
      <c r="X970" s="88"/>
      <c r="Y970" s="88"/>
    </row>
    <row r="971">
      <c r="Q971" s="88"/>
      <c r="R971" s="88"/>
      <c r="S971" s="88"/>
      <c r="T971" s="88"/>
      <c r="U971" s="88"/>
      <c r="V971" s="88"/>
      <c r="W971" s="88"/>
      <c r="X971" s="88"/>
      <c r="Y971" s="88"/>
    </row>
    <row r="972">
      <c r="Q972" s="88"/>
      <c r="R972" s="88"/>
      <c r="S972" s="88"/>
      <c r="T972" s="88"/>
      <c r="U972" s="88"/>
      <c r="V972" s="88"/>
      <c r="W972" s="88"/>
      <c r="X972" s="88"/>
      <c r="Y972" s="88"/>
    </row>
    <row r="973">
      <c r="Q973" s="88"/>
      <c r="R973" s="88"/>
      <c r="S973" s="88"/>
      <c r="T973" s="88"/>
      <c r="U973" s="88"/>
      <c r="V973" s="88"/>
      <c r="W973" s="88"/>
      <c r="X973" s="88"/>
      <c r="Y973" s="88"/>
    </row>
    <row r="974">
      <c r="Q974" s="88"/>
      <c r="R974" s="88"/>
      <c r="S974" s="88"/>
      <c r="T974" s="88"/>
      <c r="U974" s="88"/>
      <c r="V974" s="88"/>
      <c r="W974" s="88"/>
      <c r="X974" s="88"/>
      <c r="Y974" s="88"/>
    </row>
    <row r="975">
      <c r="Q975" s="88"/>
      <c r="R975" s="88"/>
      <c r="S975" s="88"/>
      <c r="T975" s="88"/>
      <c r="U975" s="88"/>
      <c r="V975" s="88"/>
      <c r="W975" s="88"/>
      <c r="X975" s="88"/>
      <c r="Y975" s="88"/>
    </row>
    <row r="976">
      <c r="Q976" s="88"/>
      <c r="R976" s="88"/>
      <c r="S976" s="88"/>
      <c r="T976" s="88"/>
      <c r="U976" s="88"/>
      <c r="V976" s="88"/>
      <c r="W976" s="88"/>
      <c r="X976" s="88"/>
      <c r="Y976" s="88"/>
    </row>
    <row r="977">
      <c r="Q977" s="88"/>
      <c r="R977" s="88"/>
      <c r="S977" s="88"/>
      <c r="T977" s="88"/>
      <c r="U977" s="88"/>
      <c r="V977" s="88"/>
      <c r="W977" s="88"/>
      <c r="X977" s="88"/>
      <c r="Y977" s="88"/>
    </row>
    <row r="978">
      <c r="Q978" s="88"/>
      <c r="R978" s="88"/>
      <c r="S978" s="88"/>
      <c r="T978" s="88"/>
      <c r="U978" s="88"/>
      <c r="V978" s="88"/>
      <c r="W978" s="88"/>
      <c r="X978" s="88"/>
      <c r="Y978" s="88"/>
    </row>
    <row r="979">
      <c r="Q979" s="88"/>
      <c r="R979" s="88"/>
      <c r="S979" s="88"/>
      <c r="T979" s="88"/>
      <c r="U979" s="88"/>
      <c r="V979" s="88"/>
      <c r="W979" s="88"/>
      <c r="X979" s="88"/>
      <c r="Y979" s="88"/>
    </row>
    <row r="980">
      <c r="Q980" s="88"/>
      <c r="R980" s="88"/>
      <c r="S980" s="88"/>
      <c r="T980" s="88"/>
      <c r="U980" s="88"/>
      <c r="V980" s="88"/>
      <c r="W980" s="88"/>
      <c r="X980" s="88"/>
      <c r="Y980" s="88"/>
    </row>
    <row r="981">
      <c r="Q981" s="88"/>
      <c r="R981" s="88"/>
      <c r="S981" s="88"/>
      <c r="T981" s="88"/>
      <c r="U981" s="88"/>
      <c r="V981" s="88"/>
      <c r="W981" s="88"/>
      <c r="X981" s="88"/>
      <c r="Y981" s="88"/>
    </row>
    <row r="982">
      <c r="Q982" s="88"/>
      <c r="R982" s="88"/>
      <c r="S982" s="88"/>
      <c r="T982" s="88"/>
      <c r="U982" s="88"/>
      <c r="V982" s="88"/>
      <c r="W982" s="88"/>
      <c r="X982" s="88"/>
      <c r="Y982" s="88"/>
    </row>
    <row r="983">
      <c r="Q983" s="88"/>
      <c r="R983" s="88"/>
      <c r="S983" s="88"/>
      <c r="T983" s="88"/>
      <c r="U983" s="88"/>
      <c r="V983" s="88"/>
      <c r="W983" s="88"/>
      <c r="X983" s="88"/>
      <c r="Y983" s="88"/>
    </row>
    <row r="984">
      <c r="Q984" s="88"/>
      <c r="R984" s="88"/>
      <c r="S984" s="88"/>
      <c r="T984" s="88"/>
      <c r="U984" s="88"/>
      <c r="V984" s="88"/>
      <c r="W984" s="88"/>
      <c r="X984" s="88"/>
      <c r="Y984" s="88"/>
    </row>
    <row r="985">
      <c r="Q985" s="88"/>
      <c r="R985" s="88"/>
      <c r="S985" s="88"/>
      <c r="T985" s="88"/>
      <c r="U985" s="88"/>
      <c r="V985" s="88"/>
      <c r="W985" s="88"/>
      <c r="X985" s="88"/>
      <c r="Y985" s="88"/>
    </row>
    <row r="986">
      <c r="Q986" s="88"/>
      <c r="R986" s="88"/>
      <c r="S986" s="88"/>
      <c r="T986" s="88"/>
      <c r="U986" s="88"/>
      <c r="V986" s="88"/>
      <c r="W986" s="88"/>
      <c r="X986" s="88"/>
      <c r="Y986" s="88"/>
    </row>
    <row r="987">
      <c r="Q987" s="88"/>
      <c r="R987" s="88"/>
      <c r="S987" s="88"/>
      <c r="T987" s="88"/>
      <c r="U987" s="88"/>
      <c r="V987" s="88"/>
      <c r="W987" s="88"/>
      <c r="X987" s="88"/>
      <c r="Y987" s="88"/>
    </row>
    <row r="988">
      <c r="Q988" s="88"/>
      <c r="R988" s="88"/>
      <c r="S988" s="88"/>
      <c r="T988" s="88"/>
      <c r="U988" s="88"/>
      <c r="V988" s="88"/>
      <c r="W988" s="88"/>
      <c r="X988" s="88"/>
      <c r="Y988" s="88"/>
    </row>
    <row r="989">
      <c r="Q989" s="88"/>
      <c r="R989" s="88"/>
      <c r="S989" s="88"/>
      <c r="T989" s="88"/>
      <c r="U989" s="88"/>
      <c r="V989" s="88"/>
      <c r="W989" s="88"/>
      <c r="X989" s="88"/>
      <c r="Y989" s="88"/>
    </row>
    <row r="990">
      <c r="Q990" s="88"/>
      <c r="R990" s="88"/>
      <c r="S990" s="88"/>
      <c r="T990" s="88"/>
      <c r="U990" s="88"/>
      <c r="V990" s="88"/>
      <c r="W990" s="88"/>
      <c r="X990" s="88"/>
      <c r="Y990" s="88"/>
    </row>
    <row r="991">
      <c r="Q991" s="88"/>
      <c r="R991" s="88"/>
      <c r="S991" s="88"/>
      <c r="T991" s="88"/>
      <c r="U991" s="88"/>
      <c r="V991" s="88"/>
      <c r="W991" s="88"/>
      <c r="X991" s="88"/>
      <c r="Y991" s="88"/>
    </row>
    <row r="992">
      <c r="Q992" s="88"/>
      <c r="R992" s="88"/>
      <c r="S992" s="88"/>
      <c r="T992" s="88"/>
      <c r="U992" s="88"/>
      <c r="V992" s="88"/>
      <c r="W992" s="88"/>
      <c r="X992" s="88"/>
      <c r="Y992" s="88"/>
    </row>
    <row r="993">
      <c r="Q993" s="88"/>
      <c r="R993" s="88"/>
      <c r="S993" s="88"/>
      <c r="T993" s="88"/>
      <c r="U993" s="88"/>
      <c r="V993" s="88"/>
      <c r="W993" s="88"/>
      <c r="X993" s="88"/>
      <c r="Y993" s="88"/>
    </row>
    <row r="994">
      <c r="Q994" s="88"/>
      <c r="R994" s="88"/>
      <c r="S994" s="88"/>
      <c r="T994" s="88"/>
      <c r="U994" s="88"/>
      <c r="V994" s="88"/>
      <c r="W994" s="88"/>
      <c r="X994" s="88"/>
      <c r="Y994" s="88"/>
    </row>
    <row r="995">
      <c r="Q995" s="88"/>
      <c r="R995" s="88"/>
      <c r="S995" s="88"/>
      <c r="T995" s="88"/>
      <c r="U995" s="88"/>
      <c r="V995" s="88"/>
      <c r="W995" s="88"/>
      <c r="X995" s="88"/>
      <c r="Y995" s="88"/>
    </row>
    <row r="996">
      <c r="Q996" s="88"/>
      <c r="R996" s="88"/>
      <c r="S996" s="88"/>
      <c r="T996" s="88"/>
      <c r="U996" s="88"/>
      <c r="V996" s="88"/>
      <c r="W996" s="88"/>
      <c r="X996" s="88"/>
      <c r="Y996" s="88"/>
    </row>
    <row r="997">
      <c r="Q997" s="88"/>
      <c r="R997" s="88"/>
      <c r="S997" s="88"/>
      <c r="T997" s="88"/>
      <c r="U997" s="88"/>
      <c r="V997" s="88"/>
      <c r="W997" s="88"/>
      <c r="X997" s="88"/>
      <c r="Y997" s="88"/>
    </row>
    <row r="998">
      <c r="Q998" s="88"/>
      <c r="R998" s="88"/>
      <c r="S998" s="88"/>
      <c r="T998" s="88"/>
      <c r="U998" s="88"/>
      <c r="V998" s="88"/>
      <c r="W998" s="88"/>
      <c r="X998" s="88"/>
      <c r="Y998" s="88"/>
    </row>
    <row r="999">
      <c r="Q999" s="88"/>
      <c r="R999" s="88"/>
      <c r="S999" s="88"/>
      <c r="T999" s="88"/>
      <c r="U999" s="88"/>
      <c r="V999" s="88"/>
      <c r="W999" s="88"/>
      <c r="X999" s="88"/>
      <c r="Y999" s="88"/>
    </row>
    <row r="1000">
      <c r="Q1000" s="88"/>
      <c r="R1000" s="88"/>
      <c r="S1000" s="88"/>
      <c r="T1000" s="88"/>
      <c r="U1000" s="88"/>
      <c r="V1000" s="88"/>
      <c r="W1000" s="88"/>
      <c r="X1000" s="88"/>
      <c r="Y1000" s="88"/>
    </row>
    <row r="1001">
      <c r="Q1001" s="88"/>
      <c r="R1001" s="88"/>
      <c r="S1001" s="88"/>
      <c r="T1001" s="88"/>
      <c r="U1001" s="88"/>
      <c r="V1001" s="88"/>
      <c r="W1001" s="88"/>
      <c r="X1001" s="88"/>
      <c r="Y1001" s="88"/>
    </row>
    <row r="1002">
      <c r="Q1002" s="88"/>
      <c r="R1002" s="88"/>
      <c r="S1002" s="88"/>
      <c r="T1002" s="88"/>
      <c r="U1002" s="88"/>
      <c r="V1002" s="88"/>
      <c r="W1002" s="88"/>
      <c r="X1002" s="88"/>
      <c r="Y1002" s="88"/>
    </row>
    <row r="1003">
      <c r="Q1003" s="88"/>
      <c r="R1003" s="88"/>
      <c r="S1003" s="88"/>
      <c r="T1003" s="88"/>
      <c r="U1003" s="88"/>
      <c r="V1003" s="88"/>
      <c r="W1003" s="88"/>
      <c r="X1003" s="88"/>
      <c r="Y1003" s="88"/>
    </row>
    <row r="1004">
      <c r="Q1004" s="88"/>
      <c r="R1004" s="88"/>
      <c r="S1004" s="88"/>
      <c r="T1004" s="88"/>
      <c r="U1004" s="88"/>
      <c r="V1004" s="88"/>
      <c r="W1004" s="88"/>
      <c r="X1004" s="88"/>
      <c r="Y1004" s="88"/>
    </row>
    <row r="1005">
      <c r="Q1005" s="88"/>
      <c r="R1005" s="88"/>
      <c r="S1005" s="88"/>
      <c r="T1005" s="88"/>
      <c r="U1005" s="88"/>
      <c r="V1005" s="88"/>
      <c r="W1005" s="88"/>
      <c r="X1005" s="88"/>
      <c r="Y1005" s="88"/>
    </row>
    <row r="1006">
      <c r="Q1006" s="88"/>
      <c r="R1006" s="88"/>
      <c r="S1006" s="88"/>
      <c r="T1006" s="88"/>
      <c r="U1006" s="88"/>
      <c r="V1006" s="88"/>
      <c r="W1006" s="88"/>
      <c r="X1006" s="88"/>
      <c r="Y1006" s="88"/>
    </row>
    <row r="1007">
      <c r="Q1007" s="88"/>
      <c r="R1007" s="88"/>
      <c r="S1007" s="88"/>
      <c r="T1007" s="88"/>
      <c r="U1007" s="88"/>
      <c r="V1007" s="88"/>
      <c r="W1007" s="88"/>
      <c r="X1007" s="88"/>
      <c r="Y1007" s="88"/>
    </row>
    <row r="1008">
      <c r="Q1008" s="88"/>
      <c r="R1008" s="88"/>
      <c r="S1008" s="88"/>
      <c r="T1008" s="88"/>
      <c r="U1008" s="88"/>
      <c r="V1008" s="88"/>
      <c r="W1008" s="88"/>
      <c r="X1008" s="88"/>
      <c r="Y1008" s="88"/>
    </row>
    <row r="1009">
      <c r="Q1009" s="88"/>
      <c r="R1009" s="88"/>
      <c r="S1009" s="88"/>
      <c r="T1009" s="88"/>
      <c r="U1009" s="88"/>
      <c r="V1009" s="88"/>
      <c r="W1009" s="88"/>
      <c r="X1009" s="88"/>
      <c r="Y1009" s="88"/>
    </row>
    <row r="1010">
      <c r="Q1010" s="88"/>
      <c r="R1010" s="88"/>
      <c r="S1010" s="88"/>
      <c r="T1010" s="88"/>
      <c r="U1010" s="88"/>
      <c r="V1010" s="88"/>
      <c r="W1010" s="88"/>
      <c r="X1010" s="88"/>
      <c r="Y1010" s="88"/>
    </row>
    <row r="1011">
      <c r="Q1011" s="88"/>
      <c r="R1011" s="88"/>
      <c r="S1011" s="88"/>
      <c r="T1011" s="88"/>
      <c r="U1011" s="88"/>
      <c r="V1011" s="88"/>
      <c r="W1011" s="88"/>
      <c r="X1011" s="88"/>
      <c r="Y1011" s="88"/>
    </row>
    <row r="1012">
      <c r="Q1012" s="88"/>
      <c r="R1012" s="88"/>
      <c r="S1012" s="88"/>
      <c r="T1012" s="88"/>
      <c r="U1012" s="88"/>
      <c r="V1012" s="88"/>
      <c r="W1012" s="88"/>
      <c r="X1012" s="88"/>
      <c r="Y1012" s="88"/>
    </row>
    <row r="1013">
      <c r="Q1013" s="88"/>
      <c r="R1013" s="88"/>
      <c r="S1013" s="88"/>
      <c r="T1013" s="88"/>
      <c r="U1013" s="88"/>
      <c r="V1013" s="88"/>
      <c r="W1013" s="88"/>
      <c r="X1013" s="88"/>
      <c r="Y1013" s="88"/>
    </row>
    <row r="1014">
      <c r="Q1014" s="88"/>
      <c r="R1014" s="88"/>
      <c r="S1014" s="88"/>
      <c r="T1014" s="88"/>
      <c r="U1014" s="88"/>
      <c r="V1014" s="88"/>
      <c r="W1014" s="88"/>
      <c r="X1014" s="88"/>
      <c r="Y1014" s="88"/>
    </row>
    <row r="1015">
      <c r="Q1015" s="88"/>
      <c r="R1015" s="88"/>
      <c r="S1015" s="88"/>
      <c r="T1015" s="88"/>
      <c r="U1015" s="88"/>
      <c r="V1015" s="88"/>
      <c r="W1015" s="88"/>
      <c r="X1015" s="88"/>
      <c r="Y1015" s="88"/>
    </row>
  </sheetData>
  <mergeCells count="1">
    <mergeCell ref="A1:F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SUMIFS($G$13:$G954, $E$13:$E954, "Rachel", $H$13:$H954, 1)-SUMIFS($G$13:$G954, $E$13:$E954, "Timothy", $I$13:$I954, 1)</f>
        <v>-160.8363911</v>
      </c>
      <c r="J3" s="21">
        <f>SUMIFS($G$13:$G954, $E$13:$E954, "BL", $H$13:$H954, 1)-SUMIFS($G$13:$G954, $E$13:$E954, "Timothy", $J$13:$J954, 1)</f>
        <v>38.77974607</v>
      </c>
      <c r="K3" s="21">
        <f>SUMIFS($G$13:$G954, $E$13:$E954, "Pigskin", $H$13:$H954, 1)-SUMIFS($G$13:$G954, $E$13:$E954, "Timothy", $K$13:$K954, 1)</f>
        <v>-20.73243381</v>
      </c>
      <c r="L3" s="21">
        <f>SUMIFS($G$13:$G954, $E$13:$E954, "Angel", $H$13:$H954, 1)-SUMIFS($G$13:$G954, $E$13:$E954, "Timothy", $L$13:$L954, 1)</f>
        <v>-5.491428571</v>
      </c>
      <c r="M3" s="21">
        <f>SUMIFS($G$13:$G954, $E$13:$E954, "Ivan", $H$13:$H954, 1)-SUMIFS($G$13:$G954, $E$13:$E954, "Timothy", $M$13:$M954, 1)</f>
        <v>-88.60289107</v>
      </c>
      <c r="N3" s="21">
        <f>SUMIFS($G$13:$G954, $E$13:$E954, "Esther", $H$13:$H954, 1)-SUMIFS($G$13:$G954, $E$13:$E954, "Timothy", $N$13:$N954, 1)</f>
        <v>-177.9438911</v>
      </c>
      <c r="O3" s="22">
        <f>SUMIFS($G$13:$G954, $E$13:$E954, "Ken9", $H$13:$H954, 1)-SUMIFS($G$13:$G954, $E$13:$E954, "Timothy", $O$13:$O954, 1)</f>
        <v>-8.6114625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SUMIFS($G$13:$G954, $E$13:$E954, "Timothy", $I$13:$I954, 1)-SUMIFS($G$13:$G954, $E$13:$E954, "Rachel", $H$13:$H954, 1)</f>
        <v>160.8363911</v>
      </c>
      <c r="I4" s="20"/>
      <c r="J4" s="25">
        <f>SUMIFS($G$13:$G954, $E$13:$E954, "BL", $I$13:$I954, 1)-SUMIFS($G$13:$G954, $E$13:$E954, "Rachel", $J$13:$J954, 1)</f>
        <v>183.0186371</v>
      </c>
      <c r="K4" s="25">
        <f>SUMIFS($G$13:$G954, $E$13:$E954, "Pigskin", $I$13:$I954, 1)-SUMIFS($G$13:$G954, $E$13:$E954, "Rachel", $K$13:$K954, 1)</f>
        <v>127.0131573</v>
      </c>
      <c r="L4" s="25">
        <f>SUMIFS($G$13:$G954, $E$13:$E954, "Angel", $I$13:$I954, 1)-SUMIFS($G$13:$G954, $E$13:$E954, "Rachel", $L$13:$L954, 1)</f>
        <v>0</v>
      </c>
      <c r="M4" s="25">
        <f>SUMIFS($G$13:$G954, $E$13:$E954, "Ivan", $I$13:$I954, 1)-SUMIFS($G$13:$G954, $E$13:$E954, "Rachel", $M$13:$M954, 1)</f>
        <v>0</v>
      </c>
      <c r="N4" s="25">
        <f>SUMIFS($G$13:$G954, $E$13:$E954, "Esther", $I$13:$I954, 1)-SUMIFS($G$13:$G954, $E$13:$E954, "Rachel", $N$13:$N954, 1)</f>
        <v>-2.16</v>
      </c>
      <c r="O4" s="26">
        <f>SUMIFS($G$13:$G954, $E$13:$E954, "Ken9", $I$13:$I954, 1)-SUMIFS($G$13:$G954, $E$13:$E954, "Rachel", $O$13:$O954,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SUMIFS($G$13:$G954, $E$13:$E954, "Timothy", $J$13:$J954, 1)-SUMIFS($G$13:$G954, $E$13:$E954, "BL", $H$13:$H954, 1)</f>
        <v>-38.77974607</v>
      </c>
      <c r="I5" s="28">
        <f>SUMIFS($G$13:$G954, $E$13:$E954, "Rachel", $J$13:$J954, 1)-SUMIFS($G$13:$G954, $E$13:$E954, "BL", $I$13:$I954, 1)</f>
        <v>-183.0186371</v>
      </c>
      <c r="J5" s="20"/>
      <c r="K5" s="25">
        <f>SUMIFS($G$13:$G954, $E$13:$E954, "Pigskin", $J$13:$J954, 1)-SUMIFS($G$13:$G954, $E$13:$E954, "BL", $K$13:$K954, 1)</f>
        <v>-55.69687988</v>
      </c>
      <c r="L5" s="28">
        <f>SUMIFS($G$13:$G954, $E$13:$E954, "Angel", $J$13:$J954, 1)-SUMIFS($G$13:$G954, $E$13:$E954, "BL", $L$13:$L954, 1)</f>
        <v>-102.0611286</v>
      </c>
      <c r="M5" s="25">
        <f>SUMIFS($G$13:$G954, $E$13:$E954, "Ivan", $J$13:$J954, 1)-SUMIFS($G$13:$G954, $E$13:$E954, "BL", $M$13:$M954, 1)</f>
        <v>-90.45692857</v>
      </c>
      <c r="N5" s="28">
        <f>SUMIFS($G$13:$G954, $E$13:$E954, "Esther", $J$13:$J954, 1)-SUMIFS($G$13:$G954, $E$13:$E954, "BL", $N$13:$N954, 1)</f>
        <v>-111.1510371</v>
      </c>
      <c r="O5" s="26">
        <f>SUMIFS($G$13:$G954, $E$13:$E954, "Ken9", $J$13:$J954, 1)-SUMIFS($G$13:$G954, $E$13:$E954, "BL", $O$13:$O954, 1)</f>
        <v>-6.127828571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SUMIFS($G$13:$G954, $E$13:$E954, "Timothy", $K$13:$K954, 1)-SUMIFS($G$13:$G954, $E$13:$E954, "Pigskin", $H$13:$H954, 1)</f>
        <v>20.73243381</v>
      </c>
      <c r="I6" s="28">
        <f>SUMIFS($G$13:$G954, $E$13:$E954, "Rachel", $K$13:$K954, 1)-SUMIFS($G$13:$G954, $E$13:$E954, "Pigskin", $I$13:$I954, 1)</f>
        <v>-127.0131573</v>
      </c>
      <c r="J6" s="28">
        <f>SUMIFS($G$13:$G954, $E$13:$E954, "BL", $K$13:$K954, 1)-SUMIFS($G$13:$G954, $E$13:$E954, "Pigskin", $J$13:$J954, 1)</f>
        <v>55.69687988</v>
      </c>
      <c r="K6" s="20"/>
      <c r="L6" s="25">
        <f>SUMIFS($G$13:$G954, $E$13:$E954, "Angel", $K$13:$K954, 1)-SUMIFS($G$13:$G954, $E$13:$E954, "Pigskin", $L$13:$L954, 1)</f>
        <v>-27.52857143</v>
      </c>
      <c r="M6" s="28">
        <f>SUMIFS($G$13:$G954, $E$13:$E954, "Ivan", $K$13:$K954, 1)-SUMIFS($G$13:$G954, $E$13:$E954, "Pigskin", $M$13:$M954, 1)</f>
        <v>-80.41799226</v>
      </c>
      <c r="N6" s="28">
        <f>SUMIFS($G$13:$G954, $E$13:$E954, "Esther", $K$13:$K954, 1)-SUMIFS($G$13:$G954, $E$13:$E954, "Pigskin", $N$13:$N954, 1)</f>
        <v>-92.44783226</v>
      </c>
      <c r="O6" s="26">
        <f>SUMIFS($G$13:$G954, $E$13:$E954, "Ken9", $K$13:$K954, 1)-SUMIFS($G$13:$G954, $E$13:$E954, "Pigskin", $O$13:$O954, 1)</f>
        <v>-16.1635875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SUMIFS($G$13:$G954, $E$13:$E954, "Timothy", $L$13:$L954, 1)-SUMIFS($G$13:$G954, $E$13:$E954, "Angel", $H$13:$H954, 1)</f>
        <v>5.491428571</v>
      </c>
      <c r="I7" s="25">
        <f>SUMIFS($G$13:$G954, $E$13:$E954, "Rachel", $L$13:$L954, 1)-SUMIFS($G$13:$G954, $E$13:$E954, "Angel", $I$13:$I954, 1)</f>
        <v>0</v>
      </c>
      <c r="J7" s="25">
        <f>SUMIFS($G$13:$G954, $E$13:$E954, "BL", $L$13:$L954, 1)-SUMIFS($G$13:$G954, $E$13:$E954, "Angel", $J$13:$J954, 1)</f>
        <v>102.0611286</v>
      </c>
      <c r="K7" s="25">
        <f>SUMIFS($G$13:$G954, $E$13:$E954, "Pigskin", $L$13:$L954, 1)-SUMIFS($G$13:$G954, $E$13:$E954, "Angel", $K$13:$K954, 1)</f>
        <v>27.52857143</v>
      </c>
      <c r="L7" s="20"/>
      <c r="M7" s="25">
        <f>SUMIFS($G$13:$G954, $E$13:$E954, "Ivan", $L$13:$L954, 1)-SUMIFS($G$13:$G954, $E$13:$E954, "Angel", $M$13:$M954, 1)</f>
        <v>0</v>
      </c>
      <c r="N7" s="28">
        <f>SUMIFS($G$13:$G954, $E$13:$E954, "Esther", $L$13:$L954, 1)-SUMIFS($G$13:$G954, $E$13:$E954, "Angel", $N$13:$N954, 1)</f>
        <v>0</v>
      </c>
      <c r="O7" s="31">
        <f>SUMIFS($G$13:$G954, $E$13:$E954, "Ken9", $L$13:$L954, 1)-SUMIFS($G$13:$G954, $E$13:$E954, "Angel", $O$13:$O954,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SUMIFS($G$13:$G954, $E$13:$E954, "Timothy", $M$13:$M954, 1)-SUMIFS($G$13:$G954, $E$13:$E954, "Ivan", $H$13:$H954, 1)</f>
        <v>88.60289107</v>
      </c>
      <c r="I8" s="28">
        <f>SUMIFS($G$13:$G954, $E$13:$E954, "Rachel", $M$13:$M954, 1)-SUMIFS($G$13:$G954, $E$13:$E954, "Ivan", $I$13:$I954, 1)</f>
        <v>0</v>
      </c>
      <c r="J8" s="25">
        <f>SUMIFS($G$13:$G954, $E$13:$E954, "BL", $M$13:$M954, 1)-SUMIFS($G$13:$G954, $E$13:$E954, "Ivan", $J$13:$J954, 1)</f>
        <v>90.45692857</v>
      </c>
      <c r="K8" s="25">
        <f>SUMIFS($G$13:$G954, $E$13:$E954, "Pigskin", $M$13:$M954, 1)-SUMIFS($G$13:$G954, $E$13:$E954, "Ivan", $K$13:$K954, 1)</f>
        <v>80.41799226</v>
      </c>
      <c r="L8" s="25">
        <f>SUMIFS($G$13:$G954, $E$13:$E954, "Angel", $M$13:$M954, 1)-SUMIFS($G$13:$G954, $E$13:$E954, "Ivan", $L$13:$L954, 1)</f>
        <v>0</v>
      </c>
      <c r="M8" s="20"/>
      <c r="N8" s="28">
        <f>SUMIFS($G$13:$G954, $E$13:$E954, "Esther", $M$13:$M954, 1)-SUMIFS($G$13:$G954, $E$13:$E954, "Ivan", $N$13:$N954, 1)</f>
        <v>0</v>
      </c>
      <c r="O8" s="31">
        <f>SUMIFS($G$13:$G954, $E$13:$E954, "Ken9", $M$13:$M954, 1)-SUMIFS($G$13:$G954, $E$13:$E954, "Ivan", $O$13:$O954,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SUMIFS($G$13:$G954, $E$13:$E954, "Timothy", $N$13:$N954, 1)-SUMIFS($G$13:$G954, $E$13:$E954, "Esther", $H$13:$H954, 1)</f>
        <v>177.9438911</v>
      </c>
      <c r="I9" s="25">
        <f>SUMIFS($G$13:$G954, $E$13:$E954, "Rachel", $N$13:$N954, 1)-SUMIFS($G$13:$G954, $E$13:$E954, "Esther", $I$13:$I954, 1)</f>
        <v>2.16</v>
      </c>
      <c r="J9" s="25">
        <f>SUMIFS($G$13:$G954, $E$13:$E954, "BL", $N$13:$N954, 1)-SUMIFS($G$13:$G954, $E$13:$E954, "Esther", $J$13:$J954, 1)</f>
        <v>111.1510371</v>
      </c>
      <c r="K9" s="25">
        <f>SUMIFS($G$13:$G954, $E$13:$E954, "Pigskin", $N$13:$N954, 1)-SUMIFS($G$13:$G954, $E$13:$E954, "Esther", $K$13:$K954, 1)</f>
        <v>92.44783226</v>
      </c>
      <c r="L9" s="25">
        <f>SUMIFS($G$13:$G954, $E$13:$E954, "Angel", $N$13:$N954, 1)-SUMIFS($G$13:$G954, $E$13:$E954, "Esther", $L$13:$L954, 1)</f>
        <v>0</v>
      </c>
      <c r="M9" s="25">
        <f>SUMIFS($G$13:$G954, $E$13:$E954, "Ivan", $N$13:$N954, 1)-SUMIFS($G$13:$G954, $E$13:$E954, "Esther", $M$13:$M954, 1)</f>
        <v>0</v>
      </c>
      <c r="N9" s="20"/>
      <c r="O9" s="31">
        <f>SUMIFS($G$13:$G954, $E$13:$E954, "Ken9", $N$13:$N954, 1)-SUMIFS($G$13:$G954, $E$13:$E954, "Esther", $O$13:$O954,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SUMIFS($G$13:$G954, $E$13:$E954, "Timothy", $O$13:$O954, 1)-SUMIFS($G$13:$G954, $E$13:$E954, "Ken9", $H$13:$H954, 1)</f>
        <v>8.6114625</v>
      </c>
      <c r="I10" s="40">
        <f>SUMIFS($G$13:$G954, $E$13:$E954, "Rachel", $O$13:$O954, 1)-SUMIFS($G$13:$G954, $E$13:$E954, "Ken9", $I$13:$I954, 1)</f>
        <v>0</v>
      </c>
      <c r="J10" s="40">
        <f>SUMIFS($G$13:$G954, $E$13:$E954, "BL", $O$13:$O954, 1)-SUMIFS($G$13:$G954, $E$13:$E954, "Ken9", $J$13:$J954, 1)</f>
        <v>6.127828571</v>
      </c>
      <c r="K10" s="40">
        <f>SUMIFS($G$13:$G954, $E$13:$E954, "Pigskin", $O$13:$O954, 1)-SUMIFS($G$13:$G954, $E$13:$E954, "Ken9", $K$13:$K954, 1)</f>
        <v>16.1635875</v>
      </c>
      <c r="L10" s="40">
        <f>SUMIFS($G$13:$G954, $E$13:$E954, "Angel", $O$13:$O954, 1)-SUMIFS($G$13:$G954, $E$13:$E954, "Ken9", $L$13:$L954, 1)</f>
        <v>0</v>
      </c>
      <c r="M10" s="40">
        <f>SUMIFS($G$13:$G954, $E$13:$E954, "Ivan", $O$13:$O954, 1)-SUMIFS($G$13:$G954, $E$13:$E954, "Ken9", $M$13:$M954, 1)</f>
        <v>0</v>
      </c>
      <c r="N10" s="40">
        <f>SUMIFS($G$13:$G954, $E$13:$E954, "Esther", $O$13:$O954, 1)-SUMIFS($G$13:$G954, $E$13:$E954, "Ken9", $N$13:$N954,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/>
      <c r="Q12" s="12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9">
        <v>45409.0</v>
      </c>
      <c r="B13" s="12" t="s">
        <v>350</v>
      </c>
      <c r="C13" s="12" t="s">
        <v>11</v>
      </c>
      <c r="D13" s="12">
        <v>38.44</v>
      </c>
      <c r="E13" s="12" t="s">
        <v>2</v>
      </c>
      <c r="F13" s="10">
        <f t="shared" ref="F13:F48" si="1">D13/sum(H13:Q13)</f>
        <v>7.688</v>
      </c>
      <c r="G13" s="10">
        <f t="shared" ref="G13:G48" si="2">D13/sum(H13:Q13)</f>
        <v>7.688</v>
      </c>
      <c r="H13" s="1">
        <v>1.0</v>
      </c>
      <c r="I13" s="1">
        <v>1.0</v>
      </c>
      <c r="J13" s="1">
        <v>1.0</v>
      </c>
      <c r="K13" s="1">
        <v>1.0</v>
      </c>
      <c r="N13" s="1">
        <v>1.0</v>
      </c>
      <c r="Z13" s="10"/>
      <c r="AA13" s="10"/>
    </row>
    <row r="14">
      <c r="A14" s="61">
        <v>45413.0</v>
      </c>
      <c r="B14" s="12" t="s">
        <v>120</v>
      </c>
      <c r="C14" s="12" t="s">
        <v>11</v>
      </c>
      <c r="D14" s="12">
        <v>1.98</v>
      </c>
      <c r="E14" s="12" t="s">
        <v>14</v>
      </c>
      <c r="F14" s="10">
        <f t="shared" si="1"/>
        <v>0.396</v>
      </c>
      <c r="G14" s="10">
        <f t="shared" si="2"/>
        <v>0.396</v>
      </c>
      <c r="H14" s="1">
        <v>1.0</v>
      </c>
      <c r="I14" s="1">
        <v>1.0</v>
      </c>
      <c r="J14" s="1">
        <v>1.0</v>
      </c>
      <c r="K14" s="1">
        <v>1.0</v>
      </c>
      <c r="N14" s="1">
        <v>1.0</v>
      </c>
      <c r="Z14" s="10"/>
      <c r="AA14" s="10"/>
    </row>
    <row r="15">
      <c r="A15" s="59">
        <v>45413.0</v>
      </c>
      <c r="B15" s="12" t="s">
        <v>46</v>
      </c>
      <c r="C15" s="12" t="s">
        <v>11</v>
      </c>
      <c r="D15" s="12">
        <v>20.88</v>
      </c>
      <c r="E15" s="12" t="s">
        <v>13</v>
      </c>
      <c r="F15" s="10">
        <f t="shared" si="1"/>
        <v>4.176</v>
      </c>
      <c r="G15" s="10">
        <f t="shared" si="2"/>
        <v>4.176</v>
      </c>
      <c r="H15" s="1">
        <v>1.0</v>
      </c>
      <c r="I15" s="1">
        <v>1.0</v>
      </c>
      <c r="J15" s="1">
        <v>1.0</v>
      </c>
      <c r="K15" s="1">
        <v>1.0</v>
      </c>
      <c r="N15" s="1">
        <v>1.0</v>
      </c>
      <c r="Z15" s="10"/>
      <c r="AA15" s="10"/>
    </row>
    <row r="16">
      <c r="A16" s="55">
        <v>45414.0</v>
      </c>
      <c r="B16" s="12" t="s">
        <v>351</v>
      </c>
      <c r="C16" s="12" t="s">
        <v>11</v>
      </c>
      <c r="D16" s="12">
        <v>85.34</v>
      </c>
      <c r="E16" s="12" t="s">
        <v>2</v>
      </c>
      <c r="F16" s="10">
        <f t="shared" si="1"/>
        <v>17.068</v>
      </c>
      <c r="G16" s="10">
        <f t="shared" si="2"/>
        <v>17.068</v>
      </c>
      <c r="H16" s="1">
        <v>1.0</v>
      </c>
      <c r="I16" s="1">
        <v>1.0</v>
      </c>
      <c r="J16" s="1">
        <v>1.0</v>
      </c>
      <c r="K16" s="1">
        <v>1.0</v>
      </c>
      <c r="N16" s="1">
        <v>1.0</v>
      </c>
      <c r="Z16" s="10"/>
      <c r="AA16" s="10"/>
    </row>
    <row r="17">
      <c r="A17" s="55">
        <v>45415.0</v>
      </c>
      <c r="B17" s="12" t="s">
        <v>248</v>
      </c>
      <c r="C17" s="12" t="s">
        <v>11</v>
      </c>
      <c r="D17" s="12">
        <v>10.59</v>
      </c>
      <c r="E17" s="12" t="s">
        <v>13</v>
      </c>
      <c r="F17" s="10">
        <f t="shared" si="1"/>
        <v>10.59</v>
      </c>
      <c r="G17" s="10">
        <f t="shared" si="2"/>
        <v>10.59</v>
      </c>
      <c r="M17" s="1">
        <v>1.0</v>
      </c>
      <c r="Z17" s="10"/>
      <c r="AA17" s="10"/>
    </row>
    <row r="18">
      <c r="A18" s="55">
        <v>45415.0</v>
      </c>
      <c r="B18" s="12" t="s">
        <v>248</v>
      </c>
      <c r="C18" s="12" t="s">
        <v>11</v>
      </c>
      <c r="D18" s="12">
        <v>47.6</v>
      </c>
      <c r="E18" s="12" t="s">
        <v>13</v>
      </c>
      <c r="F18" s="10">
        <f t="shared" si="1"/>
        <v>9.52</v>
      </c>
      <c r="G18" s="10">
        <f t="shared" si="2"/>
        <v>9.52</v>
      </c>
      <c r="H18" s="1">
        <v>1.0</v>
      </c>
      <c r="I18" s="1">
        <v>1.0</v>
      </c>
      <c r="J18" s="1">
        <v>1.0</v>
      </c>
      <c r="K18" s="1">
        <v>1.0</v>
      </c>
      <c r="N18" s="1">
        <v>1.0</v>
      </c>
      <c r="Z18" s="10"/>
      <c r="AA18" s="10"/>
    </row>
    <row r="19">
      <c r="A19" s="55">
        <v>45415.0</v>
      </c>
      <c r="B19" s="12" t="s">
        <v>209</v>
      </c>
      <c r="C19" s="12" t="s">
        <v>11</v>
      </c>
      <c r="D19" s="12">
        <v>89.25</v>
      </c>
      <c r="E19" s="12" t="s">
        <v>13</v>
      </c>
      <c r="F19" s="67">
        <f t="shared" si="1"/>
        <v>14.875</v>
      </c>
      <c r="G19" s="10">
        <f t="shared" si="2"/>
        <v>14.875</v>
      </c>
      <c r="H19" s="1">
        <v>1.0</v>
      </c>
      <c r="I19" s="1">
        <v>1.0</v>
      </c>
      <c r="J19" s="1">
        <v>1.0</v>
      </c>
      <c r="K19" s="1">
        <v>1.0</v>
      </c>
      <c r="L19" s="1">
        <v>1.0</v>
      </c>
      <c r="M19" s="1">
        <v>1.0</v>
      </c>
      <c r="Q19" s="1"/>
      <c r="Z19" s="10"/>
      <c r="AA19" s="10"/>
    </row>
    <row r="20">
      <c r="A20" s="61">
        <v>45416.0</v>
      </c>
      <c r="B20" s="51" t="s">
        <v>120</v>
      </c>
      <c r="C20" s="51" t="s">
        <v>11</v>
      </c>
      <c r="D20" s="51">
        <v>38.44</v>
      </c>
      <c r="E20" s="51" t="s">
        <v>2</v>
      </c>
      <c r="F20" s="10">
        <f t="shared" si="1"/>
        <v>5.491428571</v>
      </c>
      <c r="G20" s="10">
        <f t="shared" si="2"/>
        <v>5.491428571</v>
      </c>
      <c r="H20" s="52">
        <v>1.0</v>
      </c>
      <c r="I20" s="52">
        <v>1.0</v>
      </c>
      <c r="J20" s="52">
        <v>1.0</v>
      </c>
      <c r="K20" s="52">
        <v>1.0</v>
      </c>
      <c r="L20" s="54">
        <v>1.0</v>
      </c>
      <c r="M20" s="54">
        <v>1.0</v>
      </c>
      <c r="N20" s="52">
        <v>1.0</v>
      </c>
      <c r="Z20" s="10"/>
      <c r="AA20" s="10"/>
    </row>
    <row r="21">
      <c r="A21" s="61">
        <v>45417.0</v>
      </c>
      <c r="B21" s="51" t="s">
        <v>352</v>
      </c>
      <c r="C21" s="51" t="s">
        <v>33</v>
      </c>
      <c r="D21" s="63">
        <v>29.3574</v>
      </c>
      <c r="E21" s="51" t="s">
        <v>7</v>
      </c>
      <c r="F21" s="10">
        <f t="shared" si="1"/>
        <v>14.6787</v>
      </c>
      <c r="G21" s="10">
        <f t="shared" si="2"/>
        <v>14.6787</v>
      </c>
      <c r="H21" s="52"/>
      <c r="I21" s="54"/>
      <c r="J21" s="54"/>
      <c r="K21" s="54">
        <v>1.0</v>
      </c>
      <c r="L21" s="53"/>
      <c r="M21" s="53"/>
      <c r="N21" s="54">
        <v>1.0</v>
      </c>
      <c r="Z21" s="10"/>
      <c r="AA21" s="10"/>
    </row>
    <row r="22">
      <c r="A22" s="61">
        <v>45417.0</v>
      </c>
      <c r="B22" s="51" t="s">
        <v>352</v>
      </c>
      <c r="C22" s="51" t="s">
        <v>33</v>
      </c>
      <c r="D22" s="63">
        <v>6.7574</v>
      </c>
      <c r="E22" s="51" t="s">
        <v>7</v>
      </c>
      <c r="F22" s="10">
        <f t="shared" si="1"/>
        <v>6.7574</v>
      </c>
      <c r="G22" s="10">
        <f t="shared" si="2"/>
        <v>6.7574</v>
      </c>
      <c r="H22" s="52"/>
      <c r="I22" s="52"/>
      <c r="J22" s="52"/>
      <c r="K22" s="52">
        <v>1.0</v>
      </c>
      <c r="L22" s="53"/>
      <c r="M22" s="54"/>
      <c r="N22" s="52"/>
      <c r="Z22" s="10"/>
      <c r="AA22" s="10"/>
    </row>
    <row r="23">
      <c r="A23" s="61">
        <v>45417.0</v>
      </c>
      <c r="B23" s="51" t="s">
        <v>352</v>
      </c>
      <c r="C23" s="51" t="s">
        <v>33</v>
      </c>
      <c r="D23" s="51">
        <v>16.93</v>
      </c>
      <c r="E23" s="51" t="s">
        <v>7</v>
      </c>
      <c r="F23" s="10">
        <f t="shared" si="1"/>
        <v>16.93</v>
      </c>
      <c r="G23" s="10">
        <f t="shared" si="2"/>
        <v>16.93</v>
      </c>
      <c r="H23" s="52"/>
      <c r="I23" s="52">
        <v>1.0</v>
      </c>
      <c r="J23" s="52"/>
      <c r="K23" s="52"/>
      <c r="L23" s="53"/>
      <c r="M23" s="53"/>
      <c r="N23" s="52"/>
      <c r="Z23" s="10"/>
      <c r="AA23" s="10"/>
    </row>
    <row r="24">
      <c r="A24" s="61">
        <v>45417.0</v>
      </c>
      <c r="B24" s="51" t="s">
        <v>353</v>
      </c>
      <c r="C24" s="51" t="s">
        <v>23</v>
      </c>
      <c r="D24" s="51">
        <v>57.25</v>
      </c>
      <c r="E24" s="51" t="s">
        <v>4</v>
      </c>
      <c r="F24" s="10">
        <f t="shared" si="1"/>
        <v>11.45</v>
      </c>
      <c r="G24" s="10">
        <f t="shared" si="2"/>
        <v>11.45</v>
      </c>
      <c r="H24" s="52">
        <v>1.0</v>
      </c>
      <c r="I24" s="52">
        <v>1.0</v>
      </c>
      <c r="J24" s="52">
        <v>1.0</v>
      </c>
      <c r="K24" s="52">
        <v>1.0</v>
      </c>
      <c r="L24" s="54"/>
      <c r="M24" s="53"/>
      <c r="N24" s="52">
        <v>1.0</v>
      </c>
      <c r="Z24" s="10"/>
      <c r="AA24" s="10"/>
    </row>
    <row r="25">
      <c r="A25" s="61">
        <v>45417.0</v>
      </c>
      <c r="B25" s="51" t="s">
        <v>149</v>
      </c>
      <c r="C25" s="51" t="s">
        <v>11</v>
      </c>
      <c r="D25" s="63">
        <v>47.08</v>
      </c>
      <c r="E25" s="51" t="s">
        <v>14</v>
      </c>
      <c r="F25" s="10">
        <f t="shared" si="1"/>
        <v>9.416</v>
      </c>
      <c r="G25" s="10">
        <f t="shared" si="2"/>
        <v>9.416</v>
      </c>
      <c r="H25" s="52">
        <v>1.0</v>
      </c>
      <c r="I25" s="52">
        <v>1.0</v>
      </c>
      <c r="J25" s="52">
        <v>1.0</v>
      </c>
      <c r="K25" s="52">
        <v>1.0</v>
      </c>
      <c r="L25" s="53"/>
      <c r="M25" s="53"/>
      <c r="N25" s="52">
        <v>1.0</v>
      </c>
      <c r="Z25" s="10"/>
      <c r="AA25" s="10"/>
    </row>
    <row r="26">
      <c r="A26" s="61">
        <v>45417.0</v>
      </c>
      <c r="B26" s="51" t="s">
        <v>354</v>
      </c>
      <c r="C26" s="51" t="s">
        <v>23</v>
      </c>
      <c r="D26" s="51">
        <v>19.2</v>
      </c>
      <c r="E26" s="51" t="s">
        <v>14</v>
      </c>
      <c r="F26" s="10">
        <f t="shared" si="1"/>
        <v>3.84</v>
      </c>
      <c r="G26" s="10">
        <f t="shared" si="2"/>
        <v>3.84</v>
      </c>
      <c r="H26" s="52">
        <v>1.0</v>
      </c>
      <c r="I26" s="52">
        <v>1.0</v>
      </c>
      <c r="J26" s="52">
        <v>1.0</v>
      </c>
      <c r="K26" s="52">
        <v>1.0</v>
      </c>
      <c r="L26" s="53"/>
      <c r="M26" s="53"/>
      <c r="N26" s="52">
        <v>1.0</v>
      </c>
      <c r="Z26" s="10"/>
      <c r="AA26" s="10"/>
    </row>
    <row r="27">
      <c r="A27" s="59">
        <v>45417.0</v>
      </c>
      <c r="B27" s="12" t="s">
        <v>355</v>
      </c>
      <c r="C27" s="12" t="s">
        <v>11</v>
      </c>
      <c r="D27" s="12">
        <v>19.28</v>
      </c>
      <c r="E27" s="12" t="s">
        <v>14</v>
      </c>
      <c r="F27" s="10">
        <f t="shared" si="1"/>
        <v>3.213333333</v>
      </c>
      <c r="G27" s="10">
        <f t="shared" si="2"/>
        <v>3.213333333</v>
      </c>
      <c r="H27" s="1">
        <v>1.0</v>
      </c>
      <c r="I27" s="1">
        <v>1.0</v>
      </c>
      <c r="J27" s="1">
        <v>1.0</v>
      </c>
      <c r="K27" s="1">
        <v>1.0</v>
      </c>
      <c r="M27" s="1">
        <v>1.0</v>
      </c>
      <c r="N27" s="1">
        <v>1.0</v>
      </c>
      <c r="Z27" s="10"/>
      <c r="AA27" s="10"/>
    </row>
    <row r="28">
      <c r="A28" s="59">
        <v>45418.0</v>
      </c>
      <c r="B28" s="12" t="s">
        <v>46</v>
      </c>
      <c r="C28" s="12" t="s">
        <v>11</v>
      </c>
      <c r="D28" s="12">
        <v>37.13</v>
      </c>
      <c r="E28" s="12" t="s">
        <v>14</v>
      </c>
      <c r="F28" s="10">
        <f t="shared" si="1"/>
        <v>7.426</v>
      </c>
      <c r="G28" s="10">
        <f t="shared" si="2"/>
        <v>7.426</v>
      </c>
      <c r="H28" s="1">
        <v>1.0</v>
      </c>
      <c r="I28" s="1">
        <v>1.0</v>
      </c>
      <c r="J28" s="1">
        <v>1.0</v>
      </c>
      <c r="K28" s="1">
        <v>1.0</v>
      </c>
      <c r="M28" s="1">
        <v>1.0</v>
      </c>
      <c r="Z28" s="10"/>
      <c r="AA28" s="10"/>
    </row>
    <row r="29">
      <c r="A29" s="59">
        <v>45419.0</v>
      </c>
      <c r="B29" s="12" t="s">
        <v>46</v>
      </c>
      <c r="C29" s="12" t="s">
        <v>11</v>
      </c>
      <c r="D29" s="12">
        <v>10.85</v>
      </c>
      <c r="E29" s="12" t="s">
        <v>13</v>
      </c>
      <c r="F29" s="10">
        <f t="shared" si="1"/>
        <v>2.17</v>
      </c>
      <c r="G29" s="10">
        <f t="shared" si="2"/>
        <v>2.17</v>
      </c>
      <c r="H29" s="1">
        <v>1.0</v>
      </c>
      <c r="I29" s="1">
        <v>1.0</v>
      </c>
      <c r="J29" s="1">
        <v>1.0</v>
      </c>
      <c r="K29" s="1">
        <v>1.0</v>
      </c>
      <c r="N29" s="1">
        <v>1.0</v>
      </c>
      <c r="Z29" s="10"/>
      <c r="AA29" s="10"/>
    </row>
    <row r="30">
      <c r="A30" s="59">
        <v>45420.0</v>
      </c>
      <c r="B30" s="12" t="s">
        <v>356</v>
      </c>
      <c r="C30" s="12" t="s">
        <v>11</v>
      </c>
      <c r="D30" s="12">
        <v>63.56</v>
      </c>
      <c r="E30" s="12" t="s">
        <v>13</v>
      </c>
      <c r="F30" s="10">
        <f t="shared" si="1"/>
        <v>15.89</v>
      </c>
      <c r="G30" s="10">
        <f t="shared" si="2"/>
        <v>15.89</v>
      </c>
      <c r="H30" s="1">
        <v>1.0</v>
      </c>
      <c r="I30" s="1">
        <v>1.0</v>
      </c>
      <c r="J30" s="1">
        <v>1.0</v>
      </c>
      <c r="K30" s="1">
        <v>1.0</v>
      </c>
      <c r="Z30" s="10"/>
      <c r="AA30" s="10"/>
    </row>
    <row r="31">
      <c r="A31" s="59">
        <v>45421.0</v>
      </c>
      <c r="B31" s="12" t="s">
        <v>357</v>
      </c>
      <c r="C31" s="12" t="s">
        <v>23</v>
      </c>
      <c r="D31" s="12">
        <f>5*1.13</f>
        <v>5.65</v>
      </c>
      <c r="E31" s="12" t="s">
        <v>2</v>
      </c>
      <c r="F31" s="10">
        <f t="shared" si="1"/>
        <v>2.825</v>
      </c>
      <c r="G31" s="10">
        <f t="shared" si="2"/>
        <v>2.825</v>
      </c>
      <c r="H31" s="1">
        <v>1.0</v>
      </c>
      <c r="J31" s="1">
        <v>1.0</v>
      </c>
      <c r="Z31" s="10"/>
      <c r="AA31" s="10"/>
    </row>
    <row r="32">
      <c r="A32" s="61">
        <v>45421.0</v>
      </c>
      <c r="B32" s="51" t="s">
        <v>358</v>
      </c>
      <c r="C32" s="51" t="s">
        <v>11</v>
      </c>
      <c r="D32" s="51">
        <f>8.49*1.13</f>
        <v>9.5937</v>
      </c>
      <c r="E32" s="51" t="s">
        <v>13</v>
      </c>
      <c r="F32" s="10">
        <f t="shared" si="1"/>
        <v>1.91874</v>
      </c>
      <c r="G32" s="10">
        <f t="shared" si="2"/>
        <v>1.91874</v>
      </c>
      <c r="H32" s="52">
        <v>1.0</v>
      </c>
      <c r="I32" s="52">
        <v>1.0</v>
      </c>
      <c r="J32" s="52">
        <v>1.0</v>
      </c>
      <c r="K32" s="52">
        <v>1.0</v>
      </c>
      <c r="L32" s="54"/>
      <c r="M32" s="54"/>
      <c r="N32" s="52">
        <v>1.0</v>
      </c>
      <c r="Z32" s="10"/>
      <c r="AA32" s="10"/>
    </row>
    <row r="33">
      <c r="A33" s="55">
        <v>45421.0</v>
      </c>
      <c r="B33" s="12" t="s">
        <v>155</v>
      </c>
      <c r="C33" s="12" t="s">
        <v>11</v>
      </c>
      <c r="D33" s="12">
        <v>68.93</v>
      </c>
      <c r="E33" s="12" t="s">
        <v>14</v>
      </c>
      <c r="F33" s="10">
        <f t="shared" si="1"/>
        <v>13.786</v>
      </c>
      <c r="G33" s="10">
        <f t="shared" si="2"/>
        <v>13.786</v>
      </c>
      <c r="H33" s="1">
        <v>1.0</v>
      </c>
      <c r="I33" s="1">
        <v>1.0</v>
      </c>
      <c r="J33" s="1">
        <v>1.0</v>
      </c>
      <c r="K33" s="1">
        <v>1.0</v>
      </c>
      <c r="N33" s="1">
        <v>1.0</v>
      </c>
      <c r="Z33" s="10"/>
      <c r="AA33" s="10"/>
    </row>
    <row r="34">
      <c r="A34" s="55">
        <v>45422.0</v>
      </c>
      <c r="B34" s="12" t="s">
        <v>46</v>
      </c>
      <c r="C34" s="12" t="s">
        <v>11</v>
      </c>
      <c r="D34" s="12">
        <v>25.88</v>
      </c>
      <c r="E34" s="12" t="s">
        <v>13</v>
      </c>
      <c r="F34" s="10">
        <f t="shared" si="1"/>
        <v>6.47</v>
      </c>
      <c r="G34" s="10">
        <f t="shared" si="2"/>
        <v>6.47</v>
      </c>
      <c r="H34" s="1">
        <v>1.0</v>
      </c>
      <c r="I34" s="1">
        <v>1.0</v>
      </c>
      <c r="J34" s="1">
        <v>1.0</v>
      </c>
      <c r="K34" s="1">
        <v>1.0</v>
      </c>
      <c r="Z34" s="10"/>
      <c r="AA34" s="10"/>
    </row>
    <row r="35">
      <c r="A35" s="61">
        <v>45423.0</v>
      </c>
      <c r="B35" s="12" t="s">
        <v>359</v>
      </c>
      <c r="C35" s="12" t="s">
        <v>33</v>
      </c>
      <c r="D35" s="51">
        <v>45.2</v>
      </c>
      <c r="E35" s="51" t="s">
        <v>7</v>
      </c>
      <c r="F35" s="10">
        <f t="shared" si="1"/>
        <v>22.6</v>
      </c>
      <c r="G35" s="10">
        <f t="shared" si="2"/>
        <v>22.6</v>
      </c>
      <c r="J35" s="1">
        <v>1.0</v>
      </c>
      <c r="N35" s="1">
        <v>1.0</v>
      </c>
      <c r="Z35" s="10"/>
      <c r="AA35" s="10"/>
    </row>
    <row r="36">
      <c r="A36" s="59">
        <v>45423.0</v>
      </c>
      <c r="B36" s="12" t="s">
        <v>360</v>
      </c>
      <c r="C36" s="12" t="s">
        <v>11</v>
      </c>
      <c r="D36" s="12">
        <v>0.0</v>
      </c>
      <c r="E36" s="12" t="s">
        <v>2</v>
      </c>
      <c r="F36" s="10">
        <f t="shared" si="1"/>
        <v>0</v>
      </c>
      <c r="G36" s="10">
        <f t="shared" si="2"/>
        <v>0</v>
      </c>
      <c r="H36" s="1">
        <v>1.0</v>
      </c>
      <c r="I36" s="1">
        <v>1.0</v>
      </c>
      <c r="J36" s="1">
        <v>1.0</v>
      </c>
      <c r="K36" s="1">
        <v>1.0</v>
      </c>
      <c r="N36" s="1">
        <v>1.0</v>
      </c>
      <c r="Z36" s="10"/>
      <c r="AA36" s="10"/>
    </row>
    <row r="37">
      <c r="A37" s="141">
        <v>45423.0</v>
      </c>
      <c r="B37" s="87" t="s">
        <v>361</v>
      </c>
      <c r="C37" s="87" t="s">
        <v>27</v>
      </c>
      <c r="D37" s="87">
        <v>178.31</v>
      </c>
      <c r="E37" s="87" t="s">
        <v>2</v>
      </c>
      <c r="F37" s="65">
        <f t="shared" si="1"/>
        <v>35.662</v>
      </c>
      <c r="G37" s="65">
        <f t="shared" si="2"/>
        <v>35.662</v>
      </c>
      <c r="H37" s="54">
        <v>1.0</v>
      </c>
      <c r="I37" s="54">
        <v>1.0</v>
      </c>
      <c r="J37" s="54">
        <v>1.0</v>
      </c>
      <c r="K37" s="54">
        <v>1.0</v>
      </c>
      <c r="L37" s="53"/>
      <c r="M37" s="53"/>
      <c r="N37" s="54">
        <v>1.0</v>
      </c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</row>
    <row r="38">
      <c r="A38" s="59">
        <v>45423.0</v>
      </c>
      <c r="B38" s="12" t="s">
        <v>177</v>
      </c>
      <c r="C38" s="12" t="s">
        <v>11</v>
      </c>
      <c r="D38" s="12">
        <v>65.0</v>
      </c>
      <c r="E38" s="12" t="s">
        <v>2</v>
      </c>
      <c r="F38" s="10">
        <f t="shared" si="1"/>
        <v>13</v>
      </c>
      <c r="G38" s="10">
        <f t="shared" si="2"/>
        <v>13</v>
      </c>
      <c r="H38" s="1">
        <v>1.0</v>
      </c>
      <c r="I38" s="1">
        <v>1.0</v>
      </c>
      <c r="J38" s="1">
        <v>1.0</v>
      </c>
      <c r="K38" s="1">
        <v>1.0</v>
      </c>
      <c r="N38" s="1">
        <v>1.0</v>
      </c>
      <c r="Z38" s="10"/>
      <c r="AA38" s="10"/>
    </row>
    <row r="39">
      <c r="A39" s="59">
        <v>45423.0</v>
      </c>
      <c r="B39" s="12" t="s">
        <v>362</v>
      </c>
      <c r="C39" s="12" t="s">
        <v>11</v>
      </c>
      <c r="D39" s="12">
        <v>200.0</v>
      </c>
      <c r="E39" s="12" t="s">
        <v>13</v>
      </c>
      <c r="F39" s="67">
        <f t="shared" si="1"/>
        <v>28.57142857</v>
      </c>
      <c r="G39" s="10">
        <f t="shared" si="2"/>
        <v>28.57142857</v>
      </c>
      <c r="H39" s="1">
        <v>1.0</v>
      </c>
      <c r="I39" s="1">
        <v>1.0</v>
      </c>
      <c r="J39" s="1">
        <v>1.0</v>
      </c>
      <c r="K39" s="1">
        <v>1.0</v>
      </c>
      <c r="L39" s="1">
        <v>1.0</v>
      </c>
      <c r="M39" s="1">
        <v>1.0</v>
      </c>
      <c r="N39" s="1">
        <v>1.0</v>
      </c>
      <c r="Z39" s="10"/>
      <c r="AA39" s="10"/>
    </row>
    <row r="40">
      <c r="A40" s="61">
        <v>45424.0</v>
      </c>
      <c r="B40" s="51" t="s">
        <v>191</v>
      </c>
      <c r="C40" s="51" t="s">
        <v>11</v>
      </c>
      <c r="D40" s="51">
        <v>19.71</v>
      </c>
      <c r="E40" s="51" t="s">
        <v>4</v>
      </c>
      <c r="F40" s="10">
        <f t="shared" si="1"/>
        <v>4.9275</v>
      </c>
      <c r="G40" s="10">
        <f t="shared" si="2"/>
        <v>4.9275</v>
      </c>
      <c r="H40" s="52">
        <v>1.0</v>
      </c>
      <c r="I40" s="54">
        <v>1.0</v>
      </c>
      <c r="J40" s="52">
        <v>1.0</v>
      </c>
      <c r="K40" s="54">
        <v>1.0</v>
      </c>
      <c r="L40" s="53"/>
      <c r="M40" s="53"/>
      <c r="N40" s="54"/>
      <c r="Z40" s="10"/>
      <c r="AA40" s="10"/>
    </row>
    <row r="41">
      <c r="A41" s="59">
        <v>45424.0</v>
      </c>
      <c r="B41" s="12" t="s">
        <v>52</v>
      </c>
      <c r="C41" s="51" t="s">
        <v>11</v>
      </c>
      <c r="D41" s="12">
        <v>11.69</v>
      </c>
      <c r="E41" s="12" t="s">
        <v>4</v>
      </c>
      <c r="F41" s="67">
        <f t="shared" si="1"/>
        <v>2.338</v>
      </c>
      <c r="G41" s="10">
        <f t="shared" si="2"/>
        <v>2.338</v>
      </c>
      <c r="H41" s="1">
        <v>1.0</v>
      </c>
      <c r="I41" s="1">
        <v>1.0</v>
      </c>
      <c r="J41" s="1">
        <v>1.0</v>
      </c>
      <c r="K41" s="1">
        <v>1.0</v>
      </c>
      <c r="N41" s="1">
        <v>1.0</v>
      </c>
      <c r="Z41" s="57"/>
      <c r="AA41" s="57"/>
    </row>
    <row r="42">
      <c r="A42" s="61">
        <v>45425.0</v>
      </c>
      <c r="B42" s="51" t="s">
        <v>47</v>
      </c>
      <c r="C42" s="51" t="s">
        <v>11</v>
      </c>
      <c r="D42" s="51">
        <v>40.35</v>
      </c>
      <c r="E42" s="51" t="s">
        <v>14</v>
      </c>
      <c r="F42" s="10">
        <f t="shared" si="1"/>
        <v>10.0875</v>
      </c>
      <c r="G42" s="10">
        <f t="shared" si="2"/>
        <v>10.0875</v>
      </c>
      <c r="H42" s="52">
        <v>1.0</v>
      </c>
      <c r="I42" s="52">
        <v>1.0</v>
      </c>
      <c r="J42" s="52">
        <v>1.0</v>
      </c>
      <c r="K42" s="52">
        <v>1.0</v>
      </c>
      <c r="L42" s="54"/>
      <c r="M42" s="54"/>
      <c r="N42" s="52"/>
      <c r="Z42" s="10"/>
      <c r="AA42" s="10"/>
    </row>
    <row r="43">
      <c r="A43" s="61">
        <v>45425.0</v>
      </c>
      <c r="B43" s="51" t="s">
        <v>46</v>
      </c>
      <c r="C43" s="51" t="s">
        <v>11</v>
      </c>
      <c r="D43" s="51">
        <v>1.81</v>
      </c>
      <c r="E43" s="51" t="s">
        <v>14</v>
      </c>
      <c r="F43" s="10">
        <f t="shared" si="1"/>
        <v>0.4525</v>
      </c>
      <c r="G43" s="10">
        <f t="shared" si="2"/>
        <v>0.4525</v>
      </c>
      <c r="H43" s="52">
        <v>1.0</v>
      </c>
      <c r="I43" s="52">
        <v>1.0</v>
      </c>
      <c r="J43" s="52">
        <v>1.0</v>
      </c>
      <c r="K43" s="52">
        <v>1.0</v>
      </c>
      <c r="L43" s="53"/>
      <c r="M43" s="53"/>
      <c r="N43" s="52"/>
      <c r="Z43" s="10"/>
      <c r="AA43" s="10"/>
    </row>
    <row r="44">
      <c r="A44" s="55">
        <v>45426.0</v>
      </c>
      <c r="B44" s="12" t="s">
        <v>46</v>
      </c>
      <c r="C44" s="12" t="s">
        <v>11</v>
      </c>
      <c r="D44" s="12">
        <v>37.01</v>
      </c>
      <c r="E44" s="12" t="s">
        <v>13</v>
      </c>
      <c r="F44" s="10">
        <f t="shared" si="1"/>
        <v>9.2525</v>
      </c>
      <c r="G44" s="10">
        <f t="shared" si="2"/>
        <v>9.2525</v>
      </c>
      <c r="H44" s="1">
        <v>1.0</v>
      </c>
      <c r="J44" s="1">
        <v>1.0</v>
      </c>
      <c r="K44" s="1">
        <v>1.0</v>
      </c>
      <c r="M44" s="1">
        <v>1.0</v>
      </c>
      <c r="Z44" s="10"/>
      <c r="AA44" s="10"/>
    </row>
    <row r="45">
      <c r="A45" s="61">
        <v>45427.0</v>
      </c>
      <c r="B45" s="51" t="s">
        <v>363</v>
      </c>
      <c r="C45" s="51" t="s">
        <v>23</v>
      </c>
      <c r="D45" s="51">
        <v>44.01</v>
      </c>
      <c r="E45" s="51" t="s">
        <v>13</v>
      </c>
      <c r="F45" s="10">
        <f t="shared" si="1"/>
        <v>8.802</v>
      </c>
      <c r="G45" s="10">
        <f t="shared" si="2"/>
        <v>8.802</v>
      </c>
      <c r="H45" s="52">
        <v>1.0</v>
      </c>
      <c r="I45" s="54">
        <v>1.0</v>
      </c>
      <c r="J45" s="54">
        <v>1.0</v>
      </c>
      <c r="K45" s="54">
        <v>1.0</v>
      </c>
      <c r="L45" s="53"/>
      <c r="M45" s="53"/>
      <c r="N45" s="54">
        <v>1.0</v>
      </c>
      <c r="Z45" s="10"/>
      <c r="AA45" s="10"/>
    </row>
    <row r="46">
      <c r="A46" s="59">
        <v>45427.0</v>
      </c>
      <c r="B46" s="12" t="s">
        <v>120</v>
      </c>
      <c r="C46" s="51" t="s">
        <v>11</v>
      </c>
      <c r="D46" s="12">
        <v>36.71</v>
      </c>
      <c r="E46" s="12" t="s">
        <v>288</v>
      </c>
      <c r="F46" s="10">
        <f t="shared" si="1"/>
        <v>7.342</v>
      </c>
      <c r="G46" s="10">
        <f t="shared" si="2"/>
        <v>7.342</v>
      </c>
      <c r="H46" s="1">
        <v>1.0</v>
      </c>
      <c r="I46" s="1">
        <v>1.0</v>
      </c>
      <c r="J46" s="1">
        <v>1.0</v>
      </c>
      <c r="K46" s="1">
        <v>1.0</v>
      </c>
      <c r="N46" s="1">
        <v>1.0</v>
      </c>
      <c r="Z46" s="53"/>
      <c r="AA46" s="53"/>
    </row>
    <row r="47">
      <c r="A47" s="59">
        <v>45427.0</v>
      </c>
      <c r="B47" s="12" t="s">
        <v>364</v>
      </c>
      <c r="C47" s="12" t="s">
        <v>23</v>
      </c>
      <c r="D47" s="12">
        <v>64.39</v>
      </c>
      <c r="E47" s="12" t="s">
        <v>13</v>
      </c>
      <c r="F47" s="10">
        <f t="shared" si="1"/>
        <v>12.878</v>
      </c>
      <c r="G47" s="10">
        <f t="shared" si="2"/>
        <v>12.878</v>
      </c>
      <c r="H47" s="1">
        <v>1.0</v>
      </c>
      <c r="I47" s="1">
        <v>1.0</v>
      </c>
      <c r="J47" s="1">
        <v>1.0</v>
      </c>
      <c r="K47" s="1">
        <v>1.0</v>
      </c>
      <c r="N47" s="1">
        <v>1.0</v>
      </c>
      <c r="Z47" s="10"/>
      <c r="AA47" s="10"/>
    </row>
    <row r="48">
      <c r="A48" s="59">
        <v>45428.0</v>
      </c>
      <c r="B48" s="12" t="s">
        <v>46</v>
      </c>
      <c r="C48" s="12" t="s">
        <v>11</v>
      </c>
      <c r="D48" s="12">
        <v>20.99</v>
      </c>
      <c r="E48" s="12" t="s">
        <v>14</v>
      </c>
      <c r="F48" s="10">
        <f t="shared" si="1"/>
        <v>4.198</v>
      </c>
      <c r="G48" s="10">
        <f t="shared" si="2"/>
        <v>4.198</v>
      </c>
      <c r="H48" s="1">
        <v>1.0</v>
      </c>
      <c r="I48" s="1">
        <v>1.0</v>
      </c>
      <c r="J48" s="1">
        <v>1.0</v>
      </c>
      <c r="K48" s="1">
        <v>1.0</v>
      </c>
      <c r="N48" s="1">
        <v>1.0</v>
      </c>
      <c r="Z48" s="10"/>
      <c r="AA48" s="10"/>
    </row>
    <row r="49">
      <c r="A49" s="59">
        <v>45429.0</v>
      </c>
      <c r="B49" s="12" t="s">
        <v>365</v>
      </c>
      <c r="C49" s="12" t="s">
        <v>11</v>
      </c>
      <c r="D49" s="12">
        <v>60.0</v>
      </c>
      <c r="E49" s="12" t="s">
        <v>14</v>
      </c>
      <c r="F49" s="10">
        <f>D49/sum(H49:R49)</f>
        <v>10</v>
      </c>
      <c r="G49" s="10">
        <f>D49/sum(H49:R49)</f>
        <v>10</v>
      </c>
      <c r="H49" s="1">
        <v>1.0</v>
      </c>
      <c r="I49" s="1">
        <v>1.0</v>
      </c>
      <c r="J49" s="1">
        <v>1.0</v>
      </c>
      <c r="K49" s="1">
        <v>1.0</v>
      </c>
      <c r="L49" s="1">
        <v>1.0</v>
      </c>
      <c r="M49" s="1">
        <v>1.0</v>
      </c>
      <c r="Z49" s="10"/>
      <c r="AA49" s="10"/>
    </row>
    <row r="50">
      <c r="A50" s="55">
        <v>45429.0</v>
      </c>
      <c r="B50" s="12" t="s">
        <v>95</v>
      </c>
      <c r="C50" s="12"/>
      <c r="D50" s="12">
        <v>2.0</v>
      </c>
      <c r="E50" s="12" t="s">
        <v>14</v>
      </c>
      <c r="F50" s="10">
        <f t="shared" ref="F50:F105" si="3">D50/sum(H50:Q50)</f>
        <v>0.4</v>
      </c>
      <c r="G50" s="10">
        <f t="shared" ref="G50:G105" si="4">D50/sum(H50:Q50)</f>
        <v>0.4</v>
      </c>
      <c r="H50" s="1">
        <v>1.0</v>
      </c>
      <c r="I50" s="1">
        <v>1.0</v>
      </c>
      <c r="J50" s="1">
        <v>1.0</v>
      </c>
      <c r="K50" s="1">
        <v>1.0</v>
      </c>
      <c r="N50" s="1">
        <v>1.0</v>
      </c>
      <c r="Z50" s="10"/>
      <c r="AA50" s="10"/>
    </row>
    <row r="51">
      <c r="A51" s="59">
        <v>45429.0</v>
      </c>
      <c r="B51" s="12" t="s">
        <v>46</v>
      </c>
      <c r="C51" s="12" t="s">
        <v>11</v>
      </c>
      <c r="D51" s="12">
        <f>24.52-9.98*1.13</f>
        <v>13.2426</v>
      </c>
      <c r="E51" s="12" t="s">
        <v>14</v>
      </c>
      <c r="F51" s="10">
        <f t="shared" si="3"/>
        <v>4.4142</v>
      </c>
      <c r="G51" s="10">
        <f t="shared" si="4"/>
        <v>4.4142</v>
      </c>
      <c r="I51" s="1">
        <v>1.0</v>
      </c>
      <c r="J51" s="1">
        <v>1.0</v>
      </c>
      <c r="K51" s="1">
        <v>1.0</v>
      </c>
      <c r="Z51" s="10"/>
      <c r="AA51" s="10"/>
    </row>
    <row r="52">
      <c r="A52" s="55">
        <v>45430.0</v>
      </c>
      <c r="B52" s="12" t="s">
        <v>366</v>
      </c>
      <c r="C52" s="12" t="s">
        <v>11</v>
      </c>
      <c r="D52" s="12">
        <v>119.62</v>
      </c>
      <c r="E52" s="12" t="s">
        <v>13</v>
      </c>
      <c r="F52" s="10">
        <f t="shared" si="3"/>
        <v>29.905</v>
      </c>
      <c r="G52" s="10">
        <f t="shared" si="4"/>
        <v>29.905</v>
      </c>
      <c r="H52" s="1">
        <v>1.0</v>
      </c>
      <c r="I52" s="1">
        <v>1.0</v>
      </c>
      <c r="J52" s="1">
        <v>1.0</v>
      </c>
      <c r="K52" s="1">
        <v>1.0</v>
      </c>
      <c r="Z52" s="10"/>
      <c r="AA52" s="10"/>
    </row>
    <row r="53">
      <c r="A53" s="55">
        <v>45431.0</v>
      </c>
      <c r="B53" s="12" t="s">
        <v>192</v>
      </c>
      <c r="C53" s="12" t="s">
        <v>23</v>
      </c>
      <c r="D53" s="12">
        <v>242.9</v>
      </c>
      <c r="E53" s="12" t="s">
        <v>2</v>
      </c>
      <c r="F53" s="10">
        <f t="shared" si="3"/>
        <v>48.58</v>
      </c>
      <c r="G53" s="10">
        <f t="shared" si="4"/>
        <v>48.58</v>
      </c>
      <c r="H53" s="1">
        <v>1.0</v>
      </c>
      <c r="I53" s="1">
        <v>1.0</v>
      </c>
      <c r="J53" s="1">
        <v>1.0</v>
      </c>
      <c r="K53" s="1">
        <v>1.0</v>
      </c>
      <c r="N53" s="1">
        <v>1.0</v>
      </c>
      <c r="Z53" s="10"/>
      <c r="AA53" s="10"/>
    </row>
    <row r="54">
      <c r="A54" s="59">
        <v>45431.0</v>
      </c>
      <c r="B54" s="12" t="s">
        <v>367</v>
      </c>
      <c r="C54" s="12" t="s">
        <v>23</v>
      </c>
      <c r="D54" s="12">
        <f>10.16+345.41+12.68-225.99</f>
        <v>142.26</v>
      </c>
      <c r="E54" s="12" t="s">
        <v>2</v>
      </c>
      <c r="F54" s="10">
        <f t="shared" si="3"/>
        <v>28.452</v>
      </c>
      <c r="G54" s="10">
        <f t="shared" si="4"/>
        <v>28.452</v>
      </c>
      <c r="H54" s="1">
        <v>1.0</v>
      </c>
      <c r="I54" s="1">
        <v>1.0</v>
      </c>
      <c r="J54" s="1">
        <v>1.0</v>
      </c>
      <c r="K54" s="1">
        <v>1.0</v>
      </c>
      <c r="N54" s="1">
        <v>1.0</v>
      </c>
      <c r="Z54" s="10"/>
      <c r="AA54" s="10"/>
    </row>
    <row r="55">
      <c r="A55" s="61">
        <v>45431.0</v>
      </c>
      <c r="B55" s="51" t="s">
        <v>368</v>
      </c>
      <c r="C55" s="51" t="s">
        <v>11</v>
      </c>
      <c r="D55" s="51">
        <v>74.18</v>
      </c>
      <c r="E55" s="51" t="s">
        <v>14</v>
      </c>
      <c r="F55" s="10">
        <f t="shared" si="3"/>
        <v>10.59714286</v>
      </c>
      <c r="G55" s="10">
        <f t="shared" si="4"/>
        <v>10.59714286</v>
      </c>
      <c r="H55" s="52">
        <v>1.0</v>
      </c>
      <c r="I55" s="52">
        <v>1.0</v>
      </c>
      <c r="J55" s="52">
        <v>1.0</v>
      </c>
      <c r="K55" s="52">
        <v>1.0</v>
      </c>
      <c r="L55" s="54">
        <v>1.0</v>
      </c>
      <c r="M55" s="52">
        <v>1.0</v>
      </c>
      <c r="N55" s="52">
        <v>1.0</v>
      </c>
      <c r="Z55" s="10"/>
      <c r="AA55" s="10"/>
    </row>
    <row r="56">
      <c r="A56" s="61">
        <v>45431.0</v>
      </c>
      <c r="B56" s="51" t="s">
        <v>46</v>
      </c>
      <c r="C56" s="51" t="s">
        <v>11</v>
      </c>
      <c r="D56" s="51">
        <v>48.52</v>
      </c>
      <c r="E56" s="51" t="s">
        <v>14</v>
      </c>
      <c r="F56" s="10">
        <f t="shared" si="3"/>
        <v>6.931428571</v>
      </c>
      <c r="G56" s="10">
        <f t="shared" si="4"/>
        <v>6.931428571</v>
      </c>
      <c r="H56" s="52">
        <v>1.0</v>
      </c>
      <c r="I56" s="52">
        <v>1.0</v>
      </c>
      <c r="J56" s="52">
        <v>1.0</v>
      </c>
      <c r="K56" s="52">
        <v>1.0</v>
      </c>
      <c r="L56" s="54">
        <v>1.0</v>
      </c>
      <c r="M56" s="54">
        <v>1.0</v>
      </c>
      <c r="N56" s="52">
        <v>1.0</v>
      </c>
      <c r="Z56" s="10"/>
      <c r="AA56" s="10"/>
    </row>
    <row r="57">
      <c r="A57" s="55">
        <v>45431.0</v>
      </c>
      <c r="B57" s="12" t="s">
        <v>369</v>
      </c>
      <c r="C57" s="12" t="s">
        <v>23</v>
      </c>
      <c r="D57" s="12">
        <v>11.28</v>
      </c>
      <c r="E57" s="12" t="s">
        <v>13</v>
      </c>
      <c r="F57" s="10">
        <f t="shared" si="3"/>
        <v>2.256</v>
      </c>
      <c r="G57" s="10">
        <f t="shared" si="4"/>
        <v>2.256</v>
      </c>
      <c r="H57" s="1">
        <v>1.0</v>
      </c>
      <c r="I57" s="1">
        <v>1.0</v>
      </c>
      <c r="J57" s="1">
        <v>1.0</v>
      </c>
      <c r="K57" s="1">
        <v>1.0</v>
      </c>
      <c r="N57" s="1">
        <v>1.0</v>
      </c>
      <c r="Z57" s="10"/>
      <c r="AA57" s="10"/>
    </row>
    <row r="58">
      <c r="A58" s="55">
        <v>45432.0</v>
      </c>
      <c r="B58" s="12" t="s">
        <v>370</v>
      </c>
      <c r="C58" s="12" t="s">
        <v>11</v>
      </c>
      <c r="D58" s="12">
        <v>60.0</v>
      </c>
      <c r="E58" s="12" t="s">
        <v>13</v>
      </c>
      <c r="F58" s="67">
        <f t="shared" si="3"/>
        <v>15</v>
      </c>
      <c r="G58" s="10">
        <f t="shared" si="4"/>
        <v>15</v>
      </c>
      <c r="H58" s="1">
        <v>1.0</v>
      </c>
      <c r="J58" s="1">
        <v>1.0</v>
      </c>
      <c r="K58" s="1">
        <v>1.0</v>
      </c>
      <c r="M58" s="1">
        <v>1.0</v>
      </c>
      <c r="Z58" s="10"/>
      <c r="AA58" s="10"/>
    </row>
    <row r="59">
      <c r="A59" s="61">
        <v>45433.0</v>
      </c>
      <c r="B59" s="51" t="s">
        <v>46</v>
      </c>
      <c r="C59" s="51" t="s">
        <v>11</v>
      </c>
      <c r="D59" s="63">
        <v>28.07</v>
      </c>
      <c r="E59" s="51" t="s">
        <v>13</v>
      </c>
      <c r="F59" s="10">
        <f t="shared" si="3"/>
        <v>5.614</v>
      </c>
      <c r="G59" s="10">
        <f t="shared" si="4"/>
        <v>5.614</v>
      </c>
      <c r="H59" s="52">
        <v>1.0</v>
      </c>
      <c r="I59" s="52">
        <v>1.0</v>
      </c>
      <c r="J59" s="52">
        <v>1.0</v>
      </c>
      <c r="K59" s="52">
        <v>1.0</v>
      </c>
      <c r="L59" s="53"/>
      <c r="M59" s="54">
        <v>1.0</v>
      </c>
      <c r="N59" s="52"/>
      <c r="Z59" s="10"/>
      <c r="AA59" s="10"/>
    </row>
    <row r="60">
      <c r="A60" s="59">
        <v>45433.0</v>
      </c>
      <c r="B60" s="12" t="s">
        <v>213</v>
      </c>
      <c r="C60" s="12" t="s">
        <v>11</v>
      </c>
      <c r="D60" s="12">
        <v>12.99</v>
      </c>
      <c r="E60" s="12" t="s">
        <v>14</v>
      </c>
      <c r="F60" s="10">
        <f t="shared" si="3"/>
        <v>2.598</v>
      </c>
      <c r="G60" s="10">
        <f t="shared" si="4"/>
        <v>2.598</v>
      </c>
      <c r="H60" s="1">
        <v>1.0</v>
      </c>
      <c r="I60" s="1">
        <v>1.0</v>
      </c>
      <c r="J60" s="1">
        <v>1.0</v>
      </c>
      <c r="K60" s="1">
        <v>1.0</v>
      </c>
      <c r="N60" s="1">
        <v>1.0</v>
      </c>
      <c r="Z60" s="10"/>
      <c r="AA60" s="10"/>
    </row>
    <row r="61">
      <c r="A61" s="55">
        <v>45433.0</v>
      </c>
      <c r="B61" s="12"/>
      <c r="C61" s="12" t="s">
        <v>11</v>
      </c>
      <c r="D61" s="12">
        <f>7.49+4+2.11</f>
        <v>13.6</v>
      </c>
      <c r="E61" s="12" t="s">
        <v>14</v>
      </c>
      <c r="F61" s="10">
        <f t="shared" si="3"/>
        <v>13.6</v>
      </c>
      <c r="G61" s="10">
        <f t="shared" si="4"/>
        <v>13.6</v>
      </c>
      <c r="M61" s="1">
        <v>1.0</v>
      </c>
      <c r="Z61" s="10"/>
      <c r="AA61" s="10"/>
    </row>
    <row r="62">
      <c r="A62" s="61">
        <v>45434.0</v>
      </c>
      <c r="B62" s="51" t="s">
        <v>371</v>
      </c>
      <c r="C62" s="51" t="s">
        <v>33</v>
      </c>
      <c r="D62" s="63">
        <v>37.37</v>
      </c>
      <c r="E62" s="51" t="s">
        <v>372</v>
      </c>
      <c r="F62" s="10">
        <f t="shared" si="3"/>
        <v>37.37</v>
      </c>
      <c r="G62" s="10">
        <f t="shared" si="4"/>
        <v>37.37</v>
      </c>
      <c r="H62" s="52"/>
      <c r="I62" s="52">
        <v>1.0</v>
      </c>
      <c r="J62" s="52"/>
      <c r="K62" s="52"/>
      <c r="L62" s="53"/>
      <c r="M62" s="53"/>
      <c r="N62" s="52"/>
      <c r="Z62" s="10"/>
      <c r="AA62" s="10"/>
    </row>
    <row r="63">
      <c r="A63" s="55">
        <v>45434.0</v>
      </c>
      <c r="B63" s="12" t="s">
        <v>373</v>
      </c>
      <c r="C63" s="12" t="s">
        <v>11</v>
      </c>
      <c r="D63" s="12">
        <f>6*1.13</f>
        <v>6.78</v>
      </c>
      <c r="E63" s="12" t="s">
        <v>14</v>
      </c>
      <c r="F63" s="10">
        <f t="shared" si="3"/>
        <v>1.356</v>
      </c>
      <c r="G63" s="10">
        <f t="shared" si="4"/>
        <v>1.356</v>
      </c>
      <c r="H63" s="1">
        <v>1.0</v>
      </c>
      <c r="I63" s="1">
        <v>1.0</v>
      </c>
      <c r="J63" s="1">
        <v>1.0</v>
      </c>
      <c r="K63" s="1">
        <v>1.0</v>
      </c>
      <c r="N63" s="1">
        <v>1.0</v>
      </c>
      <c r="Z63" s="10"/>
      <c r="AA63" s="10"/>
    </row>
    <row r="64">
      <c r="A64" s="59">
        <v>45434.0</v>
      </c>
      <c r="B64" s="12" t="s">
        <v>374</v>
      </c>
      <c r="C64" s="12" t="s">
        <v>11</v>
      </c>
      <c r="D64" s="12">
        <v>83.38</v>
      </c>
      <c r="E64" s="12" t="s">
        <v>14</v>
      </c>
      <c r="F64" s="10">
        <f t="shared" si="3"/>
        <v>16.676</v>
      </c>
      <c r="G64" s="10">
        <f t="shared" si="4"/>
        <v>16.676</v>
      </c>
      <c r="H64" s="1">
        <v>1.0</v>
      </c>
      <c r="I64" s="1">
        <v>1.0</v>
      </c>
      <c r="J64" s="1">
        <v>1.0</v>
      </c>
      <c r="K64" s="1">
        <v>1.0</v>
      </c>
      <c r="N64" s="1">
        <v>1.0</v>
      </c>
      <c r="T64" s="18"/>
      <c r="U64" s="18"/>
      <c r="V64" s="18"/>
      <c r="W64" s="18"/>
      <c r="Z64" s="10"/>
      <c r="AA64" s="10"/>
    </row>
    <row r="65">
      <c r="A65" s="59">
        <v>45434.0</v>
      </c>
      <c r="B65" s="12" t="s">
        <v>353</v>
      </c>
      <c r="C65" s="12" t="s">
        <v>23</v>
      </c>
      <c r="D65" s="12">
        <v>18.24</v>
      </c>
      <c r="E65" s="12" t="s">
        <v>4</v>
      </c>
      <c r="F65" s="10">
        <f t="shared" si="3"/>
        <v>3.648</v>
      </c>
      <c r="G65" s="10">
        <f t="shared" si="4"/>
        <v>3.648</v>
      </c>
      <c r="H65" s="1">
        <v>1.0</v>
      </c>
      <c r="I65" s="1">
        <v>1.0</v>
      </c>
      <c r="J65" s="1">
        <v>1.0</v>
      </c>
      <c r="K65" s="1">
        <v>1.0</v>
      </c>
      <c r="N65" s="1">
        <v>1.0</v>
      </c>
      <c r="Z65" s="10"/>
      <c r="AA65" s="10"/>
    </row>
    <row r="66">
      <c r="A66" s="59">
        <v>45435.0</v>
      </c>
      <c r="B66" s="12" t="s">
        <v>149</v>
      </c>
      <c r="C66" s="12" t="s">
        <v>23</v>
      </c>
      <c r="D66" s="12">
        <v>17.7</v>
      </c>
      <c r="E66" s="12" t="s">
        <v>2</v>
      </c>
      <c r="F66" s="67">
        <f t="shared" si="3"/>
        <v>3.54</v>
      </c>
      <c r="G66" s="10">
        <f t="shared" si="4"/>
        <v>3.54</v>
      </c>
      <c r="H66" s="1">
        <v>1.0</v>
      </c>
      <c r="I66" s="1">
        <v>1.0</v>
      </c>
      <c r="J66" s="1">
        <v>1.0</v>
      </c>
      <c r="K66" s="1">
        <v>1.0</v>
      </c>
      <c r="N66" s="1">
        <v>1.0</v>
      </c>
      <c r="P66" s="1" t="s">
        <v>375</v>
      </c>
      <c r="Z66" s="10"/>
      <c r="AA66" s="10"/>
    </row>
    <row r="67">
      <c r="A67" s="55">
        <v>45435.0</v>
      </c>
      <c r="B67" s="12" t="s">
        <v>120</v>
      </c>
      <c r="C67" s="12" t="s">
        <v>11</v>
      </c>
      <c r="D67" s="12">
        <v>57.62</v>
      </c>
      <c r="E67" s="12" t="s">
        <v>14</v>
      </c>
      <c r="F67" s="67">
        <f t="shared" si="3"/>
        <v>11.524</v>
      </c>
      <c r="G67" s="10">
        <f t="shared" si="4"/>
        <v>11.524</v>
      </c>
      <c r="H67" s="1">
        <v>1.0</v>
      </c>
      <c r="I67" s="1">
        <v>1.0</v>
      </c>
      <c r="J67" s="1">
        <v>1.0</v>
      </c>
      <c r="K67" s="1">
        <v>1.0</v>
      </c>
      <c r="N67" s="1">
        <v>1.0</v>
      </c>
      <c r="Z67" s="10"/>
      <c r="AA67" s="10"/>
    </row>
    <row r="68">
      <c r="A68" s="55">
        <v>45436.0</v>
      </c>
      <c r="B68" s="12" t="s">
        <v>46</v>
      </c>
      <c r="C68" s="12" t="s">
        <v>11</v>
      </c>
      <c r="D68" s="12">
        <f>22.98-3.99</f>
        <v>18.99</v>
      </c>
      <c r="E68" s="12" t="s">
        <v>13</v>
      </c>
      <c r="F68" s="67">
        <f t="shared" si="3"/>
        <v>3.798</v>
      </c>
      <c r="G68" s="10">
        <f t="shared" si="4"/>
        <v>3.798</v>
      </c>
      <c r="H68" s="1">
        <v>1.0</v>
      </c>
      <c r="I68" s="1">
        <v>1.0</v>
      </c>
      <c r="J68" s="1">
        <v>1.0</v>
      </c>
      <c r="K68" s="1">
        <v>1.0</v>
      </c>
      <c r="M68" s="1">
        <v>1.0</v>
      </c>
      <c r="Z68" s="10"/>
      <c r="AA68" s="10"/>
    </row>
    <row r="69">
      <c r="A69" s="61">
        <v>45437.0</v>
      </c>
      <c r="B69" s="12" t="s">
        <v>120</v>
      </c>
      <c r="C69" s="12" t="s">
        <v>11</v>
      </c>
      <c r="D69" s="12">
        <v>34.55</v>
      </c>
      <c r="E69" s="12" t="s">
        <v>2</v>
      </c>
      <c r="F69" s="67">
        <f t="shared" si="3"/>
        <v>6.91</v>
      </c>
      <c r="G69" s="10">
        <f t="shared" si="4"/>
        <v>6.91</v>
      </c>
      <c r="H69" s="1">
        <v>1.0</v>
      </c>
      <c r="I69" s="1">
        <v>1.0</v>
      </c>
      <c r="J69" s="1">
        <v>1.0</v>
      </c>
      <c r="K69" s="1">
        <v>1.0</v>
      </c>
      <c r="M69" s="1">
        <v>1.0</v>
      </c>
      <c r="Z69" s="10"/>
      <c r="AA69" s="10"/>
    </row>
    <row r="70">
      <c r="A70" s="59">
        <v>45438.0</v>
      </c>
      <c r="B70" s="12" t="s">
        <v>46</v>
      </c>
      <c r="C70" s="51" t="s">
        <v>11</v>
      </c>
      <c r="D70" s="12">
        <v>8.27</v>
      </c>
      <c r="E70" s="12" t="s">
        <v>4</v>
      </c>
      <c r="F70" s="67">
        <f t="shared" si="3"/>
        <v>1.654</v>
      </c>
      <c r="G70" s="10">
        <f t="shared" si="4"/>
        <v>1.654</v>
      </c>
      <c r="H70" s="1">
        <v>1.0</v>
      </c>
      <c r="I70" s="1">
        <v>1.0</v>
      </c>
      <c r="J70" s="1">
        <v>1.0</v>
      </c>
      <c r="K70" s="1">
        <v>1.0</v>
      </c>
      <c r="N70" s="1">
        <v>1.0</v>
      </c>
      <c r="Z70" s="64"/>
      <c r="AA70" s="64"/>
    </row>
    <row r="71">
      <c r="A71" s="55">
        <v>45439.0</v>
      </c>
      <c r="B71" s="12" t="s">
        <v>120</v>
      </c>
      <c r="C71" s="12" t="s">
        <v>11</v>
      </c>
      <c r="D71" s="12">
        <v>3.12</v>
      </c>
      <c r="E71" s="12" t="s">
        <v>14</v>
      </c>
      <c r="F71" s="67">
        <f t="shared" si="3"/>
        <v>0.78</v>
      </c>
      <c r="G71" s="10">
        <f t="shared" si="4"/>
        <v>0.78</v>
      </c>
      <c r="H71" s="1">
        <v>1.0</v>
      </c>
      <c r="I71" s="1">
        <v>1.0</v>
      </c>
      <c r="J71" s="1">
        <v>1.0</v>
      </c>
      <c r="K71" s="1">
        <v>1.0</v>
      </c>
      <c r="Z71" s="10"/>
      <c r="AA71" s="10"/>
    </row>
    <row r="72">
      <c r="A72" s="59">
        <v>45439.0</v>
      </c>
      <c r="B72" s="12" t="s">
        <v>46</v>
      </c>
      <c r="C72" s="12" t="s">
        <v>11</v>
      </c>
      <c r="D72" s="12">
        <v>11.01</v>
      </c>
      <c r="E72" s="12" t="s">
        <v>13</v>
      </c>
      <c r="F72" s="67">
        <f t="shared" si="3"/>
        <v>2.202</v>
      </c>
      <c r="G72" s="10">
        <f t="shared" si="4"/>
        <v>2.202</v>
      </c>
      <c r="H72" s="1">
        <v>1.0</v>
      </c>
      <c r="I72" s="1">
        <v>1.0</v>
      </c>
      <c r="J72" s="1">
        <v>1.0</v>
      </c>
      <c r="K72" s="1">
        <v>1.0</v>
      </c>
      <c r="N72" s="1">
        <v>1.0</v>
      </c>
      <c r="Z72" s="10"/>
      <c r="AA72" s="10"/>
    </row>
    <row r="73">
      <c r="A73" s="59">
        <v>45440.0</v>
      </c>
      <c r="B73" s="12" t="s">
        <v>46</v>
      </c>
      <c r="C73" s="51" t="s">
        <v>11</v>
      </c>
      <c r="D73" s="12">
        <v>13.78</v>
      </c>
      <c r="E73" s="12" t="s">
        <v>13</v>
      </c>
      <c r="F73" s="67">
        <f t="shared" si="3"/>
        <v>2.756</v>
      </c>
      <c r="G73" s="10">
        <f t="shared" si="4"/>
        <v>2.756</v>
      </c>
      <c r="H73" s="1">
        <v>1.0</v>
      </c>
      <c r="I73" s="1">
        <v>1.0</v>
      </c>
      <c r="J73" s="1">
        <v>1.0</v>
      </c>
      <c r="K73" s="1">
        <v>1.0</v>
      </c>
      <c r="M73" s="1">
        <v>1.0</v>
      </c>
      <c r="Z73" s="64"/>
      <c r="AA73" s="64"/>
    </row>
    <row r="74">
      <c r="A74" s="59">
        <v>45440.0</v>
      </c>
      <c r="B74" s="12" t="s">
        <v>52</v>
      </c>
      <c r="C74" s="51" t="s">
        <v>11</v>
      </c>
      <c r="D74" s="12">
        <f>5*1.13+0.35*1.13</f>
        <v>6.0455</v>
      </c>
      <c r="E74" s="12" t="s">
        <v>14</v>
      </c>
      <c r="F74" s="67">
        <f t="shared" si="3"/>
        <v>1.2091</v>
      </c>
      <c r="G74" s="10">
        <f t="shared" si="4"/>
        <v>1.2091</v>
      </c>
      <c r="H74" s="1">
        <v>1.0</v>
      </c>
      <c r="I74" s="1">
        <v>1.0</v>
      </c>
      <c r="J74" s="1">
        <v>1.0</v>
      </c>
      <c r="K74" s="1">
        <v>1.0</v>
      </c>
      <c r="M74" s="1">
        <v>1.0</v>
      </c>
      <c r="Z74" s="64"/>
      <c r="AA74" s="64"/>
    </row>
    <row r="75">
      <c r="A75" s="59">
        <v>45440.0</v>
      </c>
      <c r="B75" s="12" t="s">
        <v>47</v>
      </c>
      <c r="C75" s="51" t="s">
        <v>11</v>
      </c>
      <c r="D75" s="12">
        <f>66.46-D74</f>
        <v>60.4145</v>
      </c>
      <c r="E75" s="12" t="s">
        <v>14</v>
      </c>
      <c r="F75" s="67">
        <f t="shared" si="3"/>
        <v>15.103625</v>
      </c>
      <c r="G75" s="10">
        <f t="shared" si="4"/>
        <v>15.103625</v>
      </c>
      <c r="H75" s="1">
        <v>1.0</v>
      </c>
      <c r="I75" s="1">
        <v>1.0</v>
      </c>
      <c r="J75" s="1">
        <v>1.0</v>
      </c>
      <c r="K75" s="1">
        <v>1.0</v>
      </c>
      <c r="Z75" s="64"/>
      <c r="AA75" s="64"/>
    </row>
    <row r="76">
      <c r="A76" s="55">
        <v>45441.0</v>
      </c>
      <c r="B76" s="12" t="s">
        <v>46</v>
      </c>
      <c r="C76" s="12" t="s">
        <v>11</v>
      </c>
      <c r="D76" s="12">
        <v>47.79</v>
      </c>
      <c r="E76" s="12" t="s">
        <v>14</v>
      </c>
      <c r="F76" s="67">
        <f t="shared" si="3"/>
        <v>11.9475</v>
      </c>
      <c r="G76" s="10">
        <f t="shared" si="4"/>
        <v>11.9475</v>
      </c>
      <c r="H76" s="1">
        <v>1.0</v>
      </c>
      <c r="I76" s="1">
        <v>1.0</v>
      </c>
      <c r="J76" s="1">
        <v>1.0</v>
      </c>
      <c r="K76" s="1">
        <v>1.0</v>
      </c>
      <c r="Z76" s="10"/>
      <c r="AA76" s="10"/>
    </row>
    <row r="77">
      <c r="A77" s="59">
        <v>45441.0</v>
      </c>
      <c r="B77" s="12" t="s">
        <v>376</v>
      </c>
      <c r="C77" s="12" t="s">
        <v>11</v>
      </c>
      <c r="D77" s="12">
        <f>5.99*1.13</f>
        <v>6.7687</v>
      </c>
      <c r="E77" s="12" t="s">
        <v>14</v>
      </c>
      <c r="F77" s="67">
        <f t="shared" si="3"/>
        <v>6.7687</v>
      </c>
      <c r="G77" s="10">
        <f t="shared" si="4"/>
        <v>6.7687</v>
      </c>
      <c r="N77" s="1">
        <v>1.0</v>
      </c>
      <c r="Z77" s="10"/>
      <c r="AA77" s="10"/>
    </row>
    <row r="78">
      <c r="A78" s="59">
        <v>45441.0</v>
      </c>
      <c r="B78" s="12" t="s">
        <v>376</v>
      </c>
      <c r="C78" s="12"/>
      <c r="D78" s="12">
        <f>(5.99+1.31)*1.13</f>
        <v>8.249</v>
      </c>
      <c r="E78" s="12" t="s">
        <v>14</v>
      </c>
      <c r="F78" s="67">
        <f t="shared" si="3"/>
        <v>8.249</v>
      </c>
      <c r="G78" s="10">
        <f t="shared" si="4"/>
        <v>8.249</v>
      </c>
      <c r="J78" s="1">
        <v>1.0</v>
      </c>
      <c r="Z78" s="10"/>
      <c r="AA78" s="10"/>
    </row>
    <row r="79">
      <c r="A79" s="59">
        <v>45442.0</v>
      </c>
      <c r="B79" s="12" t="s">
        <v>377</v>
      </c>
      <c r="C79" s="12" t="s">
        <v>11</v>
      </c>
      <c r="D79" s="12">
        <v>67.1</v>
      </c>
      <c r="E79" s="12" t="s">
        <v>13</v>
      </c>
      <c r="F79" s="67">
        <f t="shared" si="3"/>
        <v>13.42</v>
      </c>
      <c r="G79" s="10">
        <f t="shared" si="4"/>
        <v>13.42</v>
      </c>
      <c r="H79" s="1">
        <v>1.0</v>
      </c>
      <c r="I79" s="1">
        <v>1.0</v>
      </c>
      <c r="J79" s="1">
        <v>1.0</v>
      </c>
      <c r="K79" s="1">
        <v>1.0</v>
      </c>
      <c r="N79" s="1">
        <v>1.0</v>
      </c>
      <c r="Z79" s="10"/>
      <c r="AA79" s="10"/>
    </row>
    <row r="80">
      <c r="A80" s="55">
        <v>45443.0</v>
      </c>
      <c r="B80" s="12" t="s">
        <v>378</v>
      </c>
      <c r="C80" s="12" t="s">
        <v>11</v>
      </c>
      <c r="D80" s="12">
        <f>11.99+(35.65/2)+2.47+2.41+5.98+4.59*1.13</f>
        <v>45.8617</v>
      </c>
      <c r="E80" s="12" t="s">
        <v>2</v>
      </c>
      <c r="F80" s="67">
        <f t="shared" si="3"/>
        <v>5.7327125</v>
      </c>
      <c r="G80" s="10">
        <f t="shared" si="4"/>
        <v>5.7327125</v>
      </c>
      <c r="H80" s="1">
        <v>1.0</v>
      </c>
      <c r="I80" s="1">
        <v>1.0</v>
      </c>
      <c r="J80" s="1">
        <v>1.0</v>
      </c>
      <c r="K80" s="1">
        <v>1.0</v>
      </c>
      <c r="M80" s="1">
        <v>1.0</v>
      </c>
      <c r="N80" s="1">
        <v>1.0</v>
      </c>
      <c r="O80" s="1">
        <v>1.0</v>
      </c>
      <c r="P80" s="1">
        <v>1.0</v>
      </c>
      <c r="Z80" s="10"/>
      <c r="AA80" s="10"/>
    </row>
    <row r="81">
      <c r="A81" s="55">
        <v>45443.0</v>
      </c>
      <c r="B81" s="51" t="s">
        <v>379</v>
      </c>
      <c r="C81" s="51" t="s">
        <v>11</v>
      </c>
      <c r="D81" s="51">
        <f>35.65/2</f>
        <v>17.825</v>
      </c>
      <c r="E81" s="12" t="s">
        <v>2</v>
      </c>
      <c r="F81" s="67">
        <f t="shared" si="3"/>
        <v>3.565</v>
      </c>
      <c r="G81" s="10">
        <f t="shared" si="4"/>
        <v>3.565</v>
      </c>
      <c r="H81" s="52">
        <v>1.0</v>
      </c>
      <c r="I81" s="52">
        <v>1.0</v>
      </c>
      <c r="J81" s="52">
        <v>1.0</v>
      </c>
      <c r="K81" s="52">
        <v>1.0</v>
      </c>
      <c r="L81" s="53"/>
      <c r="M81" s="54"/>
      <c r="N81" s="52">
        <v>1.0</v>
      </c>
      <c r="O81" s="54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</row>
    <row r="82">
      <c r="A82" s="55">
        <v>45443.0</v>
      </c>
      <c r="B82" s="12" t="s">
        <v>378</v>
      </c>
      <c r="C82" s="12" t="s">
        <v>11</v>
      </c>
      <c r="D82" s="12">
        <f>10.99*1.13+2.99+8.73+2.98*2</f>
        <v>30.0987</v>
      </c>
      <c r="E82" s="12" t="s">
        <v>14</v>
      </c>
      <c r="F82" s="67">
        <f t="shared" si="3"/>
        <v>3.7623375</v>
      </c>
      <c r="G82" s="10">
        <f t="shared" si="4"/>
        <v>3.7623375</v>
      </c>
      <c r="H82" s="1">
        <v>1.0</v>
      </c>
      <c r="I82" s="1">
        <v>1.0</v>
      </c>
      <c r="J82" s="1">
        <v>1.0</v>
      </c>
      <c r="K82" s="1">
        <v>1.0</v>
      </c>
      <c r="M82" s="1">
        <v>1.0</v>
      </c>
      <c r="N82" s="1">
        <v>1.0</v>
      </c>
      <c r="O82" s="1">
        <v>1.0</v>
      </c>
      <c r="P82" s="1">
        <v>1.0</v>
      </c>
      <c r="Z82" s="10"/>
      <c r="AA82" s="10"/>
    </row>
    <row r="83">
      <c r="A83" s="59">
        <v>45443.0</v>
      </c>
      <c r="B83" s="12" t="s">
        <v>380</v>
      </c>
      <c r="C83" s="12" t="s">
        <v>11</v>
      </c>
      <c r="D83" s="12">
        <v>35.01</v>
      </c>
      <c r="E83" s="12" t="s">
        <v>4</v>
      </c>
      <c r="F83" s="67">
        <f t="shared" si="3"/>
        <v>17.505</v>
      </c>
      <c r="G83" s="10">
        <f t="shared" si="4"/>
        <v>17.505</v>
      </c>
      <c r="I83" s="1">
        <v>1.0</v>
      </c>
      <c r="K83" s="1">
        <v>1.0</v>
      </c>
      <c r="Z83" s="10"/>
      <c r="AA83" s="10"/>
    </row>
    <row r="84">
      <c r="A84" s="61">
        <v>45444.0</v>
      </c>
      <c r="B84" s="12" t="s">
        <v>381</v>
      </c>
      <c r="C84" s="12" t="s">
        <v>11</v>
      </c>
      <c r="D84" s="12">
        <f>93.29-9.99-6.99-0.98</f>
        <v>75.33</v>
      </c>
      <c r="E84" s="12" t="s">
        <v>14</v>
      </c>
      <c r="F84" s="67">
        <f t="shared" si="3"/>
        <v>9.41625</v>
      </c>
      <c r="G84" s="10">
        <f t="shared" si="4"/>
        <v>9.41625</v>
      </c>
      <c r="H84" s="1">
        <v>1.0</v>
      </c>
      <c r="I84" s="1">
        <v>1.0</v>
      </c>
      <c r="J84" s="1">
        <v>1.0</v>
      </c>
      <c r="K84" s="1">
        <v>1.0</v>
      </c>
      <c r="M84" s="1">
        <v>1.0</v>
      </c>
      <c r="N84" s="1">
        <v>1.0</v>
      </c>
      <c r="O84" s="1">
        <v>1.0</v>
      </c>
      <c r="P84" s="1">
        <v>1.0</v>
      </c>
      <c r="Z84" s="10"/>
      <c r="AA84" s="10"/>
    </row>
    <row r="85">
      <c r="A85" s="61">
        <v>45444.0</v>
      </c>
      <c r="B85" s="12" t="s">
        <v>378</v>
      </c>
      <c r="C85" s="12" t="s">
        <v>11</v>
      </c>
      <c r="D85" s="12">
        <f>9.99+6.99+0.98</f>
        <v>17.96</v>
      </c>
      <c r="E85" s="12" t="s">
        <v>14</v>
      </c>
      <c r="F85" s="67">
        <f t="shared" si="3"/>
        <v>3.592</v>
      </c>
      <c r="G85" s="10">
        <f t="shared" si="4"/>
        <v>3.592</v>
      </c>
      <c r="H85" s="1">
        <v>1.0</v>
      </c>
      <c r="I85" s="1">
        <v>1.0</v>
      </c>
      <c r="J85" s="1">
        <v>1.0</v>
      </c>
      <c r="K85" s="1">
        <v>1.0</v>
      </c>
      <c r="N85" s="1">
        <v>1.0</v>
      </c>
      <c r="Z85" s="10"/>
      <c r="AA85" s="10"/>
    </row>
    <row r="86">
      <c r="A86" s="59">
        <v>45444.0</v>
      </c>
      <c r="B86" s="12" t="s">
        <v>378</v>
      </c>
      <c r="C86" s="12" t="s">
        <v>11</v>
      </c>
      <c r="D86" s="12">
        <f>4.99*1.13+1.98*1.13+12.99*1.13+5.88+3.29+5.98+5.19</f>
        <v>42.8948</v>
      </c>
      <c r="E86" s="12" t="s">
        <v>13</v>
      </c>
      <c r="F86" s="67">
        <f t="shared" si="3"/>
        <v>6.127828571</v>
      </c>
      <c r="G86" s="10">
        <f t="shared" si="4"/>
        <v>6.127828571</v>
      </c>
      <c r="H86" s="1">
        <v>1.0</v>
      </c>
      <c r="I86" s="1">
        <v>1.0</v>
      </c>
      <c r="J86" s="1">
        <v>1.0</v>
      </c>
      <c r="K86" s="1">
        <v>1.0</v>
      </c>
      <c r="N86" s="1">
        <v>1.0</v>
      </c>
      <c r="O86" s="1">
        <v>1.0</v>
      </c>
      <c r="P86" s="1">
        <v>1.0</v>
      </c>
      <c r="Z86" s="10"/>
      <c r="AA86" s="10"/>
    </row>
    <row r="87">
      <c r="A87" s="59">
        <v>45444.0</v>
      </c>
      <c r="B87" s="12" t="s">
        <v>50</v>
      </c>
      <c r="C87" s="12"/>
      <c r="D87" s="12">
        <v>67.59</v>
      </c>
      <c r="E87" s="12" t="s">
        <v>2</v>
      </c>
      <c r="F87" s="67">
        <f t="shared" si="3"/>
        <v>67.59</v>
      </c>
      <c r="G87" s="10">
        <f t="shared" si="4"/>
        <v>67.59</v>
      </c>
      <c r="M87" s="1">
        <v>1.0</v>
      </c>
      <c r="Z87" s="10"/>
      <c r="AA87" s="10"/>
    </row>
    <row r="88">
      <c r="A88" s="59">
        <v>45444.0</v>
      </c>
      <c r="B88" s="12" t="s">
        <v>381</v>
      </c>
      <c r="C88" s="12" t="s">
        <v>11</v>
      </c>
      <c r="D88" s="12">
        <v>23.03</v>
      </c>
      <c r="E88" s="12" t="s">
        <v>2</v>
      </c>
      <c r="F88" s="67">
        <f t="shared" si="3"/>
        <v>2.87875</v>
      </c>
      <c r="G88" s="10">
        <f t="shared" si="4"/>
        <v>2.87875</v>
      </c>
      <c r="H88" s="1">
        <v>1.0</v>
      </c>
      <c r="I88" s="1">
        <v>1.0</v>
      </c>
      <c r="J88" s="1">
        <v>1.0</v>
      </c>
      <c r="K88" s="1">
        <v>1.0</v>
      </c>
      <c r="M88" s="1">
        <v>1.0</v>
      </c>
      <c r="N88" s="1">
        <v>1.0</v>
      </c>
      <c r="O88" s="1">
        <v>1.0</v>
      </c>
      <c r="P88" s="1">
        <v>1.0</v>
      </c>
      <c r="Z88" s="10"/>
      <c r="AA88" s="10"/>
    </row>
    <row r="89">
      <c r="A89" s="59">
        <v>45444.0</v>
      </c>
      <c r="B89" s="12" t="s">
        <v>50</v>
      </c>
      <c r="C89" s="12" t="s">
        <v>11</v>
      </c>
      <c r="D89" s="12">
        <f>54.46-D88</f>
        <v>31.43</v>
      </c>
      <c r="E89" s="12" t="s">
        <v>2</v>
      </c>
      <c r="F89" s="67">
        <f t="shared" si="3"/>
        <v>6.286</v>
      </c>
      <c r="G89" s="10">
        <f t="shared" si="4"/>
        <v>6.286</v>
      </c>
      <c r="H89" s="1">
        <v>1.0</v>
      </c>
      <c r="I89" s="1">
        <v>1.0</v>
      </c>
      <c r="J89" s="1">
        <v>1.0</v>
      </c>
      <c r="K89" s="1">
        <v>1.0</v>
      </c>
      <c r="N89" s="1">
        <v>1.0</v>
      </c>
      <c r="Z89" s="10"/>
      <c r="AA89" s="10"/>
    </row>
    <row r="90">
      <c r="A90" s="12" t="s">
        <v>382</v>
      </c>
      <c r="B90" s="12" t="s">
        <v>381</v>
      </c>
      <c r="C90" s="12" t="s">
        <v>11</v>
      </c>
      <c r="D90" s="12">
        <f>23.88</f>
        <v>23.88</v>
      </c>
      <c r="E90" s="12" t="s">
        <v>14</v>
      </c>
      <c r="F90" s="67">
        <f t="shared" si="3"/>
        <v>2.985</v>
      </c>
      <c r="G90" s="10">
        <f t="shared" si="4"/>
        <v>2.985</v>
      </c>
      <c r="H90" s="1">
        <v>1.0</v>
      </c>
      <c r="I90" s="1">
        <v>1.0</v>
      </c>
      <c r="J90" s="1">
        <v>1.0</v>
      </c>
      <c r="K90" s="1">
        <v>1.0</v>
      </c>
      <c r="M90" s="1">
        <v>1.0</v>
      </c>
      <c r="N90" s="1">
        <v>1.0</v>
      </c>
      <c r="O90" s="1">
        <v>1.0</v>
      </c>
      <c r="P90" s="1">
        <v>1.0</v>
      </c>
      <c r="Z90" s="10"/>
      <c r="AA90" s="10"/>
    </row>
    <row r="91">
      <c r="A91" s="61"/>
      <c r="B91" s="51" t="s">
        <v>383</v>
      </c>
      <c r="C91" s="51" t="s">
        <v>11</v>
      </c>
      <c r="D91" s="51">
        <v>7.99</v>
      </c>
      <c r="E91" s="51" t="s">
        <v>13</v>
      </c>
      <c r="F91" s="10">
        <f t="shared" si="3"/>
        <v>1.598</v>
      </c>
      <c r="G91" s="10">
        <f t="shared" si="4"/>
        <v>1.598</v>
      </c>
      <c r="H91" s="52">
        <v>1.0</v>
      </c>
      <c r="I91" s="52">
        <v>1.0</v>
      </c>
      <c r="J91" s="52">
        <v>1.0</v>
      </c>
      <c r="K91" s="52">
        <v>1.0</v>
      </c>
      <c r="L91" s="53"/>
      <c r="M91" s="53"/>
      <c r="N91" s="52">
        <v>1.0</v>
      </c>
      <c r="Z91" s="10"/>
      <c r="AA91" s="10"/>
    </row>
    <row r="92">
      <c r="A92" s="59"/>
      <c r="B92" s="12" t="s">
        <v>107</v>
      </c>
      <c r="C92" s="12" t="s">
        <v>11</v>
      </c>
      <c r="D92" s="12">
        <v>12.99</v>
      </c>
      <c r="E92" s="12" t="s">
        <v>13</v>
      </c>
      <c r="F92" s="10">
        <f t="shared" si="3"/>
        <v>12.99</v>
      </c>
      <c r="G92" s="10">
        <f t="shared" si="4"/>
        <v>12.99</v>
      </c>
      <c r="J92" s="1">
        <v>1.0</v>
      </c>
      <c r="Z92" s="10"/>
      <c r="AA92" s="10"/>
    </row>
    <row r="93">
      <c r="A93" s="61"/>
      <c r="B93" s="51" t="s">
        <v>384</v>
      </c>
      <c r="C93" s="51" t="s">
        <v>11</v>
      </c>
      <c r="D93" s="63">
        <v>31.24</v>
      </c>
      <c r="E93" s="51" t="s">
        <v>13</v>
      </c>
      <c r="F93" s="10">
        <f t="shared" si="3"/>
        <v>31.24</v>
      </c>
      <c r="G93" s="10">
        <f t="shared" si="4"/>
        <v>31.24</v>
      </c>
      <c r="H93" s="54"/>
      <c r="I93" s="54"/>
      <c r="J93" s="54"/>
      <c r="K93" s="54"/>
      <c r="L93" s="52">
        <v>1.0</v>
      </c>
      <c r="M93" s="54"/>
      <c r="N93" s="54"/>
      <c r="Z93" s="10"/>
      <c r="AA93" s="10"/>
    </row>
    <row r="94">
      <c r="A94" s="61"/>
      <c r="B94" s="51" t="s">
        <v>385</v>
      </c>
      <c r="C94" s="51" t="s">
        <v>23</v>
      </c>
      <c r="D94" s="51">
        <f>24.99*1.13</f>
        <v>28.2387</v>
      </c>
      <c r="E94" s="51" t="s">
        <v>13</v>
      </c>
      <c r="F94" s="10">
        <f t="shared" si="3"/>
        <v>5.64774</v>
      </c>
      <c r="G94" s="10">
        <f t="shared" si="4"/>
        <v>5.64774</v>
      </c>
      <c r="H94" s="52">
        <v>1.0</v>
      </c>
      <c r="I94" s="52">
        <v>1.0</v>
      </c>
      <c r="J94" s="52">
        <v>1.0</v>
      </c>
      <c r="K94" s="52">
        <v>1.0</v>
      </c>
      <c r="L94" s="53"/>
      <c r="M94" s="54"/>
      <c r="N94" s="52">
        <v>1.0</v>
      </c>
      <c r="Z94" s="10"/>
      <c r="AA94" s="10"/>
    </row>
    <row r="95">
      <c r="A95" s="59"/>
      <c r="B95" s="12" t="s">
        <v>386</v>
      </c>
      <c r="C95" s="12" t="s">
        <v>23</v>
      </c>
      <c r="D95" s="12">
        <f>15.99*1.13</f>
        <v>18.0687</v>
      </c>
      <c r="E95" s="12" t="s">
        <v>13</v>
      </c>
      <c r="F95" s="10">
        <f t="shared" si="3"/>
        <v>6.0229</v>
      </c>
      <c r="G95" s="10">
        <f t="shared" si="4"/>
        <v>6.0229</v>
      </c>
      <c r="J95" s="1">
        <v>1.0</v>
      </c>
      <c r="K95" s="1">
        <v>1.0</v>
      </c>
      <c r="N95" s="1">
        <v>1.0</v>
      </c>
      <c r="Z95" s="10"/>
      <c r="AA95" s="10"/>
    </row>
    <row r="96">
      <c r="A96" s="61"/>
      <c r="B96" s="51" t="s">
        <v>387</v>
      </c>
      <c r="C96" s="51" t="s">
        <v>11</v>
      </c>
      <c r="D96" s="51">
        <v>6.99</v>
      </c>
      <c r="E96" s="51" t="s">
        <v>13</v>
      </c>
      <c r="F96" s="10">
        <f t="shared" si="3"/>
        <v>1.398</v>
      </c>
      <c r="G96" s="10">
        <f t="shared" si="4"/>
        <v>1.398</v>
      </c>
      <c r="H96" s="52">
        <v>1.0</v>
      </c>
      <c r="I96" s="52">
        <v>1.0</v>
      </c>
      <c r="J96" s="52">
        <v>1.0</v>
      </c>
      <c r="K96" s="52">
        <v>1.0</v>
      </c>
      <c r="L96" s="53"/>
      <c r="M96" s="54"/>
      <c r="N96" s="52">
        <v>1.0</v>
      </c>
      <c r="Z96" s="10"/>
      <c r="AA96" s="10"/>
    </row>
    <row r="97">
      <c r="A97" s="61"/>
      <c r="B97" s="51" t="s">
        <v>124</v>
      </c>
      <c r="C97" s="51" t="s">
        <v>11</v>
      </c>
      <c r="D97" s="51">
        <f>6.19*1.13</f>
        <v>6.9947</v>
      </c>
      <c r="E97" s="51" t="s">
        <v>13</v>
      </c>
      <c r="F97" s="10">
        <f t="shared" si="3"/>
        <v>6.9947</v>
      </c>
      <c r="G97" s="10">
        <f t="shared" si="4"/>
        <v>6.9947</v>
      </c>
      <c r="H97" s="52"/>
      <c r="I97" s="52"/>
      <c r="J97" s="52"/>
      <c r="K97" s="52"/>
      <c r="L97" s="54">
        <v>1.0</v>
      </c>
      <c r="M97" s="54"/>
      <c r="N97" s="52"/>
      <c r="Z97" s="10"/>
      <c r="AA97" s="10"/>
    </row>
    <row r="98">
      <c r="A98" s="61"/>
      <c r="B98" s="51" t="s">
        <v>107</v>
      </c>
      <c r="C98" s="51" t="s">
        <v>11</v>
      </c>
      <c r="D98" s="51">
        <v>11.49</v>
      </c>
      <c r="E98" s="51" t="s">
        <v>13</v>
      </c>
      <c r="F98" s="10">
        <f t="shared" si="3"/>
        <v>11.49</v>
      </c>
      <c r="G98" s="10">
        <f t="shared" si="4"/>
        <v>11.49</v>
      </c>
      <c r="H98" s="66"/>
      <c r="I98" s="66"/>
      <c r="J98" s="52"/>
      <c r="K98" s="66"/>
      <c r="L98" s="54">
        <v>1.0</v>
      </c>
      <c r="M98" s="53"/>
      <c r="N98" s="66"/>
      <c r="Z98" s="10"/>
      <c r="AA98" s="10"/>
    </row>
    <row r="99">
      <c r="A99" s="61"/>
      <c r="B99" s="51" t="s">
        <v>114</v>
      </c>
      <c r="C99" s="51" t="s">
        <v>11</v>
      </c>
      <c r="D99" s="63">
        <v>8.89</v>
      </c>
      <c r="E99" s="51" t="s">
        <v>13</v>
      </c>
      <c r="F99" s="10">
        <f t="shared" si="3"/>
        <v>8.89</v>
      </c>
      <c r="G99" s="10">
        <f t="shared" si="4"/>
        <v>8.89</v>
      </c>
      <c r="H99" s="52"/>
      <c r="I99" s="54"/>
      <c r="J99" s="54"/>
      <c r="K99" s="54"/>
      <c r="L99" s="54">
        <v>1.0</v>
      </c>
      <c r="M99" s="54"/>
      <c r="N99" s="54"/>
      <c r="Z99" s="10"/>
      <c r="AA99" s="10"/>
    </row>
    <row r="100">
      <c r="A100" s="61"/>
      <c r="B100" s="51" t="s">
        <v>107</v>
      </c>
      <c r="C100" s="51" t="s">
        <v>11</v>
      </c>
      <c r="D100" s="51">
        <v>14.49</v>
      </c>
      <c r="E100" s="51" t="s">
        <v>13</v>
      </c>
      <c r="F100" s="10">
        <f t="shared" si="3"/>
        <v>4.83</v>
      </c>
      <c r="G100" s="10">
        <f t="shared" si="4"/>
        <v>4.83</v>
      </c>
      <c r="H100" s="52"/>
      <c r="I100" s="54">
        <v>1.0</v>
      </c>
      <c r="J100" s="54">
        <v>1.0</v>
      </c>
      <c r="K100" s="54"/>
      <c r="L100" s="53"/>
      <c r="M100" s="54"/>
      <c r="N100" s="54">
        <v>1.0</v>
      </c>
      <c r="Z100" s="10"/>
      <c r="AA100" s="10"/>
    </row>
    <row r="101">
      <c r="A101" s="61"/>
      <c r="B101" s="51" t="s">
        <v>333</v>
      </c>
      <c r="C101" s="51" t="s">
        <v>19</v>
      </c>
      <c r="D101" s="63">
        <f>11.39*1.13</f>
        <v>12.8707</v>
      </c>
      <c r="E101" s="51" t="s">
        <v>13</v>
      </c>
      <c r="F101" s="10">
        <f t="shared" si="3"/>
        <v>2.57414</v>
      </c>
      <c r="G101" s="10">
        <f t="shared" si="4"/>
        <v>2.57414</v>
      </c>
      <c r="H101" s="52">
        <v>1.0</v>
      </c>
      <c r="I101" s="54">
        <v>1.0</v>
      </c>
      <c r="J101" s="52">
        <v>1.0</v>
      </c>
      <c r="K101" s="54">
        <v>1.0</v>
      </c>
      <c r="L101" s="53"/>
      <c r="M101" s="53"/>
      <c r="N101" s="54">
        <v>1.0</v>
      </c>
      <c r="Z101" s="10"/>
      <c r="AA101" s="10"/>
    </row>
    <row r="102">
      <c r="C102" s="12"/>
      <c r="D102" s="12">
        <f>9.98*1.13</f>
        <v>11.2774</v>
      </c>
      <c r="E102" s="12" t="s">
        <v>14</v>
      </c>
      <c r="F102" s="10">
        <f t="shared" si="3"/>
        <v>11.2774</v>
      </c>
      <c r="G102" s="10">
        <f t="shared" si="4"/>
        <v>11.2774</v>
      </c>
      <c r="M102" s="1">
        <v>1.0</v>
      </c>
      <c r="Z102" s="10"/>
      <c r="AA102" s="10"/>
    </row>
    <row r="103">
      <c r="A103" s="61"/>
      <c r="B103" s="12" t="s">
        <v>388</v>
      </c>
      <c r="C103" s="12" t="s">
        <v>11</v>
      </c>
      <c r="D103" s="12">
        <f>5.99*1.13+1.88+3.49</f>
        <v>12.1387</v>
      </c>
      <c r="E103" s="12" t="s">
        <v>14</v>
      </c>
      <c r="F103" s="67">
        <f t="shared" si="3"/>
        <v>2.42774</v>
      </c>
      <c r="G103" s="10">
        <f t="shared" si="4"/>
        <v>2.42774</v>
      </c>
      <c r="H103" s="1">
        <v>1.0</v>
      </c>
      <c r="I103" s="1">
        <v>1.0</v>
      </c>
      <c r="J103" s="1">
        <v>1.0</v>
      </c>
      <c r="K103" s="1">
        <v>1.0</v>
      </c>
      <c r="N103" s="1">
        <v>1.0</v>
      </c>
      <c r="Z103" s="10"/>
      <c r="AA103" s="10"/>
    </row>
    <row r="104">
      <c r="A104" s="59"/>
      <c r="B104" s="12" t="s">
        <v>389</v>
      </c>
      <c r="C104" s="12" t="s">
        <v>11</v>
      </c>
      <c r="D104" s="12">
        <f>99.05-D103</f>
        <v>86.9113</v>
      </c>
      <c r="E104" s="12" t="s">
        <v>13</v>
      </c>
      <c r="F104" s="67">
        <f t="shared" si="3"/>
        <v>17.38226</v>
      </c>
      <c r="G104" s="10">
        <f t="shared" si="4"/>
        <v>17.38226</v>
      </c>
      <c r="H104" s="1">
        <v>1.0</v>
      </c>
      <c r="I104" s="1">
        <v>1.0</v>
      </c>
      <c r="J104" s="1">
        <v>1.0</v>
      </c>
      <c r="K104" s="1">
        <v>1.0</v>
      </c>
      <c r="N104" s="1">
        <v>1.0</v>
      </c>
      <c r="Z104" s="10"/>
      <c r="AA104" s="10"/>
    </row>
    <row r="105">
      <c r="A105" s="59">
        <v>45433.0</v>
      </c>
      <c r="B105" s="12" t="s">
        <v>390</v>
      </c>
      <c r="C105" s="12" t="s">
        <v>23</v>
      </c>
      <c r="D105" s="12">
        <v>11.28</v>
      </c>
      <c r="E105" s="12" t="s">
        <v>13</v>
      </c>
      <c r="F105" s="67">
        <f t="shared" si="3"/>
        <v>2.256</v>
      </c>
      <c r="G105" s="10">
        <f t="shared" si="4"/>
        <v>2.256</v>
      </c>
      <c r="H105" s="1">
        <v>1.0</v>
      </c>
      <c r="I105" s="1">
        <v>1.0</v>
      </c>
      <c r="J105" s="1">
        <v>1.0</v>
      </c>
      <c r="K105" s="1">
        <v>1.0</v>
      </c>
      <c r="N105" s="1">
        <v>1.0</v>
      </c>
      <c r="Z105" s="10"/>
      <c r="AA105" s="10"/>
    </row>
    <row r="106">
      <c r="A106" s="59"/>
      <c r="B106" s="12"/>
      <c r="C106" s="12"/>
      <c r="D106" s="12"/>
      <c r="E106" s="12"/>
      <c r="F106" s="67"/>
      <c r="G106" s="10"/>
      <c r="Z106" s="10"/>
      <c r="AA106" s="10"/>
    </row>
    <row r="107">
      <c r="A107" s="59"/>
      <c r="B107" s="12"/>
      <c r="C107" s="12"/>
      <c r="D107" s="12"/>
      <c r="E107" s="12"/>
      <c r="F107" s="67"/>
      <c r="G107" s="10"/>
      <c r="Z107" s="10"/>
      <c r="AA107" s="10"/>
    </row>
    <row r="108">
      <c r="A108" s="59"/>
      <c r="B108" s="12"/>
      <c r="C108" s="12"/>
      <c r="D108" s="12"/>
      <c r="E108" s="12"/>
      <c r="F108" s="67"/>
      <c r="G108" s="10"/>
      <c r="Z108" s="10"/>
      <c r="AA108" s="10"/>
    </row>
    <row r="109">
      <c r="A109" s="59"/>
      <c r="B109" s="12"/>
      <c r="C109" s="12"/>
      <c r="D109" s="12"/>
      <c r="E109" s="12"/>
      <c r="F109" s="67"/>
      <c r="G109" s="10"/>
      <c r="Z109" s="10"/>
      <c r="AA109" s="10"/>
    </row>
    <row r="110">
      <c r="A110" s="59"/>
      <c r="B110" s="12"/>
      <c r="C110" s="12"/>
      <c r="D110" s="12"/>
      <c r="E110" s="12"/>
      <c r="F110" s="67"/>
      <c r="G110" s="10"/>
      <c r="Z110" s="10"/>
      <c r="AA110" s="10"/>
    </row>
    <row r="111">
      <c r="A111" s="59"/>
      <c r="B111" s="12"/>
      <c r="C111" s="12"/>
      <c r="D111" s="12"/>
      <c r="E111" s="12"/>
      <c r="F111" s="67"/>
      <c r="G111" s="10"/>
      <c r="Z111" s="10"/>
      <c r="AA111" s="10"/>
    </row>
    <row r="112">
      <c r="A112" s="59"/>
      <c r="B112" s="12"/>
      <c r="C112" s="12"/>
      <c r="D112" s="12"/>
      <c r="E112" s="12"/>
      <c r="F112" s="67"/>
      <c r="G112" s="10"/>
      <c r="Z112" s="10"/>
      <c r="AA112" s="10"/>
    </row>
    <row r="113">
      <c r="A113" s="59"/>
      <c r="B113" s="12"/>
      <c r="C113" s="12"/>
      <c r="D113" s="12"/>
      <c r="E113" s="12"/>
      <c r="F113" s="67"/>
      <c r="G113" s="10"/>
      <c r="Z113" s="10"/>
      <c r="AA113" s="10"/>
    </row>
    <row r="114">
      <c r="A114" s="10"/>
      <c r="B114" s="10"/>
      <c r="C114" s="10"/>
      <c r="D114" s="10"/>
      <c r="E114" s="10"/>
      <c r="F114" s="67"/>
      <c r="G114" s="10"/>
      <c r="Z114" s="10"/>
      <c r="AA114" s="10"/>
    </row>
    <row r="115">
      <c r="A115" s="10"/>
      <c r="B115" s="10"/>
      <c r="C115" s="10"/>
      <c r="D115" s="10"/>
      <c r="E115" s="10"/>
      <c r="F115" s="67"/>
      <c r="G115" s="10"/>
      <c r="Z115" s="10"/>
      <c r="AA115" s="10"/>
    </row>
    <row r="116">
      <c r="A116" s="10"/>
      <c r="B116" s="10"/>
      <c r="C116" s="10"/>
      <c r="D116" s="10"/>
      <c r="E116" s="10"/>
      <c r="F116" s="67"/>
      <c r="G116" s="10"/>
      <c r="Z116" s="10"/>
      <c r="AA116" s="10"/>
    </row>
    <row r="117">
      <c r="A117" s="10"/>
      <c r="B117" s="10"/>
      <c r="C117" s="10"/>
      <c r="D117" s="10"/>
      <c r="E117" s="10"/>
      <c r="F117" s="67"/>
      <c r="G117" s="10"/>
      <c r="Z117" s="10"/>
      <c r="AA117" s="10"/>
    </row>
    <row r="118">
      <c r="A118" s="10"/>
      <c r="B118" s="10"/>
      <c r="C118" s="10"/>
      <c r="D118" s="10"/>
      <c r="E118" s="10"/>
      <c r="F118" s="67"/>
      <c r="G118" s="10"/>
      <c r="Z118" s="10"/>
      <c r="AA118" s="10"/>
    </row>
    <row r="119">
      <c r="A119" s="10"/>
      <c r="B119" s="10"/>
      <c r="C119" s="10"/>
      <c r="D119" s="10"/>
      <c r="E119" s="10"/>
      <c r="F119" s="67"/>
      <c r="G119" s="10"/>
      <c r="Z119" s="10"/>
      <c r="AA119" s="10"/>
    </row>
    <row r="120">
      <c r="A120" s="10"/>
      <c r="B120" s="10"/>
      <c r="C120" s="10"/>
      <c r="D120" s="10"/>
      <c r="E120" s="10"/>
      <c r="F120" s="67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>
      <c r="A121" s="10"/>
      <c r="B121" s="10"/>
      <c r="C121" s="10"/>
      <c r="D121" s="10"/>
      <c r="E121" s="10"/>
      <c r="F121" s="67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>
      <c r="A122" s="10"/>
      <c r="B122" s="10"/>
      <c r="C122" s="10"/>
      <c r="D122" s="10"/>
      <c r="E122" s="10"/>
      <c r="F122" s="67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>
      <c r="A123" s="10"/>
      <c r="B123" s="10"/>
      <c r="C123" s="10"/>
      <c r="D123" s="10"/>
      <c r="E123" s="10"/>
      <c r="F123" s="67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>
      <c r="A124" s="10"/>
      <c r="B124" s="10"/>
      <c r="C124" s="10"/>
      <c r="D124" s="10"/>
      <c r="E124" s="10"/>
      <c r="F124" s="67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>
      <c r="A125" s="10"/>
      <c r="B125" s="10"/>
      <c r="C125" s="10"/>
      <c r="D125" s="10"/>
      <c r="E125" s="10"/>
      <c r="F125" s="67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>
      <c r="A126" s="10"/>
      <c r="B126" s="10"/>
      <c r="C126" s="10"/>
      <c r="D126" s="10"/>
      <c r="E126" s="10"/>
      <c r="F126" s="67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>
      <c r="A127" s="10"/>
      <c r="B127" s="10"/>
      <c r="C127" s="10"/>
      <c r="D127" s="10"/>
      <c r="E127" s="10"/>
      <c r="F127" s="67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 t="str">
        <f t="shared" ref="F139:F142" si="5">D139/sum(H139:O139)</f>
        <v>#DIV/0!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 t="str">
        <f t="shared" si="5"/>
        <v>#DIV/0!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 t="str">
        <f t="shared" si="5"/>
        <v>#DIV/0!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 t="str">
        <f t="shared" si="5"/>
        <v>#DIV/0!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59"/>
      <c r="B144" s="12"/>
      <c r="C144" s="12"/>
      <c r="D144" s="12"/>
      <c r="E144" s="12"/>
      <c r="F144" s="67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59"/>
      <c r="B145" s="12"/>
      <c r="C145" s="10"/>
      <c r="D145" s="12"/>
      <c r="E145" s="10"/>
      <c r="F145" s="6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59"/>
      <c r="B146" s="12"/>
      <c r="C146" s="10"/>
      <c r="D146" s="12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B158" s="10"/>
      <c r="C158" s="10"/>
      <c r="D158" s="10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55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</sheetData>
  <autoFilter ref="$A$12:$AA$106">
    <sortState ref="A12:AA106">
      <sortCondition ref="A12:A106"/>
    </sortState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17">
      <formula1>"食物,飲品,衣服,居家,電子產品,娛樂,醫藥,交通,其他"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19" t="s">
        <v>391</v>
      </c>
      <c r="B1" s="4"/>
      <c r="C1" s="4"/>
      <c r="D1" s="4"/>
      <c r="E1" s="4"/>
      <c r="F1" s="5"/>
    </row>
    <row r="2">
      <c r="A2" s="120" t="s">
        <v>326</v>
      </c>
      <c r="B2" s="121" t="s">
        <v>2</v>
      </c>
      <c r="C2" s="122" t="s">
        <v>4</v>
      </c>
      <c r="D2" s="123" t="s">
        <v>43</v>
      </c>
      <c r="E2" s="124" t="s">
        <v>14</v>
      </c>
      <c r="F2" s="125" t="s">
        <v>7</v>
      </c>
      <c r="G2" s="18"/>
    </row>
    <row r="3">
      <c r="A3" s="126" t="s">
        <v>11</v>
      </c>
      <c r="B3" s="6">
        <f>SUMIFS($F$26:$F1517,$C$26:$C1517,"食物",$H$26:$H1517,"1")</f>
        <v>436.8076055</v>
      </c>
      <c r="C3" s="6">
        <f>SUMIFS($F$26:$F1517,$C$26:$C1517,"食物",$I$26:$I1517,"1")</f>
        <v>439.3043055</v>
      </c>
      <c r="D3" s="6">
        <f>SUMIFS($F$26:$F1517,$C$26:$C1517,"食物",$J$26:$J1517,"1")</f>
        <v>459.0418055</v>
      </c>
      <c r="E3" s="6">
        <f>SUMIFS($F$26:$F1517,$C$26:$C1517,"食物",$K$26:$K1517,"1")</f>
        <v>458.7268055</v>
      </c>
      <c r="F3" s="127">
        <f>SUMIFS($F$26:$F1517,$C$26:$C1517,"食物",$N$26:$N1517,"1")</f>
        <v>276.0020805</v>
      </c>
    </row>
    <row r="4">
      <c r="A4" s="126" t="s">
        <v>19</v>
      </c>
      <c r="B4" s="6">
        <f>SUMIFS($F$26:$F1517,$C$26:$C1517,"飲品",$H$26:$H1517,"1")</f>
        <v>2.57414</v>
      </c>
      <c r="C4" s="6">
        <f>SUMIFS($F$26:$F1517,$C$26:$C1517,"飲品",$I$26:$I1517,"1")</f>
        <v>2.57414</v>
      </c>
      <c r="D4" s="6">
        <f>SUMIFS($F$26:$F1517,$C$26:$C1517,"飲品",$J$26:$J1517,"1")</f>
        <v>2.57414</v>
      </c>
      <c r="E4" s="6">
        <f>SUMIFS($F$26:$F1517,$C$26:$C1517,"飲品",$K$26:$K1517,"1")</f>
        <v>2.57414</v>
      </c>
      <c r="F4" s="127">
        <f>SUMIFS($F$26:$F1517,$C$26:$C1517,"飲品",$N$26:$N1517,"1")</f>
        <v>2.57414</v>
      </c>
    </row>
    <row r="5">
      <c r="A5" s="126" t="s">
        <v>21</v>
      </c>
      <c r="B5" s="6">
        <f>SUMIFS($F$26:$F1517,$C$26:$C1517,"衣物",$H$26:$H1517,"1")</f>
        <v>0</v>
      </c>
      <c r="C5" s="6">
        <f>SUMIFS($F$26:$F1517,$C$26:$C1517,"衣物",$I$26:$I1517,"1")</f>
        <v>0</v>
      </c>
      <c r="D5" s="6">
        <f>SUMIFS($F$26:$F1517,$C$26:$C1517,"衣物",$J$26:$J1517,"1")</f>
        <v>0</v>
      </c>
      <c r="E5" s="6">
        <f>SUMIFS($F$26:$F1517,$C$26:$C1517,"衣物",$K$26:$K1517,"1")</f>
        <v>0</v>
      </c>
      <c r="F5" s="127">
        <f>SUMIFS($F$26:$F1517,$C$26:$C1517,"衣物",$N$26:$N1517,"1")</f>
        <v>0</v>
      </c>
    </row>
    <row r="6">
      <c r="A6" s="126" t="s">
        <v>327</v>
      </c>
      <c r="B6" s="6">
        <f>SUMIFS($F$26:$F1517,$C$26:$C1517,"居家",$H$26:$H1517,"1")</f>
        <v>134.17474</v>
      </c>
      <c r="C6" s="6">
        <f>SUMIFS($F$26:$F1517,$C$26:$C1517,"居家",$I$26:$I1517,"1")</f>
        <v>131.34974</v>
      </c>
      <c r="D6" s="6">
        <f>SUMIFS($F$26:$F1517,$C$26:$C1517,"居家",$J$26:$J1517,"1")</f>
        <v>140.19764</v>
      </c>
      <c r="E6" s="6">
        <f>SUMIFS($F$26:$F1517,$C$26:$C1517,"居家",$K$26:$K1517,"1")</f>
        <v>137.37264</v>
      </c>
      <c r="F6" s="127">
        <f>SUMIFS($F$26:$F1517,$C$26:$C1517,"居家",$N$26:$N1517,"1")</f>
        <v>137.37264</v>
      </c>
    </row>
    <row r="7">
      <c r="A7" s="126" t="s">
        <v>25</v>
      </c>
      <c r="B7" s="6">
        <f>SUMIFS($F$26:$F1517,$C$26:$C1517,"電子產品",$H$26:$H1517,"1")</f>
        <v>0</v>
      </c>
      <c r="C7" s="6">
        <f>SUMIFS($F$26:$F1517,$C$26:$C1517,"電子產品",$I$26:$I1517,"1")</f>
        <v>0</v>
      </c>
      <c r="D7" s="6">
        <f>SUMIFS($F$26:$F1517,$C$26:$C1517,"電子產品",$J$26:$J1517,"1")</f>
        <v>0</v>
      </c>
      <c r="E7" s="6">
        <f>SUMIFS($F$26:$F1517,$C$26:$C1517,"電子產品",$K$26:$K1517,"1")</f>
        <v>0</v>
      </c>
      <c r="F7" s="127">
        <f>SUMIFS($F$26:$F1517,$C$26:$C1517,"電子產品",$N$26:$N1517,"1")</f>
        <v>0</v>
      </c>
    </row>
    <row r="8">
      <c r="A8" s="126" t="s">
        <v>27</v>
      </c>
      <c r="B8" s="6">
        <f>SUMIFS($F$26:$F1517,$C$26:$C1517,"娛樂",$H$26:$H1517,"1")</f>
        <v>35.662</v>
      </c>
      <c r="C8" s="6">
        <f>SUMIFS($F$26:$F1517,$C$26:$C1517,"娛樂",$I$26:$I1517,"1")</f>
        <v>35.662</v>
      </c>
      <c r="D8" s="6">
        <f>SUMIFS($F$26:$F1517,$C$26:$C1517,"娛樂",$J$26:$J1517,"1")</f>
        <v>35.662</v>
      </c>
      <c r="E8" s="6">
        <f>SUMIFS($F$26:$F1517,$C$26:$C1517,"娛樂",$K$26:$K1517,"1")</f>
        <v>35.662</v>
      </c>
      <c r="F8" s="127">
        <f>SUMIFS($F$26:$F1517,$C$26:$C1517,"娛樂",$N$26:$N1517,"1")</f>
        <v>35.662</v>
      </c>
    </row>
    <row r="9">
      <c r="A9" s="126" t="s">
        <v>29</v>
      </c>
      <c r="B9" s="6">
        <f>SUMIFS($F$26:$F1517,$C$26:$C1517,"交通",$H$26:$H1517,"1")</f>
        <v>0</v>
      </c>
      <c r="C9" s="6">
        <f>SUMIFS($F$26:$F1517,$C$26:$C1517,"交通",$I$26:$I1517,"1")</f>
        <v>0</v>
      </c>
      <c r="D9" s="6">
        <f>SUMIFS($F$26:$F1517,$C$26:$C1517,"交通",$J$26:$J1517,"1")</f>
        <v>0</v>
      </c>
      <c r="E9" s="6">
        <f>SUMIFS($F$26:$F1517,$C$26:$C1517,"交通",$K$26:$K1517,"1")</f>
        <v>0</v>
      </c>
      <c r="F9" s="127">
        <f>SUMIFS($F$26:$F1517,$C$26:$C1517,"交通",$N$26:$N1517,"1")</f>
        <v>0</v>
      </c>
    </row>
    <row r="10">
      <c r="A10" s="126" t="s">
        <v>31</v>
      </c>
      <c r="B10" s="6">
        <f>SUMIFS($F$26:$F1517,$C$26:$C1517,"醫藥",$H$26:$H1517,"1")</f>
        <v>0</v>
      </c>
      <c r="C10" s="6">
        <f>SUMIFS($F$26:$F1517,$C$26:$C1517,"醫藥",$I$26:$I1517,"1")</f>
        <v>0</v>
      </c>
      <c r="D10" s="6">
        <f>SUMIFS($F$26:$F1517,$C$26:$C1517,"醫藥",$J$26:$J1517,"1")</f>
        <v>0</v>
      </c>
      <c r="E10" s="6">
        <f>SUMIFS($F$26:$F1517,$C$26:$C1517,"醫藥",$K$26:$K1517,"1")</f>
        <v>0</v>
      </c>
      <c r="F10" s="127">
        <f>SUMIFS($F$26:$F1517,$C$26:$C1517,"醫藥",$N$26:$N1517,"1")</f>
        <v>0</v>
      </c>
    </row>
    <row r="11">
      <c r="A11" s="128" t="s">
        <v>33</v>
      </c>
      <c r="B11" s="129">
        <f>SUMIFS($F$26:$F1517,$C$26:$C1517,"其他",$H$26:$H1517,"1")</f>
        <v>0</v>
      </c>
      <c r="C11" s="129">
        <f>SUMIFS($F$26:$F1517,$C$26:$C1517,"其他",$I$26:$I1517,"1")</f>
        <v>54.3</v>
      </c>
      <c r="D11" s="129">
        <f>SUMIFS($F$26:$F1517,$C$26:$C1517,"其他",$J$26:$J1517,"1")</f>
        <v>22.6</v>
      </c>
      <c r="E11" s="129">
        <f>SUMIFS($F$26:$F1517,$C$26:$C1517,"其他",$K$26:$K1517,"1")</f>
        <v>21.4361</v>
      </c>
      <c r="F11" s="130">
        <f>SUMIFS($F$26:$F1517,$C$26:$C1517,"其他",$N$26:$N1517,"1")</f>
        <v>37.2787</v>
      </c>
    </row>
    <row r="12">
      <c r="A12" s="131" t="s">
        <v>328</v>
      </c>
      <c r="B12" s="6">
        <f t="shared" ref="B12:F12" si="1">SUM(B2:B11)</f>
        <v>609.2184855</v>
      </c>
      <c r="C12" s="6">
        <f t="shared" si="1"/>
        <v>663.1901855</v>
      </c>
      <c r="D12" s="6">
        <f t="shared" si="1"/>
        <v>660.0755855</v>
      </c>
      <c r="E12" s="6">
        <f t="shared" si="1"/>
        <v>655.7716855</v>
      </c>
      <c r="F12" s="6">
        <f t="shared" si="1"/>
        <v>488.8895605</v>
      </c>
    </row>
    <row r="25">
      <c r="A25" s="132" t="str">
        <f>IFERROR(__xludf.DUMMYFUNCTION("IMPORTRANGE(""https://docs.google.com/spreadsheets/d/1dZpkWD3REnvVALQwbfOZZpKYnujFN1S_8pHjXVTirOc/edit#gid=1977712179"", ""Daily Expense_May!A12:N"")
"),"Date")</f>
        <v>Date</v>
      </c>
      <c r="B25" s="132" t="str">
        <f>IFERROR(__xludf.DUMMYFUNCTION("""COMPUTED_VALUE"""),"Item")</f>
        <v>Item</v>
      </c>
      <c r="C25" s="132" t="str">
        <f>IFERROR(__xludf.DUMMYFUNCTION("""COMPUTED_VALUE"""),"Type")</f>
        <v>Type</v>
      </c>
      <c r="D25" s="132" t="str">
        <f>IFERROR(__xludf.DUMMYFUNCTION("""COMPUTED_VALUE"""),"Price")</f>
        <v>Price</v>
      </c>
      <c r="E25" s="132" t="str">
        <f>IFERROR(__xludf.DUMMYFUNCTION("""COMPUTED_VALUE"""),"Paid by")</f>
        <v>Paid by</v>
      </c>
      <c r="F25" s="132" t="str">
        <f>IFERROR(__xludf.DUMMYFUNCTION("""COMPUTED_VALUE"""),"For Record 請勿清除")</f>
        <v>For Record 請勿清除</v>
      </c>
      <c r="G25" s="132" t="str">
        <f>IFERROR(__xludf.DUMMYFUNCTION("""COMPUTED_VALUE"""),"Average 清算後可清除")</f>
        <v>Average 清算後可清除</v>
      </c>
      <c r="H25" s="132" t="str">
        <f>IFERROR(__xludf.DUMMYFUNCTION("""COMPUTED_VALUE"""),"Timothy")</f>
        <v>Timothy</v>
      </c>
      <c r="I25" s="132" t="str">
        <f>IFERROR(__xludf.DUMMYFUNCTION("""COMPUTED_VALUE"""),"Rachel")</f>
        <v>Rachel</v>
      </c>
      <c r="J25" s="132" t="str">
        <f>IFERROR(__xludf.DUMMYFUNCTION("""COMPUTED_VALUE"""),"Bryan")</f>
        <v>Bryan</v>
      </c>
      <c r="K25" s="132" t="str">
        <f>IFERROR(__xludf.DUMMYFUNCTION("""COMPUTED_VALUE"""),"Pigskin")</f>
        <v>Pigskin</v>
      </c>
      <c r="L25" s="132" t="str">
        <f>IFERROR(__xludf.DUMMYFUNCTION("""COMPUTED_VALUE"""),"Angel")</f>
        <v>Angel</v>
      </c>
      <c r="M25" s="132" t="str">
        <f>IFERROR(__xludf.DUMMYFUNCTION("""COMPUTED_VALUE"""),"Ivan")</f>
        <v>Ivan</v>
      </c>
      <c r="N25" s="132" t="str">
        <f>IFERROR(__xludf.DUMMYFUNCTION("""COMPUTED_VALUE"""),"Esther")</f>
        <v>Esther</v>
      </c>
      <c r="O25" s="132"/>
      <c r="P25" s="132"/>
      <c r="Q25" s="132" t="str">
        <f>IFERROR(__xludf.DUMMYFUNCTION("IMPORTRANGE(""https://docs.google.com/spreadsheets/d/1dZpkWD3REnvVALQwbfOZZpKYnujFN1S_8pHjXVTirOc/edit#gid=1388060777"", ""Monthly Constant Expense!A:I"")"),"Month")</f>
        <v>Month</v>
      </c>
      <c r="R25" s="132" t="str">
        <f>IFERROR(__xludf.DUMMYFUNCTION("""COMPUTED_VALUE"""),"Item")</f>
        <v>Item</v>
      </c>
      <c r="S25" s="132" t="str">
        <f>IFERROR(__xludf.DUMMYFUNCTION("""COMPUTED_VALUE"""),"Total Price")</f>
        <v>Total Price</v>
      </c>
      <c r="T25" s="132" t="str">
        <f>IFERROR(__xludf.DUMMYFUNCTION("""COMPUTED_VALUE"""),"Per person")</f>
        <v>Per person</v>
      </c>
      <c r="U25" s="132" t="str">
        <f>IFERROR(__xludf.DUMMYFUNCTION("""COMPUTED_VALUE"""),"Timothy")</f>
        <v>Timothy</v>
      </c>
      <c r="V25" s="132" t="str">
        <f>IFERROR(__xludf.DUMMYFUNCTION("""COMPUTED_VALUE"""),"Rachel")</f>
        <v>Rachel</v>
      </c>
      <c r="W25" s="132" t="str">
        <f>IFERROR(__xludf.DUMMYFUNCTION("""COMPUTED_VALUE"""),"Bryan")</f>
        <v>Bryan</v>
      </c>
      <c r="X25" s="132" t="str">
        <f>IFERROR(__xludf.DUMMYFUNCTION("""COMPUTED_VALUE"""),"Pigskin")</f>
        <v>Pigskin</v>
      </c>
      <c r="Y25" s="132" t="str">
        <f>IFERROR(__xludf.DUMMYFUNCTION("""COMPUTED_VALUE"""),"Apple")</f>
        <v>Apple</v>
      </c>
      <c r="Z25" s="132"/>
    </row>
    <row r="26">
      <c r="A26" s="133">
        <f>IFERROR(__xludf.DUMMYFUNCTION("""COMPUTED_VALUE"""),45409.0)</f>
        <v>45409</v>
      </c>
      <c r="B26" s="132" t="str">
        <f>IFERROR(__xludf.DUMMYFUNCTION("""COMPUTED_VALUE"""),"No Frilla")</f>
        <v>No Frilla</v>
      </c>
      <c r="C26" s="132" t="str">
        <f>IFERROR(__xludf.DUMMYFUNCTION("""COMPUTED_VALUE"""),"食物")</f>
        <v>食物</v>
      </c>
      <c r="D26" s="132">
        <f>IFERROR(__xludf.DUMMYFUNCTION("""COMPUTED_VALUE"""),38.44)</f>
        <v>38.44</v>
      </c>
      <c r="E26" s="132" t="str">
        <f>IFERROR(__xludf.DUMMYFUNCTION("""COMPUTED_VALUE"""),"Timothy")</f>
        <v>Timothy</v>
      </c>
      <c r="F26" s="132">
        <f>IFERROR(__xludf.DUMMYFUNCTION("""COMPUTED_VALUE"""),7.688)</f>
        <v>7.688</v>
      </c>
      <c r="G26" s="132">
        <f>IFERROR(__xludf.DUMMYFUNCTION("""COMPUTED_VALUE"""),7.688)</f>
        <v>7.688</v>
      </c>
      <c r="H26" s="132">
        <f>IFERROR(__xludf.DUMMYFUNCTION("""COMPUTED_VALUE"""),1.0)</f>
        <v>1</v>
      </c>
      <c r="I26" s="132">
        <f>IFERROR(__xludf.DUMMYFUNCTION("""COMPUTED_VALUE"""),1.0)</f>
        <v>1</v>
      </c>
      <c r="J26" s="132">
        <f>IFERROR(__xludf.DUMMYFUNCTION("""COMPUTED_VALUE"""),1.0)</f>
        <v>1</v>
      </c>
      <c r="K26" s="132">
        <f>IFERROR(__xludf.DUMMYFUNCTION("""COMPUTED_VALUE"""),1.0)</f>
        <v>1</v>
      </c>
      <c r="L26" s="132"/>
      <c r="M26" s="132"/>
      <c r="N26" s="132">
        <f>IFERROR(__xludf.DUMMYFUNCTION("""COMPUTED_VALUE"""),1.0)</f>
        <v>1</v>
      </c>
      <c r="O26" s="132"/>
      <c r="P26" s="132"/>
      <c r="Q26" s="134">
        <f>IFERROR(__xludf.DUMMYFUNCTION("""COMPUTED_VALUE"""),45200.0)</f>
        <v>45200</v>
      </c>
      <c r="R26" s="132" t="str">
        <f>IFERROR(__xludf.DUMMYFUNCTION("""COMPUTED_VALUE"""),"2 months rent")</f>
        <v>2 months rent</v>
      </c>
      <c r="S26" s="132">
        <f>IFERROR(__xludf.DUMMYFUNCTION("""COMPUTED_VALUE"""),7200.0)</f>
        <v>7200</v>
      </c>
      <c r="T26" s="132">
        <f>IFERROR(__xludf.DUMMYFUNCTION("""COMPUTED_VALUE"""),1440.0)</f>
        <v>1440</v>
      </c>
      <c r="U26" s="132" t="str">
        <f>IFERROR(__xludf.DUMMYFUNCTION("""COMPUTED_VALUE"""),"Paid")</f>
        <v>Paid</v>
      </c>
      <c r="V26" s="132" t="str">
        <f>IFERROR(__xludf.DUMMYFUNCTION("""COMPUTED_VALUE"""),"Paid")</f>
        <v>Paid</v>
      </c>
      <c r="W26" s="132" t="str">
        <f>IFERROR(__xludf.DUMMYFUNCTION("""COMPUTED_VALUE"""),"Paid")</f>
        <v>Paid</v>
      </c>
      <c r="X26" s="132" t="str">
        <f>IFERROR(__xludf.DUMMYFUNCTION("""COMPUTED_VALUE"""),"Paid")</f>
        <v>Paid</v>
      </c>
      <c r="Y26" s="132" t="str">
        <f>IFERROR(__xludf.DUMMYFUNCTION("""COMPUTED_VALUE"""),"Paid")</f>
        <v>Paid</v>
      </c>
      <c r="Z26" s="132"/>
    </row>
    <row r="27">
      <c r="A27" s="133">
        <f>IFERROR(__xludf.DUMMYFUNCTION("""COMPUTED_VALUE"""),45413.0)</f>
        <v>45413</v>
      </c>
      <c r="B27" s="132" t="str">
        <f>IFERROR(__xludf.DUMMYFUNCTION("""COMPUTED_VALUE"""),"foody")</f>
        <v>foody</v>
      </c>
      <c r="C27" s="132" t="str">
        <f>IFERROR(__xludf.DUMMYFUNCTION("""COMPUTED_VALUE"""),"食物")</f>
        <v>食物</v>
      </c>
      <c r="D27" s="132">
        <f>IFERROR(__xludf.DUMMYFUNCTION("""COMPUTED_VALUE"""),1.98)</f>
        <v>1.98</v>
      </c>
      <c r="E27" s="132" t="str">
        <f>IFERROR(__xludf.DUMMYFUNCTION("""COMPUTED_VALUE"""),"Pigskin")</f>
        <v>Pigskin</v>
      </c>
      <c r="F27" s="132">
        <f>IFERROR(__xludf.DUMMYFUNCTION("""COMPUTED_VALUE"""),0.396)</f>
        <v>0.396</v>
      </c>
      <c r="G27" s="132">
        <f>IFERROR(__xludf.DUMMYFUNCTION("""COMPUTED_VALUE"""),0.396)</f>
        <v>0.396</v>
      </c>
      <c r="H27" s="132">
        <f>IFERROR(__xludf.DUMMYFUNCTION("""COMPUTED_VALUE"""),1.0)</f>
        <v>1</v>
      </c>
      <c r="I27" s="132">
        <f>IFERROR(__xludf.DUMMYFUNCTION("""COMPUTED_VALUE"""),1.0)</f>
        <v>1</v>
      </c>
      <c r="J27" s="132">
        <f>IFERROR(__xludf.DUMMYFUNCTION("""COMPUTED_VALUE"""),1.0)</f>
        <v>1</v>
      </c>
      <c r="K27" s="132">
        <f>IFERROR(__xludf.DUMMYFUNCTION("""COMPUTED_VALUE"""),1.0)</f>
        <v>1</v>
      </c>
      <c r="L27" s="132"/>
      <c r="M27" s="132"/>
      <c r="N27" s="132">
        <f>IFERROR(__xludf.DUMMYFUNCTION("""COMPUTED_VALUE"""),1.0)</f>
        <v>1</v>
      </c>
      <c r="O27" s="132"/>
      <c r="P27" s="132"/>
      <c r="Q27" s="132"/>
      <c r="R27" s="132" t="str">
        <f>IFERROR(__xludf.DUMMYFUNCTION("""COMPUTED_VALUE"""),"Housing Insurance")</f>
        <v>Housing Insurance</v>
      </c>
      <c r="S27" s="132">
        <f>IFERROR(__xludf.DUMMYFUNCTION("""COMPUTED_VALUE"""),676.3)</f>
        <v>676.3</v>
      </c>
      <c r="T27" s="132">
        <f>IFERROR(__xludf.DUMMYFUNCTION("""COMPUTED_VALUE"""),135.26)</f>
        <v>135.26</v>
      </c>
      <c r="U27" s="132" t="str">
        <f>IFERROR(__xludf.DUMMYFUNCTION("""COMPUTED_VALUE"""),"Paid")</f>
        <v>Paid</v>
      </c>
      <c r="V27" s="132" t="str">
        <f>IFERROR(__xludf.DUMMYFUNCTION("""COMPUTED_VALUE"""),"Paid")</f>
        <v>Paid</v>
      </c>
      <c r="W27" s="132" t="str">
        <f>IFERROR(__xludf.DUMMYFUNCTION("""COMPUTED_VALUE"""),"Paid")</f>
        <v>Paid</v>
      </c>
      <c r="X27" s="132" t="str">
        <f>IFERROR(__xludf.DUMMYFUNCTION("""COMPUTED_VALUE"""),"Paid")</f>
        <v>Paid</v>
      </c>
      <c r="Y27" s="132"/>
      <c r="Z27" s="132"/>
    </row>
    <row r="28">
      <c r="A28" s="133">
        <f>IFERROR(__xludf.DUMMYFUNCTION("""COMPUTED_VALUE"""),45413.0)</f>
        <v>45413</v>
      </c>
      <c r="B28" s="132" t="str">
        <f>IFERROR(__xludf.DUMMYFUNCTION("""COMPUTED_VALUE"""),"Foody")</f>
        <v>Foody</v>
      </c>
      <c r="C28" s="132" t="str">
        <f>IFERROR(__xludf.DUMMYFUNCTION("""COMPUTED_VALUE"""),"食物")</f>
        <v>食物</v>
      </c>
      <c r="D28" s="132">
        <f>IFERROR(__xludf.DUMMYFUNCTION("""COMPUTED_VALUE"""),20.88)</f>
        <v>20.88</v>
      </c>
      <c r="E28" s="132" t="str">
        <f>IFERROR(__xludf.DUMMYFUNCTION("""COMPUTED_VALUE"""),"BL")</f>
        <v>BL</v>
      </c>
      <c r="F28" s="132">
        <f>IFERROR(__xludf.DUMMYFUNCTION("""COMPUTED_VALUE"""),4.176)</f>
        <v>4.176</v>
      </c>
      <c r="G28" s="132">
        <f>IFERROR(__xludf.DUMMYFUNCTION("""COMPUTED_VALUE"""),4.176)</f>
        <v>4.176</v>
      </c>
      <c r="H28" s="132">
        <f>IFERROR(__xludf.DUMMYFUNCTION("""COMPUTED_VALUE"""),1.0)</f>
        <v>1</v>
      </c>
      <c r="I28" s="132">
        <f>IFERROR(__xludf.DUMMYFUNCTION("""COMPUTED_VALUE"""),1.0)</f>
        <v>1</v>
      </c>
      <c r="J28" s="132">
        <f>IFERROR(__xludf.DUMMYFUNCTION("""COMPUTED_VALUE"""),1.0)</f>
        <v>1</v>
      </c>
      <c r="K28" s="132">
        <f>IFERROR(__xludf.DUMMYFUNCTION("""COMPUTED_VALUE"""),1.0)</f>
        <v>1</v>
      </c>
      <c r="L28" s="132"/>
      <c r="M28" s="132"/>
      <c r="N28" s="132">
        <f>IFERROR(__xludf.DUMMYFUNCTION("""COMPUTED_VALUE"""),1.0)</f>
        <v>1</v>
      </c>
      <c r="O28" s="132"/>
      <c r="P28" s="132"/>
      <c r="Q28" s="132"/>
      <c r="R28" s="132" t="str">
        <f>IFERROR(__xludf.DUMMYFUNCTION("""COMPUTED_VALUE"""),"Rent (up-front)")</f>
        <v>Rent (up-front)</v>
      </c>
      <c r="S28" s="132">
        <f>IFERROR(__xludf.DUMMYFUNCTION("""COMPUTED_VALUE"""),14400.0)</f>
        <v>14400</v>
      </c>
      <c r="T28" s="132">
        <f>IFERROR(__xludf.DUMMYFUNCTION("""COMPUTED_VALUE"""),2880.0)</f>
        <v>2880</v>
      </c>
      <c r="U28" s="132" t="str">
        <f>IFERROR(__xludf.DUMMYFUNCTION("""COMPUTED_VALUE"""),"Paid")</f>
        <v>Paid</v>
      </c>
      <c r="V28" s="132" t="str">
        <f>IFERROR(__xludf.DUMMYFUNCTION("""COMPUTED_VALUE"""),"Paid")</f>
        <v>Paid</v>
      </c>
      <c r="W28" s="132" t="str">
        <f>IFERROR(__xludf.DUMMYFUNCTION("""COMPUTED_VALUE"""),"Paid")</f>
        <v>Paid</v>
      </c>
      <c r="X28" s="132" t="str">
        <f>IFERROR(__xludf.DUMMYFUNCTION("""COMPUTED_VALUE"""),"Paid")</f>
        <v>Paid</v>
      </c>
      <c r="Y28" s="132" t="str">
        <f>IFERROR(__xludf.DUMMYFUNCTION("""COMPUTED_VALUE"""),"Paid")</f>
        <v>Paid</v>
      </c>
      <c r="Z28" s="132"/>
    </row>
    <row r="29">
      <c r="A29" s="136">
        <f>IFERROR(__xludf.DUMMYFUNCTION("""COMPUTED_VALUE"""),45414.0)</f>
        <v>45414</v>
      </c>
      <c r="B29" s="132" t="str">
        <f>IFERROR(__xludf.DUMMYFUNCTION("""COMPUTED_VALUE"""),"Congee")</f>
        <v>Congee</v>
      </c>
      <c r="C29" s="132" t="str">
        <f>IFERROR(__xludf.DUMMYFUNCTION("""COMPUTED_VALUE"""),"食物")</f>
        <v>食物</v>
      </c>
      <c r="D29" s="132">
        <f>IFERROR(__xludf.DUMMYFUNCTION("""COMPUTED_VALUE"""),85.34)</f>
        <v>85.34</v>
      </c>
      <c r="E29" s="132" t="str">
        <f>IFERROR(__xludf.DUMMYFUNCTION("""COMPUTED_VALUE"""),"Timothy")</f>
        <v>Timothy</v>
      </c>
      <c r="F29" s="132">
        <f>IFERROR(__xludf.DUMMYFUNCTION("""COMPUTED_VALUE"""),17.068)</f>
        <v>17.068</v>
      </c>
      <c r="G29" s="132">
        <f>IFERROR(__xludf.DUMMYFUNCTION("""COMPUTED_VALUE"""),17.068)</f>
        <v>17.068</v>
      </c>
      <c r="H29" s="132">
        <f>IFERROR(__xludf.DUMMYFUNCTION("""COMPUTED_VALUE"""),1.0)</f>
        <v>1</v>
      </c>
      <c r="I29" s="132">
        <f>IFERROR(__xludf.DUMMYFUNCTION("""COMPUTED_VALUE"""),1.0)</f>
        <v>1</v>
      </c>
      <c r="J29" s="132">
        <f>IFERROR(__xludf.DUMMYFUNCTION("""COMPUTED_VALUE"""),1.0)</f>
        <v>1</v>
      </c>
      <c r="K29" s="132">
        <f>IFERROR(__xludf.DUMMYFUNCTION("""COMPUTED_VALUE"""),1.0)</f>
        <v>1</v>
      </c>
      <c r="L29" s="132"/>
      <c r="M29" s="132"/>
      <c r="N29" s="132">
        <f>IFERROR(__xludf.DUMMYFUNCTION("""COMPUTED_VALUE"""),1.0)</f>
        <v>1</v>
      </c>
      <c r="O29" s="132"/>
      <c r="P29" s="132"/>
      <c r="Q29" s="132"/>
      <c r="R29" s="132" t="str">
        <f>IFERROR(__xludf.DUMMYFUNCTION("""COMPUTED_VALUE"""),"Key Deposit")</f>
        <v>Key Deposit</v>
      </c>
      <c r="S29" s="132">
        <f>IFERROR(__xludf.DUMMYFUNCTION("""COMPUTED_VALUE"""),200.0)</f>
        <v>200</v>
      </c>
      <c r="T29" s="132">
        <f>IFERROR(__xludf.DUMMYFUNCTION("""COMPUTED_VALUE"""),40.0)</f>
        <v>40</v>
      </c>
      <c r="U29" s="132" t="str">
        <f>IFERROR(__xludf.DUMMYFUNCTION("""COMPUTED_VALUE"""),"Paid")</f>
        <v>Paid</v>
      </c>
      <c r="V29" s="132" t="str">
        <f>IFERROR(__xludf.DUMMYFUNCTION("""COMPUTED_VALUE"""),"Paid")</f>
        <v>Paid</v>
      </c>
      <c r="W29" s="132" t="str">
        <f>IFERROR(__xludf.DUMMYFUNCTION("""COMPUTED_VALUE"""),"Paid")</f>
        <v>Paid</v>
      </c>
      <c r="X29" s="132" t="str">
        <f>IFERROR(__xludf.DUMMYFUNCTION("""COMPUTED_VALUE"""),"Paid")</f>
        <v>Paid</v>
      </c>
      <c r="Y29" s="132" t="str">
        <f>IFERROR(__xludf.DUMMYFUNCTION("""COMPUTED_VALUE"""),"Paid")</f>
        <v>Paid</v>
      </c>
      <c r="Z29" s="132"/>
    </row>
    <row r="30">
      <c r="A30" s="136">
        <f>IFERROR(__xludf.DUMMYFUNCTION("""COMPUTED_VALUE"""),45415.0)</f>
        <v>45415</v>
      </c>
      <c r="B30" s="132" t="str">
        <f>IFERROR(__xludf.DUMMYFUNCTION("""COMPUTED_VALUE"""),"Nofrills")</f>
        <v>Nofrills</v>
      </c>
      <c r="C30" s="132" t="str">
        <f>IFERROR(__xludf.DUMMYFUNCTION("""COMPUTED_VALUE"""),"食物")</f>
        <v>食物</v>
      </c>
      <c r="D30" s="132">
        <f>IFERROR(__xludf.DUMMYFUNCTION("""COMPUTED_VALUE"""),10.59)</f>
        <v>10.59</v>
      </c>
      <c r="E30" s="132" t="str">
        <f>IFERROR(__xludf.DUMMYFUNCTION("""COMPUTED_VALUE"""),"BL")</f>
        <v>BL</v>
      </c>
      <c r="F30" s="132">
        <f>IFERROR(__xludf.DUMMYFUNCTION("""COMPUTED_VALUE"""),10.59)</f>
        <v>10.59</v>
      </c>
      <c r="G30" s="132">
        <f>IFERROR(__xludf.DUMMYFUNCTION("""COMPUTED_VALUE"""),10.59)</f>
        <v>10.59</v>
      </c>
      <c r="H30" s="132"/>
      <c r="I30" s="132"/>
      <c r="J30" s="132"/>
      <c r="K30" s="132"/>
      <c r="L30" s="132"/>
      <c r="M30" s="132">
        <f>IFERROR(__xludf.DUMMYFUNCTION("""COMPUTED_VALUE"""),1.0)</f>
        <v>1</v>
      </c>
      <c r="N30" s="132"/>
      <c r="O30" s="132"/>
      <c r="P30" s="132"/>
      <c r="Q30" s="132"/>
      <c r="R30" s="132" t="str">
        <f>IFERROR(__xludf.DUMMYFUNCTION("""COMPUTED_VALUE"""),"Furniture Deposit")</f>
        <v>Furniture Deposit</v>
      </c>
      <c r="S30" s="132">
        <f>IFERROR(__xludf.DUMMYFUNCTION("""COMPUTED_VALUE"""),800.0)</f>
        <v>800</v>
      </c>
      <c r="T30" s="132">
        <f>IFERROR(__xludf.DUMMYFUNCTION("""COMPUTED_VALUE"""),160.0)</f>
        <v>160</v>
      </c>
      <c r="U30" s="132" t="str">
        <f>IFERROR(__xludf.DUMMYFUNCTION("""COMPUTED_VALUE"""),"Paid")</f>
        <v>Paid</v>
      </c>
      <c r="V30" s="132" t="str">
        <f>IFERROR(__xludf.DUMMYFUNCTION("""COMPUTED_VALUE"""),"Paid")</f>
        <v>Paid</v>
      </c>
      <c r="W30" s="132" t="str">
        <f>IFERROR(__xludf.DUMMYFUNCTION("""COMPUTED_VALUE"""),"Paid")</f>
        <v>Paid</v>
      </c>
      <c r="X30" s="132" t="str">
        <f>IFERROR(__xludf.DUMMYFUNCTION("""COMPUTED_VALUE"""),"Paid")</f>
        <v>Paid</v>
      </c>
      <c r="Y30" s="132" t="str">
        <f>IFERROR(__xludf.DUMMYFUNCTION("""COMPUTED_VALUE"""),"Paid")</f>
        <v>Paid</v>
      </c>
      <c r="Z30" s="132"/>
    </row>
    <row r="31">
      <c r="A31" s="136">
        <f>IFERROR(__xludf.DUMMYFUNCTION("""COMPUTED_VALUE"""),45415.0)</f>
        <v>45415</v>
      </c>
      <c r="B31" s="132" t="str">
        <f>IFERROR(__xludf.DUMMYFUNCTION("""COMPUTED_VALUE"""),"Nofrills")</f>
        <v>Nofrills</v>
      </c>
      <c r="C31" s="132" t="str">
        <f>IFERROR(__xludf.DUMMYFUNCTION("""COMPUTED_VALUE"""),"食物")</f>
        <v>食物</v>
      </c>
      <c r="D31" s="132">
        <f>IFERROR(__xludf.DUMMYFUNCTION("""COMPUTED_VALUE"""),47.6)</f>
        <v>47.6</v>
      </c>
      <c r="E31" s="132" t="str">
        <f>IFERROR(__xludf.DUMMYFUNCTION("""COMPUTED_VALUE"""),"BL")</f>
        <v>BL</v>
      </c>
      <c r="F31" s="132">
        <f>IFERROR(__xludf.DUMMYFUNCTION("""COMPUTED_VALUE"""),9.52)</f>
        <v>9.52</v>
      </c>
      <c r="G31" s="132">
        <f>IFERROR(__xludf.DUMMYFUNCTION("""COMPUTED_VALUE"""),9.52)</f>
        <v>9.52</v>
      </c>
      <c r="H31" s="132">
        <f>IFERROR(__xludf.DUMMYFUNCTION("""COMPUTED_VALUE"""),1.0)</f>
        <v>1</v>
      </c>
      <c r="I31" s="132">
        <f>IFERROR(__xludf.DUMMYFUNCTION("""COMPUTED_VALUE"""),1.0)</f>
        <v>1</v>
      </c>
      <c r="J31" s="132">
        <f>IFERROR(__xludf.DUMMYFUNCTION("""COMPUTED_VALUE"""),1.0)</f>
        <v>1</v>
      </c>
      <c r="K31" s="132">
        <f>IFERROR(__xludf.DUMMYFUNCTION("""COMPUTED_VALUE"""),1.0)</f>
        <v>1</v>
      </c>
      <c r="L31" s="132"/>
      <c r="M31" s="132"/>
      <c r="N31" s="132">
        <f>IFERROR(__xludf.DUMMYFUNCTION("""COMPUTED_VALUE"""),1.0)</f>
        <v>1</v>
      </c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>
      <c r="A32" s="136">
        <f>IFERROR(__xludf.DUMMYFUNCTION("""COMPUTED_VALUE"""),45415.0)</f>
        <v>45415</v>
      </c>
      <c r="B32" s="132" t="str">
        <f>IFERROR(__xludf.DUMMYFUNCTION("""COMPUTED_VALUE"""),"Sugar sweet")</f>
        <v>Sugar sweet</v>
      </c>
      <c r="C32" s="132" t="str">
        <f>IFERROR(__xludf.DUMMYFUNCTION("""COMPUTED_VALUE"""),"食物")</f>
        <v>食物</v>
      </c>
      <c r="D32" s="132">
        <f>IFERROR(__xludf.DUMMYFUNCTION("""COMPUTED_VALUE"""),89.25)</f>
        <v>89.25</v>
      </c>
      <c r="E32" s="132" t="str">
        <f>IFERROR(__xludf.DUMMYFUNCTION("""COMPUTED_VALUE"""),"BL")</f>
        <v>BL</v>
      </c>
      <c r="F32" s="132">
        <f>IFERROR(__xludf.DUMMYFUNCTION("""COMPUTED_VALUE"""),14.875)</f>
        <v>14.875</v>
      </c>
      <c r="G32" s="132">
        <f>IFERROR(__xludf.DUMMYFUNCTION("""COMPUTED_VALUE"""),14.875)</f>
        <v>14.875</v>
      </c>
      <c r="H32" s="132">
        <f>IFERROR(__xludf.DUMMYFUNCTION("""COMPUTED_VALUE"""),1.0)</f>
        <v>1</v>
      </c>
      <c r="I32" s="132">
        <f>IFERROR(__xludf.DUMMYFUNCTION("""COMPUTED_VALUE"""),1.0)</f>
        <v>1</v>
      </c>
      <c r="J32" s="132">
        <f>IFERROR(__xludf.DUMMYFUNCTION("""COMPUTED_VALUE"""),1.0)</f>
        <v>1</v>
      </c>
      <c r="K32" s="132">
        <f>IFERROR(__xludf.DUMMYFUNCTION("""COMPUTED_VALUE"""),1.0)</f>
        <v>1</v>
      </c>
      <c r="L32" s="132">
        <f>IFERROR(__xludf.DUMMYFUNCTION("""COMPUTED_VALUE"""),1.0)</f>
        <v>1</v>
      </c>
      <c r="M32" s="132">
        <f>IFERROR(__xludf.DUMMYFUNCTION("""COMPUTED_VALUE"""),1.0)</f>
        <v>1</v>
      </c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>
      <c r="A33" s="133">
        <f>IFERROR(__xludf.DUMMYFUNCTION("""COMPUTED_VALUE"""),45416.0)</f>
        <v>45416</v>
      </c>
      <c r="B33" s="132" t="str">
        <f>IFERROR(__xludf.DUMMYFUNCTION("""COMPUTED_VALUE"""),"foody")</f>
        <v>foody</v>
      </c>
      <c r="C33" s="132" t="str">
        <f>IFERROR(__xludf.DUMMYFUNCTION("""COMPUTED_VALUE"""),"食物")</f>
        <v>食物</v>
      </c>
      <c r="D33" s="132">
        <f>IFERROR(__xludf.DUMMYFUNCTION("""COMPUTED_VALUE"""),38.44)</f>
        <v>38.44</v>
      </c>
      <c r="E33" s="132" t="str">
        <f>IFERROR(__xludf.DUMMYFUNCTION("""COMPUTED_VALUE"""),"Timothy")</f>
        <v>Timothy</v>
      </c>
      <c r="F33" s="132">
        <f>IFERROR(__xludf.DUMMYFUNCTION("""COMPUTED_VALUE"""),5.491428571428571)</f>
        <v>5.491428571</v>
      </c>
      <c r="G33" s="132">
        <f>IFERROR(__xludf.DUMMYFUNCTION("""COMPUTED_VALUE"""),5.491428571428571)</f>
        <v>5.491428571</v>
      </c>
      <c r="H33" s="132">
        <f>IFERROR(__xludf.DUMMYFUNCTION("""COMPUTED_VALUE"""),1.0)</f>
        <v>1</v>
      </c>
      <c r="I33" s="132">
        <f>IFERROR(__xludf.DUMMYFUNCTION("""COMPUTED_VALUE"""),1.0)</f>
        <v>1</v>
      </c>
      <c r="J33" s="132">
        <f>IFERROR(__xludf.DUMMYFUNCTION("""COMPUTED_VALUE"""),1.0)</f>
        <v>1</v>
      </c>
      <c r="K33" s="132">
        <f>IFERROR(__xludf.DUMMYFUNCTION("""COMPUTED_VALUE"""),1.0)</f>
        <v>1</v>
      </c>
      <c r="L33" s="132">
        <f>IFERROR(__xludf.DUMMYFUNCTION("""COMPUTED_VALUE"""),1.0)</f>
        <v>1</v>
      </c>
      <c r="M33" s="132">
        <f>IFERROR(__xludf.DUMMYFUNCTION("""COMPUTED_VALUE"""),1.0)</f>
        <v>1</v>
      </c>
      <c r="N33" s="132">
        <f>IFERROR(__xludf.DUMMYFUNCTION("""COMPUTED_VALUE"""),1.0)</f>
        <v>1</v>
      </c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>
      <c r="A34" s="133">
        <f>IFERROR(__xludf.DUMMYFUNCTION("""COMPUTED_VALUE"""),45417.0)</f>
        <v>45417</v>
      </c>
      <c r="B34" s="132" t="str">
        <f>IFERROR(__xludf.DUMMYFUNCTION("""COMPUTED_VALUE"""),"Flower")</f>
        <v>Flower</v>
      </c>
      <c r="C34" s="132" t="str">
        <f>IFERROR(__xludf.DUMMYFUNCTION("""COMPUTED_VALUE"""),"其他")</f>
        <v>其他</v>
      </c>
      <c r="D34" s="135">
        <f>IFERROR(__xludf.DUMMYFUNCTION("""COMPUTED_VALUE"""),29.3574)</f>
        <v>29.3574</v>
      </c>
      <c r="E34" s="132" t="str">
        <f>IFERROR(__xludf.DUMMYFUNCTION("""COMPUTED_VALUE"""),"Esther")</f>
        <v>Esther</v>
      </c>
      <c r="F34" s="132">
        <f>IFERROR(__xludf.DUMMYFUNCTION("""COMPUTED_VALUE"""),14.6787)</f>
        <v>14.6787</v>
      </c>
      <c r="G34" s="132">
        <f>IFERROR(__xludf.DUMMYFUNCTION("""COMPUTED_VALUE"""),14.6787)</f>
        <v>14.6787</v>
      </c>
      <c r="H34" s="132"/>
      <c r="I34" s="132"/>
      <c r="J34" s="132"/>
      <c r="K34" s="132">
        <f>IFERROR(__xludf.DUMMYFUNCTION("""COMPUTED_VALUE"""),1.0)</f>
        <v>1</v>
      </c>
      <c r="L34" s="132"/>
      <c r="M34" s="132"/>
      <c r="N34" s="132">
        <f>IFERROR(__xludf.DUMMYFUNCTION("""COMPUTED_VALUE"""),1.0)</f>
        <v>1</v>
      </c>
      <c r="O34" s="132"/>
      <c r="P34" s="132"/>
      <c r="Q34" s="132"/>
      <c r="R34" s="132"/>
      <c r="S34" s="132">
        <f>IFERROR(__xludf.DUMMYFUNCTION("""COMPUTED_VALUE"""),23276.3)</f>
        <v>23276.3</v>
      </c>
      <c r="T34" s="132">
        <f>IFERROR(__xludf.DUMMYFUNCTION("""COMPUTED_VALUE"""),4655.26)</f>
        <v>4655.26</v>
      </c>
      <c r="U34" s="132"/>
      <c r="V34" s="132"/>
      <c r="W34" s="132"/>
      <c r="X34" s="132"/>
      <c r="Y34" s="132"/>
      <c r="Z34" s="132"/>
    </row>
    <row r="35">
      <c r="A35" s="133">
        <f>IFERROR(__xludf.DUMMYFUNCTION("""COMPUTED_VALUE"""),45417.0)</f>
        <v>45417</v>
      </c>
      <c r="B35" s="132" t="str">
        <f>IFERROR(__xludf.DUMMYFUNCTION("""COMPUTED_VALUE"""),"Flower")</f>
        <v>Flower</v>
      </c>
      <c r="C35" s="132" t="str">
        <f>IFERROR(__xludf.DUMMYFUNCTION("""COMPUTED_VALUE"""),"其他")</f>
        <v>其他</v>
      </c>
      <c r="D35" s="135">
        <f>IFERROR(__xludf.DUMMYFUNCTION("""COMPUTED_VALUE"""),6.7574)</f>
        <v>6.7574</v>
      </c>
      <c r="E35" s="132" t="str">
        <f>IFERROR(__xludf.DUMMYFUNCTION("""COMPUTED_VALUE"""),"Esther")</f>
        <v>Esther</v>
      </c>
      <c r="F35" s="132">
        <f>IFERROR(__xludf.DUMMYFUNCTION("""COMPUTED_VALUE"""),6.7574)</f>
        <v>6.7574</v>
      </c>
      <c r="G35" s="132">
        <f>IFERROR(__xludf.DUMMYFUNCTION("""COMPUTED_VALUE"""),6.7574)</f>
        <v>6.7574</v>
      </c>
      <c r="H35" s="132"/>
      <c r="I35" s="132"/>
      <c r="J35" s="132"/>
      <c r="K35" s="132">
        <f>IFERROR(__xludf.DUMMYFUNCTION("""COMPUTED_VALUE"""),1.0)</f>
        <v>1</v>
      </c>
      <c r="L35" s="132"/>
      <c r="M35" s="132"/>
      <c r="N35" s="132"/>
      <c r="O35" s="132"/>
      <c r="P35" s="132"/>
      <c r="Q35" s="134"/>
      <c r="R35" s="132"/>
      <c r="S35" s="132"/>
      <c r="T35" s="132"/>
      <c r="U35" s="132"/>
      <c r="V35" s="132"/>
      <c r="W35" s="132"/>
      <c r="X35" s="132"/>
      <c r="Y35" s="132"/>
      <c r="Z35" s="132"/>
    </row>
    <row r="36">
      <c r="A36" s="133">
        <f>IFERROR(__xludf.DUMMYFUNCTION("""COMPUTED_VALUE"""),45417.0)</f>
        <v>45417</v>
      </c>
      <c r="B36" s="132" t="str">
        <f>IFERROR(__xludf.DUMMYFUNCTION("""COMPUTED_VALUE"""),"Flower")</f>
        <v>Flower</v>
      </c>
      <c r="C36" s="132" t="str">
        <f>IFERROR(__xludf.DUMMYFUNCTION("""COMPUTED_VALUE"""),"其他")</f>
        <v>其他</v>
      </c>
      <c r="D36" s="132">
        <f>IFERROR(__xludf.DUMMYFUNCTION("""COMPUTED_VALUE"""),16.93)</f>
        <v>16.93</v>
      </c>
      <c r="E36" s="132" t="str">
        <f>IFERROR(__xludf.DUMMYFUNCTION("""COMPUTED_VALUE"""),"Esther")</f>
        <v>Esther</v>
      </c>
      <c r="F36" s="132">
        <f>IFERROR(__xludf.DUMMYFUNCTION("""COMPUTED_VALUE"""),16.93)</f>
        <v>16.93</v>
      </c>
      <c r="G36" s="132">
        <f>IFERROR(__xludf.DUMMYFUNCTION("""COMPUTED_VALUE"""),16.93)</f>
        <v>16.93</v>
      </c>
      <c r="H36" s="132"/>
      <c r="I36" s="132">
        <f>IFERROR(__xludf.DUMMYFUNCTION("""COMPUTED_VALUE"""),1.0)</f>
        <v>1</v>
      </c>
      <c r="J36" s="132"/>
      <c r="K36" s="132"/>
      <c r="L36" s="132"/>
      <c r="M36" s="132"/>
      <c r="N36" s="132"/>
      <c r="O36" s="132"/>
      <c r="P36" s="132"/>
      <c r="Q36" s="134">
        <f>IFERROR(__xludf.DUMMYFUNCTION("""COMPUTED_VALUE"""),45231.0)</f>
        <v>45231</v>
      </c>
      <c r="R36" s="132" t="str">
        <f>IFERROR(__xludf.DUMMYFUNCTION("""COMPUTED_VALUE"""),"Rent")</f>
        <v>Rent</v>
      </c>
      <c r="S36" s="132">
        <f>IFERROR(__xludf.DUMMYFUNCTION("""COMPUTED_VALUE"""),3600.0)</f>
        <v>3600</v>
      </c>
      <c r="T36" s="132">
        <f>IFERROR(__xludf.DUMMYFUNCTION("""COMPUTED_VALUE"""),720.0)</f>
        <v>720</v>
      </c>
      <c r="U36" s="132" t="str">
        <f>IFERROR(__xludf.DUMMYFUNCTION("""COMPUTED_VALUE"""),"Paid")</f>
        <v>Paid</v>
      </c>
      <c r="V36" s="132" t="str">
        <f>IFERROR(__xludf.DUMMYFUNCTION("""COMPUTED_VALUE"""),"Paid")</f>
        <v>Paid</v>
      </c>
      <c r="W36" s="132" t="str">
        <f>IFERROR(__xludf.DUMMYFUNCTION("""COMPUTED_VALUE"""),"Paid")</f>
        <v>Paid</v>
      </c>
      <c r="X36" s="132" t="str">
        <f>IFERROR(__xludf.DUMMYFUNCTION("""COMPUTED_VALUE"""),"Paid")</f>
        <v>Paid</v>
      </c>
      <c r="Y36" s="132" t="str">
        <f>IFERROR(__xludf.DUMMYFUNCTION("""COMPUTED_VALUE"""),"Paid")</f>
        <v>Paid</v>
      </c>
      <c r="Z36" s="132"/>
    </row>
    <row r="37">
      <c r="A37" s="133">
        <f>IFERROR(__xludf.DUMMYFUNCTION("""COMPUTED_VALUE"""),45417.0)</f>
        <v>45417</v>
      </c>
      <c r="B37" s="132" t="str">
        <f>IFERROR(__xludf.DUMMYFUNCTION("""COMPUTED_VALUE"""),"Dollarama")</f>
        <v>Dollarama</v>
      </c>
      <c r="C37" s="132" t="str">
        <f>IFERROR(__xludf.DUMMYFUNCTION("""COMPUTED_VALUE"""),"居家")</f>
        <v>居家</v>
      </c>
      <c r="D37" s="132">
        <f>IFERROR(__xludf.DUMMYFUNCTION("""COMPUTED_VALUE"""),57.25)</f>
        <v>57.25</v>
      </c>
      <c r="E37" s="132" t="str">
        <f>IFERROR(__xludf.DUMMYFUNCTION("""COMPUTED_VALUE"""),"Rachel")</f>
        <v>Rachel</v>
      </c>
      <c r="F37" s="132">
        <f>IFERROR(__xludf.DUMMYFUNCTION("""COMPUTED_VALUE"""),11.45)</f>
        <v>11.45</v>
      </c>
      <c r="G37" s="132">
        <f>IFERROR(__xludf.DUMMYFUNCTION("""COMPUTED_VALUE"""),11.45)</f>
        <v>11.45</v>
      </c>
      <c r="H37" s="132">
        <f>IFERROR(__xludf.DUMMYFUNCTION("""COMPUTED_VALUE"""),1.0)</f>
        <v>1</v>
      </c>
      <c r="I37" s="132">
        <f>IFERROR(__xludf.DUMMYFUNCTION("""COMPUTED_VALUE"""),1.0)</f>
        <v>1</v>
      </c>
      <c r="J37" s="132">
        <f>IFERROR(__xludf.DUMMYFUNCTION("""COMPUTED_VALUE"""),1.0)</f>
        <v>1</v>
      </c>
      <c r="K37" s="132">
        <f>IFERROR(__xludf.DUMMYFUNCTION("""COMPUTED_VALUE"""),1.0)</f>
        <v>1</v>
      </c>
      <c r="L37" s="132"/>
      <c r="M37" s="132"/>
      <c r="N37" s="132">
        <f>IFERROR(__xludf.DUMMYFUNCTION("""COMPUTED_VALUE"""),1.0)</f>
        <v>1</v>
      </c>
      <c r="O37" s="132"/>
      <c r="P37" s="132"/>
      <c r="Q37" s="132"/>
      <c r="R37" s="132" t="str">
        <f>IFERROR(__xludf.DUMMYFUNCTION("""COMPUTED_VALUE"""),"Water")</f>
        <v>Water</v>
      </c>
      <c r="S37" s="132"/>
      <c r="T37" s="132"/>
      <c r="U37" s="132"/>
      <c r="V37" s="132"/>
      <c r="W37" s="132"/>
      <c r="X37" s="132"/>
      <c r="Y37" s="132"/>
      <c r="Z37" s="132"/>
    </row>
    <row r="38">
      <c r="A38" s="133">
        <f>IFERROR(__xludf.DUMMYFUNCTION("""COMPUTED_VALUE"""),45417.0)</f>
        <v>45417</v>
      </c>
      <c r="B38" s="132" t="str">
        <f>IFERROR(__xludf.DUMMYFUNCTION("""COMPUTED_VALUE"""),"Tnt")</f>
        <v>Tnt</v>
      </c>
      <c r="C38" s="132" t="str">
        <f>IFERROR(__xludf.DUMMYFUNCTION("""COMPUTED_VALUE"""),"食物")</f>
        <v>食物</v>
      </c>
      <c r="D38" s="135">
        <f>IFERROR(__xludf.DUMMYFUNCTION("""COMPUTED_VALUE"""),47.08)</f>
        <v>47.08</v>
      </c>
      <c r="E38" s="132" t="str">
        <f>IFERROR(__xludf.DUMMYFUNCTION("""COMPUTED_VALUE"""),"Pigskin")</f>
        <v>Pigskin</v>
      </c>
      <c r="F38" s="132">
        <f>IFERROR(__xludf.DUMMYFUNCTION("""COMPUTED_VALUE"""),9.416)</f>
        <v>9.416</v>
      </c>
      <c r="G38" s="132">
        <f>IFERROR(__xludf.DUMMYFUNCTION("""COMPUTED_VALUE"""),9.416)</f>
        <v>9.416</v>
      </c>
      <c r="H38" s="132">
        <f>IFERROR(__xludf.DUMMYFUNCTION("""COMPUTED_VALUE"""),1.0)</f>
        <v>1</v>
      </c>
      <c r="I38" s="132">
        <f>IFERROR(__xludf.DUMMYFUNCTION("""COMPUTED_VALUE"""),1.0)</f>
        <v>1</v>
      </c>
      <c r="J38" s="132">
        <f>IFERROR(__xludf.DUMMYFUNCTION("""COMPUTED_VALUE"""),1.0)</f>
        <v>1</v>
      </c>
      <c r="K38" s="132">
        <f>IFERROR(__xludf.DUMMYFUNCTION("""COMPUTED_VALUE"""),1.0)</f>
        <v>1</v>
      </c>
      <c r="L38" s="132"/>
      <c r="M38" s="132"/>
      <c r="N38" s="132">
        <f>IFERROR(__xludf.DUMMYFUNCTION("""COMPUTED_VALUE"""),1.0)</f>
        <v>1</v>
      </c>
      <c r="O38" s="132"/>
      <c r="P38" s="132"/>
      <c r="Q38" s="132"/>
      <c r="R38" s="132" t="str">
        <f>IFERROR(__xludf.DUMMYFUNCTION("""COMPUTED_VALUE"""),"Heat (19/10-16/11)")</f>
        <v>Heat (19/10-16/11)</v>
      </c>
      <c r="S38" s="132">
        <f>IFERROR(__xludf.DUMMYFUNCTION("""COMPUTED_VALUE"""),136.95000000000002)</f>
        <v>136.95</v>
      </c>
      <c r="T38" s="132"/>
      <c r="U38" s="132">
        <f>IFERROR(__xludf.DUMMYFUNCTION("""COMPUTED_VALUE"""),40.53)</f>
        <v>40.53</v>
      </c>
      <c r="V38" s="132">
        <f>IFERROR(__xludf.DUMMYFUNCTION("""COMPUTED_VALUE"""),40.53)</f>
        <v>40.53</v>
      </c>
      <c r="W38" s="132">
        <f>IFERROR(__xludf.DUMMYFUNCTION("""COMPUTED_VALUE"""),25.15)</f>
        <v>25.15</v>
      </c>
      <c r="X38" s="132">
        <f>IFERROR(__xludf.DUMMYFUNCTION("""COMPUTED_VALUE"""),25.15)</f>
        <v>25.15</v>
      </c>
      <c r="Y38" s="132">
        <f>IFERROR(__xludf.DUMMYFUNCTION("""COMPUTED_VALUE"""),5.59)</f>
        <v>5.59</v>
      </c>
      <c r="Z38" s="132"/>
    </row>
    <row r="39">
      <c r="A39" s="133">
        <f>IFERROR(__xludf.DUMMYFUNCTION("""COMPUTED_VALUE"""),45417.0)</f>
        <v>45417</v>
      </c>
      <c r="B39" s="132" t="str">
        <f>IFERROR(__xludf.DUMMYFUNCTION("""COMPUTED_VALUE"""),"homesense")</f>
        <v>homesense</v>
      </c>
      <c r="C39" s="132" t="str">
        <f>IFERROR(__xludf.DUMMYFUNCTION("""COMPUTED_VALUE"""),"居家")</f>
        <v>居家</v>
      </c>
      <c r="D39" s="132">
        <f>IFERROR(__xludf.DUMMYFUNCTION("""COMPUTED_VALUE"""),19.2)</f>
        <v>19.2</v>
      </c>
      <c r="E39" s="132" t="str">
        <f>IFERROR(__xludf.DUMMYFUNCTION("""COMPUTED_VALUE"""),"Pigskin")</f>
        <v>Pigskin</v>
      </c>
      <c r="F39" s="132">
        <f>IFERROR(__xludf.DUMMYFUNCTION("""COMPUTED_VALUE"""),3.84)</f>
        <v>3.84</v>
      </c>
      <c r="G39" s="132">
        <f>IFERROR(__xludf.DUMMYFUNCTION("""COMPUTED_VALUE"""),3.84)</f>
        <v>3.84</v>
      </c>
      <c r="H39" s="132">
        <f>IFERROR(__xludf.DUMMYFUNCTION("""COMPUTED_VALUE"""),1.0)</f>
        <v>1</v>
      </c>
      <c r="I39" s="132">
        <f>IFERROR(__xludf.DUMMYFUNCTION("""COMPUTED_VALUE"""),1.0)</f>
        <v>1</v>
      </c>
      <c r="J39" s="132">
        <f>IFERROR(__xludf.DUMMYFUNCTION("""COMPUTED_VALUE"""),1.0)</f>
        <v>1</v>
      </c>
      <c r="K39" s="132">
        <f>IFERROR(__xludf.DUMMYFUNCTION("""COMPUTED_VALUE"""),1.0)</f>
        <v>1</v>
      </c>
      <c r="L39" s="132"/>
      <c r="M39" s="132"/>
      <c r="N39" s="132">
        <f>IFERROR(__xludf.DUMMYFUNCTION("""COMPUTED_VALUE"""),1.0)</f>
        <v>1</v>
      </c>
      <c r="O39" s="132"/>
      <c r="P39" s="132"/>
      <c r="Q39" s="132"/>
      <c r="R39" s="132" t="str">
        <f>IFERROR(__xludf.DUMMYFUNCTION("""COMPUTED_VALUE"""),"Electricity")</f>
        <v>Electricity</v>
      </c>
      <c r="S39" s="132"/>
      <c r="T39" s="132"/>
      <c r="U39" s="132" t="str">
        <f>IFERROR(__xludf.DUMMYFUNCTION("""COMPUTED_VALUE"""),"Paid")</f>
        <v>Paid</v>
      </c>
      <c r="V39" s="132" t="str">
        <f>IFERROR(__xludf.DUMMYFUNCTION("""COMPUTED_VALUE"""),"Paid")</f>
        <v>Paid</v>
      </c>
      <c r="W39" s="132" t="str">
        <f>IFERROR(__xludf.DUMMYFUNCTION("""COMPUTED_VALUE"""),"Paid")</f>
        <v>Paid</v>
      </c>
      <c r="X39" s="132" t="str">
        <f>IFERROR(__xludf.DUMMYFUNCTION("""COMPUTED_VALUE"""),"Paid")</f>
        <v>Paid</v>
      </c>
      <c r="Y39" s="132" t="str">
        <f>IFERROR(__xludf.DUMMYFUNCTION("""COMPUTED_VALUE"""),"Paid")</f>
        <v>Paid</v>
      </c>
      <c r="Z39" s="132"/>
    </row>
    <row r="40">
      <c r="A40" s="133">
        <f>IFERROR(__xludf.DUMMYFUNCTION("""COMPUTED_VALUE"""),45417.0)</f>
        <v>45417</v>
      </c>
      <c r="B40" s="132" t="str">
        <f>IFERROR(__xludf.DUMMYFUNCTION("""COMPUTED_VALUE"""),"sun food")</f>
        <v>sun food</v>
      </c>
      <c r="C40" s="132" t="str">
        <f>IFERROR(__xludf.DUMMYFUNCTION("""COMPUTED_VALUE"""),"食物")</f>
        <v>食物</v>
      </c>
      <c r="D40" s="132">
        <f>IFERROR(__xludf.DUMMYFUNCTION("""COMPUTED_VALUE"""),19.28)</f>
        <v>19.28</v>
      </c>
      <c r="E40" s="132" t="str">
        <f>IFERROR(__xludf.DUMMYFUNCTION("""COMPUTED_VALUE"""),"Pigskin")</f>
        <v>Pigskin</v>
      </c>
      <c r="F40" s="132">
        <f>IFERROR(__xludf.DUMMYFUNCTION("""COMPUTED_VALUE"""),3.2133333333333334)</f>
        <v>3.213333333</v>
      </c>
      <c r="G40" s="132">
        <f>IFERROR(__xludf.DUMMYFUNCTION("""COMPUTED_VALUE"""),3.2133333333333334)</f>
        <v>3.213333333</v>
      </c>
      <c r="H40" s="132">
        <f>IFERROR(__xludf.DUMMYFUNCTION("""COMPUTED_VALUE"""),1.0)</f>
        <v>1</v>
      </c>
      <c r="I40" s="132">
        <f>IFERROR(__xludf.DUMMYFUNCTION("""COMPUTED_VALUE"""),1.0)</f>
        <v>1</v>
      </c>
      <c r="J40" s="132">
        <f>IFERROR(__xludf.DUMMYFUNCTION("""COMPUTED_VALUE"""),1.0)</f>
        <v>1</v>
      </c>
      <c r="K40" s="132">
        <f>IFERROR(__xludf.DUMMYFUNCTION("""COMPUTED_VALUE"""),1.0)</f>
        <v>1</v>
      </c>
      <c r="L40" s="132"/>
      <c r="M40" s="132">
        <f>IFERROR(__xludf.DUMMYFUNCTION("""COMPUTED_VALUE"""),1.0)</f>
        <v>1</v>
      </c>
      <c r="N40" s="132">
        <f>IFERROR(__xludf.DUMMYFUNCTION("""COMPUTED_VALUE"""),1.0)</f>
        <v>1</v>
      </c>
      <c r="O40" s="132"/>
      <c r="P40" s="132"/>
      <c r="Q40" s="132"/>
      <c r="R40" s="132" t="str">
        <f>IFERROR(__xludf.DUMMYFUNCTION("""COMPUTED_VALUE"""),"Internet")</f>
        <v>Internet</v>
      </c>
      <c r="S40" s="132">
        <f>IFERROR(__xludf.DUMMYFUNCTION("""COMPUTED_VALUE"""),56.5)</f>
        <v>56.5</v>
      </c>
      <c r="T40" s="132"/>
      <c r="U40" s="132" t="str">
        <f>IFERROR(__xludf.DUMMYFUNCTION("""COMPUTED_VALUE"""),"Paid")</f>
        <v>Paid</v>
      </c>
      <c r="V40" s="132" t="str">
        <f>IFERROR(__xludf.DUMMYFUNCTION("""COMPUTED_VALUE"""),"Paid")</f>
        <v>Paid</v>
      </c>
      <c r="W40" s="132" t="str">
        <f>IFERROR(__xludf.DUMMYFUNCTION("""COMPUTED_VALUE"""),"Paid")</f>
        <v>Paid</v>
      </c>
      <c r="X40" s="132" t="str">
        <f>IFERROR(__xludf.DUMMYFUNCTION("""COMPUTED_VALUE"""),"Paid")</f>
        <v>Paid</v>
      </c>
      <c r="Y40" s="132" t="str">
        <f>IFERROR(__xludf.DUMMYFUNCTION("""COMPUTED_VALUE"""),"Paid")</f>
        <v>Paid</v>
      </c>
      <c r="Z40" s="132"/>
    </row>
    <row r="41">
      <c r="A41" s="133">
        <f>IFERROR(__xludf.DUMMYFUNCTION("""COMPUTED_VALUE"""),45418.0)</f>
        <v>45418</v>
      </c>
      <c r="B41" s="132" t="str">
        <f>IFERROR(__xludf.DUMMYFUNCTION("""COMPUTED_VALUE"""),"Foody")</f>
        <v>Foody</v>
      </c>
      <c r="C41" s="132" t="str">
        <f>IFERROR(__xludf.DUMMYFUNCTION("""COMPUTED_VALUE"""),"食物")</f>
        <v>食物</v>
      </c>
      <c r="D41" s="132">
        <f>IFERROR(__xludf.DUMMYFUNCTION("""COMPUTED_VALUE"""),37.13)</f>
        <v>37.13</v>
      </c>
      <c r="E41" s="132" t="str">
        <f>IFERROR(__xludf.DUMMYFUNCTION("""COMPUTED_VALUE"""),"Pigskin")</f>
        <v>Pigskin</v>
      </c>
      <c r="F41" s="132">
        <f>IFERROR(__xludf.DUMMYFUNCTION("""COMPUTED_VALUE"""),7.426)</f>
        <v>7.426</v>
      </c>
      <c r="G41" s="132">
        <f>IFERROR(__xludf.DUMMYFUNCTION("""COMPUTED_VALUE"""),7.426)</f>
        <v>7.426</v>
      </c>
      <c r="H41" s="132">
        <f>IFERROR(__xludf.DUMMYFUNCTION("""COMPUTED_VALUE"""),1.0)</f>
        <v>1</v>
      </c>
      <c r="I41" s="132">
        <f>IFERROR(__xludf.DUMMYFUNCTION("""COMPUTED_VALUE"""),1.0)</f>
        <v>1</v>
      </c>
      <c r="J41" s="132">
        <f>IFERROR(__xludf.DUMMYFUNCTION("""COMPUTED_VALUE"""),1.0)</f>
        <v>1</v>
      </c>
      <c r="K41" s="132">
        <f>IFERROR(__xludf.DUMMYFUNCTION("""COMPUTED_VALUE"""),1.0)</f>
        <v>1</v>
      </c>
      <c r="L41" s="132"/>
      <c r="M41" s="132">
        <f>IFERROR(__xludf.DUMMYFUNCTION("""COMPUTED_VALUE"""),1.0)</f>
        <v>1</v>
      </c>
      <c r="N41" s="132"/>
      <c r="O41" s="132"/>
      <c r="P41" s="132"/>
      <c r="Q41" s="132"/>
      <c r="R41" s="132"/>
      <c r="S41" s="132">
        <f>IFERROR(__xludf.DUMMYFUNCTION("""COMPUTED_VALUE"""),3793.45)</f>
        <v>3793.45</v>
      </c>
      <c r="T41" s="132">
        <f>IFERROR(__xludf.DUMMYFUNCTION("""COMPUTED_VALUE"""),720.0)</f>
        <v>720</v>
      </c>
      <c r="U41" s="132"/>
      <c r="V41" s="132"/>
      <c r="W41" s="132"/>
      <c r="X41" s="132"/>
      <c r="Y41" s="132"/>
      <c r="Z41" s="132"/>
    </row>
    <row r="42">
      <c r="A42" s="133">
        <f>IFERROR(__xludf.DUMMYFUNCTION("""COMPUTED_VALUE"""),45419.0)</f>
        <v>45419</v>
      </c>
      <c r="B42" s="132" t="str">
        <f>IFERROR(__xludf.DUMMYFUNCTION("""COMPUTED_VALUE"""),"Foody")</f>
        <v>Foody</v>
      </c>
      <c r="C42" s="132" t="str">
        <f>IFERROR(__xludf.DUMMYFUNCTION("""COMPUTED_VALUE"""),"食物")</f>
        <v>食物</v>
      </c>
      <c r="D42" s="132">
        <f>IFERROR(__xludf.DUMMYFUNCTION("""COMPUTED_VALUE"""),10.85)</f>
        <v>10.85</v>
      </c>
      <c r="E42" s="132" t="str">
        <f>IFERROR(__xludf.DUMMYFUNCTION("""COMPUTED_VALUE"""),"BL")</f>
        <v>BL</v>
      </c>
      <c r="F42" s="132">
        <f>IFERROR(__xludf.DUMMYFUNCTION("""COMPUTED_VALUE"""),2.17)</f>
        <v>2.17</v>
      </c>
      <c r="G42" s="132">
        <f>IFERROR(__xludf.DUMMYFUNCTION("""COMPUTED_VALUE"""),2.17)</f>
        <v>2.17</v>
      </c>
      <c r="H42" s="132">
        <f>IFERROR(__xludf.DUMMYFUNCTION("""COMPUTED_VALUE"""),1.0)</f>
        <v>1</v>
      </c>
      <c r="I42" s="132">
        <f>IFERROR(__xludf.DUMMYFUNCTION("""COMPUTED_VALUE"""),1.0)</f>
        <v>1</v>
      </c>
      <c r="J42" s="132">
        <f>IFERROR(__xludf.DUMMYFUNCTION("""COMPUTED_VALUE"""),1.0)</f>
        <v>1</v>
      </c>
      <c r="K42" s="132">
        <f>IFERROR(__xludf.DUMMYFUNCTION("""COMPUTED_VALUE"""),1.0)</f>
        <v>1</v>
      </c>
      <c r="L42" s="132"/>
      <c r="M42" s="132"/>
      <c r="N42" s="132">
        <f>IFERROR(__xludf.DUMMYFUNCTION("""COMPUTED_VALUE"""),1.0)</f>
        <v>1</v>
      </c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3">
        <f>IFERROR(__xludf.DUMMYFUNCTION("""COMPUTED_VALUE"""),45420.0)</f>
        <v>45420</v>
      </c>
      <c r="B43" s="132" t="str">
        <f>IFERROR(__xludf.DUMMYFUNCTION("""COMPUTED_VALUE"""),"Dumplings")</f>
        <v>Dumplings</v>
      </c>
      <c r="C43" s="132" t="str">
        <f>IFERROR(__xludf.DUMMYFUNCTION("""COMPUTED_VALUE"""),"食物")</f>
        <v>食物</v>
      </c>
      <c r="D43" s="132">
        <f>IFERROR(__xludf.DUMMYFUNCTION("""COMPUTED_VALUE"""),63.56)</f>
        <v>63.56</v>
      </c>
      <c r="E43" s="132" t="str">
        <f>IFERROR(__xludf.DUMMYFUNCTION("""COMPUTED_VALUE"""),"BL")</f>
        <v>BL</v>
      </c>
      <c r="F43" s="132">
        <f>IFERROR(__xludf.DUMMYFUNCTION("""COMPUTED_VALUE"""),15.89)</f>
        <v>15.89</v>
      </c>
      <c r="G43" s="132">
        <f>IFERROR(__xludf.DUMMYFUNCTION("""COMPUTED_VALUE"""),15.89)</f>
        <v>15.89</v>
      </c>
      <c r="H43" s="132">
        <f>IFERROR(__xludf.DUMMYFUNCTION("""COMPUTED_VALUE"""),1.0)</f>
        <v>1</v>
      </c>
      <c r="I43" s="132">
        <f>IFERROR(__xludf.DUMMYFUNCTION("""COMPUTED_VALUE"""),1.0)</f>
        <v>1</v>
      </c>
      <c r="J43" s="132">
        <f>IFERROR(__xludf.DUMMYFUNCTION("""COMPUTED_VALUE"""),1.0)</f>
        <v>1</v>
      </c>
      <c r="K43" s="132">
        <f>IFERROR(__xludf.DUMMYFUNCTION("""COMPUTED_VALUE"""),1.0)</f>
        <v>1</v>
      </c>
      <c r="L43" s="132"/>
      <c r="M43" s="132"/>
      <c r="N43" s="132"/>
      <c r="O43" s="132"/>
      <c r="P43" s="132"/>
      <c r="Q43" s="134">
        <f>IFERROR(__xludf.DUMMYFUNCTION("""COMPUTED_VALUE"""),45261.0)</f>
        <v>45261</v>
      </c>
      <c r="R43" s="132" t="str">
        <f>IFERROR(__xludf.DUMMYFUNCTION("""COMPUTED_VALUE"""),"Rent")</f>
        <v>Rent</v>
      </c>
      <c r="S43" s="132">
        <f>IFERROR(__xludf.DUMMYFUNCTION("""COMPUTED_VALUE"""),3600.0)</f>
        <v>3600</v>
      </c>
      <c r="T43" s="132">
        <f>IFERROR(__xludf.DUMMYFUNCTION("""COMPUTED_VALUE"""),720.0)</f>
        <v>720</v>
      </c>
      <c r="U43" s="132" t="str">
        <f>IFERROR(__xludf.DUMMYFUNCTION("""COMPUTED_VALUE"""),"Paid")</f>
        <v>Paid</v>
      </c>
      <c r="V43" s="132" t="str">
        <f>IFERROR(__xludf.DUMMYFUNCTION("""COMPUTED_VALUE"""),"Paid")</f>
        <v>Paid</v>
      </c>
      <c r="W43" s="132" t="str">
        <f>IFERROR(__xludf.DUMMYFUNCTION("""COMPUTED_VALUE"""),"Paid")</f>
        <v>Paid</v>
      </c>
      <c r="X43" s="132" t="str">
        <f>IFERROR(__xludf.DUMMYFUNCTION("""COMPUTED_VALUE"""),"Paid")</f>
        <v>Paid</v>
      </c>
      <c r="Y43" s="132" t="str">
        <f>IFERROR(__xludf.DUMMYFUNCTION("""COMPUTED_VALUE"""),"Paid")</f>
        <v>Paid</v>
      </c>
      <c r="Z43" s="132"/>
    </row>
    <row r="44">
      <c r="A44" s="133">
        <f>IFERROR(__xludf.DUMMYFUNCTION("""COMPUTED_VALUE"""),45421.0)</f>
        <v>45421</v>
      </c>
      <c r="B44" s="132" t="str">
        <f>IFERROR(__xludf.DUMMYFUNCTION("""COMPUTED_VALUE"""),"Bell")</f>
        <v>Bell</v>
      </c>
      <c r="C44" s="132" t="str">
        <f>IFERROR(__xludf.DUMMYFUNCTION("""COMPUTED_VALUE"""),"居家")</f>
        <v>居家</v>
      </c>
      <c r="D44" s="132">
        <f>IFERROR(__xludf.DUMMYFUNCTION("""COMPUTED_VALUE"""),5.6499999999999995)</f>
        <v>5.65</v>
      </c>
      <c r="E44" s="132" t="str">
        <f>IFERROR(__xludf.DUMMYFUNCTION("""COMPUTED_VALUE"""),"Timothy")</f>
        <v>Timothy</v>
      </c>
      <c r="F44" s="132">
        <f>IFERROR(__xludf.DUMMYFUNCTION("""COMPUTED_VALUE"""),2.8249999999999997)</f>
        <v>2.825</v>
      </c>
      <c r="G44" s="132">
        <f>IFERROR(__xludf.DUMMYFUNCTION("""COMPUTED_VALUE"""),2.8249999999999997)</f>
        <v>2.825</v>
      </c>
      <c r="H44" s="132">
        <f>IFERROR(__xludf.DUMMYFUNCTION("""COMPUTED_VALUE"""),1.0)</f>
        <v>1</v>
      </c>
      <c r="I44" s="132"/>
      <c r="J44" s="132">
        <f>IFERROR(__xludf.DUMMYFUNCTION("""COMPUTED_VALUE"""),1.0)</f>
        <v>1</v>
      </c>
      <c r="K44" s="132"/>
      <c r="L44" s="132"/>
      <c r="M44" s="132"/>
      <c r="N44" s="132"/>
      <c r="O44" s="132"/>
      <c r="P44" s="132"/>
      <c r="Q44" s="132"/>
      <c r="R44" s="132" t="str">
        <f>IFERROR(__xludf.DUMMYFUNCTION("""COMPUTED_VALUE"""),"Water")</f>
        <v>Water</v>
      </c>
      <c r="S44" s="132">
        <f>IFERROR(__xludf.DUMMYFUNCTION("""COMPUTED_VALUE"""),284.24)</f>
        <v>284.24</v>
      </c>
      <c r="T44" s="132">
        <f>IFERROR(__xludf.DUMMYFUNCTION("""COMPUTED_VALUE"""),56.848)</f>
        <v>56.848</v>
      </c>
      <c r="U44" s="132" t="str">
        <f>IFERROR(__xludf.DUMMYFUNCTION("""COMPUTED_VALUE"""),"Paid")</f>
        <v>Paid</v>
      </c>
      <c r="V44" s="132" t="str">
        <f>IFERROR(__xludf.DUMMYFUNCTION("""COMPUTED_VALUE"""),"Paid")</f>
        <v>Paid</v>
      </c>
      <c r="W44" s="132" t="str">
        <f>IFERROR(__xludf.DUMMYFUNCTION("""COMPUTED_VALUE"""),"Paid")</f>
        <v>Paid</v>
      </c>
      <c r="X44" s="132" t="str">
        <f>IFERROR(__xludf.DUMMYFUNCTION("""COMPUTED_VALUE"""),"Paid")</f>
        <v>Paid</v>
      </c>
      <c r="Y44" s="132" t="str">
        <f>IFERROR(__xludf.DUMMYFUNCTION("""COMPUTED_VALUE"""),"Paid")</f>
        <v>Paid</v>
      </c>
      <c r="Z44" s="132"/>
    </row>
    <row r="45">
      <c r="A45" s="133">
        <f>IFERROR(__xludf.DUMMYFUNCTION("""COMPUTED_VALUE"""),45421.0)</f>
        <v>45421</v>
      </c>
      <c r="B45" s="132" t="str">
        <f>IFERROR(__xludf.DUMMYFUNCTION("""COMPUTED_VALUE"""),"Costco nacho")</f>
        <v>Costco nacho</v>
      </c>
      <c r="C45" s="132" t="str">
        <f>IFERROR(__xludf.DUMMYFUNCTION("""COMPUTED_VALUE"""),"食物")</f>
        <v>食物</v>
      </c>
      <c r="D45" s="132">
        <f>IFERROR(__xludf.DUMMYFUNCTION("""COMPUTED_VALUE"""),9.5937)</f>
        <v>9.5937</v>
      </c>
      <c r="E45" s="132" t="str">
        <f>IFERROR(__xludf.DUMMYFUNCTION("""COMPUTED_VALUE"""),"BL")</f>
        <v>BL</v>
      </c>
      <c r="F45" s="132">
        <f>IFERROR(__xludf.DUMMYFUNCTION("""COMPUTED_VALUE"""),1.9187400000000001)</f>
        <v>1.91874</v>
      </c>
      <c r="G45" s="132">
        <f>IFERROR(__xludf.DUMMYFUNCTION("""COMPUTED_VALUE"""),1.9187400000000001)</f>
        <v>1.91874</v>
      </c>
      <c r="H45" s="132">
        <f>IFERROR(__xludf.DUMMYFUNCTION("""COMPUTED_VALUE"""),1.0)</f>
        <v>1</v>
      </c>
      <c r="I45" s="132">
        <f>IFERROR(__xludf.DUMMYFUNCTION("""COMPUTED_VALUE"""),1.0)</f>
        <v>1</v>
      </c>
      <c r="J45" s="132">
        <f>IFERROR(__xludf.DUMMYFUNCTION("""COMPUTED_VALUE"""),1.0)</f>
        <v>1</v>
      </c>
      <c r="K45" s="132">
        <f>IFERROR(__xludf.DUMMYFUNCTION("""COMPUTED_VALUE"""),1.0)</f>
        <v>1</v>
      </c>
      <c r="L45" s="132"/>
      <c r="M45" s="132"/>
      <c r="N45" s="132">
        <f>IFERROR(__xludf.DUMMYFUNCTION("""COMPUTED_VALUE"""),1.0)</f>
        <v>1</v>
      </c>
      <c r="O45" s="132"/>
      <c r="P45" s="132"/>
      <c r="Q45" s="132"/>
      <c r="R45" s="132" t="str">
        <f>IFERROR(__xludf.DUMMYFUNCTION("""COMPUTED_VALUE"""),"Heat(17/11-14/12)")</f>
        <v>Heat(17/11-14/12)</v>
      </c>
      <c r="S45" s="132">
        <f>IFERROR(__xludf.DUMMYFUNCTION("""COMPUTED_VALUE"""),149.7)</f>
        <v>149.7</v>
      </c>
      <c r="T45" s="132">
        <f>IFERROR(__xludf.DUMMYFUNCTION("""COMPUTED_VALUE"""),29.939999999999998)</f>
        <v>29.94</v>
      </c>
      <c r="U45" s="132" t="str">
        <f>IFERROR(__xludf.DUMMYFUNCTION("""COMPUTED_VALUE"""),"Paid")</f>
        <v>Paid</v>
      </c>
      <c r="V45" s="132" t="str">
        <f>IFERROR(__xludf.DUMMYFUNCTION("""COMPUTED_VALUE"""),"Paid")</f>
        <v>Paid</v>
      </c>
      <c r="W45" s="132" t="str">
        <f>IFERROR(__xludf.DUMMYFUNCTION("""COMPUTED_VALUE"""),"Paid")</f>
        <v>Paid</v>
      </c>
      <c r="X45" s="132" t="str">
        <f>IFERROR(__xludf.DUMMYFUNCTION("""COMPUTED_VALUE"""),"Paid")</f>
        <v>Paid</v>
      </c>
      <c r="Y45" s="132" t="str">
        <f>IFERROR(__xludf.DUMMYFUNCTION("""COMPUTED_VALUE"""),"Paid")</f>
        <v>Paid</v>
      </c>
      <c r="Z45" s="132"/>
    </row>
    <row r="46">
      <c r="A46" s="136">
        <f>IFERROR(__xludf.DUMMYFUNCTION("""COMPUTED_VALUE"""),45421.0)</f>
        <v>45421</v>
      </c>
      <c r="B46" s="132" t="str">
        <f>IFERROR(__xludf.DUMMYFUNCTION("""COMPUTED_VALUE"""),"Samwoo")</f>
        <v>Samwoo</v>
      </c>
      <c r="C46" s="132" t="str">
        <f>IFERROR(__xludf.DUMMYFUNCTION("""COMPUTED_VALUE"""),"食物")</f>
        <v>食物</v>
      </c>
      <c r="D46" s="132">
        <f>IFERROR(__xludf.DUMMYFUNCTION("""COMPUTED_VALUE"""),68.93)</f>
        <v>68.93</v>
      </c>
      <c r="E46" s="132" t="str">
        <f>IFERROR(__xludf.DUMMYFUNCTION("""COMPUTED_VALUE"""),"Pigskin")</f>
        <v>Pigskin</v>
      </c>
      <c r="F46" s="132">
        <f>IFERROR(__xludf.DUMMYFUNCTION("""COMPUTED_VALUE"""),13.786000000000001)</f>
        <v>13.786</v>
      </c>
      <c r="G46" s="132">
        <f>IFERROR(__xludf.DUMMYFUNCTION("""COMPUTED_VALUE"""),13.786000000000001)</f>
        <v>13.786</v>
      </c>
      <c r="H46" s="132">
        <f>IFERROR(__xludf.DUMMYFUNCTION("""COMPUTED_VALUE"""),1.0)</f>
        <v>1</v>
      </c>
      <c r="I46" s="132">
        <f>IFERROR(__xludf.DUMMYFUNCTION("""COMPUTED_VALUE"""),1.0)</f>
        <v>1</v>
      </c>
      <c r="J46" s="132">
        <f>IFERROR(__xludf.DUMMYFUNCTION("""COMPUTED_VALUE"""),1.0)</f>
        <v>1</v>
      </c>
      <c r="K46" s="132">
        <f>IFERROR(__xludf.DUMMYFUNCTION("""COMPUTED_VALUE"""),1.0)</f>
        <v>1</v>
      </c>
      <c r="L46" s="132"/>
      <c r="M46" s="132"/>
      <c r="N46" s="132">
        <f>IFERROR(__xludf.DUMMYFUNCTION("""COMPUTED_VALUE"""),1.0)</f>
        <v>1</v>
      </c>
      <c r="O46" s="132"/>
      <c r="P46" s="132"/>
      <c r="Q46" s="132"/>
      <c r="R46" s="132" t="str">
        <f>IFERROR(__xludf.DUMMYFUNCTION("""COMPUTED_VALUE"""),"Electricity")</f>
        <v>Electricity</v>
      </c>
      <c r="S46" s="132">
        <f>IFERROR(__xludf.DUMMYFUNCTION("""COMPUTED_VALUE"""),107.46)</f>
        <v>107.46</v>
      </c>
      <c r="T46" s="132">
        <f>IFERROR(__xludf.DUMMYFUNCTION("""COMPUTED_VALUE"""),21.491999999999997)</f>
        <v>21.492</v>
      </c>
      <c r="U46" s="132" t="str">
        <f>IFERROR(__xludf.DUMMYFUNCTION("""COMPUTED_VALUE"""),"Paid")</f>
        <v>Paid</v>
      </c>
      <c r="V46" s="132" t="str">
        <f>IFERROR(__xludf.DUMMYFUNCTION("""COMPUTED_VALUE"""),"Paid")</f>
        <v>Paid</v>
      </c>
      <c r="W46" s="132" t="str">
        <f>IFERROR(__xludf.DUMMYFUNCTION("""COMPUTED_VALUE"""),"Paid")</f>
        <v>Paid</v>
      </c>
      <c r="X46" s="132" t="str">
        <f>IFERROR(__xludf.DUMMYFUNCTION("""COMPUTED_VALUE"""),"Paid")</f>
        <v>Paid</v>
      </c>
      <c r="Y46" s="132" t="str">
        <f>IFERROR(__xludf.DUMMYFUNCTION("""COMPUTED_VALUE"""),"Paid")</f>
        <v>Paid</v>
      </c>
      <c r="Z46" s="132"/>
    </row>
    <row r="47">
      <c r="A47" s="136">
        <f>IFERROR(__xludf.DUMMYFUNCTION("""COMPUTED_VALUE"""),45422.0)</f>
        <v>45422</v>
      </c>
      <c r="B47" s="132" t="str">
        <f>IFERROR(__xludf.DUMMYFUNCTION("""COMPUTED_VALUE"""),"Foody")</f>
        <v>Foody</v>
      </c>
      <c r="C47" s="132" t="str">
        <f>IFERROR(__xludf.DUMMYFUNCTION("""COMPUTED_VALUE"""),"食物")</f>
        <v>食物</v>
      </c>
      <c r="D47" s="132">
        <f>IFERROR(__xludf.DUMMYFUNCTION("""COMPUTED_VALUE"""),25.88)</f>
        <v>25.88</v>
      </c>
      <c r="E47" s="132" t="str">
        <f>IFERROR(__xludf.DUMMYFUNCTION("""COMPUTED_VALUE"""),"BL")</f>
        <v>BL</v>
      </c>
      <c r="F47" s="132">
        <f>IFERROR(__xludf.DUMMYFUNCTION("""COMPUTED_VALUE"""),6.47)</f>
        <v>6.47</v>
      </c>
      <c r="G47" s="132">
        <f>IFERROR(__xludf.DUMMYFUNCTION("""COMPUTED_VALUE"""),6.47)</f>
        <v>6.47</v>
      </c>
      <c r="H47" s="132">
        <f>IFERROR(__xludf.DUMMYFUNCTION("""COMPUTED_VALUE"""),1.0)</f>
        <v>1</v>
      </c>
      <c r="I47" s="132">
        <f>IFERROR(__xludf.DUMMYFUNCTION("""COMPUTED_VALUE"""),1.0)</f>
        <v>1</v>
      </c>
      <c r="J47" s="132">
        <f>IFERROR(__xludf.DUMMYFUNCTION("""COMPUTED_VALUE"""),1.0)</f>
        <v>1</v>
      </c>
      <c r="K47" s="132">
        <f>IFERROR(__xludf.DUMMYFUNCTION("""COMPUTED_VALUE"""),1.0)</f>
        <v>1</v>
      </c>
      <c r="L47" s="132"/>
      <c r="M47" s="132"/>
      <c r="N47" s="132"/>
      <c r="O47" s="132"/>
      <c r="P47" s="132"/>
      <c r="Q47" s="132"/>
      <c r="R47" s="132" t="str">
        <f>IFERROR(__xludf.DUMMYFUNCTION("""COMPUTED_VALUE"""),"Internet")</f>
        <v>Internet</v>
      </c>
      <c r="S47" s="132">
        <f>IFERROR(__xludf.DUMMYFUNCTION("""COMPUTED_VALUE"""),56.5)</f>
        <v>56.5</v>
      </c>
      <c r="T47" s="132">
        <f>IFERROR(__xludf.DUMMYFUNCTION("""COMPUTED_VALUE"""),11.3)</f>
        <v>11.3</v>
      </c>
      <c r="U47" s="132" t="str">
        <f>IFERROR(__xludf.DUMMYFUNCTION("""COMPUTED_VALUE"""),"Paid")</f>
        <v>Paid</v>
      </c>
      <c r="V47" s="132" t="str">
        <f>IFERROR(__xludf.DUMMYFUNCTION("""COMPUTED_VALUE"""),"Paid")</f>
        <v>Paid</v>
      </c>
      <c r="W47" s="132" t="str">
        <f>IFERROR(__xludf.DUMMYFUNCTION("""COMPUTED_VALUE"""),"Paid")</f>
        <v>Paid</v>
      </c>
      <c r="X47" s="132" t="str">
        <f>IFERROR(__xludf.DUMMYFUNCTION("""COMPUTED_VALUE"""),"Paid")</f>
        <v>Paid</v>
      </c>
      <c r="Y47" s="132" t="str">
        <f>IFERROR(__xludf.DUMMYFUNCTION("""COMPUTED_VALUE"""),"Paid")</f>
        <v>Paid</v>
      </c>
      <c r="Z47" s="132"/>
    </row>
    <row r="48">
      <c r="A48" s="133">
        <f>IFERROR(__xludf.DUMMYFUNCTION("""COMPUTED_VALUE"""),45423.0)</f>
        <v>45423</v>
      </c>
      <c r="B48" s="132" t="str">
        <f>IFERROR(__xludf.DUMMYFUNCTION("""COMPUTED_VALUE"""),"yoga mat")</f>
        <v>yoga mat</v>
      </c>
      <c r="C48" s="132" t="str">
        <f>IFERROR(__xludf.DUMMYFUNCTION("""COMPUTED_VALUE"""),"其他")</f>
        <v>其他</v>
      </c>
      <c r="D48" s="132">
        <f>IFERROR(__xludf.DUMMYFUNCTION("""COMPUTED_VALUE"""),45.2)</f>
        <v>45.2</v>
      </c>
      <c r="E48" s="132" t="str">
        <f>IFERROR(__xludf.DUMMYFUNCTION("""COMPUTED_VALUE"""),"Esther")</f>
        <v>Esther</v>
      </c>
      <c r="F48" s="132">
        <f>IFERROR(__xludf.DUMMYFUNCTION("""COMPUTED_VALUE"""),22.6)</f>
        <v>22.6</v>
      </c>
      <c r="G48" s="132">
        <f>IFERROR(__xludf.DUMMYFUNCTION("""COMPUTED_VALUE"""),22.6)</f>
        <v>22.6</v>
      </c>
      <c r="H48" s="132"/>
      <c r="I48" s="132"/>
      <c r="J48" s="132">
        <f>IFERROR(__xludf.DUMMYFUNCTION("""COMPUTED_VALUE"""),1.0)</f>
        <v>1</v>
      </c>
      <c r="K48" s="132"/>
      <c r="L48" s="132"/>
      <c r="M48" s="132"/>
      <c r="N48" s="132">
        <f>IFERROR(__xludf.DUMMYFUNCTION("""COMPUTED_VALUE"""),1.0)</f>
        <v>1</v>
      </c>
      <c r="O48" s="132"/>
      <c r="P48" s="132"/>
      <c r="Q48" s="132"/>
      <c r="R48" s="132"/>
      <c r="S48" s="132">
        <f>IFERROR(__xludf.DUMMYFUNCTION("""COMPUTED_VALUE"""),4197.9)</f>
        <v>4197.9</v>
      </c>
      <c r="T48" s="132">
        <f>IFERROR(__xludf.DUMMYFUNCTION("""COMPUTED_VALUE"""),839.5799999999999)</f>
        <v>839.58</v>
      </c>
      <c r="U48" s="132"/>
      <c r="V48" s="132"/>
      <c r="W48" s="132"/>
      <c r="X48" s="132"/>
      <c r="Y48" s="132"/>
      <c r="Z48" s="132"/>
    </row>
    <row r="49">
      <c r="A49" s="133">
        <f>IFERROR(__xludf.DUMMYFUNCTION("""COMPUTED_VALUE"""),45423.0)</f>
        <v>45423</v>
      </c>
      <c r="B49" s="132" t="str">
        <f>IFERROR(__xludf.DUMMYFUNCTION("""COMPUTED_VALUE"""),"Zoo Lunch")</f>
        <v>Zoo Lunch</v>
      </c>
      <c r="C49" s="132" t="str">
        <f>IFERROR(__xludf.DUMMYFUNCTION("""COMPUTED_VALUE"""),"食物")</f>
        <v>食物</v>
      </c>
      <c r="D49" s="132">
        <f>IFERROR(__xludf.DUMMYFUNCTION("""COMPUTED_VALUE"""),0.0)</f>
        <v>0</v>
      </c>
      <c r="E49" s="132" t="str">
        <f>IFERROR(__xludf.DUMMYFUNCTION("""COMPUTED_VALUE"""),"Timothy")</f>
        <v>Timothy</v>
      </c>
      <c r="F49" s="132">
        <f>IFERROR(__xludf.DUMMYFUNCTION("""COMPUTED_VALUE"""),0.0)</f>
        <v>0</v>
      </c>
      <c r="G49" s="132">
        <f>IFERROR(__xludf.DUMMYFUNCTION("""COMPUTED_VALUE"""),0.0)</f>
        <v>0</v>
      </c>
      <c r="H49" s="132">
        <f>IFERROR(__xludf.DUMMYFUNCTION("""COMPUTED_VALUE"""),1.0)</f>
        <v>1</v>
      </c>
      <c r="I49" s="132">
        <f>IFERROR(__xludf.DUMMYFUNCTION("""COMPUTED_VALUE"""),1.0)</f>
        <v>1</v>
      </c>
      <c r="J49" s="132">
        <f>IFERROR(__xludf.DUMMYFUNCTION("""COMPUTED_VALUE"""),1.0)</f>
        <v>1</v>
      </c>
      <c r="K49" s="132">
        <f>IFERROR(__xludf.DUMMYFUNCTION("""COMPUTED_VALUE"""),1.0)</f>
        <v>1</v>
      </c>
      <c r="L49" s="132"/>
      <c r="M49" s="132"/>
      <c r="N49" s="132">
        <f>IFERROR(__xludf.DUMMYFUNCTION("""COMPUTED_VALUE"""),1.0)</f>
        <v>1</v>
      </c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>
      <c r="A50" s="133">
        <f>IFERROR(__xludf.DUMMYFUNCTION("""COMPUTED_VALUE"""),45423.0)</f>
        <v>45423</v>
      </c>
      <c r="B50" s="132" t="str">
        <f>IFERROR(__xludf.DUMMYFUNCTION("""COMPUTED_VALUE"""),"Zoo")</f>
        <v>Zoo</v>
      </c>
      <c r="C50" s="132" t="str">
        <f>IFERROR(__xludf.DUMMYFUNCTION("""COMPUTED_VALUE"""),"娛樂")</f>
        <v>娛樂</v>
      </c>
      <c r="D50" s="132">
        <f>IFERROR(__xludf.DUMMYFUNCTION("""COMPUTED_VALUE"""),178.31)</f>
        <v>178.31</v>
      </c>
      <c r="E50" s="132" t="str">
        <f>IFERROR(__xludf.DUMMYFUNCTION("""COMPUTED_VALUE"""),"Timothy")</f>
        <v>Timothy</v>
      </c>
      <c r="F50" s="132">
        <f>IFERROR(__xludf.DUMMYFUNCTION("""COMPUTED_VALUE"""),35.662)</f>
        <v>35.662</v>
      </c>
      <c r="G50" s="132">
        <f>IFERROR(__xludf.DUMMYFUNCTION("""COMPUTED_VALUE"""),35.662)</f>
        <v>35.662</v>
      </c>
      <c r="H50" s="132">
        <f>IFERROR(__xludf.DUMMYFUNCTION("""COMPUTED_VALUE"""),1.0)</f>
        <v>1</v>
      </c>
      <c r="I50" s="132">
        <f>IFERROR(__xludf.DUMMYFUNCTION("""COMPUTED_VALUE"""),1.0)</f>
        <v>1</v>
      </c>
      <c r="J50" s="132">
        <f>IFERROR(__xludf.DUMMYFUNCTION("""COMPUTED_VALUE"""),1.0)</f>
        <v>1</v>
      </c>
      <c r="K50" s="132">
        <f>IFERROR(__xludf.DUMMYFUNCTION("""COMPUTED_VALUE"""),1.0)</f>
        <v>1</v>
      </c>
      <c r="L50" s="132"/>
      <c r="M50" s="132"/>
      <c r="N50" s="132">
        <f>IFERROR(__xludf.DUMMYFUNCTION("""COMPUTED_VALUE"""),1.0)</f>
        <v>1</v>
      </c>
      <c r="O50" s="132"/>
      <c r="P50" s="132"/>
      <c r="Q50" s="134">
        <f>IFERROR(__xludf.DUMMYFUNCTION("""COMPUTED_VALUE"""),45292.0)</f>
        <v>45292</v>
      </c>
      <c r="R50" s="132" t="str">
        <f>IFERROR(__xludf.DUMMYFUNCTION("""COMPUTED_VALUE"""),"Rent")</f>
        <v>Rent</v>
      </c>
      <c r="S50" s="132">
        <f>IFERROR(__xludf.DUMMYFUNCTION("""COMPUTED_VALUE"""),3600.0)</f>
        <v>3600</v>
      </c>
      <c r="T50" s="132">
        <f>IFERROR(__xludf.DUMMYFUNCTION("""COMPUTED_VALUE"""),720.0)</f>
        <v>720</v>
      </c>
      <c r="U50" s="132" t="str">
        <f>IFERROR(__xludf.DUMMYFUNCTION("""COMPUTED_VALUE"""),"Paid")</f>
        <v>Paid</v>
      </c>
      <c r="V50" s="132" t="str">
        <f>IFERROR(__xludf.DUMMYFUNCTION("""COMPUTED_VALUE"""),"Paid")</f>
        <v>Paid</v>
      </c>
      <c r="W50" s="132" t="str">
        <f>IFERROR(__xludf.DUMMYFUNCTION("""COMPUTED_VALUE"""),"Paid")</f>
        <v>Paid</v>
      </c>
      <c r="X50" s="132" t="str">
        <f>IFERROR(__xludf.DUMMYFUNCTION("""COMPUTED_VALUE"""),"Paid")</f>
        <v>Paid</v>
      </c>
      <c r="Y50" s="132" t="str">
        <f>IFERROR(__xludf.DUMMYFUNCTION("""COMPUTED_VALUE"""),"Paid")</f>
        <v>Paid</v>
      </c>
      <c r="Z50" s="132"/>
    </row>
    <row r="51">
      <c r="A51" s="133">
        <f>IFERROR(__xludf.DUMMYFUNCTION("""COMPUTED_VALUE"""),45423.0)</f>
        <v>45423</v>
      </c>
      <c r="B51" s="132" t="str">
        <f>IFERROR(__xludf.DUMMYFUNCTION("""COMPUTED_VALUE"""),"車仔麵")</f>
        <v>車仔麵</v>
      </c>
      <c r="C51" s="132" t="str">
        <f>IFERROR(__xludf.DUMMYFUNCTION("""COMPUTED_VALUE"""),"食物")</f>
        <v>食物</v>
      </c>
      <c r="D51" s="132">
        <f>IFERROR(__xludf.DUMMYFUNCTION("""COMPUTED_VALUE"""),65.0)</f>
        <v>65</v>
      </c>
      <c r="E51" s="132" t="str">
        <f>IFERROR(__xludf.DUMMYFUNCTION("""COMPUTED_VALUE"""),"Timothy")</f>
        <v>Timothy</v>
      </c>
      <c r="F51" s="132">
        <f>IFERROR(__xludf.DUMMYFUNCTION("""COMPUTED_VALUE"""),13.0)</f>
        <v>13</v>
      </c>
      <c r="G51" s="132">
        <f>IFERROR(__xludf.DUMMYFUNCTION("""COMPUTED_VALUE"""),13.0)</f>
        <v>13</v>
      </c>
      <c r="H51" s="132">
        <f>IFERROR(__xludf.DUMMYFUNCTION("""COMPUTED_VALUE"""),1.0)</f>
        <v>1</v>
      </c>
      <c r="I51" s="132">
        <f>IFERROR(__xludf.DUMMYFUNCTION("""COMPUTED_VALUE"""),1.0)</f>
        <v>1</v>
      </c>
      <c r="J51" s="132">
        <f>IFERROR(__xludf.DUMMYFUNCTION("""COMPUTED_VALUE"""),1.0)</f>
        <v>1</v>
      </c>
      <c r="K51" s="132">
        <f>IFERROR(__xludf.DUMMYFUNCTION("""COMPUTED_VALUE"""),1.0)</f>
        <v>1</v>
      </c>
      <c r="L51" s="132"/>
      <c r="M51" s="132"/>
      <c r="N51" s="132">
        <f>IFERROR(__xludf.DUMMYFUNCTION("""COMPUTED_VALUE"""),1.0)</f>
        <v>1</v>
      </c>
      <c r="O51" s="132"/>
      <c r="P51" s="132"/>
      <c r="Q51" s="132"/>
      <c r="R51" s="132" t="str">
        <f>IFERROR(__xludf.DUMMYFUNCTION("""COMPUTED_VALUE"""),"Water")</f>
        <v>Water</v>
      </c>
      <c r="S51" s="132"/>
      <c r="T51" s="132"/>
      <c r="U51" s="132"/>
      <c r="V51" s="132"/>
      <c r="W51" s="132"/>
      <c r="X51" s="132"/>
      <c r="Y51" s="132"/>
      <c r="Z51" s="132"/>
    </row>
    <row r="52">
      <c r="A52" s="133">
        <f>IFERROR(__xludf.DUMMYFUNCTION("""COMPUTED_VALUE"""),45423.0)</f>
        <v>45423</v>
      </c>
      <c r="B52" s="132" t="str">
        <f>IFERROR(__xludf.DUMMYFUNCTION("""COMPUTED_VALUE"""),"和順記")</f>
        <v>和順記</v>
      </c>
      <c r="C52" s="132" t="str">
        <f>IFERROR(__xludf.DUMMYFUNCTION("""COMPUTED_VALUE"""),"食物")</f>
        <v>食物</v>
      </c>
      <c r="D52" s="132">
        <f>IFERROR(__xludf.DUMMYFUNCTION("""COMPUTED_VALUE"""),200.0)</f>
        <v>200</v>
      </c>
      <c r="E52" s="132" t="str">
        <f>IFERROR(__xludf.DUMMYFUNCTION("""COMPUTED_VALUE"""),"BL")</f>
        <v>BL</v>
      </c>
      <c r="F52" s="132">
        <f>IFERROR(__xludf.DUMMYFUNCTION("""COMPUTED_VALUE"""),28.571428571428573)</f>
        <v>28.57142857</v>
      </c>
      <c r="G52" s="132">
        <f>IFERROR(__xludf.DUMMYFUNCTION("""COMPUTED_VALUE"""),28.571428571428573)</f>
        <v>28.57142857</v>
      </c>
      <c r="H52" s="132">
        <f>IFERROR(__xludf.DUMMYFUNCTION("""COMPUTED_VALUE"""),1.0)</f>
        <v>1</v>
      </c>
      <c r="I52" s="132">
        <f>IFERROR(__xludf.DUMMYFUNCTION("""COMPUTED_VALUE"""),1.0)</f>
        <v>1</v>
      </c>
      <c r="J52" s="132">
        <f>IFERROR(__xludf.DUMMYFUNCTION("""COMPUTED_VALUE"""),1.0)</f>
        <v>1</v>
      </c>
      <c r="K52" s="132">
        <f>IFERROR(__xludf.DUMMYFUNCTION("""COMPUTED_VALUE"""),1.0)</f>
        <v>1</v>
      </c>
      <c r="L52" s="132">
        <f>IFERROR(__xludf.DUMMYFUNCTION("""COMPUTED_VALUE"""),1.0)</f>
        <v>1</v>
      </c>
      <c r="M52" s="132">
        <f>IFERROR(__xludf.DUMMYFUNCTION("""COMPUTED_VALUE"""),1.0)</f>
        <v>1</v>
      </c>
      <c r="N52" s="132">
        <f>IFERROR(__xludf.DUMMYFUNCTION("""COMPUTED_VALUE"""),1.0)</f>
        <v>1</v>
      </c>
      <c r="O52" s="132"/>
      <c r="P52" s="132"/>
      <c r="Q52" s="132"/>
      <c r="R52" s="132" t="str">
        <f>IFERROR(__xludf.DUMMYFUNCTION("""COMPUTED_VALUE"""),"Heat")</f>
        <v>Heat</v>
      </c>
      <c r="S52" s="132">
        <f>IFERROR(__xludf.DUMMYFUNCTION("""COMPUTED_VALUE"""),210.09)</f>
        <v>210.09</v>
      </c>
      <c r="T52" s="132">
        <f>IFERROR(__xludf.DUMMYFUNCTION("""COMPUTED_VALUE"""),42.018)</f>
        <v>42.018</v>
      </c>
      <c r="U52" s="132" t="str">
        <f>IFERROR(__xludf.DUMMYFUNCTION("""COMPUTED_VALUE"""),"Paid")</f>
        <v>Paid</v>
      </c>
      <c r="V52" s="132" t="str">
        <f>IFERROR(__xludf.DUMMYFUNCTION("""COMPUTED_VALUE"""),"Paid")</f>
        <v>Paid</v>
      </c>
      <c r="W52" s="132" t="str">
        <f>IFERROR(__xludf.DUMMYFUNCTION("""COMPUTED_VALUE"""),"Paid")</f>
        <v>Paid</v>
      </c>
      <c r="X52" s="132" t="str">
        <f>IFERROR(__xludf.DUMMYFUNCTION("""COMPUTED_VALUE"""),"Paid")</f>
        <v>Paid</v>
      </c>
      <c r="Y52" s="132" t="str">
        <f>IFERROR(__xludf.DUMMYFUNCTION("""COMPUTED_VALUE"""),"Paid")</f>
        <v>Paid</v>
      </c>
      <c r="Z52" s="132"/>
    </row>
    <row r="53">
      <c r="A53" s="133">
        <f>IFERROR(__xludf.DUMMYFUNCTION("""COMPUTED_VALUE"""),45424.0)</f>
        <v>45424</v>
      </c>
      <c r="B53" s="132" t="str">
        <f>IFERROR(__xludf.DUMMYFUNCTION("""COMPUTED_VALUE"""),"metro")</f>
        <v>metro</v>
      </c>
      <c r="C53" s="132" t="str">
        <f>IFERROR(__xludf.DUMMYFUNCTION("""COMPUTED_VALUE"""),"食物")</f>
        <v>食物</v>
      </c>
      <c r="D53" s="132">
        <f>IFERROR(__xludf.DUMMYFUNCTION("""COMPUTED_VALUE"""),19.71)</f>
        <v>19.71</v>
      </c>
      <c r="E53" s="132" t="str">
        <f>IFERROR(__xludf.DUMMYFUNCTION("""COMPUTED_VALUE"""),"Rachel")</f>
        <v>Rachel</v>
      </c>
      <c r="F53" s="132">
        <f>IFERROR(__xludf.DUMMYFUNCTION("""COMPUTED_VALUE"""),4.9275)</f>
        <v>4.9275</v>
      </c>
      <c r="G53" s="132">
        <f>IFERROR(__xludf.DUMMYFUNCTION("""COMPUTED_VALUE"""),4.9275)</f>
        <v>4.9275</v>
      </c>
      <c r="H53" s="132">
        <f>IFERROR(__xludf.DUMMYFUNCTION("""COMPUTED_VALUE"""),1.0)</f>
        <v>1</v>
      </c>
      <c r="I53" s="132">
        <f>IFERROR(__xludf.DUMMYFUNCTION("""COMPUTED_VALUE"""),1.0)</f>
        <v>1</v>
      </c>
      <c r="J53" s="132">
        <f>IFERROR(__xludf.DUMMYFUNCTION("""COMPUTED_VALUE"""),1.0)</f>
        <v>1</v>
      </c>
      <c r="K53" s="132">
        <f>IFERROR(__xludf.DUMMYFUNCTION("""COMPUTED_VALUE"""),1.0)</f>
        <v>1</v>
      </c>
      <c r="L53" s="132"/>
      <c r="M53" s="132"/>
      <c r="N53" s="132"/>
      <c r="O53" s="132"/>
      <c r="P53" s="132"/>
      <c r="Q53" s="132"/>
      <c r="R53" s="132" t="str">
        <f>IFERROR(__xludf.DUMMYFUNCTION("""COMPUTED_VALUE"""),"Electricity")</f>
        <v>Electricity</v>
      </c>
      <c r="S53" s="132">
        <f>IFERROR(__xludf.DUMMYFUNCTION("""COMPUTED_VALUE"""),111.7)</f>
        <v>111.7</v>
      </c>
      <c r="T53" s="132">
        <f>IFERROR(__xludf.DUMMYFUNCTION("""COMPUTED_VALUE"""),22.34)</f>
        <v>22.34</v>
      </c>
      <c r="U53" s="132" t="str">
        <f>IFERROR(__xludf.DUMMYFUNCTION("""COMPUTED_VALUE"""),"Paid")</f>
        <v>Paid</v>
      </c>
      <c r="V53" s="132" t="str">
        <f>IFERROR(__xludf.DUMMYFUNCTION("""COMPUTED_VALUE"""),"Paid")</f>
        <v>Paid</v>
      </c>
      <c r="W53" s="132" t="str">
        <f>IFERROR(__xludf.DUMMYFUNCTION("""COMPUTED_VALUE"""),"Paid")</f>
        <v>Paid</v>
      </c>
      <c r="X53" s="132" t="str">
        <f>IFERROR(__xludf.DUMMYFUNCTION("""COMPUTED_VALUE"""),"Paid")</f>
        <v>Paid</v>
      </c>
      <c r="Y53" s="132" t="str">
        <f>IFERROR(__xludf.DUMMYFUNCTION("""COMPUTED_VALUE"""),"Paid")</f>
        <v>Paid</v>
      </c>
      <c r="Z53" s="132"/>
    </row>
    <row r="54">
      <c r="A54" s="133">
        <f>IFERROR(__xludf.DUMMYFUNCTION("""COMPUTED_VALUE"""),45424.0)</f>
        <v>45424</v>
      </c>
      <c r="B54" s="132" t="str">
        <f>IFERROR(__xludf.DUMMYFUNCTION("""COMPUTED_VALUE"""),"Dinner")</f>
        <v>Dinner</v>
      </c>
      <c r="C54" s="132" t="str">
        <f>IFERROR(__xludf.DUMMYFUNCTION("""COMPUTED_VALUE"""),"食物")</f>
        <v>食物</v>
      </c>
      <c r="D54" s="132">
        <f>IFERROR(__xludf.DUMMYFUNCTION("""COMPUTED_VALUE"""),11.69)</f>
        <v>11.69</v>
      </c>
      <c r="E54" s="132" t="str">
        <f>IFERROR(__xludf.DUMMYFUNCTION("""COMPUTED_VALUE"""),"Rachel")</f>
        <v>Rachel</v>
      </c>
      <c r="F54" s="132">
        <f>IFERROR(__xludf.DUMMYFUNCTION("""COMPUTED_VALUE"""),2.338)</f>
        <v>2.338</v>
      </c>
      <c r="G54" s="132">
        <f>IFERROR(__xludf.DUMMYFUNCTION("""COMPUTED_VALUE"""),2.338)</f>
        <v>2.338</v>
      </c>
      <c r="H54" s="132">
        <f>IFERROR(__xludf.DUMMYFUNCTION("""COMPUTED_VALUE"""),1.0)</f>
        <v>1</v>
      </c>
      <c r="I54" s="132">
        <f>IFERROR(__xludf.DUMMYFUNCTION("""COMPUTED_VALUE"""),1.0)</f>
        <v>1</v>
      </c>
      <c r="J54" s="132">
        <f>IFERROR(__xludf.DUMMYFUNCTION("""COMPUTED_VALUE"""),1.0)</f>
        <v>1</v>
      </c>
      <c r="K54" s="132">
        <f>IFERROR(__xludf.DUMMYFUNCTION("""COMPUTED_VALUE"""),1.0)</f>
        <v>1</v>
      </c>
      <c r="L54" s="132"/>
      <c r="M54" s="132"/>
      <c r="N54" s="132">
        <f>IFERROR(__xludf.DUMMYFUNCTION("""COMPUTED_VALUE"""),1.0)</f>
        <v>1</v>
      </c>
      <c r="O54" s="132"/>
      <c r="P54" s="132"/>
      <c r="Q54" s="132"/>
      <c r="R54" s="132" t="str">
        <f>IFERROR(__xludf.DUMMYFUNCTION("""COMPUTED_VALUE"""),"Internet")</f>
        <v>Internet</v>
      </c>
      <c r="S54" s="132">
        <f>IFERROR(__xludf.DUMMYFUNCTION("""COMPUTED_VALUE"""),56.5)</f>
        <v>56.5</v>
      </c>
      <c r="T54" s="132">
        <f>IFERROR(__xludf.DUMMYFUNCTION("""COMPUTED_VALUE"""),11.3)</f>
        <v>11.3</v>
      </c>
      <c r="U54" s="132" t="str">
        <f>IFERROR(__xludf.DUMMYFUNCTION("""COMPUTED_VALUE"""),"Paid")</f>
        <v>Paid</v>
      </c>
      <c r="V54" s="132" t="str">
        <f>IFERROR(__xludf.DUMMYFUNCTION("""COMPUTED_VALUE"""),"Paid")</f>
        <v>Paid</v>
      </c>
      <c r="W54" s="132" t="str">
        <f>IFERROR(__xludf.DUMMYFUNCTION("""COMPUTED_VALUE"""),"Paid")</f>
        <v>Paid</v>
      </c>
      <c r="X54" s="132" t="str">
        <f>IFERROR(__xludf.DUMMYFUNCTION("""COMPUTED_VALUE"""),"Paid")</f>
        <v>Paid</v>
      </c>
      <c r="Y54" s="132" t="str">
        <f>IFERROR(__xludf.DUMMYFUNCTION("""COMPUTED_VALUE"""),"Paid")</f>
        <v>Paid</v>
      </c>
      <c r="Z54" s="132"/>
    </row>
    <row r="55">
      <c r="A55" s="133">
        <f>IFERROR(__xludf.DUMMYFUNCTION("""COMPUTED_VALUE"""),45425.0)</f>
        <v>45425</v>
      </c>
      <c r="B55" s="132" t="str">
        <f>IFERROR(__xludf.DUMMYFUNCTION("""COMPUTED_VALUE"""),"tnt")</f>
        <v>tnt</v>
      </c>
      <c r="C55" s="132" t="str">
        <f>IFERROR(__xludf.DUMMYFUNCTION("""COMPUTED_VALUE"""),"食物")</f>
        <v>食物</v>
      </c>
      <c r="D55" s="132">
        <f>IFERROR(__xludf.DUMMYFUNCTION("""COMPUTED_VALUE"""),40.35)</f>
        <v>40.35</v>
      </c>
      <c r="E55" s="132" t="str">
        <f>IFERROR(__xludf.DUMMYFUNCTION("""COMPUTED_VALUE"""),"Pigskin")</f>
        <v>Pigskin</v>
      </c>
      <c r="F55" s="132">
        <f>IFERROR(__xludf.DUMMYFUNCTION("""COMPUTED_VALUE"""),10.0875)</f>
        <v>10.0875</v>
      </c>
      <c r="G55" s="132">
        <f>IFERROR(__xludf.DUMMYFUNCTION("""COMPUTED_VALUE"""),10.0875)</f>
        <v>10.0875</v>
      </c>
      <c r="H55" s="132">
        <f>IFERROR(__xludf.DUMMYFUNCTION("""COMPUTED_VALUE"""),1.0)</f>
        <v>1</v>
      </c>
      <c r="I55" s="132">
        <f>IFERROR(__xludf.DUMMYFUNCTION("""COMPUTED_VALUE"""),1.0)</f>
        <v>1</v>
      </c>
      <c r="J55" s="132">
        <f>IFERROR(__xludf.DUMMYFUNCTION("""COMPUTED_VALUE"""),1.0)</f>
        <v>1</v>
      </c>
      <c r="K55" s="132">
        <f>IFERROR(__xludf.DUMMYFUNCTION("""COMPUTED_VALUE"""),1.0)</f>
        <v>1</v>
      </c>
      <c r="L55" s="132"/>
      <c r="M55" s="132"/>
      <c r="N55" s="132"/>
      <c r="O55" s="132"/>
      <c r="P55" s="132"/>
      <c r="Q55" s="132"/>
      <c r="R55" s="132"/>
      <c r="S55" s="132">
        <f>IFERROR(__xludf.DUMMYFUNCTION("""COMPUTED_VALUE"""),3978.29)</f>
        <v>3978.29</v>
      </c>
      <c r="T55" s="132">
        <f>IFERROR(__xludf.DUMMYFUNCTION("""COMPUTED_VALUE"""),795.658)</f>
        <v>795.658</v>
      </c>
      <c r="U55" s="132"/>
      <c r="V55" s="132"/>
      <c r="W55" s="132"/>
      <c r="X55" s="132"/>
      <c r="Y55" s="132"/>
      <c r="Z55" s="132"/>
    </row>
    <row r="56">
      <c r="A56" s="133">
        <f>IFERROR(__xludf.DUMMYFUNCTION("""COMPUTED_VALUE"""),45425.0)</f>
        <v>45425</v>
      </c>
      <c r="B56" s="132" t="str">
        <f>IFERROR(__xludf.DUMMYFUNCTION("""COMPUTED_VALUE"""),"Foody")</f>
        <v>Foody</v>
      </c>
      <c r="C56" s="132" t="str">
        <f>IFERROR(__xludf.DUMMYFUNCTION("""COMPUTED_VALUE"""),"食物")</f>
        <v>食物</v>
      </c>
      <c r="D56" s="132">
        <f>IFERROR(__xludf.DUMMYFUNCTION("""COMPUTED_VALUE"""),1.81)</f>
        <v>1.81</v>
      </c>
      <c r="E56" s="132" t="str">
        <f>IFERROR(__xludf.DUMMYFUNCTION("""COMPUTED_VALUE"""),"Pigskin")</f>
        <v>Pigskin</v>
      </c>
      <c r="F56" s="132">
        <f>IFERROR(__xludf.DUMMYFUNCTION("""COMPUTED_VALUE"""),0.4525)</f>
        <v>0.4525</v>
      </c>
      <c r="G56" s="132">
        <f>IFERROR(__xludf.DUMMYFUNCTION("""COMPUTED_VALUE"""),0.4525)</f>
        <v>0.4525</v>
      </c>
      <c r="H56" s="132">
        <f>IFERROR(__xludf.DUMMYFUNCTION("""COMPUTED_VALUE"""),1.0)</f>
        <v>1</v>
      </c>
      <c r="I56" s="132">
        <f>IFERROR(__xludf.DUMMYFUNCTION("""COMPUTED_VALUE"""),1.0)</f>
        <v>1</v>
      </c>
      <c r="J56" s="132">
        <f>IFERROR(__xludf.DUMMYFUNCTION("""COMPUTED_VALUE"""),1.0)</f>
        <v>1</v>
      </c>
      <c r="K56" s="132">
        <f>IFERROR(__xludf.DUMMYFUNCTION("""COMPUTED_VALUE"""),1.0)</f>
        <v>1</v>
      </c>
      <c r="L56" s="132"/>
      <c r="M56" s="132"/>
      <c r="N56" s="132"/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6">
        <f>IFERROR(__xludf.DUMMYFUNCTION("""COMPUTED_VALUE"""),45426.0)</f>
        <v>45426</v>
      </c>
      <c r="B57" s="132" t="str">
        <f>IFERROR(__xludf.DUMMYFUNCTION("""COMPUTED_VALUE"""),"Foody")</f>
        <v>Foody</v>
      </c>
      <c r="C57" s="132" t="str">
        <f>IFERROR(__xludf.DUMMYFUNCTION("""COMPUTED_VALUE"""),"食物")</f>
        <v>食物</v>
      </c>
      <c r="D57" s="132">
        <f>IFERROR(__xludf.DUMMYFUNCTION("""COMPUTED_VALUE"""),37.01)</f>
        <v>37.01</v>
      </c>
      <c r="E57" s="132" t="str">
        <f>IFERROR(__xludf.DUMMYFUNCTION("""COMPUTED_VALUE"""),"BL")</f>
        <v>BL</v>
      </c>
      <c r="F57" s="132">
        <f>IFERROR(__xludf.DUMMYFUNCTION("""COMPUTED_VALUE"""),9.2525)</f>
        <v>9.2525</v>
      </c>
      <c r="G57" s="132">
        <f>IFERROR(__xludf.DUMMYFUNCTION("""COMPUTED_VALUE"""),9.2525)</f>
        <v>9.2525</v>
      </c>
      <c r="H57" s="132">
        <f>IFERROR(__xludf.DUMMYFUNCTION("""COMPUTED_VALUE"""),1.0)</f>
        <v>1</v>
      </c>
      <c r="I57" s="132"/>
      <c r="J57" s="132">
        <f>IFERROR(__xludf.DUMMYFUNCTION("""COMPUTED_VALUE"""),1.0)</f>
        <v>1</v>
      </c>
      <c r="K57" s="132">
        <f>IFERROR(__xludf.DUMMYFUNCTION("""COMPUTED_VALUE"""),1.0)</f>
        <v>1</v>
      </c>
      <c r="L57" s="132"/>
      <c r="M57" s="132">
        <f>IFERROR(__xludf.DUMMYFUNCTION("""COMPUTED_VALUE"""),1.0)</f>
        <v>1</v>
      </c>
      <c r="N57" s="132"/>
      <c r="O57" s="132"/>
      <c r="P57" s="132"/>
      <c r="Q57" s="134">
        <f>IFERROR(__xludf.DUMMYFUNCTION("""COMPUTED_VALUE"""),45323.0)</f>
        <v>45323</v>
      </c>
      <c r="R57" s="132" t="str">
        <f>IFERROR(__xludf.DUMMYFUNCTION("""COMPUTED_VALUE"""),"Rent")</f>
        <v>Rent</v>
      </c>
      <c r="S57" s="132">
        <f>IFERROR(__xludf.DUMMYFUNCTION("""COMPUTED_VALUE"""),3600.0)</f>
        <v>3600</v>
      </c>
      <c r="T57" s="132">
        <f>IFERROR(__xludf.DUMMYFUNCTION("""COMPUTED_VALUE"""),720.0)</f>
        <v>720</v>
      </c>
      <c r="U57" s="132" t="str">
        <f>IFERROR(__xludf.DUMMYFUNCTION("""COMPUTED_VALUE"""),"Paid")</f>
        <v>Paid</v>
      </c>
      <c r="V57" s="132" t="str">
        <f>IFERROR(__xludf.DUMMYFUNCTION("""COMPUTED_VALUE"""),"Paid")</f>
        <v>Paid</v>
      </c>
      <c r="W57" s="132" t="str">
        <f>IFERROR(__xludf.DUMMYFUNCTION("""COMPUTED_VALUE"""),"Paid")</f>
        <v>Paid</v>
      </c>
      <c r="X57" s="132" t="str">
        <f>IFERROR(__xludf.DUMMYFUNCTION("""COMPUTED_VALUE"""),"Paid")</f>
        <v>Paid</v>
      </c>
      <c r="Y57" s="132" t="str">
        <f>IFERROR(__xludf.DUMMYFUNCTION("""COMPUTED_VALUE"""),"Paid")</f>
        <v>Paid</v>
      </c>
      <c r="Z57" s="132"/>
    </row>
    <row r="58">
      <c r="A58" s="133">
        <f>IFERROR(__xludf.DUMMYFUNCTION("""COMPUTED_VALUE"""),45427.0)</f>
        <v>45427</v>
      </c>
      <c r="B58" s="132" t="str">
        <f>IFERROR(__xludf.DUMMYFUNCTION("""COMPUTED_VALUE"""),"ikea")</f>
        <v>ikea</v>
      </c>
      <c r="C58" s="132" t="str">
        <f>IFERROR(__xludf.DUMMYFUNCTION("""COMPUTED_VALUE"""),"居家")</f>
        <v>居家</v>
      </c>
      <c r="D58" s="132">
        <f>IFERROR(__xludf.DUMMYFUNCTION("""COMPUTED_VALUE"""),44.01)</f>
        <v>44.01</v>
      </c>
      <c r="E58" s="132" t="str">
        <f>IFERROR(__xludf.DUMMYFUNCTION("""COMPUTED_VALUE"""),"BL")</f>
        <v>BL</v>
      </c>
      <c r="F58" s="132">
        <f>IFERROR(__xludf.DUMMYFUNCTION("""COMPUTED_VALUE"""),8.802)</f>
        <v>8.802</v>
      </c>
      <c r="G58" s="132">
        <f>IFERROR(__xludf.DUMMYFUNCTION("""COMPUTED_VALUE"""),8.802)</f>
        <v>8.802</v>
      </c>
      <c r="H58" s="132">
        <f>IFERROR(__xludf.DUMMYFUNCTION("""COMPUTED_VALUE"""),1.0)</f>
        <v>1</v>
      </c>
      <c r="I58" s="132">
        <f>IFERROR(__xludf.DUMMYFUNCTION("""COMPUTED_VALUE"""),1.0)</f>
        <v>1</v>
      </c>
      <c r="J58" s="132">
        <f>IFERROR(__xludf.DUMMYFUNCTION("""COMPUTED_VALUE"""),1.0)</f>
        <v>1</v>
      </c>
      <c r="K58" s="132">
        <f>IFERROR(__xludf.DUMMYFUNCTION("""COMPUTED_VALUE"""),1.0)</f>
        <v>1</v>
      </c>
      <c r="L58" s="132"/>
      <c r="M58" s="132"/>
      <c r="N58" s="132">
        <f>IFERROR(__xludf.DUMMYFUNCTION("""COMPUTED_VALUE"""),1.0)</f>
        <v>1</v>
      </c>
      <c r="O58" s="132"/>
      <c r="P58" s="132"/>
      <c r="Q58" s="132"/>
      <c r="R58" s="132" t="str">
        <f>IFERROR(__xludf.DUMMYFUNCTION("""COMPUTED_VALUE"""),"Water")</f>
        <v>Water</v>
      </c>
      <c r="S58" s="132"/>
      <c r="T58" s="132"/>
      <c r="U58" s="132"/>
      <c r="V58" s="132"/>
      <c r="W58" s="132"/>
      <c r="X58" s="132"/>
      <c r="Y58" s="132"/>
      <c r="Z58" s="132"/>
    </row>
    <row r="59">
      <c r="A59" s="133">
        <f>IFERROR(__xludf.DUMMYFUNCTION("""COMPUTED_VALUE"""),45427.0)</f>
        <v>45427</v>
      </c>
      <c r="B59" s="132" t="str">
        <f>IFERROR(__xludf.DUMMYFUNCTION("""COMPUTED_VALUE"""),"foody")</f>
        <v>foody</v>
      </c>
      <c r="C59" s="132" t="str">
        <f>IFERROR(__xludf.DUMMYFUNCTION("""COMPUTED_VALUE"""),"食物")</f>
        <v>食物</v>
      </c>
      <c r="D59" s="132">
        <f>IFERROR(__xludf.DUMMYFUNCTION("""COMPUTED_VALUE"""),36.71)</f>
        <v>36.71</v>
      </c>
      <c r="E59" s="132" t="str">
        <f>IFERROR(__xludf.DUMMYFUNCTION("""COMPUTED_VALUE"""),"Pigksin")</f>
        <v>Pigksin</v>
      </c>
      <c r="F59" s="132">
        <f>IFERROR(__xludf.DUMMYFUNCTION("""COMPUTED_VALUE"""),7.3420000000000005)</f>
        <v>7.342</v>
      </c>
      <c r="G59" s="132">
        <f>IFERROR(__xludf.DUMMYFUNCTION("""COMPUTED_VALUE"""),7.3420000000000005)</f>
        <v>7.342</v>
      </c>
      <c r="H59" s="132">
        <f>IFERROR(__xludf.DUMMYFUNCTION("""COMPUTED_VALUE"""),1.0)</f>
        <v>1</v>
      </c>
      <c r="I59" s="132">
        <f>IFERROR(__xludf.DUMMYFUNCTION("""COMPUTED_VALUE"""),1.0)</f>
        <v>1</v>
      </c>
      <c r="J59" s="132">
        <f>IFERROR(__xludf.DUMMYFUNCTION("""COMPUTED_VALUE"""),1.0)</f>
        <v>1</v>
      </c>
      <c r="K59" s="132">
        <f>IFERROR(__xludf.DUMMYFUNCTION("""COMPUTED_VALUE"""),1.0)</f>
        <v>1</v>
      </c>
      <c r="L59" s="132"/>
      <c r="M59" s="132"/>
      <c r="N59" s="132">
        <f>IFERROR(__xludf.DUMMYFUNCTION("""COMPUTED_VALUE"""),1.0)</f>
        <v>1</v>
      </c>
      <c r="O59" s="132"/>
      <c r="P59" s="132"/>
      <c r="Q59" s="132"/>
      <c r="R59" s="132" t="str">
        <f>IFERROR(__xludf.DUMMYFUNCTION("""COMPUTED_VALUE"""),"Heat")</f>
        <v>Heat</v>
      </c>
      <c r="S59" s="132">
        <f>IFERROR(__xludf.DUMMYFUNCTION("""COMPUTED_VALUE"""),198.76)</f>
        <v>198.76</v>
      </c>
      <c r="T59" s="135">
        <f>IFERROR(__xludf.DUMMYFUNCTION("""COMPUTED_VALUE"""),33.126666666666665)</f>
        <v>33.12666667</v>
      </c>
      <c r="U59" s="132" t="str">
        <f>IFERROR(__xludf.DUMMYFUNCTION("""COMPUTED_VALUE"""),"Paid")</f>
        <v>Paid</v>
      </c>
      <c r="V59" s="132" t="str">
        <f>IFERROR(__xludf.DUMMYFUNCTION("""COMPUTED_VALUE"""),"Paid")</f>
        <v>Paid</v>
      </c>
      <c r="W59" s="132" t="str">
        <f>IFERROR(__xludf.DUMMYFUNCTION("""COMPUTED_VALUE"""),"Paid")</f>
        <v>Paid</v>
      </c>
      <c r="X59" s="132" t="str">
        <f>IFERROR(__xludf.DUMMYFUNCTION("""COMPUTED_VALUE"""),"Paid")</f>
        <v>Paid</v>
      </c>
      <c r="Y59" s="132" t="str">
        <f>IFERROR(__xludf.DUMMYFUNCTION("""COMPUTED_VALUE"""),"Paid")</f>
        <v>Paid</v>
      </c>
      <c r="Z59" s="132"/>
    </row>
    <row r="60">
      <c r="A60" s="133">
        <f>IFERROR(__xludf.DUMMYFUNCTION("""COMPUTED_VALUE"""),45427.0)</f>
        <v>45427</v>
      </c>
      <c r="B60" s="132" t="str">
        <f>IFERROR(__xludf.DUMMYFUNCTION("""COMPUTED_VALUE"""),"Can tire")</f>
        <v>Can tire</v>
      </c>
      <c r="C60" s="132" t="str">
        <f>IFERROR(__xludf.DUMMYFUNCTION("""COMPUTED_VALUE"""),"居家")</f>
        <v>居家</v>
      </c>
      <c r="D60" s="132">
        <f>IFERROR(__xludf.DUMMYFUNCTION("""COMPUTED_VALUE"""),64.39)</f>
        <v>64.39</v>
      </c>
      <c r="E60" s="132" t="str">
        <f>IFERROR(__xludf.DUMMYFUNCTION("""COMPUTED_VALUE"""),"BL")</f>
        <v>BL</v>
      </c>
      <c r="F60" s="132">
        <f>IFERROR(__xludf.DUMMYFUNCTION("""COMPUTED_VALUE"""),12.878)</f>
        <v>12.878</v>
      </c>
      <c r="G60" s="132">
        <f>IFERROR(__xludf.DUMMYFUNCTION("""COMPUTED_VALUE"""),12.878)</f>
        <v>12.878</v>
      </c>
      <c r="H60" s="132">
        <f>IFERROR(__xludf.DUMMYFUNCTION("""COMPUTED_VALUE"""),1.0)</f>
        <v>1</v>
      </c>
      <c r="I60" s="132">
        <f>IFERROR(__xludf.DUMMYFUNCTION("""COMPUTED_VALUE"""),1.0)</f>
        <v>1</v>
      </c>
      <c r="J60" s="132">
        <f>IFERROR(__xludf.DUMMYFUNCTION("""COMPUTED_VALUE"""),1.0)</f>
        <v>1</v>
      </c>
      <c r="K60" s="132">
        <f>IFERROR(__xludf.DUMMYFUNCTION("""COMPUTED_VALUE"""),1.0)</f>
        <v>1</v>
      </c>
      <c r="L60" s="132"/>
      <c r="M60" s="132"/>
      <c r="N60" s="132">
        <f>IFERROR(__xludf.DUMMYFUNCTION("""COMPUTED_VALUE"""),1.0)</f>
        <v>1</v>
      </c>
      <c r="O60" s="132"/>
      <c r="P60" s="132"/>
      <c r="Q60" s="132"/>
      <c r="R60" s="132" t="str">
        <f>IFERROR(__xludf.DUMMYFUNCTION("""COMPUTED_VALUE"""),"Electricity")</f>
        <v>Electricity</v>
      </c>
      <c r="S60" s="132">
        <f>IFERROR(__xludf.DUMMYFUNCTION("""COMPUTED_VALUE"""),117.83)</f>
        <v>117.83</v>
      </c>
      <c r="T60" s="135">
        <f>IFERROR(__xludf.DUMMYFUNCTION("""COMPUTED_VALUE"""),19.638333333333332)</f>
        <v>19.63833333</v>
      </c>
      <c r="U60" s="132" t="str">
        <f>IFERROR(__xludf.DUMMYFUNCTION("""COMPUTED_VALUE"""),"Paid")</f>
        <v>Paid</v>
      </c>
      <c r="V60" s="132" t="str">
        <f>IFERROR(__xludf.DUMMYFUNCTION("""COMPUTED_VALUE"""),"Paid")</f>
        <v>Paid</v>
      </c>
      <c r="W60" s="132" t="str">
        <f>IFERROR(__xludf.DUMMYFUNCTION("""COMPUTED_VALUE"""),"Paid")</f>
        <v>Paid</v>
      </c>
      <c r="X60" s="132" t="str">
        <f>IFERROR(__xludf.DUMMYFUNCTION("""COMPUTED_VALUE"""),"Paid")</f>
        <v>Paid</v>
      </c>
      <c r="Y60" s="132" t="str">
        <f>IFERROR(__xludf.DUMMYFUNCTION("""COMPUTED_VALUE"""),"Paid")</f>
        <v>Paid</v>
      </c>
      <c r="Z60" s="132"/>
    </row>
    <row r="61">
      <c r="A61" s="133">
        <f>IFERROR(__xludf.DUMMYFUNCTION("""COMPUTED_VALUE"""),45428.0)</f>
        <v>45428</v>
      </c>
      <c r="B61" s="132" t="str">
        <f>IFERROR(__xludf.DUMMYFUNCTION("""COMPUTED_VALUE"""),"Foody")</f>
        <v>Foody</v>
      </c>
      <c r="C61" s="132" t="str">
        <f>IFERROR(__xludf.DUMMYFUNCTION("""COMPUTED_VALUE"""),"食物")</f>
        <v>食物</v>
      </c>
      <c r="D61" s="132">
        <f>IFERROR(__xludf.DUMMYFUNCTION("""COMPUTED_VALUE"""),20.99)</f>
        <v>20.99</v>
      </c>
      <c r="E61" s="132" t="str">
        <f>IFERROR(__xludf.DUMMYFUNCTION("""COMPUTED_VALUE"""),"Pigskin")</f>
        <v>Pigskin</v>
      </c>
      <c r="F61" s="132">
        <f>IFERROR(__xludf.DUMMYFUNCTION("""COMPUTED_VALUE"""),4.1979999999999995)</f>
        <v>4.198</v>
      </c>
      <c r="G61" s="132">
        <f>IFERROR(__xludf.DUMMYFUNCTION("""COMPUTED_VALUE"""),4.1979999999999995)</f>
        <v>4.198</v>
      </c>
      <c r="H61" s="132">
        <f>IFERROR(__xludf.DUMMYFUNCTION("""COMPUTED_VALUE"""),1.0)</f>
        <v>1</v>
      </c>
      <c r="I61" s="132">
        <f>IFERROR(__xludf.DUMMYFUNCTION("""COMPUTED_VALUE"""),1.0)</f>
        <v>1</v>
      </c>
      <c r="J61" s="132">
        <f>IFERROR(__xludf.DUMMYFUNCTION("""COMPUTED_VALUE"""),1.0)</f>
        <v>1</v>
      </c>
      <c r="K61" s="132">
        <f>IFERROR(__xludf.DUMMYFUNCTION("""COMPUTED_VALUE"""),1.0)</f>
        <v>1</v>
      </c>
      <c r="L61" s="132"/>
      <c r="M61" s="132"/>
      <c r="N61" s="132">
        <f>IFERROR(__xludf.DUMMYFUNCTION("""COMPUTED_VALUE"""),1.0)</f>
        <v>1</v>
      </c>
      <c r="O61" s="132"/>
      <c r="P61" s="132"/>
      <c r="Q61" s="132"/>
      <c r="R61" s="132" t="str">
        <f>IFERROR(__xludf.DUMMYFUNCTION("""COMPUTED_VALUE"""),"Internet")</f>
        <v>Internet</v>
      </c>
      <c r="S61" s="132">
        <f>IFERROR(__xludf.DUMMYFUNCTION("""COMPUTED_VALUE"""),56.5)</f>
        <v>56.5</v>
      </c>
      <c r="T61" s="135">
        <f>IFERROR(__xludf.DUMMYFUNCTION("""COMPUTED_VALUE"""),9.416666666666666)</f>
        <v>9.416666667</v>
      </c>
      <c r="U61" s="132" t="str">
        <f>IFERROR(__xludf.DUMMYFUNCTION("""COMPUTED_VALUE"""),"Paid")</f>
        <v>Paid</v>
      </c>
      <c r="V61" s="132" t="str">
        <f>IFERROR(__xludf.DUMMYFUNCTION("""COMPUTED_VALUE"""),"Paid")</f>
        <v>Paid</v>
      </c>
      <c r="W61" s="132" t="str">
        <f>IFERROR(__xludf.DUMMYFUNCTION("""COMPUTED_VALUE"""),"Paid")</f>
        <v>Paid</v>
      </c>
      <c r="X61" s="132" t="str">
        <f>IFERROR(__xludf.DUMMYFUNCTION("""COMPUTED_VALUE"""),"Paid")</f>
        <v>Paid</v>
      </c>
      <c r="Y61" s="132" t="str">
        <f>IFERROR(__xludf.DUMMYFUNCTION("""COMPUTED_VALUE"""),"Paid")</f>
        <v>Paid</v>
      </c>
      <c r="Z61" s="132"/>
    </row>
    <row r="62">
      <c r="A62" s="133">
        <f>IFERROR(__xludf.DUMMYFUNCTION("""COMPUTED_VALUE"""),45429.0)</f>
        <v>45429</v>
      </c>
      <c r="B62" s="132" t="str">
        <f>IFERROR(__xludf.DUMMYFUNCTION("""COMPUTED_VALUE"""),"大有名糖")</f>
        <v>大有名糖</v>
      </c>
      <c r="C62" s="132" t="str">
        <f>IFERROR(__xludf.DUMMYFUNCTION("""COMPUTED_VALUE"""),"食物")</f>
        <v>食物</v>
      </c>
      <c r="D62" s="132">
        <f>IFERROR(__xludf.DUMMYFUNCTION("""COMPUTED_VALUE"""),60.0)</f>
        <v>60</v>
      </c>
      <c r="E62" s="132" t="str">
        <f>IFERROR(__xludf.DUMMYFUNCTION("""COMPUTED_VALUE"""),"Pigskin")</f>
        <v>Pigskin</v>
      </c>
      <c r="F62" s="132">
        <f>IFERROR(__xludf.DUMMYFUNCTION("""COMPUTED_VALUE"""),10.0)</f>
        <v>10</v>
      </c>
      <c r="G62" s="132">
        <f>IFERROR(__xludf.DUMMYFUNCTION("""COMPUTED_VALUE"""),10.0)</f>
        <v>10</v>
      </c>
      <c r="H62" s="132">
        <f>IFERROR(__xludf.DUMMYFUNCTION("""COMPUTED_VALUE"""),1.0)</f>
        <v>1</v>
      </c>
      <c r="I62" s="132">
        <f>IFERROR(__xludf.DUMMYFUNCTION("""COMPUTED_VALUE"""),1.0)</f>
        <v>1</v>
      </c>
      <c r="J62" s="132">
        <f>IFERROR(__xludf.DUMMYFUNCTION("""COMPUTED_VALUE"""),1.0)</f>
        <v>1</v>
      </c>
      <c r="K62" s="132">
        <f>IFERROR(__xludf.DUMMYFUNCTION("""COMPUTED_VALUE"""),1.0)</f>
        <v>1</v>
      </c>
      <c r="L62" s="132">
        <f>IFERROR(__xludf.DUMMYFUNCTION("""COMPUTED_VALUE"""),1.0)</f>
        <v>1</v>
      </c>
      <c r="M62" s="132">
        <f>IFERROR(__xludf.DUMMYFUNCTION("""COMPUTED_VALUE"""),1.0)</f>
        <v>1</v>
      </c>
      <c r="N62" s="132"/>
      <c r="O62" s="132"/>
      <c r="P62" s="132"/>
      <c r="Q62" s="132"/>
      <c r="R62" s="132"/>
      <c r="S62" s="132">
        <f>IFERROR(__xludf.DUMMYFUNCTION("""COMPUTED_VALUE"""),3973.09)</f>
        <v>3973.09</v>
      </c>
      <c r="T62" s="132">
        <f>IFERROR(__xludf.DUMMYFUNCTION("""COMPUTED_VALUE"""),782.1816666666666)</f>
        <v>782.1816667</v>
      </c>
      <c r="U62" s="132"/>
      <c r="V62" s="132"/>
      <c r="W62" s="132"/>
      <c r="X62" s="132"/>
      <c r="Y62" s="132"/>
      <c r="Z62" s="132"/>
    </row>
    <row r="63">
      <c r="A63" s="136">
        <f>IFERROR(__xludf.DUMMYFUNCTION("""COMPUTED_VALUE"""),45429.0)</f>
        <v>45429</v>
      </c>
      <c r="B63" s="132" t="str">
        <f>IFERROR(__xludf.DUMMYFUNCTION("""COMPUTED_VALUE"""),"Banana")</f>
        <v>Banana</v>
      </c>
      <c r="C63" s="132"/>
      <c r="D63" s="132">
        <f>IFERROR(__xludf.DUMMYFUNCTION("""COMPUTED_VALUE"""),2.0)</f>
        <v>2</v>
      </c>
      <c r="E63" s="132" t="str">
        <f>IFERROR(__xludf.DUMMYFUNCTION("""COMPUTED_VALUE"""),"Pigskin")</f>
        <v>Pigskin</v>
      </c>
      <c r="F63" s="132">
        <f>IFERROR(__xludf.DUMMYFUNCTION("""COMPUTED_VALUE"""),0.4)</f>
        <v>0.4</v>
      </c>
      <c r="G63" s="132">
        <f>IFERROR(__xludf.DUMMYFUNCTION("""COMPUTED_VALUE"""),0.4)</f>
        <v>0.4</v>
      </c>
      <c r="H63" s="132">
        <f>IFERROR(__xludf.DUMMYFUNCTION("""COMPUTED_VALUE"""),1.0)</f>
        <v>1</v>
      </c>
      <c r="I63" s="132">
        <f>IFERROR(__xludf.DUMMYFUNCTION("""COMPUTED_VALUE"""),1.0)</f>
        <v>1</v>
      </c>
      <c r="J63" s="132">
        <f>IFERROR(__xludf.DUMMYFUNCTION("""COMPUTED_VALUE"""),1.0)</f>
        <v>1</v>
      </c>
      <c r="K63" s="132">
        <f>IFERROR(__xludf.DUMMYFUNCTION("""COMPUTED_VALUE"""),1.0)</f>
        <v>1</v>
      </c>
      <c r="L63" s="132"/>
      <c r="M63" s="132"/>
      <c r="N63" s="132">
        <f>IFERROR(__xludf.DUMMYFUNCTION("""COMPUTED_VALUE"""),1.0)</f>
        <v>1</v>
      </c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3">
        <f>IFERROR(__xludf.DUMMYFUNCTION("""COMPUTED_VALUE"""),45429.0)</f>
        <v>45429</v>
      </c>
      <c r="B64" s="132" t="str">
        <f>IFERROR(__xludf.DUMMYFUNCTION("""COMPUTED_VALUE"""),"Foody")</f>
        <v>Foody</v>
      </c>
      <c r="C64" s="132" t="str">
        <f>IFERROR(__xludf.DUMMYFUNCTION("""COMPUTED_VALUE"""),"食物")</f>
        <v>食物</v>
      </c>
      <c r="D64" s="132">
        <f>IFERROR(__xludf.DUMMYFUNCTION("""COMPUTED_VALUE"""),13.2426)</f>
        <v>13.2426</v>
      </c>
      <c r="E64" s="132" t="str">
        <f>IFERROR(__xludf.DUMMYFUNCTION("""COMPUTED_VALUE"""),"Pigskin")</f>
        <v>Pigskin</v>
      </c>
      <c r="F64" s="132">
        <f>IFERROR(__xludf.DUMMYFUNCTION("""COMPUTED_VALUE"""),4.4142)</f>
        <v>4.4142</v>
      </c>
      <c r="G64" s="132">
        <f>IFERROR(__xludf.DUMMYFUNCTION("""COMPUTED_VALUE"""),4.4142)</f>
        <v>4.4142</v>
      </c>
      <c r="H64" s="132"/>
      <c r="I64" s="132">
        <f>IFERROR(__xludf.DUMMYFUNCTION("""COMPUTED_VALUE"""),1.0)</f>
        <v>1</v>
      </c>
      <c r="J64" s="132">
        <f>IFERROR(__xludf.DUMMYFUNCTION("""COMPUTED_VALUE"""),1.0)</f>
        <v>1</v>
      </c>
      <c r="K64" s="132">
        <f>IFERROR(__xludf.DUMMYFUNCTION("""COMPUTED_VALUE"""),1.0)</f>
        <v>1</v>
      </c>
      <c r="L64" s="132"/>
      <c r="M64" s="132"/>
      <c r="N64" s="132"/>
      <c r="O64" s="132"/>
      <c r="P64" s="132"/>
      <c r="Q64" s="134">
        <f>IFERROR(__xludf.DUMMYFUNCTION("""COMPUTED_VALUE"""),45352.0)</f>
        <v>45352</v>
      </c>
      <c r="R64" s="132" t="str">
        <f>IFERROR(__xludf.DUMMYFUNCTION("""COMPUTED_VALUE"""),"Rent")</f>
        <v>Rent</v>
      </c>
      <c r="S64" s="132">
        <f>IFERROR(__xludf.DUMMYFUNCTION("""COMPUTED_VALUE"""),3600.0)</f>
        <v>3600</v>
      </c>
      <c r="T64" s="132">
        <f>IFERROR(__xludf.DUMMYFUNCTION("""COMPUTED_VALUE"""),720.0)</f>
        <v>720</v>
      </c>
      <c r="U64" s="132" t="str">
        <f>IFERROR(__xludf.DUMMYFUNCTION("""COMPUTED_VALUE"""),"Paid")</f>
        <v>Paid</v>
      </c>
      <c r="V64" s="132" t="str">
        <f>IFERROR(__xludf.DUMMYFUNCTION("""COMPUTED_VALUE"""),"Paid")</f>
        <v>Paid</v>
      </c>
      <c r="W64" s="132" t="str">
        <f>IFERROR(__xludf.DUMMYFUNCTION("""COMPUTED_VALUE"""),"Paid")</f>
        <v>Paid</v>
      </c>
      <c r="X64" s="132" t="str">
        <f>IFERROR(__xludf.DUMMYFUNCTION("""COMPUTED_VALUE"""),"Paid")</f>
        <v>Paid</v>
      </c>
      <c r="Y64" s="132" t="str">
        <f>IFERROR(__xludf.DUMMYFUNCTION("""COMPUTED_VALUE"""),"Paid")</f>
        <v>Paid</v>
      </c>
      <c r="Z64" s="132"/>
    </row>
    <row r="65">
      <c r="A65" s="136">
        <f>IFERROR(__xludf.DUMMYFUNCTION("""COMPUTED_VALUE"""),45430.0)</f>
        <v>45430</v>
      </c>
      <c r="B65" s="132" t="str">
        <f>IFERROR(__xludf.DUMMYFUNCTION("""COMPUTED_VALUE"""),"Isshin")</f>
        <v>Isshin</v>
      </c>
      <c r="C65" s="132" t="str">
        <f>IFERROR(__xludf.DUMMYFUNCTION("""COMPUTED_VALUE"""),"食物")</f>
        <v>食物</v>
      </c>
      <c r="D65" s="132">
        <f>IFERROR(__xludf.DUMMYFUNCTION("""COMPUTED_VALUE"""),119.62)</f>
        <v>119.62</v>
      </c>
      <c r="E65" s="132" t="str">
        <f>IFERROR(__xludf.DUMMYFUNCTION("""COMPUTED_VALUE"""),"BL")</f>
        <v>BL</v>
      </c>
      <c r="F65" s="132">
        <f>IFERROR(__xludf.DUMMYFUNCTION("""COMPUTED_VALUE"""),29.905)</f>
        <v>29.905</v>
      </c>
      <c r="G65" s="132">
        <f>IFERROR(__xludf.DUMMYFUNCTION("""COMPUTED_VALUE"""),29.905)</f>
        <v>29.905</v>
      </c>
      <c r="H65" s="132">
        <f>IFERROR(__xludf.DUMMYFUNCTION("""COMPUTED_VALUE"""),1.0)</f>
        <v>1</v>
      </c>
      <c r="I65" s="132">
        <f>IFERROR(__xludf.DUMMYFUNCTION("""COMPUTED_VALUE"""),1.0)</f>
        <v>1</v>
      </c>
      <c r="J65" s="132">
        <f>IFERROR(__xludf.DUMMYFUNCTION("""COMPUTED_VALUE"""),1.0)</f>
        <v>1</v>
      </c>
      <c r="K65" s="132">
        <f>IFERROR(__xludf.DUMMYFUNCTION("""COMPUTED_VALUE"""),1.0)</f>
        <v>1</v>
      </c>
      <c r="L65" s="132"/>
      <c r="M65" s="132"/>
      <c r="N65" s="132"/>
      <c r="O65" s="132"/>
      <c r="P65" s="132"/>
      <c r="Q65" s="132"/>
      <c r="R65" s="132" t="str">
        <f>IFERROR(__xludf.DUMMYFUNCTION("""COMPUTED_VALUE"""),"Water")</f>
        <v>Water</v>
      </c>
      <c r="S65" s="132"/>
      <c r="T65" s="132">
        <f>IFERROR(__xludf.DUMMYFUNCTION("""COMPUTED_VALUE"""),0.0)</f>
        <v>0</v>
      </c>
      <c r="U65" s="132"/>
      <c r="V65" s="132"/>
      <c r="W65" s="132"/>
      <c r="X65" s="132"/>
      <c r="Y65" s="132"/>
      <c r="Z65" s="132"/>
    </row>
    <row r="66">
      <c r="A66" s="136">
        <f>IFERROR(__xludf.DUMMYFUNCTION("""COMPUTED_VALUE"""),45431.0)</f>
        <v>45431</v>
      </c>
      <c r="B66" s="132" t="str">
        <f>IFERROR(__xludf.DUMMYFUNCTION("""COMPUTED_VALUE"""),"Walmart")</f>
        <v>Walmart</v>
      </c>
      <c r="C66" s="132" t="str">
        <f>IFERROR(__xludf.DUMMYFUNCTION("""COMPUTED_VALUE"""),"居家")</f>
        <v>居家</v>
      </c>
      <c r="D66" s="132">
        <f>IFERROR(__xludf.DUMMYFUNCTION("""COMPUTED_VALUE"""),242.9)</f>
        <v>242.9</v>
      </c>
      <c r="E66" s="132" t="str">
        <f>IFERROR(__xludf.DUMMYFUNCTION("""COMPUTED_VALUE"""),"Timothy")</f>
        <v>Timothy</v>
      </c>
      <c r="F66" s="132">
        <f>IFERROR(__xludf.DUMMYFUNCTION("""COMPUTED_VALUE"""),48.58)</f>
        <v>48.58</v>
      </c>
      <c r="G66" s="132">
        <f>IFERROR(__xludf.DUMMYFUNCTION("""COMPUTED_VALUE"""),48.58)</f>
        <v>48.58</v>
      </c>
      <c r="H66" s="132">
        <f>IFERROR(__xludf.DUMMYFUNCTION("""COMPUTED_VALUE"""),1.0)</f>
        <v>1</v>
      </c>
      <c r="I66" s="132">
        <f>IFERROR(__xludf.DUMMYFUNCTION("""COMPUTED_VALUE"""),1.0)</f>
        <v>1</v>
      </c>
      <c r="J66" s="132">
        <f>IFERROR(__xludf.DUMMYFUNCTION("""COMPUTED_VALUE"""),1.0)</f>
        <v>1</v>
      </c>
      <c r="K66" s="132">
        <f>IFERROR(__xludf.DUMMYFUNCTION("""COMPUTED_VALUE"""),1.0)</f>
        <v>1</v>
      </c>
      <c r="L66" s="132"/>
      <c r="M66" s="132"/>
      <c r="N66" s="132">
        <f>IFERROR(__xludf.DUMMYFUNCTION("""COMPUTED_VALUE"""),1.0)</f>
        <v>1</v>
      </c>
      <c r="O66" s="132"/>
      <c r="P66" s="132"/>
      <c r="Q66" s="132"/>
      <c r="R66" s="132" t="str">
        <f>IFERROR(__xludf.DUMMYFUNCTION("""COMPUTED_VALUE"""),"Heat")</f>
        <v>Heat</v>
      </c>
      <c r="S66" s="132">
        <f>IFERROR(__xludf.DUMMYFUNCTION("""COMPUTED_VALUE"""),173.22)</f>
        <v>173.22</v>
      </c>
      <c r="T66" s="132">
        <f>IFERROR(__xludf.DUMMYFUNCTION("""COMPUTED_VALUE"""),34.644)</f>
        <v>34.644</v>
      </c>
      <c r="U66" s="132" t="str">
        <f>IFERROR(__xludf.DUMMYFUNCTION("""COMPUTED_VALUE"""),"Paid")</f>
        <v>Paid</v>
      </c>
      <c r="V66" s="132" t="str">
        <f>IFERROR(__xludf.DUMMYFUNCTION("""COMPUTED_VALUE"""),"Paid")</f>
        <v>Paid</v>
      </c>
      <c r="W66" s="132" t="str">
        <f>IFERROR(__xludf.DUMMYFUNCTION("""COMPUTED_VALUE"""),"Paid")</f>
        <v>Paid</v>
      </c>
      <c r="X66" s="132" t="str">
        <f>IFERROR(__xludf.DUMMYFUNCTION("""COMPUTED_VALUE"""),"Paid")</f>
        <v>Paid</v>
      </c>
      <c r="Y66" s="132" t="str">
        <f>IFERROR(__xludf.DUMMYFUNCTION("""COMPUTED_VALUE"""),"Paid")</f>
        <v>Paid</v>
      </c>
      <c r="Z66" s="132"/>
    </row>
    <row r="67">
      <c r="A67" s="133">
        <f>IFERROR(__xludf.DUMMYFUNCTION("""COMPUTED_VALUE"""),45431.0)</f>
        <v>45431</v>
      </c>
      <c r="B67" s="132" t="str">
        <f>IFERROR(__xludf.DUMMYFUNCTION("""COMPUTED_VALUE"""),"Canadian Tire")</f>
        <v>Canadian Tire</v>
      </c>
      <c r="C67" s="132" t="str">
        <f>IFERROR(__xludf.DUMMYFUNCTION("""COMPUTED_VALUE"""),"居家")</f>
        <v>居家</v>
      </c>
      <c r="D67" s="132">
        <f>IFERROR(__xludf.DUMMYFUNCTION("""COMPUTED_VALUE"""),142.26000000000005)</f>
        <v>142.26</v>
      </c>
      <c r="E67" s="132" t="str">
        <f>IFERROR(__xludf.DUMMYFUNCTION("""COMPUTED_VALUE"""),"Timothy")</f>
        <v>Timothy</v>
      </c>
      <c r="F67" s="132">
        <f>IFERROR(__xludf.DUMMYFUNCTION("""COMPUTED_VALUE"""),28.45200000000001)</f>
        <v>28.452</v>
      </c>
      <c r="G67" s="132">
        <f>IFERROR(__xludf.DUMMYFUNCTION("""COMPUTED_VALUE"""),28.45200000000001)</f>
        <v>28.452</v>
      </c>
      <c r="H67" s="132">
        <f>IFERROR(__xludf.DUMMYFUNCTION("""COMPUTED_VALUE"""),1.0)</f>
        <v>1</v>
      </c>
      <c r="I67" s="132">
        <f>IFERROR(__xludf.DUMMYFUNCTION("""COMPUTED_VALUE"""),1.0)</f>
        <v>1</v>
      </c>
      <c r="J67" s="132">
        <f>IFERROR(__xludf.DUMMYFUNCTION("""COMPUTED_VALUE"""),1.0)</f>
        <v>1</v>
      </c>
      <c r="K67" s="132">
        <f>IFERROR(__xludf.DUMMYFUNCTION("""COMPUTED_VALUE"""),1.0)</f>
        <v>1</v>
      </c>
      <c r="L67" s="132"/>
      <c r="M67" s="132"/>
      <c r="N67" s="132">
        <f>IFERROR(__xludf.DUMMYFUNCTION("""COMPUTED_VALUE"""),1.0)</f>
        <v>1</v>
      </c>
      <c r="O67" s="132"/>
      <c r="P67" s="132"/>
      <c r="Q67" s="132"/>
      <c r="R67" s="132" t="str">
        <f>IFERROR(__xludf.DUMMYFUNCTION("""COMPUTED_VALUE"""),"Electricity")</f>
        <v>Electricity</v>
      </c>
      <c r="S67" s="132">
        <f>IFERROR(__xludf.DUMMYFUNCTION("""COMPUTED_VALUE"""),97.82)</f>
        <v>97.82</v>
      </c>
      <c r="T67" s="132">
        <f>IFERROR(__xludf.DUMMYFUNCTION("""COMPUTED_VALUE"""),19.564)</f>
        <v>19.564</v>
      </c>
      <c r="U67" s="132" t="str">
        <f>IFERROR(__xludf.DUMMYFUNCTION("""COMPUTED_VALUE"""),"Paid")</f>
        <v>Paid</v>
      </c>
      <c r="V67" s="132" t="str">
        <f>IFERROR(__xludf.DUMMYFUNCTION("""COMPUTED_VALUE"""),"Paid")</f>
        <v>Paid</v>
      </c>
      <c r="W67" s="132" t="str">
        <f>IFERROR(__xludf.DUMMYFUNCTION("""COMPUTED_VALUE"""),"Paid")</f>
        <v>Paid</v>
      </c>
      <c r="X67" s="132" t="str">
        <f>IFERROR(__xludf.DUMMYFUNCTION("""COMPUTED_VALUE"""),"Paid")</f>
        <v>Paid</v>
      </c>
      <c r="Y67" s="132" t="str">
        <f>IFERROR(__xludf.DUMMYFUNCTION("""COMPUTED_VALUE"""),"Paid")</f>
        <v>Paid</v>
      </c>
      <c r="Z67" s="132"/>
    </row>
    <row r="68">
      <c r="A68" s="133">
        <f>IFERROR(__xludf.DUMMYFUNCTION("""COMPUTED_VALUE"""),45431.0)</f>
        <v>45431</v>
      </c>
      <c r="B68" s="132" t="str">
        <f>IFERROR(__xludf.DUMMYFUNCTION("""COMPUTED_VALUE"""),"tnt bbq")</f>
        <v>tnt bbq</v>
      </c>
      <c r="C68" s="132" t="str">
        <f>IFERROR(__xludf.DUMMYFUNCTION("""COMPUTED_VALUE"""),"食物")</f>
        <v>食物</v>
      </c>
      <c r="D68" s="132">
        <f>IFERROR(__xludf.DUMMYFUNCTION("""COMPUTED_VALUE"""),74.18)</f>
        <v>74.18</v>
      </c>
      <c r="E68" s="132" t="str">
        <f>IFERROR(__xludf.DUMMYFUNCTION("""COMPUTED_VALUE"""),"Pigskin")</f>
        <v>Pigskin</v>
      </c>
      <c r="F68" s="132">
        <f>IFERROR(__xludf.DUMMYFUNCTION("""COMPUTED_VALUE"""),10.597142857142858)</f>
        <v>10.59714286</v>
      </c>
      <c r="G68" s="132">
        <f>IFERROR(__xludf.DUMMYFUNCTION("""COMPUTED_VALUE"""),10.597142857142858)</f>
        <v>10.59714286</v>
      </c>
      <c r="H68" s="132">
        <f>IFERROR(__xludf.DUMMYFUNCTION("""COMPUTED_VALUE"""),1.0)</f>
        <v>1</v>
      </c>
      <c r="I68" s="132">
        <f>IFERROR(__xludf.DUMMYFUNCTION("""COMPUTED_VALUE"""),1.0)</f>
        <v>1</v>
      </c>
      <c r="J68" s="132">
        <f>IFERROR(__xludf.DUMMYFUNCTION("""COMPUTED_VALUE"""),1.0)</f>
        <v>1</v>
      </c>
      <c r="K68" s="132">
        <f>IFERROR(__xludf.DUMMYFUNCTION("""COMPUTED_VALUE"""),1.0)</f>
        <v>1</v>
      </c>
      <c r="L68" s="132">
        <f>IFERROR(__xludf.DUMMYFUNCTION("""COMPUTED_VALUE"""),1.0)</f>
        <v>1</v>
      </c>
      <c r="M68" s="132">
        <f>IFERROR(__xludf.DUMMYFUNCTION("""COMPUTED_VALUE"""),1.0)</f>
        <v>1</v>
      </c>
      <c r="N68" s="132">
        <f>IFERROR(__xludf.DUMMYFUNCTION("""COMPUTED_VALUE"""),1.0)</f>
        <v>1</v>
      </c>
      <c r="O68" s="132"/>
      <c r="P68" s="132"/>
      <c r="Q68" s="132"/>
      <c r="R68" s="132" t="str">
        <f>IFERROR(__xludf.DUMMYFUNCTION("""COMPUTED_VALUE"""),"Internet")</f>
        <v>Internet</v>
      </c>
      <c r="S68" s="132">
        <f>IFERROR(__xludf.DUMMYFUNCTION("""COMPUTED_VALUE"""),56.5)</f>
        <v>56.5</v>
      </c>
      <c r="T68" s="132">
        <f>IFERROR(__xludf.DUMMYFUNCTION("""COMPUTED_VALUE"""),11.3)</f>
        <v>11.3</v>
      </c>
      <c r="U68" s="132" t="str">
        <f>IFERROR(__xludf.DUMMYFUNCTION("""COMPUTED_VALUE"""),"Paid")</f>
        <v>Paid</v>
      </c>
      <c r="V68" s="132" t="str">
        <f>IFERROR(__xludf.DUMMYFUNCTION("""COMPUTED_VALUE"""),"Paid")</f>
        <v>Paid</v>
      </c>
      <c r="W68" s="132" t="str">
        <f>IFERROR(__xludf.DUMMYFUNCTION("""COMPUTED_VALUE"""),"Paid")</f>
        <v>Paid</v>
      </c>
      <c r="X68" s="132" t="str">
        <f>IFERROR(__xludf.DUMMYFUNCTION("""COMPUTED_VALUE"""),"Paid")</f>
        <v>Paid</v>
      </c>
      <c r="Y68" s="132" t="str">
        <f>IFERROR(__xludf.DUMMYFUNCTION("""COMPUTED_VALUE"""),"Paid")</f>
        <v>Paid</v>
      </c>
      <c r="Z68" s="132"/>
    </row>
    <row r="69">
      <c r="A69" s="133">
        <f>IFERROR(__xludf.DUMMYFUNCTION("""COMPUTED_VALUE"""),45431.0)</f>
        <v>45431</v>
      </c>
      <c r="B69" s="132" t="str">
        <f>IFERROR(__xludf.DUMMYFUNCTION("""COMPUTED_VALUE"""),"Foody")</f>
        <v>Foody</v>
      </c>
      <c r="C69" s="132" t="str">
        <f>IFERROR(__xludf.DUMMYFUNCTION("""COMPUTED_VALUE"""),"食物")</f>
        <v>食物</v>
      </c>
      <c r="D69" s="132">
        <f>IFERROR(__xludf.DUMMYFUNCTION("""COMPUTED_VALUE"""),48.52)</f>
        <v>48.52</v>
      </c>
      <c r="E69" s="132" t="str">
        <f>IFERROR(__xludf.DUMMYFUNCTION("""COMPUTED_VALUE"""),"Pigskin")</f>
        <v>Pigskin</v>
      </c>
      <c r="F69" s="132">
        <f>IFERROR(__xludf.DUMMYFUNCTION("""COMPUTED_VALUE"""),6.9314285714285715)</f>
        <v>6.931428571</v>
      </c>
      <c r="G69" s="132">
        <f>IFERROR(__xludf.DUMMYFUNCTION("""COMPUTED_VALUE"""),6.9314285714285715)</f>
        <v>6.931428571</v>
      </c>
      <c r="H69" s="132">
        <f>IFERROR(__xludf.DUMMYFUNCTION("""COMPUTED_VALUE"""),1.0)</f>
        <v>1</v>
      </c>
      <c r="I69" s="132">
        <f>IFERROR(__xludf.DUMMYFUNCTION("""COMPUTED_VALUE"""),1.0)</f>
        <v>1</v>
      </c>
      <c r="J69" s="132">
        <f>IFERROR(__xludf.DUMMYFUNCTION("""COMPUTED_VALUE"""),1.0)</f>
        <v>1</v>
      </c>
      <c r="K69" s="132">
        <f>IFERROR(__xludf.DUMMYFUNCTION("""COMPUTED_VALUE"""),1.0)</f>
        <v>1</v>
      </c>
      <c r="L69" s="132">
        <f>IFERROR(__xludf.DUMMYFUNCTION("""COMPUTED_VALUE"""),1.0)</f>
        <v>1</v>
      </c>
      <c r="M69" s="132">
        <f>IFERROR(__xludf.DUMMYFUNCTION("""COMPUTED_VALUE"""),1.0)</f>
        <v>1</v>
      </c>
      <c r="N69" s="132">
        <f>IFERROR(__xludf.DUMMYFUNCTION("""COMPUTED_VALUE"""),1.0)</f>
        <v>1</v>
      </c>
      <c r="O69" s="132"/>
      <c r="P69" s="132"/>
      <c r="Q69" s="132"/>
      <c r="R69" s="132"/>
      <c r="S69" s="132">
        <f>IFERROR(__xludf.DUMMYFUNCTION("""COMPUTED_VALUE"""),3927.54)</f>
        <v>3927.54</v>
      </c>
      <c r="T69" s="132">
        <f>IFERROR(__xludf.DUMMYFUNCTION("""COMPUTED_VALUE"""),785.5079999999999)</f>
        <v>785.508</v>
      </c>
      <c r="U69" s="132"/>
      <c r="V69" s="132"/>
      <c r="W69" s="132"/>
      <c r="X69" s="132"/>
      <c r="Y69" s="132"/>
      <c r="Z69" s="132"/>
    </row>
    <row r="70">
      <c r="A70" s="136">
        <f>IFERROR(__xludf.DUMMYFUNCTION("""COMPUTED_VALUE"""),45431.0)</f>
        <v>45431</v>
      </c>
      <c r="B70" s="132" t="str">
        <f>IFERROR(__xludf.DUMMYFUNCTION("""COMPUTED_VALUE"""),"Sunfood")</f>
        <v>Sunfood</v>
      </c>
      <c r="C70" s="132" t="str">
        <f>IFERROR(__xludf.DUMMYFUNCTION("""COMPUTED_VALUE"""),"居家")</f>
        <v>居家</v>
      </c>
      <c r="D70" s="132">
        <f>IFERROR(__xludf.DUMMYFUNCTION("""COMPUTED_VALUE"""),11.28)</f>
        <v>11.28</v>
      </c>
      <c r="E70" s="132" t="str">
        <f>IFERROR(__xludf.DUMMYFUNCTION("""COMPUTED_VALUE"""),"BL")</f>
        <v>BL</v>
      </c>
      <c r="F70" s="132">
        <f>IFERROR(__xludf.DUMMYFUNCTION("""COMPUTED_VALUE"""),2.256)</f>
        <v>2.256</v>
      </c>
      <c r="G70" s="132">
        <f>IFERROR(__xludf.DUMMYFUNCTION("""COMPUTED_VALUE"""),2.256)</f>
        <v>2.256</v>
      </c>
      <c r="H70" s="132">
        <f>IFERROR(__xludf.DUMMYFUNCTION("""COMPUTED_VALUE"""),1.0)</f>
        <v>1</v>
      </c>
      <c r="I70" s="132">
        <f>IFERROR(__xludf.DUMMYFUNCTION("""COMPUTED_VALUE"""),1.0)</f>
        <v>1</v>
      </c>
      <c r="J70" s="132">
        <f>IFERROR(__xludf.DUMMYFUNCTION("""COMPUTED_VALUE"""),1.0)</f>
        <v>1</v>
      </c>
      <c r="K70" s="132">
        <f>IFERROR(__xludf.DUMMYFUNCTION("""COMPUTED_VALUE"""),1.0)</f>
        <v>1</v>
      </c>
      <c r="L70" s="132"/>
      <c r="M70" s="132"/>
      <c r="N70" s="132">
        <f>IFERROR(__xludf.DUMMYFUNCTION("""COMPUTED_VALUE"""),1.0)</f>
        <v>1</v>
      </c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6">
        <f>IFERROR(__xludf.DUMMYFUNCTION("""COMPUTED_VALUE"""),45432.0)</f>
        <v>45432</v>
      </c>
      <c r="B71" s="132" t="str">
        <f>IFERROR(__xludf.DUMMYFUNCTION("""COMPUTED_VALUE"""),"sugar sweet")</f>
        <v>sugar sweet</v>
      </c>
      <c r="C71" s="132" t="str">
        <f>IFERROR(__xludf.DUMMYFUNCTION("""COMPUTED_VALUE"""),"食物")</f>
        <v>食物</v>
      </c>
      <c r="D71" s="132">
        <f>IFERROR(__xludf.DUMMYFUNCTION("""COMPUTED_VALUE"""),60.0)</f>
        <v>60</v>
      </c>
      <c r="E71" s="132" t="str">
        <f>IFERROR(__xludf.DUMMYFUNCTION("""COMPUTED_VALUE"""),"BL")</f>
        <v>BL</v>
      </c>
      <c r="F71" s="132">
        <f>IFERROR(__xludf.DUMMYFUNCTION("""COMPUTED_VALUE"""),15.0)</f>
        <v>15</v>
      </c>
      <c r="G71" s="132">
        <f>IFERROR(__xludf.DUMMYFUNCTION("""COMPUTED_VALUE"""),15.0)</f>
        <v>15</v>
      </c>
      <c r="H71" s="132">
        <f>IFERROR(__xludf.DUMMYFUNCTION("""COMPUTED_VALUE"""),1.0)</f>
        <v>1</v>
      </c>
      <c r="I71" s="132"/>
      <c r="J71" s="132">
        <f>IFERROR(__xludf.DUMMYFUNCTION("""COMPUTED_VALUE"""),1.0)</f>
        <v>1</v>
      </c>
      <c r="K71" s="132">
        <f>IFERROR(__xludf.DUMMYFUNCTION("""COMPUTED_VALUE"""),1.0)</f>
        <v>1</v>
      </c>
      <c r="L71" s="132"/>
      <c r="M71" s="132">
        <f>IFERROR(__xludf.DUMMYFUNCTION("""COMPUTED_VALUE"""),1.0)</f>
        <v>1</v>
      </c>
      <c r="N71" s="132"/>
      <c r="O71" s="132"/>
      <c r="P71" s="132"/>
      <c r="Q71" s="134">
        <f>IFERROR(__xludf.DUMMYFUNCTION("""COMPUTED_VALUE"""),45383.0)</f>
        <v>45383</v>
      </c>
      <c r="R71" s="132" t="str">
        <f>IFERROR(__xludf.DUMMYFUNCTION("""COMPUTED_VALUE"""),"Rent")</f>
        <v>Rent</v>
      </c>
      <c r="S71" s="132">
        <f>IFERROR(__xludf.DUMMYFUNCTION("""COMPUTED_VALUE"""),3600.0)</f>
        <v>3600</v>
      </c>
      <c r="T71" s="132">
        <f>IFERROR(__xludf.DUMMYFUNCTION("""COMPUTED_VALUE"""),720.0)</f>
        <v>720</v>
      </c>
      <c r="U71" s="132" t="str">
        <f>IFERROR(__xludf.DUMMYFUNCTION("""COMPUTED_VALUE"""),"Paid")</f>
        <v>Paid</v>
      </c>
      <c r="V71" s="132" t="str">
        <f>IFERROR(__xludf.DUMMYFUNCTION("""COMPUTED_VALUE"""),"Paid")</f>
        <v>Paid</v>
      </c>
      <c r="W71" s="132" t="str">
        <f>IFERROR(__xludf.DUMMYFUNCTION("""COMPUTED_VALUE"""),"Paid")</f>
        <v>Paid</v>
      </c>
      <c r="X71" s="132" t="str">
        <f>IFERROR(__xludf.DUMMYFUNCTION("""COMPUTED_VALUE"""),"Paid")</f>
        <v>Paid</v>
      </c>
      <c r="Y71" s="132" t="str">
        <f>IFERROR(__xludf.DUMMYFUNCTION("""COMPUTED_VALUE"""),"Paid")</f>
        <v>Paid</v>
      </c>
      <c r="Z71" s="132"/>
    </row>
    <row r="72">
      <c r="A72" s="133">
        <f>IFERROR(__xludf.DUMMYFUNCTION("""COMPUTED_VALUE"""),45433.0)</f>
        <v>45433</v>
      </c>
      <c r="B72" s="132" t="str">
        <f>IFERROR(__xludf.DUMMYFUNCTION("""COMPUTED_VALUE"""),"Foody")</f>
        <v>Foody</v>
      </c>
      <c r="C72" s="132" t="str">
        <f>IFERROR(__xludf.DUMMYFUNCTION("""COMPUTED_VALUE"""),"食物")</f>
        <v>食物</v>
      </c>
      <c r="D72" s="135">
        <f>IFERROR(__xludf.DUMMYFUNCTION("""COMPUTED_VALUE"""),28.07)</f>
        <v>28.07</v>
      </c>
      <c r="E72" s="132" t="str">
        <f>IFERROR(__xludf.DUMMYFUNCTION("""COMPUTED_VALUE"""),"BL")</f>
        <v>BL</v>
      </c>
      <c r="F72" s="132">
        <f>IFERROR(__xludf.DUMMYFUNCTION("""COMPUTED_VALUE"""),5.614)</f>
        <v>5.614</v>
      </c>
      <c r="G72" s="132">
        <f>IFERROR(__xludf.DUMMYFUNCTION("""COMPUTED_VALUE"""),5.614)</f>
        <v>5.614</v>
      </c>
      <c r="H72" s="132">
        <f>IFERROR(__xludf.DUMMYFUNCTION("""COMPUTED_VALUE"""),1.0)</f>
        <v>1</v>
      </c>
      <c r="I72" s="132">
        <f>IFERROR(__xludf.DUMMYFUNCTION("""COMPUTED_VALUE"""),1.0)</f>
        <v>1</v>
      </c>
      <c r="J72" s="132">
        <f>IFERROR(__xludf.DUMMYFUNCTION("""COMPUTED_VALUE"""),1.0)</f>
        <v>1</v>
      </c>
      <c r="K72" s="132">
        <f>IFERROR(__xludf.DUMMYFUNCTION("""COMPUTED_VALUE"""),1.0)</f>
        <v>1</v>
      </c>
      <c r="L72" s="132"/>
      <c r="M72" s="132">
        <f>IFERROR(__xludf.DUMMYFUNCTION("""COMPUTED_VALUE"""),1.0)</f>
        <v>1</v>
      </c>
      <c r="N72" s="132"/>
      <c r="O72" s="132"/>
      <c r="P72" s="132"/>
      <c r="Q72" s="132"/>
      <c r="R72" s="132" t="str">
        <f>IFERROR(__xludf.DUMMYFUNCTION("""COMPUTED_VALUE"""),"o")</f>
        <v>o</v>
      </c>
      <c r="S72" s="132"/>
      <c r="T72" s="132"/>
      <c r="U72" s="132"/>
      <c r="V72" s="132"/>
      <c r="W72" s="132"/>
      <c r="X72" s="132"/>
      <c r="Y72" s="132"/>
      <c r="Z72" s="132"/>
    </row>
    <row r="73">
      <c r="A73" s="133">
        <f>IFERROR(__xludf.DUMMYFUNCTION("""COMPUTED_VALUE"""),45433.0)</f>
        <v>45433</v>
      </c>
      <c r="B73" s="132" t="str">
        <f>IFERROR(__xludf.DUMMYFUNCTION("""COMPUTED_VALUE"""),"Food basic")</f>
        <v>Food basic</v>
      </c>
      <c r="C73" s="132" t="str">
        <f>IFERROR(__xludf.DUMMYFUNCTION("""COMPUTED_VALUE"""),"食物")</f>
        <v>食物</v>
      </c>
      <c r="D73" s="132">
        <f>IFERROR(__xludf.DUMMYFUNCTION("""COMPUTED_VALUE"""),12.99)</f>
        <v>12.99</v>
      </c>
      <c r="E73" s="132" t="str">
        <f>IFERROR(__xludf.DUMMYFUNCTION("""COMPUTED_VALUE"""),"Pigskin")</f>
        <v>Pigskin</v>
      </c>
      <c r="F73" s="132">
        <f>IFERROR(__xludf.DUMMYFUNCTION("""COMPUTED_VALUE"""),2.598)</f>
        <v>2.598</v>
      </c>
      <c r="G73" s="132">
        <f>IFERROR(__xludf.DUMMYFUNCTION("""COMPUTED_VALUE"""),2.598)</f>
        <v>2.598</v>
      </c>
      <c r="H73" s="132">
        <f>IFERROR(__xludf.DUMMYFUNCTION("""COMPUTED_VALUE"""),1.0)</f>
        <v>1</v>
      </c>
      <c r="I73" s="132">
        <f>IFERROR(__xludf.DUMMYFUNCTION("""COMPUTED_VALUE"""),1.0)</f>
        <v>1</v>
      </c>
      <c r="J73" s="132">
        <f>IFERROR(__xludf.DUMMYFUNCTION("""COMPUTED_VALUE"""),1.0)</f>
        <v>1</v>
      </c>
      <c r="K73" s="132">
        <f>IFERROR(__xludf.DUMMYFUNCTION("""COMPUTED_VALUE"""),1.0)</f>
        <v>1</v>
      </c>
      <c r="L73" s="132"/>
      <c r="M73" s="132"/>
      <c r="N73" s="132">
        <f>IFERROR(__xludf.DUMMYFUNCTION("""COMPUTED_VALUE"""),1.0)</f>
        <v>1</v>
      </c>
      <c r="O73" s="132"/>
      <c r="P73" s="132"/>
      <c r="Q73" s="132"/>
      <c r="R73" s="132" t="str">
        <f>IFERROR(__xludf.DUMMYFUNCTION("""COMPUTED_VALUE"""),"Heat")</f>
        <v>Heat</v>
      </c>
      <c r="S73" s="132">
        <f>IFERROR(__xludf.DUMMYFUNCTION("""COMPUTED_VALUE"""),169.33)</f>
        <v>169.33</v>
      </c>
      <c r="T73" s="132">
        <f>IFERROR(__xludf.DUMMYFUNCTION("""COMPUTED_VALUE"""),33.866)</f>
        <v>33.866</v>
      </c>
      <c r="U73" s="132" t="str">
        <f>IFERROR(__xludf.DUMMYFUNCTION("""COMPUTED_VALUE"""),"Paid")</f>
        <v>Paid</v>
      </c>
      <c r="V73" s="132" t="str">
        <f>IFERROR(__xludf.DUMMYFUNCTION("""COMPUTED_VALUE"""),"Paid")</f>
        <v>Paid</v>
      </c>
      <c r="W73" s="132" t="str">
        <f>IFERROR(__xludf.DUMMYFUNCTION("""COMPUTED_VALUE"""),"Paid")</f>
        <v>Paid</v>
      </c>
      <c r="X73" s="132" t="str">
        <f>IFERROR(__xludf.DUMMYFUNCTION("""COMPUTED_VALUE"""),"Paid")</f>
        <v>Paid</v>
      </c>
      <c r="Y73" s="132" t="str">
        <f>IFERROR(__xludf.DUMMYFUNCTION("""COMPUTED_VALUE"""),"Paid")</f>
        <v>Paid</v>
      </c>
      <c r="Z73" s="132"/>
    </row>
    <row r="74">
      <c r="A74" s="136">
        <f>IFERROR(__xludf.DUMMYFUNCTION("""COMPUTED_VALUE"""),45433.0)</f>
        <v>45433</v>
      </c>
      <c r="B74" s="132"/>
      <c r="C74" s="132" t="str">
        <f>IFERROR(__xludf.DUMMYFUNCTION("""COMPUTED_VALUE"""),"食物")</f>
        <v>食物</v>
      </c>
      <c r="D74" s="132">
        <f>IFERROR(__xludf.DUMMYFUNCTION("""COMPUTED_VALUE"""),13.6)</f>
        <v>13.6</v>
      </c>
      <c r="E74" s="132" t="str">
        <f>IFERROR(__xludf.DUMMYFUNCTION("""COMPUTED_VALUE"""),"Pigskin")</f>
        <v>Pigskin</v>
      </c>
      <c r="F74" s="132">
        <f>IFERROR(__xludf.DUMMYFUNCTION("""COMPUTED_VALUE"""),13.6)</f>
        <v>13.6</v>
      </c>
      <c r="G74" s="132">
        <f>IFERROR(__xludf.DUMMYFUNCTION("""COMPUTED_VALUE"""),13.6)</f>
        <v>13.6</v>
      </c>
      <c r="H74" s="132"/>
      <c r="I74" s="132"/>
      <c r="J74" s="132"/>
      <c r="K74" s="132"/>
      <c r="L74" s="132"/>
      <c r="M74" s="132">
        <f>IFERROR(__xludf.DUMMYFUNCTION("""COMPUTED_VALUE"""),1.0)</f>
        <v>1</v>
      </c>
      <c r="N74" s="132"/>
      <c r="O74" s="132"/>
      <c r="P74" s="132"/>
      <c r="Q74" s="132"/>
      <c r="R74" s="132" t="str">
        <f>IFERROR(__xludf.DUMMYFUNCTION("""COMPUTED_VALUE"""),"Electricity")</f>
        <v>Electricity</v>
      </c>
      <c r="S74" s="132">
        <f>IFERROR(__xludf.DUMMYFUNCTION("""COMPUTED_VALUE"""),104.26)</f>
        <v>104.26</v>
      </c>
      <c r="T74" s="132">
        <f>IFERROR(__xludf.DUMMYFUNCTION("""COMPUTED_VALUE"""),20.852)</f>
        <v>20.852</v>
      </c>
      <c r="U74" s="132" t="str">
        <f>IFERROR(__xludf.DUMMYFUNCTION("""COMPUTED_VALUE"""),"Paid")</f>
        <v>Paid</v>
      </c>
      <c r="V74" s="132" t="str">
        <f>IFERROR(__xludf.DUMMYFUNCTION("""COMPUTED_VALUE"""),"Paid")</f>
        <v>Paid</v>
      </c>
      <c r="W74" s="132" t="str">
        <f>IFERROR(__xludf.DUMMYFUNCTION("""COMPUTED_VALUE"""),"Paid")</f>
        <v>Paid</v>
      </c>
      <c r="X74" s="132" t="str">
        <f>IFERROR(__xludf.DUMMYFUNCTION("""COMPUTED_VALUE"""),"Paid")</f>
        <v>Paid</v>
      </c>
      <c r="Y74" s="132" t="str">
        <f>IFERROR(__xludf.DUMMYFUNCTION("""COMPUTED_VALUE"""),"Paid")</f>
        <v>Paid</v>
      </c>
      <c r="Z74" s="132"/>
    </row>
    <row r="75">
      <c r="A75" s="133">
        <f>IFERROR(__xludf.DUMMYFUNCTION("""COMPUTED_VALUE"""),45434.0)</f>
        <v>45434</v>
      </c>
      <c r="B75" s="132" t="str">
        <f>IFERROR(__xludf.DUMMYFUNCTION("""COMPUTED_VALUE"""),"Yesstyle")</f>
        <v>Yesstyle</v>
      </c>
      <c r="C75" s="132" t="str">
        <f>IFERROR(__xludf.DUMMYFUNCTION("""COMPUTED_VALUE"""),"其他")</f>
        <v>其他</v>
      </c>
      <c r="D75" s="135">
        <f>IFERROR(__xludf.DUMMYFUNCTION("""COMPUTED_VALUE"""),37.37)</f>
        <v>37.37</v>
      </c>
      <c r="E75" s="132" t="str">
        <f>IFERROR(__xludf.DUMMYFUNCTION("""COMPUTED_VALUE"""),"Esther ")</f>
        <v>Esther </v>
      </c>
      <c r="F75" s="132">
        <f>IFERROR(__xludf.DUMMYFUNCTION("""COMPUTED_VALUE"""),37.37)</f>
        <v>37.37</v>
      </c>
      <c r="G75" s="132">
        <f>IFERROR(__xludf.DUMMYFUNCTION("""COMPUTED_VALUE"""),37.37)</f>
        <v>37.37</v>
      </c>
      <c r="H75" s="132"/>
      <c r="I75" s="132">
        <f>IFERROR(__xludf.DUMMYFUNCTION("""COMPUTED_VALUE"""),1.0)</f>
        <v>1</v>
      </c>
      <c r="J75" s="132"/>
      <c r="K75" s="132"/>
      <c r="L75" s="132"/>
      <c r="M75" s="132"/>
      <c r="N75" s="132"/>
      <c r="O75" s="132"/>
      <c r="P75" s="132"/>
      <c r="Q75" s="132"/>
      <c r="R75" s="132" t="str">
        <f>IFERROR(__xludf.DUMMYFUNCTION("""COMPUTED_VALUE"""),"Internet")</f>
        <v>Internet</v>
      </c>
      <c r="S75" s="132">
        <f>IFERROR(__xludf.DUMMYFUNCTION("""COMPUTED_VALUE"""),56.5)</f>
        <v>56.5</v>
      </c>
      <c r="T75" s="132">
        <f>IFERROR(__xludf.DUMMYFUNCTION("""COMPUTED_VALUE"""),11.3)</f>
        <v>11.3</v>
      </c>
      <c r="U75" s="132" t="str">
        <f>IFERROR(__xludf.DUMMYFUNCTION("""COMPUTED_VALUE"""),"Paid")</f>
        <v>Paid</v>
      </c>
      <c r="V75" s="132" t="str">
        <f>IFERROR(__xludf.DUMMYFUNCTION("""COMPUTED_VALUE"""),"Paid")</f>
        <v>Paid</v>
      </c>
      <c r="W75" s="132" t="str">
        <f>IFERROR(__xludf.DUMMYFUNCTION("""COMPUTED_VALUE"""),"Paid")</f>
        <v>Paid</v>
      </c>
      <c r="X75" s="132" t="str">
        <f>IFERROR(__xludf.DUMMYFUNCTION("""COMPUTED_VALUE"""),"Paid")</f>
        <v>Paid</v>
      </c>
      <c r="Y75" s="132" t="str">
        <f>IFERROR(__xludf.DUMMYFUNCTION("""COMPUTED_VALUE"""),"Paid")</f>
        <v>Paid</v>
      </c>
      <c r="Z75" s="132"/>
    </row>
    <row r="76">
      <c r="A76" s="136">
        <f>IFERROR(__xludf.DUMMYFUNCTION("""COMPUTED_VALUE"""),45434.0)</f>
        <v>45434</v>
      </c>
      <c r="B76" s="132" t="str">
        <f>IFERROR(__xludf.DUMMYFUNCTION("""COMPUTED_VALUE"""),"Putoguese tart")</f>
        <v>Putoguese tart</v>
      </c>
      <c r="C76" s="132" t="str">
        <f>IFERROR(__xludf.DUMMYFUNCTION("""COMPUTED_VALUE"""),"食物")</f>
        <v>食物</v>
      </c>
      <c r="D76" s="132">
        <f>IFERROR(__xludf.DUMMYFUNCTION("""COMPUTED_VALUE"""),6.779999999999999)</f>
        <v>6.78</v>
      </c>
      <c r="E76" s="132" t="str">
        <f>IFERROR(__xludf.DUMMYFUNCTION("""COMPUTED_VALUE"""),"Pigskin")</f>
        <v>Pigskin</v>
      </c>
      <c r="F76" s="132">
        <f>IFERROR(__xludf.DUMMYFUNCTION("""COMPUTED_VALUE"""),1.3559999999999999)</f>
        <v>1.356</v>
      </c>
      <c r="G76" s="132">
        <f>IFERROR(__xludf.DUMMYFUNCTION("""COMPUTED_VALUE"""),1.3559999999999999)</f>
        <v>1.356</v>
      </c>
      <c r="H76" s="132">
        <f>IFERROR(__xludf.DUMMYFUNCTION("""COMPUTED_VALUE"""),1.0)</f>
        <v>1</v>
      </c>
      <c r="I76" s="132">
        <f>IFERROR(__xludf.DUMMYFUNCTION("""COMPUTED_VALUE"""),1.0)</f>
        <v>1</v>
      </c>
      <c r="J76" s="132">
        <f>IFERROR(__xludf.DUMMYFUNCTION("""COMPUTED_VALUE"""),1.0)</f>
        <v>1</v>
      </c>
      <c r="K76" s="132">
        <f>IFERROR(__xludf.DUMMYFUNCTION("""COMPUTED_VALUE"""),1.0)</f>
        <v>1</v>
      </c>
      <c r="L76" s="132"/>
      <c r="M76" s="132"/>
      <c r="N76" s="132">
        <f>IFERROR(__xludf.DUMMYFUNCTION("""COMPUTED_VALUE"""),1.0)</f>
        <v>1</v>
      </c>
      <c r="O76" s="132"/>
      <c r="P76" s="132"/>
      <c r="Q76" s="132"/>
      <c r="R76" s="132"/>
      <c r="S76" s="132">
        <f>IFERROR(__xludf.DUMMYFUNCTION("""COMPUTED_VALUE"""),3930.09)</f>
        <v>3930.09</v>
      </c>
      <c r="T76" s="132">
        <f>IFERROR(__xludf.DUMMYFUNCTION("""COMPUTED_VALUE"""),786.0179999999999)</f>
        <v>786.018</v>
      </c>
      <c r="U76" s="132"/>
      <c r="V76" s="132"/>
      <c r="W76" s="132"/>
      <c r="X76" s="132"/>
      <c r="Y76" s="132"/>
      <c r="Z76" s="132"/>
    </row>
    <row r="77">
      <c r="A77" s="133">
        <f>IFERROR(__xludf.DUMMYFUNCTION("""COMPUTED_VALUE"""),45434.0)</f>
        <v>45434</v>
      </c>
      <c r="B77" s="132" t="str">
        <f>IFERROR(__xludf.DUMMYFUNCTION("""COMPUTED_VALUE"""),"Fresh co")</f>
        <v>Fresh co</v>
      </c>
      <c r="C77" s="132" t="str">
        <f>IFERROR(__xludf.DUMMYFUNCTION("""COMPUTED_VALUE"""),"食物")</f>
        <v>食物</v>
      </c>
      <c r="D77" s="132">
        <f>IFERROR(__xludf.DUMMYFUNCTION("""COMPUTED_VALUE"""),83.38)</f>
        <v>83.38</v>
      </c>
      <c r="E77" s="132" t="str">
        <f>IFERROR(__xludf.DUMMYFUNCTION("""COMPUTED_VALUE"""),"Pigskin")</f>
        <v>Pigskin</v>
      </c>
      <c r="F77" s="132">
        <f>IFERROR(__xludf.DUMMYFUNCTION("""COMPUTED_VALUE"""),16.676)</f>
        <v>16.676</v>
      </c>
      <c r="G77" s="132">
        <f>IFERROR(__xludf.DUMMYFUNCTION("""COMPUTED_VALUE"""),16.676)</f>
        <v>16.676</v>
      </c>
      <c r="H77" s="132">
        <f>IFERROR(__xludf.DUMMYFUNCTION("""COMPUTED_VALUE"""),1.0)</f>
        <v>1</v>
      </c>
      <c r="I77" s="132">
        <f>IFERROR(__xludf.DUMMYFUNCTION("""COMPUTED_VALUE"""),1.0)</f>
        <v>1</v>
      </c>
      <c r="J77" s="132">
        <f>IFERROR(__xludf.DUMMYFUNCTION("""COMPUTED_VALUE"""),1.0)</f>
        <v>1</v>
      </c>
      <c r="K77" s="132">
        <f>IFERROR(__xludf.DUMMYFUNCTION("""COMPUTED_VALUE"""),1.0)</f>
        <v>1</v>
      </c>
      <c r="L77" s="132"/>
      <c r="M77" s="132"/>
      <c r="N77" s="132">
        <f>IFERROR(__xludf.DUMMYFUNCTION("""COMPUTED_VALUE"""),1.0)</f>
        <v>1</v>
      </c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3">
        <f>IFERROR(__xludf.DUMMYFUNCTION("""COMPUTED_VALUE"""),45434.0)</f>
        <v>45434</v>
      </c>
      <c r="B78" s="132" t="str">
        <f>IFERROR(__xludf.DUMMYFUNCTION("""COMPUTED_VALUE"""),"Dollarama")</f>
        <v>Dollarama</v>
      </c>
      <c r="C78" s="132" t="str">
        <f>IFERROR(__xludf.DUMMYFUNCTION("""COMPUTED_VALUE"""),"居家")</f>
        <v>居家</v>
      </c>
      <c r="D78" s="132">
        <f>IFERROR(__xludf.DUMMYFUNCTION("""COMPUTED_VALUE"""),18.24)</f>
        <v>18.24</v>
      </c>
      <c r="E78" s="132" t="str">
        <f>IFERROR(__xludf.DUMMYFUNCTION("""COMPUTED_VALUE"""),"Rachel")</f>
        <v>Rachel</v>
      </c>
      <c r="F78" s="132">
        <f>IFERROR(__xludf.DUMMYFUNCTION("""COMPUTED_VALUE"""),3.6479999999999997)</f>
        <v>3.648</v>
      </c>
      <c r="G78" s="132">
        <f>IFERROR(__xludf.DUMMYFUNCTION("""COMPUTED_VALUE"""),3.6479999999999997)</f>
        <v>3.648</v>
      </c>
      <c r="H78" s="132">
        <f>IFERROR(__xludf.DUMMYFUNCTION("""COMPUTED_VALUE"""),1.0)</f>
        <v>1</v>
      </c>
      <c r="I78" s="132">
        <f>IFERROR(__xludf.DUMMYFUNCTION("""COMPUTED_VALUE"""),1.0)</f>
        <v>1</v>
      </c>
      <c r="J78" s="132">
        <f>IFERROR(__xludf.DUMMYFUNCTION("""COMPUTED_VALUE"""),1.0)</f>
        <v>1</v>
      </c>
      <c r="K78" s="132">
        <f>IFERROR(__xludf.DUMMYFUNCTION("""COMPUTED_VALUE"""),1.0)</f>
        <v>1</v>
      </c>
      <c r="L78" s="132"/>
      <c r="M78" s="132"/>
      <c r="N78" s="132">
        <f>IFERROR(__xludf.DUMMYFUNCTION("""COMPUTED_VALUE"""),1.0)</f>
        <v>1</v>
      </c>
      <c r="O78" s="132"/>
      <c r="P78" s="132"/>
      <c r="Q78" s="134">
        <f>IFERROR(__xludf.DUMMYFUNCTION("""COMPUTED_VALUE"""),45413.0)</f>
        <v>45413</v>
      </c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3">
        <f>IFERROR(__xludf.DUMMYFUNCTION("""COMPUTED_VALUE"""),45435.0)</f>
        <v>45435</v>
      </c>
      <c r="B79" s="132" t="str">
        <f>IFERROR(__xludf.DUMMYFUNCTION("""COMPUTED_VALUE"""),"Tnt")</f>
        <v>Tnt</v>
      </c>
      <c r="C79" s="132" t="str">
        <f>IFERROR(__xludf.DUMMYFUNCTION("""COMPUTED_VALUE"""),"居家")</f>
        <v>居家</v>
      </c>
      <c r="D79" s="132">
        <f>IFERROR(__xludf.DUMMYFUNCTION("""COMPUTED_VALUE"""),17.7)</f>
        <v>17.7</v>
      </c>
      <c r="E79" s="132" t="str">
        <f>IFERROR(__xludf.DUMMYFUNCTION("""COMPUTED_VALUE"""),"Timothy")</f>
        <v>Timothy</v>
      </c>
      <c r="F79" s="132">
        <f>IFERROR(__xludf.DUMMYFUNCTION("""COMPUTED_VALUE"""),3.54)</f>
        <v>3.54</v>
      </c>
      <c r="G79" s="132">
        <f>IFERROR(__xludf.DUMMYFUNCTION("""COMPUTED_VALUE"""),3.54)</f>
        <v>3.54</v>
      </c>
      <c r="H79" s="132">
        <f>IFERROR(__xludf.DUMMYFUNCTION("""COMPUTED_VALUE"""),1.0)</f>
        <v>1</v>
      </c>
      <c r="I79" s="132">
        <f>IFERROR(__xludf.DUMMYFUNCTION("""COMPUTED_VALUE"""),1.0)</f>
        <v>1</v>
      </c>
      <c r="J79" s="132">
        <f>IFERROR(__xludf.DUMMYFUNCTION("""COMPUTED_VALUE"""),1.0)</f>
        <v>1</v>
      </c>
      <c r="K79" s="132">
        <f>IFERROR(__xludf.DUMMYFUNCTION("""COMPUTED_VALUE"""),1.0)</f>
        <v>1</v>
      </c>
      <c r="L79" s="132"/>
      <c r="M79" s="132"/>
      <c r="N79" s="132">
        <f>IFERROR(__xludf.DUMMYFUNCTION("""COMPUTED_VALUE"""),1.0)</f>
        <v>1</v>
      </c>
      <c r="O79" s="132"/>
      <c r="P79" s="132"/>
      <c r="Q79" s="132"/>
      <c r="R79" s="132" t="str">
        <f>IFERROR(__xludf.DUMMYFUNCTION("""COMPUTED_VALUE"""),"Water")</f>
        <v>Water</v>
      </c>
      <c r="S79" s="132">
        <f>IFERROR(__xludf.DUMMYFUNCTION("""COMPUTED_VALUE"""),428.7)</f>
        <v>428.7</v>
      </c>
      <c r="T79" s="132">
        <f>IFERROR(__xludf.DUMMYFUNCTION("""COMPUTED_VALUE"""),85.74)</f>
        <v>85.74</v>
      </c>
      <c r="U79" s="132" t="str">
        <f>IFERROR(__xludf.DUMMYFUNCTION("""COMPUTED_VALUE"""),"Paid")</f>
        <v>Paid</v>
      </c>
      <c r="V79" s="132" t="str">
        <f>IFERROR(__xludf.DUMMYFUNCTION("""COMPUTED_VALUE"""),"Paid")</f>
        <v>Paid</v>
      </c>
      <c r="W79" s="132" t="str">
        <f>IFERROR(__xludf.DUMMYFUNCTION("""COMPUTED_VALUE"""),"Paid")</f>
        <v>Paid</v>
      </c>
      <c r="X79" s="132" t="str">
        <f>IFERROR(__xludf.DUMMYFUNCTION("""COMPUTED_VALUE"""),"Paid")</f>
        <v>Paid</v>
      </c>
      <c r="Y79" s="132" t="str">
        <f>IFERROR(__xludf.DUMMYFUNCTION("""COMPUTED_VALUE"""),"Paid")</f>
        <v>Paid</v>
      </c>
      <c r="Z79" s="132"/>
    </row>
    <row r="80">
      <c r="A80" s="136">
        <f>IFERROR(__xludf.DUMMYFUNCTION("""COMPUTED_VALUE"""),45435.0)</f>
        <v>45435</v>
      </c>
      <c r="B80" s="132" t="str">
        <f>IFERROR(__xludf.DUMMYFUNCTION("""COMPUTED_VALUE"""),"foody")</f>
        <v>foody</v>
      </c>
      <c r="C80" s="132" t="str">
        <f>IFERROR(__xludf.DUMMYFUNCTION("""COMPUTED_VALUE"""),"食物")</f>
        <v>食物</v>
      </c>
      <c r="D80" s="132">
        <f>IFERROR(__xludf.DUMMYFUNCTION("""COMPUTED_VALUE"""),57.62)</f>
        <v>57.62</v>
      </c>
      <c r="E80" s="132" t="str">
        <f>IFERROR(__xludf.DUMMYFUNCTION("""COMPUTED_VALUE"""),"Pigskin")</f>
        <v>Pigskin</v>
      </c>
      <c r="F80" s="132">
        <f>IFERROR(__xludf.DUMMYFUNCTION("""COMPUTED_VALUE"""),11.524)</f>
        <v>11.524</v>
      </c>
      <c r="G80" s="132">
        <f>IFERROR(__xludf.DUMMYFUNCTION("""COMPUTED_VALUE"""),11.524)</f>
        <v>11.524</v>
      </c>
      <c r="H80" s="132">
        <f>IFERROR(__xludf.DUMMYFUNCTION("""COMPUTED_VALUE"""),1.0)</f>
        <v>1</v>
      </c>
      <c r="I80" s="132">
        <f>IFERROR(__xludf.DUMMYFUNCTION("""COMPUTED_VALUE"""),1.0)</f>
        <v>1</v>
      </c>
      <c r="J80" s="132">
        <f>IFERROR(__xludf.DUMMYFUNCTION("""COMPUTED_VALUE"""),1.0)</f>
        <v>1</v>
      </c>
      <c r="K80" s="132">
        <f>IFERROR(__xludf.DUMMYFUNCTION("""COMPUTED_VALUE"""),1.0)</f>
        <v>1</v>
      </c>
      <c r="L80" s="132"/>
      <c r="M80" s="132"/>
      <c r="N80" s="132">
        <f>IFERROR(__xludf.DUMMYFUNCTION("""COMPUTED_VALUE"""),1.0)</f>
        <v>1</v>
      </c>
      <c r="O80" s="132"/>
      <c r="P80" s="132"/>
      <c r="Q80" s="132"/>
      <c r="R80" s="132" t="str">
        <f>IFERROR(__xludf.DUMMYFUNCTION("""COMPUTED_VALUE"""),"Heat")</f>
        <v>Heat</v>
      </c>
      <c r="S80" s="132">
        <f>IFERROR(__xludf.DUMMYFUNCTION("""COMPUTED_VALUE"""),109.38)</f>
        <v>109.38</v>
      </c>
      <c r="T80" s="132">
        <f>IFERROR(__xludf.DUMMYFUNCTION("""COMPUTED_VALUE"""),21.875999999999998)</f>
        <v>21.876</v>
      </c>
      <c r="U80" s="132" t="str">
        <f>IFERROR(__xludf.DUMMYFUNCTION("""COMPUTED_VALUE"""),"Paid")</f>
        <v>Paid</v>
      </c>
      <c r="V80" s="132" t="str">
        <f>IFERROR(__xludf.DUMMYFUNCTION("""COMPUTED_VALUE"""),"Paid")</f>
        <v>Paid</v>
      </c>
      <c r="W80" s="132" t="str">
        <f>IFERROR(__xludf.DUMMYFUNCTION("""COMPUTED_VALUE"""),"Paid")</f>
        <v>Paid</v>
      </c>
      <c r="X80" s="132" t="str">
        <f>IFERROR(__xludf.DUMMYFUNCTION("""COMPUTED_VALUE"""),"Paid")</f>
        <v>Paid</v>
      </c>
      <c r="Y80" s="132" t="str">
        <f>IFERROR(__xludf.DUMMYFUNCTION("""COMPUTED_VALUE"""),"Paid")</f>
        <v>Paid</v>
      </c>
      <c r="Z80" s="132"/>
    </row>
    <row r="81">
      <c r="A81" s="136">
        <f>IFERROR(__xludf.DUMMYFUNCTION("""COMPUTED_VALUE"""),45436.0)</f>
        <v>45436</v>
      </c>
      <c r="B81" s="132" t="str">
        <f>IFERROR(__xludf.DUMMYFUNCTION("""COMPUTED_VALUE"""),"Foody")</f>
        <v>Foody</v>
      </c>
      <c r="C81" s="132" t="str">
        <f>IFERROR(__xludf.DUMMYFUNCTION("""COMPUTED_VALUE"""),"食物")</f>
        <v>食物</v>
      </c>
      <c r="D81" s="132">
        <f>IFERROR(__xludf.DUMMYFUNCTION("""COMPUTED_VALUE"""),18.990000000000002)</f>
        <v>18.99</v>
      </c>
      <c r="E81" s="132" t="str">
        <f>IFERROR(__xludf.DUMMYFUNCTION("""COMPUTED_VALUE"""),"BL")</f>
        <v>BL</v>
      </c>
      <c r="F81" s="132">
        <f>IFERROR(__xludf.DUMMYFUNCTION("""COMPUTED_VALUE"""),3.7980000000000005)</f>
        <v>3.798</v>
      </c>
      <c r="G81" s="132">
        <f>IFERROR(__xludf.DUMMYFUNCTION("""COMPUTED_VALUE"""),3.7980000000000005)</f>
        <v>3.798</v>
      </c>
      <c r="H81" s="132">
        <f>IFERROR(__xludf.DUMMYFUNCTION("""COMPUTED_VALUE"""),1.0)</f>
        <v>1</v>
      </c>
      <c r="I81" s="132">
        <f>IFERROR(__xludf.DUMMYFUNCTION("""COMPUTED_VALUE"""),1.0)</f>
        <v>1</v>
      </c>
      <c r="J81" s="132">
        <f>IFERROR(__xludf.DUMMYFUNCTION("""COMPUTED_VALUE"""),1.0)</f>
        <v>1</v>
      </c>
      <c r="K81" s="132">
        <f>IFERROR(__xludf.DUMMYFUNCTION("""COMPUTED_VALUE"""),1.0)</f>
        <v>1</v>
      </c>
      <c r="L81" s="132"/>
      <c r="M81" s="132">
        <f>IFERROR(__xludf.DUMMYFUNCTION("""COMPUTED_VALUE"""),1.0)</f>
        <v>1</v>
      </c>
      <c r="N81" s="132"/>
      <c r="O81" s="132"/>
      <c r="P81" s="132"/>
      <c r="Q81" s="132"/>
      <c r="R81" s="132" t="str">
        <f>IFERROR(__xludf.DUMMYFUNCTION("""COMPUTED_VALUE"""),"Electricity")</f>
        <v>Electricity</v>
      </c>
      <c r="S81" s="132">
        <f>IFERROR(__xludf.DUMMYFUNCTION("""COMPUTED_VALUE"""),97.82)</f>
        <v>97.82</v>
      </c>
      <c r="T81" s="132">
        <f>IFERROR(__xludf.DUMMYFUNCTION("""COMPUTED_VALUE"""),19.564)</f>
        <v>19.564</v>
      </c>
      <c r="U81" s="132" t="str">
        <f>IFERROR(__xludf.DUMMYFUNCTION("""COMPUTED_VALUE"""),"Paid")</f>
        <v>Paid</v>
      </c>
      <c r="V81" s="132" t="str">
        <f>IFERROR(__xludf.DUMMYFUNCTION("""COMPUTED_VALUE"""),"Paid")</f>
        <v>Paid</v>
      </c>
      <c r="W81" s="132" t="str">
        <f>IFERROR(__xludf.DUMMYFUNCTION("""COMPUTED_VALUE"""),"Paid")</f>
        <v>Paid</v>
      </c>
      <c r="X81" s="132" t="str">
        <f>IFERROR(__xludf.DUMMYFUNCTION("""COMPUTED_VALUE"""),"Paid")</f>
        <v>Paid</v>
      </c>
      <c r="Y81" s="132" t="str">
        <f>IFERROR(__xludf.DUMMYFUNCTION("""COMPUTED_VALUE"""),"Paid")</f>
        <v>Paid</v>
      </c>
      <c r="Z81" s="132"/>
    </row>
    <row r="82">
      <c r="A82" s="133">
        <f>IFERROR(__xludf.DUMMYFUNCTION("""COMPUTED_VALUE"""),45437.0)</f>
        <v>45437</v>
      </c>
      <c r="B82" s="132" t="str">
        <f>IFERROR(__xludf.DUMMYFUNCTION("""COMPUTED_VALUE"""),"foody")</f>
        <v>foody</v>
      </c>
      <c r="C82" s="132" t="str">
        <f>IFERROR(__xludf.DUMMYFUNCTION("""COMPUTED_VALUE"""),"食物")</f>
        <v>食物</v>
      </c>
      <c r="D82" s="132">
        <f>IFERROR(__xludf.DUMMYFUNCTION("""COMPUTED_VALUE"""),34.55)</f>
        <v>34.55</v>
      </c>
      <c r="E82" s="132" t="str">
        <f>IFERROR(__xludf.DUMMYFUNCTION("""COMPUTED_VALUE"""),"Timothy")</f>
        <v>Timothy</v>
      </c>
      <c r="F82" s="132">
        <f>IFERROR(__xludf.DUMMYFUNCTION("""COMPUTED_VALUE"""),6.909999999999999)</f>
        <v>6.91</v>
      </c>
      <c r="G82" s="132">
        <f>IFERROR(__xludf.DUMMYFUNCTION("""COMPUTED_VALUE"""),6.909999999999999)</f>
        <v>6.91</v>
      </c>
      <c r="H82" s="132">
        <f>IFERROR(__xludf.DUMMYFUNCTION("""COMPUTED_VALUE"""),1.0)</f>
        <v>1</v>
      </c>
      <c r="I82" s="132">
        <f>IFERROR(__xludf.DUMMYFUNCTION("""COMPUTED_VALUE"""),1.0)</f>
        <v>1</v>
      </c>
      <c r="J82" s="132">
        <f>IFERROR(__xludf.DUMMYFUNCTION("""COMPUTED_VALUE"""),1.0)</f>
        <v>1</v>
      </c>
      <c r="K82" s="132">
        <f>IFERROR(__xludf.DUMMYFUNCTION("""COMPUTED_VALUE"""),1.0)</f>
        <v>1</v>
      </c>
      <c r="L82" s="132"/>
      <c r="M82" s="132">
        <f>IFERROR(__xludf.DUMMYFUNCTION("""COMPUTED_VALUE"""),1.0)</f>
        <v>1</v>
      </c>
      <c r="N82" s="132"/>
      <c r="O82" s="132"/>
      <c r="P82" s="132"/>
      <c r="Q82" s="132"/>
      <c r="R82" s="132" t="str">
        <f>IFERROR(__xludf.DUMMYFUNCTION("""COMPUTED_VALUE"""),"Internet")</f>
        <v>Internet</v>
      </c>
      <c r="S82" s="132">
        <f>IFERROR(__xludf.DUMMYFUNCTION("""COMPUTED_VALUE"""),56.5)</f>
        <v>56.5</v>
      </c>
      <c r="T82" s="132">
        <f>IFERROR(__xludf.DUMMYFUNCTION("""COMPUTED_VALUE"""),11.3)</f>
        <v>11.3</v>
      </c>
      <c r="U82" s="132" t="str">
        <f>IFERROR(__xludf.DUMMYFUNCTION("""COMPUTED_VALUE"""),"Paid")</f>
        <v>Paid</v>
      </c>
      <c r="V82" s="132" t="str">
        <f>IFERROR(__xludf.DUMMYFUNCTION("""COMPUTED_VALUE"""),"Paid")</f>
        <v>Paid</v>
      </c>
      <c r="W82" s="132" t="str">
        <f>IFERROR(__xludf.DUMMYFUNCTION("""COMPUTED_VALUE"""),"Paid")</f>
        <v>Paid</v>
      </c>
      <c r="X82" s="132" t="str">
        <f>IFERROR(__xludf.DUMMYFUNCTION("""COMPUTED_VALUE"""),"Paid")</f>
        <v>Paid</v>
      </c>
      <c r="Y82" s="132" t="str">
        <f>IFERROR(__xludf.DUMMYFUNCTION("""COMPUTED_VALUE"""),"Paid")</f>
        <v>Paid</v>
      </c>
      <c r="Z82" s="132"/>
    </row>
    <row r="83">
      <c r="A83" s="133">
        <f>IFERROR(__xludf.DUMMYFUNCTION("""COMPUTED_VALUE"""),45438.0)</f>
        <v>45438</v>
      </c>
      <c r="B83" s="132" t="str">
        <f>IFERROR(__xludf.DUMMYFUNCTION("""COMPUTED_VALUE"""),"Foody")</f>
        <v>Foody</v>
      </c>
      <c r="C83" s="132" t="str">
        <f>IFERROR(__xludf.DUMMYFUNCTION("""COMPUTED_VALUE"""),"食物")</f>
        <v>食物</v>
      </c>
      <c r="D83" s="132">
        <f>IFERROR(__xludf.DUMMYFUNCTION("""COMPUTED_VALUE"""),8.27)</f>
        <v>8.27</v>
      </c>
      <c r="E83" s="132" t="str">
        <f>IFERROR(__xludf.DUMMYFUNCTION("""COMPUTED_VALUE"""),"Rachel")</f>
        <v>Rachel</v>
      </c>
      <c r="F83" s="132">
        <f>IFERROR(__xludf.DUMMYFUNCTION("""COMPUTED_VALUE"""),1.654)</f>
        <v>1.654</v>
      </c>
      <c r="G83" s="132">
        <f>IFERROR(__xludf.DUMMYFUNCTION("""COMPUTED_VALUE"""),1.654)</f>
        <v>1.654</v>
      </c>
      <c r="H83" s="132">
        <f>IFERROR(__xludf.DUMMYFUNCTION("""COMPUTED_VALUE"""),1.0)</f>
        <v>1</v>
      </c>
      <c r="I83" s="132">
        <f>IFERROR(__xludf.DUMMYFUNCTION("""COMPUTED_VALUE"""),1.0)</f>
        <v>1</v>
      </c>
      <c r="J83" s="132">
        <f>IFERROR(__xludf.DUMMYFUNCTION("""COMPUTED_VALUE"""),1.0)</f>
        <v>1</v>
      </c>
      <c r="K83" s="132">
        <f>IFERROR(__xludf.DUMMYFUNCTION("""COMPUTED_VALUE"""),1.0)</f>
        <v>1</v>
      </c>
      <c r="L83" s="132"/>
      <c r="M83" s="132"/>
      <c r="N83" s="132">
        <f>IFERROR(__xludf.DUMMYFUNCTION("""COMPUTED_VALUE"""),1.0)</f>
        <v>1</v>
      </c>
      <c r="O83" s="132"/>
      <c r="P83" s="132"/>
      <c r="Q83" s="132"/>
      <c r="R83" s="132"/>
      <c r="S83" s="132">
        <f>IFERROR(__xludf.DUMMYFUNCTION("""COMPUTED_VALUE"""),692.3999999999999)</f>
        <v>692.4</v>
      </c>
      <c r="T83" s="132">
        <f>IFERROR(__xludf.DUMMYFUNCTION("""COMPUTED_VALUE"""),138.48)</f>
        <v>138.48</v>
      </c>
      <c r="U83" s="132"/>
      <c r="V83" s="132"/>
      <c r="W83" s="132"/>
      <c r="X83" s="132"/>
      <c r="Y83" s="132"/>
      <c r="Z83" s="132"/>
    </row>
    <row r="84">
      <c r="A84" s="136">
        <f>IFERROR(__xludf.DUMMYFUNCTION("""COMPUTED_VALUE"""),45439.0)</f>
        <v>45439</v>
      </c>
      <c r="B84" s="132" t="str">
        <f>IFERROR(__xludf.DUMMYFUNCTION("""COMPUTED_VALUE"""),"foody")</f>
        <v>foody</v>
      </c>
      <c r="C84" s="132" t="str">
        <f>IFERROR(__xludf.DUMMYFUNCTION("""COMPUTED_VALUE"""),"食物")</f>
        <v>食物</v>
      </c>
      <c r="D84" s="132">
        <f>IFERROR(__xludf.DUMMYFUNCTION("""COMPUTED_VALUE"""),3.12)</f>
        <v>3.12</v>
      </c>
      <c r="E84" s="132" t="str">
        <f>IFERROR(__xludf.DUMMYFUNCTION("""COMPUTED_VALUE"""),"Pigskin")</f>
        <v>Pigskin</v>
      </c>
      <c r="F84" s="132">
        <f>IFERROR(__xludf.DUMMYFUNCTION("""COMPUTED_VALUE"""),0.78)</f>
        <v>0.78</v>
      </c>
      <c r="G84" s="132">
        <f>IFERROR(__xludf.DUMMYFUNCTION("""COMPUTED_VALUE"""),0.78)</f>
        <v>0.78</v>
      </c>
      <c r="H84" s="132">
        <f>IFERROR(__xludf.DUMMYFUNCTION("""COMPUTED_VALUE"""),1.0)</f>
        <v>1</v>
      </c>
      <c r="I84" s="132">
        <f>IFERROR(__xludf.DUMMYFUNCTION("""COMPUTED_VALUE"""),1.0)</f>
        <v>1</v>
      </c>
      <c r="J84" s="132">
        <f>IFERROR(__xludf.DUMMYFUNCTION("""COMPUTED_VALUE"""),1.0)</f>
        <v>1</v>
      </c>
      <c r="K84" s="132">
        <f>IFERROR(__xludf.DUMMYFUNCTION("""COMPUTED_VALUE"""),1.0)</f>
        <v>1</v>
      </c>
      <c r="L84" s="132"/>
      <c r="M84" s="132"/>
      <c r="N84" s="132"/>
      <c r="O84" s="132"/>
      <c r="P84" s="132"/>
      <c r="Q84" s="134">
        <f>IFERROR(__xludf.DUMMYFUNCTION("""COMPUTED_VALUE"""),45444.0)</f>
        <v>45444</v>
      </c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3">
        <f>IFERROR(__xludf.DUMMYFUNCTION("""COMPUTED_VALUE"""),45439.0)</f>
        <v>45439</v>
      </c>
      <c r="B85" s="132" t="str">
        <f>IFERROR(__xludf.DUMMYFUNCTION("""COMPUTED_VALUE"""),"Foody")</f>
        <v>Foody</v>
      </c>
      <c r="C85" s="132" t="str">
        <f>IFERROR(__xludf.DUMMYFUNCTION("""COMPUTED_VALUE"""),"食物")</f>
        <v>食物</v>
      </c>
      <c r="D85" s="132">
        <f>IFERROR(__xludf.DUMMYFUNCTION("""COMPUTED_VALUE"""),11.01)</f>
        <v>11.01</v>
      </c>
      <c r="E85" s="132" t="str">
        <f>IFERROR(__xludf.DUMMYFUNCTION("""COMPUTED_VALUE"""),"BL")</f>
        <v>BL</v>
      </c>
      <c r="F85" s="132">
        <f>IFERROR(__xludf.DUMMYFUNCTION("""COMPUTED_VALUE"""),2.202)</f>
        <v>2.202</v>
      </c>
      <c r="G85" s="132">
        <f>IFERROR(__xludf.DUMMYFUNCTION("""COMPUTED_VALUE"""),2.202)</f>
        <v>2.202</v>
      </c>
      <c r="H85" s="132">
        <f>IFERROR(__xludf.DUMMYFUNCTION("""COMPUTED_VALUE"""),1.0)</f>
        <v>1</v>
      </c>
      <c r="I85" s="132">
        <f>IFERROR(__xludf.DUMMYFUNCTION("""COMPUTED_VALUE"""),1.0)</f>
        <v>1</v>
      </c>
      <c r="J85" s="132">
        <f>IFERROR(__xludf.DUMMYFUNCTION("""COMPUTED_VALUE"""),1.0)</f>
        <v>1</v>
      </c>
      <c r="K85" s="132">
        <f>IFERROR(__xludf.DUMMYFUNCTION("""COMPUTED_VALUE"""),1.0)</f>
        <v>1</v>
      </c>
      <c r="L85" s="132"/>
      <c r="M85" s="132"/>
      <c r="N85" s="132">
        <f>IFERROR(__xludf.DUMMYFUNCTION("""COMPUTED_VALUE"""),1.0)</f>
        <v>1</v>
      </c>
      <c r="O85" s="132"/>
      <c r="P85" s="132"/>
      <c r="Q85" s="132"/>
      <c r="R85" s="132" t="str">
        <f>IFERROR(__xludf.DUMMYFUNCTION("""COMPUTED_VALUE"""),"Water")</f>
        <v>Water</v>
      </c>
      <c r="S85" s="132"/>
      <c r="T85" s="132">
        <f>IFERROR(__xludf.DUMMYFUNCTION("""COMPUTED_VALUE"""),0.0)</f>
        <v>0</v>
      </c>
      <c r="U85" s="132"/>
      <c r="V85" s="132"/>
      <c r="W85" s="132"/>
      <c r="X85" s="132"/>
      <c r="Y85" s="132"/>
      <c r="Z85" s="132"/>
    </row>
    <row r="86">
      <c r="A86" s="133">
        <f>IFERROR(__xludf.DUMMYFUNCTION("""COMPUTED_VALUE"""),45440.0)</f>
        <v>45440</v>
      </c>
      <c r="B86" s="132" t="str">
        <f>IFERROR(__xludf.DUMMYFUNCTION("""COMPUTED_VALUE"""),"Foody")</f>
        <v>Foody</v>
      </c>
      <c r="C86" s="132" t="str">
        <f>IFERROR(__xludf.DUMMYFUNCTION("""COMPUTED_VALUE"""),"食物")</f>
        <v>食物</v>
      </c>
      <c r="D86" s="132">
        <f>IFERROR(__xludf.DUMMYFUNCTION("""COMPUTED_VALUE"""),13.78)</f>
        <v>13.78</v>
      </c>
      <c r="E86" s="132" t="str">
        <f>IFERROR(__xludf.DUMMYFUNCTION("""COMPUTED_VALUE"""),"BL")</f>
        <v>BL</v>
      </c>
      <c r="F86" s="132">
        <f>IFERROR(__xludf.DUMMYFUNCTION("""COMPUTED_VALUE"""),2.756)</f>
        <v>2.756</v>
      </c>
      <c r="G86" s="132">
        <f>IFERROR(__xludf.DUMMYFUNCTION("""COMPUTED_VALUE"""),2.756)</f>
        <v>2.756</v>
      </c>
      <c r="H86" s="132">
        <f>IFERROR(__xludf.DUMMYFUNCTION("""COMPUTED_VALUE"""),1.0)</f>
        <v>1</v>
      </c>
      <c r="I86" s="132">
        <f>IFERROR(__xludf.DUMMYFUNCTION("""COMPUTED_VALUE"""),1.0)</f>
        <v>1</v>
      </c>
      <c r="J86" s="132">
        <f>IFERROR(__xludf.DUMMYFUNCTION("""COMPUTED_VALUE"""),1.0)</f>
        <v>1</v>
      </c>
      <c r="K86" s="132">
        <f>IFERROR(__xludf.DUMMYFUNCTION("""COMPUTED_VALUE"""),1.0)</f>
        <v>1</v>
      </c>
      <c r="L86" s="132"/>
      <c r="M86" s="132">
        <f>IFERROR(__xludf.DUMMYFUNCTION("""COMPUTED_VALUE"""),1.0)</f>
        <v>1</v>
      </c>
      <c r="N86" s="132"/>
      <c r="O86" s="132"/>
      <c r="P86" s="132"/>
      <c r="Q86" s="132"/>
      <c r="R86" s="132" t="str">
        <f>IFERROR(__xludf.DUMMYFUNCTION("""COMPUTED_VALUE"""),"Heat")</f>
        <v>Heat</v>
      </c>
      <c r="S86" s="132">
        <f>IFERROR(__xludf.DUMMYFUNCTION("""COMPUTED_VALUE"""),91.03)</f>
        <v>91.03</v>
      </c>
      <c r="T86" s="132">
        <f>IFERROR(__xludf.DUMMYFUNCTION("""COMPUTED_VALUE"""),18.206)</f>
        <v>18.206</v>
      </c>
      <c r="U86" s="132" t="str">
        <f>IFERROR(__xludf.DUMMYFUNCTION("""COMPUTED_VALUE"""),"Paid")</f>
        <v>Paid</v>
      </c>
      <c r="V86" s="132" t="str">
        <f>IFERROR(__xludf.DUMMYFUNCTION("""COMPUTED_VALUE"""),"Paid")</f>
        <v>Paid</v>
      </c>
      <c r="W86" s="132" t="str">
        <f>IFERROR(__xludf.DUMMYFUNCTION("""COMPUTED_VALUE"""),"Paid")</f>
        <v>Paid</v>
      </c>
      <c r="X86" s="132" t="str">
        <f>IFERROR(__xludf.DUMMYFUNCTION("""COMPUTED_VALUE"""),"Paid")</f>
        <v>Paid</v>
      </c>
      <c r="Y86" s="132" t="str">
        <f>IFERROR(__xludf.DUMMYFUNCTION("""COMPUTED_VALUE"""),"Paid")</f>
        <v>Paid</v>
      </c>
      <c r="Z86" s="132"/>
    </row>
    <row r="87">
      <c r="A87" s="133">
        <f>IFERROR(__xludf.DUMMYFUNCTION("""COMPUTED_VALUE"""),45440.0)</f>
        <v>45440</v>
      </c>
      <c r="B87" s="132" t="str">
        <f>IFERROR(__xludf.DUMMYFUNCTION("""COMPUTED_VALUE"""),"Dinner")</f>
        <v>Dinner</v>
      </c>
      <c r="C87" s="132" t="str">
        <f>IFERROR(__xludf.DUMMYFUNCTION("""COMPUTED_VALUE"""),"食物")</f>
        <v>食物</v>
      </c>
      <c r="D87" s="132">
        <f>IFERROR(__xludf.DUMMYFUNCTION("""COMPUTED_VALUE"""),6.0455)</f>
        <v>6.0455</v>
      </c>
      <c r="E87" s="132" t="str">
        <f>IFERROR(__xludf.DUMMYFUNCTION("""COMPUTED_VALUE"""),"Pigskin")</f>
        <v>Pigskin</v>
      </c>
      <c r="F87" s="132">
        <f>IFERROR(__xludf.DUMMYFUNCTION("""COMPUTED_VALUE"""),1.2090999999999998)</f>
        <v>1.2091</v>
      </c>
      <c r="G87" s="132">
        <f>IFERROR(__xludf.DUMMYFUNCTION("""COMPUTED_VALUE"""),1.2090999999999998)</f>
        <v>1.2091</v>
      </c>
      <c r="H87" s="132">
        <f>IFERROR(__xludf.DUMMYFUNCTION("""COMPUTED_VALUE"""),1.0)</f>
        <v>1</v>
      </c>
      <c r="I87" s="132">
        <f>IFERROR(__xludf.DUMMYFUNCTION("""COMPUTED_VALUE"""),1.0)</f>
        <v>1</v>
      </c>
      <c r="J87" s="132">
        <f>IFERROR(__xludf.DUMMYFUNCTION("""COMPUTED_VALUE"""),1.0)</f>
        <v>1</v>
      </c>
      <c r="K87" s="132">
        <f>IFERROR(__xludf.DUMMYFUNCTION("""COMPUTED_VALUE"""),1.0)</f>
        <v>1</v>
      </c>
      <c r="L87" s="132"/>
      <c r="M87" s="132">
        <f>IFERROR(__xludf.DUMMYFUNCTION("""COMPUTED_VALUE"""),1.0)</f>
        <v>1</v>
      </c>
      <c r="N87" s="132"/>
      <c r="O87" s="132"/>
      <c r="P87" s="132"/>
      <c r="Q87" s="132"/>
      <c r="R87" s="132" t="str">
        <f>IFERROR(__xludf.DUMMYFUNCTION("""COMPUTED_VALUE"""),"Electricity")</f>
        <v>Electricity</v>
      </c>
      <c r="S87" s="132">
        <f>IFERROR(__xludf.DUMMYFUNCTION("""COMPUTED_VALUE"""),122.11)</f>
        <v>122.11</v>
      </c>
      <c r="T87" s="132">
        <f>IFERROR(__xludf.DUMMYFUNCTION("""COMPUTED_VALUE"""),24.422)</f>
        <v>24.422</v>
      </c>
      <c r="U87" s="132" t="str">
        <f>IFERROR(__xludf.DUMMYFUNCTION("""COMPUTED_VALUE"""),"Paid")</f>
        <v>Paid</v>
      </c>
      <c r="V87" s="132" t="str">
        <f>IFERROR(__xludf.DUMMYFUNCTION("""COMPUTED_VALUE"""),"Paid")</f>
        <v>Paid</v>
      </c>
      <c r="W87" s="132" t="str">
        <f>IFERROR(__xludf.DUMMYFUNCTION("""COMPUTED_VALUE"""),"Paid")</f>
        <v>Paid</v>
      </c>
      <c r="X87" s="132" t="str">
        <f>IFERROR(__xludf.DUMMYFUNCTION("""COMPUTED_VALUE"""),"Paid")</f>
        <v>Paid</v>
      </c>
      <c r="Y87" s="132" t="str">
        <f>IFERROR(__xludf.DUMMYFUNCTION("""COMPUTED_VALUE"""),"Paid")</f>
        <v>Paid</v>
      </c>
      <c r="Z87" s="132"/>
    </row>
    <row r="88">
      <c r="A88" s="133">
        <f>IFERROR(__xludf.DUMMYFUNCTION("""COMPUTED_VALUE"""),45440.0)</f>
        <v>45440</v>
      </c>
      <c r="B88" s="132" t="str">
        <f>IFERROR(__xludf.DUMMYFUNCTION("""COMPUTED_VALUE"""),"tnt")</f>
        <v>tnt</v>
      </c>
      <c r="C88" s="132" t="str">
        <f>IFERROR(__xludf.DUMMYFUNCTION("""COMPUTED_VALUE"""),"食物")</f>
        <v>食物</v>
      </c>
      <c r="D88" s="132">
        <f>IFERROR(__xludf.DUMMYFUNCTION("""COMPUTED_VALUE"""),60.4145)</f>
        <v>60.4145</v>
      </c>
      <c r="E88" s="132" t="str">
        <f>IFERROR(__xludf.DUMMYFUNCTION("""COMPUTED_VALUE"""),"Pigskin")</f>
        <v>Pigskin</v>
      </c>
      <c r="F88" s="132">
        <f>IFERROR(__xludf.DUMMYFUNCTION("""COMPUTED_VALUE"""),15.103625)</f>
        <v>15.103625</v>
      </c>
      <c r="G88" s="132">
        <f>IFERROR(__xludf.DUMMYFUNCTION("""COMPUTED_VALUE"""),15.103625)</f>
        <v>15.103625</v>
      </c>
      <c r="H88" s="132">
        <f>IFERROR(__xludf.DUMMYFUNCTION("""COMPUTED_VALUE"""),1.0)</f>
        <v>1</v>
      </c>
      <c r="I88" s="132">
        <f>IFERROR(__xludf.DUMMYFUNCTION("""COMPUTED_VALUE"""),1.0)</f>
        <v>1</v>
      </c>
      <c r="J88" s="132">
        <f>IFERROR(__xludf.DUMMYFUNCTION("""COMPUTED_VALUE"""),1.0)</f>
        <v>1</v>
      </c>
      <c r="K88" s="132">
        <f>IFERROR(__xludf.DUMMYFUNCTION("""COMPUTED_VALUE"""),1.0)</f>
        <v>1</v>
      </c>
      <c r="L88" s="132"/>
      <c r="M88" s="132"/>
      <c r="N88" s="132"/>
      <c r="O88" s="132"/>
      <c r="P88" s="132"/>
      <c r="Q88" s="132"/>
      <c r="R88" s="132" t="str">
        <f>IFERROR(__xludf.DUMMYFUNCTION("""COMPUTED_VALUE"""),"Internet")</f>
        <v>Internet</v>
      </c>
      <c r="S88" s="132">
        <f>IFERROR(__xludf.DUMMYFUNCTION("""COMPUTED_VALUE"""),56.5)</f>
        <v>56.5</v>
      </c>
      <c r="T88" s="132">
        <f>IFERROR(__xludf.DUMMYFUNCTION("""COMPUTED_VALUE"""),11.3)</f>
        <v>11.3</v>
      </c>
      <c r="U88" s="132" t="str">
        <f>IFERROR(__xludf.DUMMYFUNCTION("""COMPUTED_VALUE"""),"Paid")</f>
        <v>Paid</v>
      </c>
      <c r="V88" s="132" t="str">
        <f>IFERROR(__xludf.DUMMYFUNCTION("""COMPUTED_VALUE"""),"Paid")</f>
        <v>Paid</v>
      </c>
      <c r="W88" s="132" t="str">
        <f>IFERROR(__xludf.DUMMYFUNCTION("""COMPUTED_VALUE"""),"Paid")</f>
        <v>Paid</v>
      </c>
      <c r="X88" s="132" t="str">
        <f>IFERROR(__xludf.DUMMYFUNCTION("""COMPUTED_VALUE"""),"Paid")</f>
        <v>Paid</v>
      </c>
      <c r="Y88" s="132" t="str">
        <f>IFERROR(__xludf.DUMMYFUNCTION("""COMPUTED_VALUE"""),"Paid")</f>
        <v>Paid</v>
      </c>
      <c r="Z88" s="132"/>
    </row>
    <row r="89">
      <c r="A89" s="136">
        <f>IFERROR(__xludf.DUMMYFUNCTION("""COMPUTED_VALUE"""),45441.0)</f>
        <v>45441</v>
      </c>
      <c r="B89" s="132" t="str">
        <f>IFERROR(__xludf.DUMMYFUNCTION("""COMPUTED_VALUE"""),"Foody")</f>
        <v>Foody</v>
      </c>
      <c r="C89" s="132" t="str">
        <f>IFERROR(__xludf.DUMMYFUNCTION("""COMPUTED_VALUE"""),"食物")</f>
        <v>食物</v>
      </c>
      <c r="D89" s="132">
        <f>IFERROR(__xludf.DUMMYFUNCTION("""COMPUTED_VALUE"""),47.79)</f>
        <v>47.79</v>
      </c>
      <c r="E89" s="132" t="str">
        <f>IFERROR(__xludf.DUMMYFUNCTION("""COMPUTED_VALUE"""),"Pigskin")</f>
        <v>Pigskin</v>
      </c>
      <c r="F89" s="132">
        <f>IFERROR(__xludf.DUMMYFUNCTION("""COMPUTED_VALUE"""),11.9475)</f>
        <v>11.9475</v>
      </c>
      <c r="G89" s="132">
        <f>IFERROR(__xludf.DUMMYFUNCTION("""COMPUTED_VALUE"""),11.9475)</f>
        <v>11.9475</v>
      </c>
      <c r="H89" s="132">
        <f>IFERROR(__xludf.DUMMYFUNCTION("""COMPUTED_VALUE"""),1.0)</f>
        <v>1</v>
      </c>
      <c r="I89" s="132">
        <f>IFERROR(__xludf.DUMMYFUNCTION("""COMPUTED_VALUE"""),1.0)</f>
        <v>1</v>
      </c>
      <c r="J89" s="132">
        <f>IFERROR(__xludf.DUMMYFUNCTION("""COMPUTED_VALUE"""),1.0)</f>
        <v>1</v>
      </c>
      <c r="K89" s="132">
        <f>IFERROR(__xludf.DUMMYFUNCTION("""COMPUTED_VALUE"""),1.0)</f>
        <v>1</v>
      </c>
      <c r="L89" s="132"/>
      <c r="M89" s="132"/>
      <c r="N89" s="132"/>
      <c r="O89" s="132"/>
      <c r="P89" s="132"/>
      <c r="Q89" s="132"/>
      <c r="R89" s="132"/>
      <c r="S89" s="132">
        <f>IFERROR(__xludf.DUMMYFUNCTION("""COMPUTED_VALUE"""),269.64)</f>
        <v>269.64</v>
      </c>
      <c r="T89" s="132">
        <f>IFERROR(__xludf.DUMMYFUNCTION("""COMPUTED_VALUE"""),53.928)</f>
        <v>53.928</v>
      </c>
      <c r="U89" s="132"/>
      <c r="V89" s="132"/>
      <c r="W89" s="132"/>
      <c r="X89" s="132"/>
      <c r="Y89" s="132"/>
      <c r="Z89" s="132"/>
    </row>
    <row r="90">
      <c r="A90" s="133">
        <f>IFERROR(__xludf.DUMMYFUNCTION("""COMPUTED_VALUE"""),45441.0)</f>
        <v>45441</v>
      </c>
      <c r="B90" s="132" t="str">
        <f>IFERROR(__xludf.DUMMYFUNCTION("""COMPUTED_VALUE"""),"MC")</f>
        <v>MC</v>
      </c>
      <c r="C90" s="132" t="str">
        <f>IFERROR(__xludf.DUMMYFUNCTION("""COMPUTED_VALUE"""),"食物")</f>
        <v>食物</v>
      </c>
      <c r="D90" s="132">
        <f>IFERROR(__xludf.DUMMYFUNCTION("""COMPUTED_VALUE"""),6.7687)</f>
        <v>6.7687</v>
      </c>
      <c r="E90" s="132" t="str">
        <f>IFERROR(__xludf.DUMMYFUNCTION("""COMPUTED_VALUE"""),"Pigskin")</f>
        <v>Pigskin</v>
      </c>
      <c r="F90" s="132">
        <f>IFERROR(__xludf.DUMMYFUNCTION("""COMPUTED_VALUE"""),6.7687)</f>
        <v>6.7687</v>
      </c>
      <c r="G90" s="132">
        <f>IFERROR(__xludf.DUMMYFUNCTION("""COMPUTED_VALUE"""),6.7687)</f>
        <v>6.7687</v>
      </c>
      <c r="H90" s="132"/>
      <c r="I90" s="132"/>
      <c r="J90" s="132"/>
      <c r="K90" s="132"/>
      <c r="L90" s="132"/>
      <c r="M90" s="132"/>
      <c r="N90" s="132">
        <f>IFERROR(__xludf.DUMMYFUNCTION("""COMPUTED_VALUE"""),1.0)</f>
        <v>1</v>
      </c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3">
        <f>IFERROR(__xludf.DUMMYFUNCTION("""COMPUTED_VALUE"""),45441.0)</f>
        <v>45441</v>
      </c>
      <c r="B91" s="132" t="str">
        <f>IFERROR(__xludf.DUMMYFUNCTION("""COMPUTED_VALUE"""),"MC")</f>
        <v>MC</v>
      </c>
      <c r="C91" s="132"/>
      <c r="D91" s="132">
        <f>IFERROR(__xludf.DUMMYFUNCTION("""COMPUTED_VALUE"""),8.249)</f>
        <v>8.249</v>
      </c>
      <c r="E91" s="132" t="str">
        <f>IFERROR(__xludf.DUMMYFUNCTION("""COMPUTED_VALUE"""),"Pigskin")</f>
        <v>Pigskin</v>
      </c>
      <c r="F91" s="132">
        <f>IFERROR(__xludf.DUMMYFUNCTION("""COMPUTED_VALUE"""),8.249)</f>
        <v>8.249</v>
      </c>
      <c r="G91" s="132">
        <f>IFERROR(__xludf.DUMMYFUNCTION("""COMPUTED_VALUE"""),8.249)</f>
        <v>8.249</v>
      </c>
      <c r="H91" s="132"/>
      <c r="I91" s="132"/>
      <c r="J91" s="132">
        <f>IFERROR(__xludf.DUMMYFUNCTION("""COMPUTED_VALUE"""),1.0)</f>
        <v>1</v>
      </c>
      <c r="K91" s="132"/>
      <c r="L91" s="132"/>
      <c r="M91" s="132"/>
      <c r="N91" s="132"/>
      <c r="O91" s="132"/>
      <c r="P91" s="132"/>
      <c r="Q91" s="134">
        <f>IFERROR(__xludf.DUMMYFUNCTION("""COMPUTED_VALUE"""),45474.0)</f>
        <v>45474</v>
      </c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3">
        <f>IFERROR(__xludf.DUMMYFUNCTION("""COMPUTED_VALUE"""),45442.0)</f>
        <v>45442</v>
      </c>
      <c r="B92" s="132" t="str">
        <f>IFERROR(__xludf.DUMMYFUNCTION("""COMPUTED_VALUE"""),"Curry dinner")</f>
        <v>Curry dinner</v>
      </c>
      <c r="C92" s="132" t="str">
        <f>IFERROR(__xludf.DUMMYFUNCTION("""COMPUTED_VALUE"""),"食物")</f>
        <v>食物</v>
      </c>
      <c r="D92" s="132">
        <f>IFERROR(__xludf.DUMMYFUNCTION("""COMPUTED_VALUE"""),67.1)</f>
        <v>67.1</v>
      </c>
      <c r="E92" s="132" t="str">
        <f>IFERROR(__xludf.DUMMYFUNCTION("""COMPUTED_VALUE"""),"BL")</f>
        <v>BL</v>
      </c>
      <c r="F92" s="132">
        <f>IFERROR(__xludf.DUMMYFUNCTION("""COMPUTED_VALUE"""),13.419999999999998)</f>
        <v>13.42</v>
      </c>
      <c r="G92" s="132">
        <f>IFERROR(__xludf.DUMMYFUNCTION("""COMPUTED_VALUE"""),13.419999999999998)</f>
        <v>13.42</v>
      </c>
      <c r="H92" s="132">
        <f>IFERROR(__xludf.DUMMYFUNCTION("""COMPUTED_VALUE"""),1.0)</f>
        <v>1</v>
      </c>
      <c r="I92" s="132">
        <f>IFERROR(__xludf.DUMMYFUNCTION("""COMPUTED_VALUE"""),1.0)</f>
        <v>1</v>
      </c>
      <c r="J92" s="132">
        <f>IFERROR(__xludf.DUMMYFUNCTION("""COMPUTED_VALUE"""),1.0)</f>
        <v>1</v>
      </c>
      <c r="K92" s="132">
        <f>IFERROR(__xludf.DUMMYFUNCTION("""COMPUTED_VALUE"""),1.0)</f>
        <v>1</v>
      </c>
      <c r="L92" s="132"/>
      <c r="M92" s="132"/>
      <c r="N92" s="132">
        <f>IFERROR(__xludf.DUMMYFUNCTION("""COMPUTED_VALUE"""),1.0)</f>
        <v>1</v>
      </c>
      <c r="O92" s="132"/>
      <c r="P92" s="132"/>
      <c r="Q92" s="132"/>
      <c r="R92" s="132" t="str">
        <f>IFERROR(__xludf.DUMMYFUNCTION("""COMPUTED_VALUE"""),"Water")</f>
        <v>Water</v>
      </c>
      <c r="S92" s="132"/>
      <c r="T92" s="132">
        <f>IFERROR(__xludf.DUMMYFUNCTION("""COMPUTED_VALUE"""),0.0)</f>
        <v>0</v>
      </c>
      <c r="U92" s="132"/>
      <c r="V92" s="132"/>
      <c r="W92" s="132"/>
      <c r="X92" s="132"/>
      <c r="Y92" s="132"/>
      <c r="Z92" s="132"/>
    </row>
    <row r="93">
      <c r="A93" s="136">
        <f>IFERROR(__xludf.DUMMYFUNCTION("""COMPUTED_VALUE"""),45443.0)</f>
        <v>45443</v>
      </c>
      <c r="B93" s="132" t="str">
        <f>IFERROR(__xludf.DUMMYFUNCTION("""COMPUTED_VALUE"""),"BBq")</f>
        <v>BBq</v>
      </c>
      <c r="C93" s="132" t="str">
        <f>IFERROR(__xludf.DUMMYFUNCTION("""COMPUTED_VALUE"""),"食物")</f>
        <v>食物</v>
      </c>
      <c r="D93" s="132">
        <f>IFERROR(__xludf.DUMMYFUNCTION("""COMPUTED_VALUE"""),45.8617)</f>
        <v>45.8617</v>
      </c>
      <c r="E93" s="132" t="str">
        <f>IFERROR(__xludf.DUMMYFUNCTION("""COMPUTED_VALUE"""),"Timothy")</f>
        <v>Timothy</v>
      </c>
      <c r="F93" s="132">
        <f>IFERROR(__xludf.DUMMYFUNCTION("""COMPUTED_VALUE"""),5.7327125)</f>
        <v>5.7327125</v>
      </c>
      <c r="G93" s="132">
        <f>IFERROR(__xludf.DUMMYFUNCTION("""COMPUTED_VALUE"""),5.7327125)</f>
        <v>5.7327125</v>
      </c>
      <c r="H93" s="132">
        <f>IFERROR(__xludf.DUMMYFUNCTION("""COMPUTED_VALUE"""),1.0)</f>
        <v>1</v>
      </c>
      <c r="I93" s="132">
        <f>IFERROR(__xludf.DUMMYFUNCTION("""COMPUTED_VALUE"""),1.0)</f>
        <v>1</v>
      </c>
      <c r="J93" s="132">
        <f>IFERROR(__xludf.DUMMYFUNCTION("""COMPUTED_VALUE"""),1.0)</f>
        <v>1</v>
      </c>
      <c r="K93" s="132">
        <f>IFERROR(__xludf.DUMMYFUNCTION("""COMPUTED_VALUE"""),1.0)</f>
        <v>1</v>
      </c>
      <c r="L93" s="132"/>
      <c r="M93" s="132">
        <f>IFERROR(__xludf.DUMMYFUNCTION("""COMPUTED_VALUE"""),1.0)</f>
        <v>1</v>
      </c>
      <c r="N93" s="132">
        <f>IFERROR(__xludf.DUMMYFUNCTION("""COMPUTED_VALUE"""),1.0)</f>
        <v>1</v>
      </c>
      <c r="O93" s="132"/>
      <c r="P93" s="132"/>
      <c r="Q93" s="132"/>
      <c r="R93" s="132" t="str">
        <f>IFERROR(__xludf.DUMMYFUNCTION("""COMPUTED_VALUE"""),"Heat")</f>
        <v>Heat</v>
      </c>
      <c r="S93" s="132">
        <f>IFERROR(__xludf.DUMMYFUNCTION("""COMPUTED_VALUE"""),101.27)</f>
        <v>101.27</v>
      </c>
      <c r="T93" s="132">
        <f>IFERROR(__xludf.DUMMYFUNCTION("""COMPUTED_VALUE"""),20.253999999999998)</f>
        <v>20.254</v>
      </c>
      <c r="U93" s="132" t="str">
        <f>IFERROR(__xludf.DUMMYFUNCTION("""COMPUTED_VALUE"""),"Paid")</f>
        <v>Paid</v>
      </c>
      <c r="V93" s="132" t="str">
        <f>IFERROR(__xludf.DUMMYFUNCTION("""COMPUTED_VALUE"""),"Paid")</f>
        <v>Paid</v>
      </c>
      <c r="W93" s="132" t="str">
        <f>IFERROR(__xludf.DUMMYFUNCTION("""COMPUTED_VALUE"""),"Paid")</f>
        <v>Paid</v>
      </c>
      <c r="X93" s="132" t="str">
        <f>IFERROR(__xludf.DUMMYFUNCTION("""COMPUTED_VALUE"""),"Paid")</f>
        <v>Paid</v>
      </c>
      <c r="Y93" s="132" t="str">
        <f>IFERROR(__xludf.DUMMYFUNCTION("""COMPUTED_VALUE"""),"Paid")</f>
        <v>Paid</v>
      </c>
      <c r="Z93" s="132"/>
    </row>
    <row r="94">
      <c r="A94" s="136">
        <f>IFERROR(__xludf.DUMMYFUNCTION("""COMPUTED_VALUE"""),45443.0)</f>
        <v>45443</v>
      </c>
      <c r="B94" s="132" t="str">
        <f>IFERROR(__xludf.DUMMYFUNCTION("""COMPUTED_VALUE"""),"Neck meat")</f>
        <v>Neck meat</v>
      </c>
      <c r="C94" s="132" t="str">
        <f>IFERROR(__xludf.DUMMYFUNCTION("""COMPUTED_VALUE"""),"食物")</f>
        <v>食物</v>
      </c>
      <c r="D94" s="132">
        <f>IFERROR(__xludf.DUMMYFUNCTION("""COMPUTED_VALUE"""),17.825)</f>
        <v>17.825</v>
      </c>
      <c r="E94" s="132" t="str">
        <f>IFERROR(__xludf.DUMMYFUNCTION("""COMPUTED_VALUE"""),"Timothy")</f>
        <v>Timothy</v>
      </c>
      <c r="F94" s="132">
        <f>IFERROR(__xludf.DUMMYFUNCTION("""COMPUTED_VALUE"""),3.565)</f>
        <v>3.565</v>
      </c>
      <c r="G94" s="132">
        <f>IFERROR(__xludf.DUMMYFUNCTION("""COMPUTED_VALUE"""),3.565)</f>
        <v>3.565</v>
      </c>
      <c r="H94" s="132">
        <f>IFERROR(__xludf.DUMMYFUNCTION("""COMPUTED_VALUE"""),1.0)</f>
        <v>1</v>
      </c>
      <c r="I94" s="132">
        <f>IFERROR(__xludf.DUMMYFUNCTION("""COMPUTED_VALUE"""),1.0)</f>
        <v>1</v>
      </c>
      <c r="J94" s="132">
        <f>IFERROR(__xludf.DUMMYFUNCTION("""COMPUTED_VALUE"""),1.0)</f>
        <v>1</v>
      </c>
      <c r="K94" s="132">
        <f>IFERROR(__xludf.DUMMYFUNCTION("""COMPUTED_VALUE"""),1.0)</f>
        <v>1</v>
      </c>
      <c r="L94" s="132"/>
      <c r="M94" s="132"/>
      <c r="N94" s="132">
        <f>IFERROR(__xludf.DUMMYFUNCTION("""COMPUTED_VALUE"""),1.0)</f>
        <v>1</v>
      </c>
      <c r="O94" s="132"/>
      <c r="P94" s="132"/>
      <c r="Q94" s="132"/>
      <c r="R94" s="132" t="str">
        <f>IFERROR(__xludf.DUMMYFUNCTION("""COMPUTED_VALUE"""),"Electricity")</f>
        <v>Electricity</v>
      </c>
      <c r="S94" s="132">
        <f>IFERROR(__xludf.DUMMYFUNCTION("""COMPUTED_VALUE"""),170.93)</f>
        <v>170.93</v>
      </c>
      <c r="T94" s="132">
        <f>IFERROR(__xludf.DUMMYFUNCTION("""COMPUTED_VALUE"""),34.186)</f>
        <v>34.186</v>
      </c>
      <c r="U94" s="132" t="str">
        <f>IFERROR(__xludf.DUMMYFUNCTION("""COMPUTED_VALUE"""),"Paid")</f>
        <v>Paid</v>
      </c>
      <c r="V94" s="132" t="str">
        <f>IFERROR(__xludf.DUMMYFUNCTION("""COMPUTED_VALUE"""),"Paid")</f>
        <v>Paid</v>
      </c>
      <c r="W94" s="132" t="str">
        <f>IFERROR(__xludf.DUMMYFUNCTION("""COMPUTED_VALUE"""),"Paid")</f>
        <v>Paid</v>
      </c>
      <c r="X94" s="132" t="str">
        <f>IFERROR(__xludf.DUMMYFUNCTION("""COMPUTED_VALUE"""),"Paid")</f>
        <v>Paid</v>
      </c>
      <c r="Y94" s="132" t="str">
        <f>IFERROR(__xludf.DUMMYFUNCTION("""COMPUTED_VALUE"""),"Paid")</f>
        <v>Paid</v>
      </c>
      <c r="Z94" s="132"/>
    </row>
    <row r="95">
      <c r="A95" s="136">
        <f>IFERROR(__xludf.DUMMYFUNCTION("""COMPUTED_VALUE"""),45443.0)</f>
        <v>45443</v>
      </c>
      <c r="B95" s="132" t="str">
        <f>IFERROR(__xludf.DUMMYFUNCTION("""COMPUTED_VALUE"""),"BBq")</f>
        <v>BBq</v>
      </c>
      <c r="C95" s="132" t="str">
        <f>IFERROR(__xludf.DUMMYFUNCTION("""COMPUTED_VALUE"""),"食物")</f>
        <v>食物</v>
      </c>
      <c r="D95" s="132">
        <f>IFERROR(__xludf.DUMMYFUNCTION("""COMPUTED_VALUE"""),30.0987)</f>
        <v>30.0987</v>
      </c>
      <c r="E95" s="132" t="str">
        <f>IFERROR(__xludf.DUMMYFUNCTION("""COMPUTED_VALUE"""),"Pigskin")</f>
        <v>Pigskin</v>
      </c>
      <c r="F95" s="132">
        <f>IFERROR(__xludf.DUMMYFUNCTION("""COMPUTED_VALUE"""),3.7623375)</f>
        <v>3.7623375</v>
      </c>
      <c r="G95" s="132">
        <f>IFERROR(__xludf.DUMMYFUNCTION("""COMPUTED_VALUE"""),3.7623375)</f>
        <v>3.7623375</v>
      </c>
      <c r="H95" s="132">
        <f>IFERROR(__xludf.DUMMYFUNCTION("""COMPUTED_VALUE"""),1.0)</f>
        <v>1</v>
      </c>
      <c r="I95" s="132">
        <f>IFERROR(__xludf.DUMMYFUNCTION("""COMPUTED_VALUE"""),1.0)</f>
        <v>1</v>
      </c>
      <c r="J95" s="132">
        <f>IFERROR(__xludf.DUMMYFUNCTION("""COMPUTED_VALUE"""),1.0)</f>
        <v>1</v>
      </c>
      <c r="K95" s="132">
        <f>IFERROR(__xludf.DUMMYFUNCTION("""COMPUTED_VALUE"""),1.0)</f>
        <v>1</v>
      </c>
      <c r="L95" s="132"/>
      <c r="M95" s="132">
        <f>IFERROR(__xludf.DUMMYFUNCTION("""COMPUTED_VALUE"""),1.0)</f>
        <v>1</v>
      </c>
      <c r="N95" s="132">
        <f>IFERROR(__xludf.DUMMYFUNCTION("""COMPUTED_VALUE"""),1.0)</f>
        <v>1</v>
      </c>
      <c r="O95" s="132"/>
      <c r="P95" s="132"/>
      <c r="Q95" s="132"/>
      <c r="R95" s="132" t="str">
        <f>IFERROR(__xludf.DUMMYFUNCTION("""COMPUTED_VALUE"""),"Internet")</f>
        <v>Internet</v>
      </c>
      <c r="S95" s="132">
        <f>IFERROR(__xludf.DUMMYFUNCTION("""COMPUTED_VALUE"""),56.5)</f>
        <v>56.5</v>
      </c>
      <c r="T95" s="132">
        <f>IFERROR(__xludf.DUMMYFUNCTION("""COMPUTED_VALUE"""),11.3)</f>
        <v>11.3</v>
      </c>
      <c r="U95" s="132" t="str">
        <f>IFERROR(__xludf.DUMMYFUNCTION("""COMPUTED_VALUE"""),"Paid")</f>
        <v>Paid</v>
      </c>
      <c r="V95" s="132" t="str">
        <f>IFERROR(__xludf.DUMMYFUNCTION("""COMPUTED_VALUE"""),"Paid")</f>
        <v>Paid</v>
      </c>
      <c r="W95" s="132" t="str">
        <f>IFERROR(__xludf.DUMMYFUNCTION("""COMPUTED_VALUE"""),"Paid")</f>
        <v>Paid</v>
      </c>
      <c r="X95" s="132" t="str">
        <f>IFERROR(__xludf.DUMMYFUNCTION("""COMPUTED_VALUE"""),"Paid")</f>
        <v>Paid</v>
      </c>
      <c r="Y95" s="132" t="str">
        <f>IFERROR(__xludf.DUMMYFUNCTION("""COMPUTED_VALUE"""),"Paid")</f>
        <v>Paid</v>
      </c>
      <c r="Z95" s="132"/>
    </row>
    <row r="96">
      <c r="A96" s="133">
        <f>IFERROR(__xludf.DUMMYFUNCTION("""COMPUTED_VALUE"""),45443.0)</f>
        <v>45443</v>
      </c>
      <c r="B96" s="132" t="str">
        <f>IFERROR(__xludf.DUMMYFUNCTION("""COMPUTED_VALUE"""),"Du shao yue")</f>
        <v>Du shao yue</v>
      </c>
      <c r="C96" s="132" t="str">
        <f>IFERROR(__xludf.DUMMYFUNCTION("""COMPUTED_VALUE"""),"食物")</f>
        <v>食物</v>
      </c>
      <c r="D96" s="132">
        <f>IFERROR(__xludf.DUMMYFUNCTION("""COMPUTED_VALUE"""),35.01)</f>
        <v>35.01</v>
      </c>
      <c r="E96" s="132" t="str">
        <f>IFERROR(__xludf.DUMMYFUNCTION("""COMPUTED_VALUE"""),"Rachel")</f>
        <v>Rachel</v>
      </c>
      <c r="F96" s="132">
        <f>IFERROR(__xludf.DUMMYFUNCTION("""COMPUTED_VALUE"""),17.505)</f>
        <v>17.505</v>
      </c>
      <c r="G96" s="132">
        <f>IFERROR(__xludf.DUMMYFUNCTION("""COMPUTED_VALUE"""),17.505)</f>
        <v>17.505</v>
      </c>
      <c r="H96" s="132"/>
      <c r="I96" s="132">
        <f>IFERROR(__xludf.DUMMYFUNCTION("""COMPUTED_VALUE"""),1.0)</f>
        <v>1</v>
      </c>
      <c r="J96" s="132"/>
      <c r="K96" s="132">
        <f>IFERROR(__xludf.DUMMYFUNCTION("""COMPUTED_VALUE"""),1.0)</f>
        <v>1</v>
      </c>
      <c r="L96" s="132"/>
      <c r="M96" s="132"/>
      <c r="N96" s="132"/>
      <c r="O96" s="132"/>
      <c r="P96" s="132"/>
      <c r="Q96" s="132"/>
      <c r="R96" s="132"/>
      <c r="S96" s="132">
        <f>IFERROR(__xludf.DUMMYFUNCTION("""COMPUTED_VALUE"""),328.7)</f>
        <v>328.7</v>
      </c>
      <c r="T96" s="132">
        <f>IFERROR(__xludf.DUMMYFUNCTION("""COMPUTED_VALUE"""),65.74)</f>
        <v>65.74</v>
      </c>
      <c r="U96" s="132"/>
      <c r="V96" s="132"/>
      <c r="W96" s="132"/>
      <c r="X96" s="132"/>
      <c r="Y96" s="132"/>
      <c r="Z96" s="132"/>
    </row>
    <row r="97">
      <c r="A97" s="133">
        <f>IFERROR(__xludf.DUMMYFUNCTION("""COMPUTED_VALUE"""),45444.0)</f>
        <v>45444</v>
      </c>
      <c r="B97" s="132" t="str">
        <f>IFERROR(__xludf.DUMMYFUNCTION("""COMPUTED_VALUE"""),"BBQ")</f>
        <v>BBQ</v>
      </c>
      <c r="C97" s="132" t="str">
        <f>IFERROR(__xludf.DUMMYFUNCTION("""COMPUTED_VALUE"""),"食物")</f>
        <v>食物</v>
      </c>
      <c r="D97" s="132">
        <f>IFERROR(__xludf.DUMMYFUNCTION("""COMPUTED_VALUE"""),75.33000000000001)</f>
        <v>75.33</v>
      </c>
      <c r="E97" s="132" t="str">
        <f>IFERROR(__xludf.DUMMYFUNCTION("""COMPUTED_VALUE"""),"Pigskin")</f>
        <v>Pigskin</v>
      </c>
      <c r="F97" s="132">
        <f>IFERROR(__xludf.DUMMYFUNCTION("""COMPUTED_VALUE"""),9.416250000000002)</f>
        <v>9.41625</v>
      </c>
      <c r="G97" s="132">
        <f>IFERROR(__xludf.DUMMYFUNCTION("""COMPUTED_VALUE"""),9.416250000000002)</f>
        <v>9.41625</v>
      </c>
      <c r="H97" s="132">
        <f>IFERROR(__xludf.DUMMYFUNCTION("""COMPUTED_VALUE"""),1.0)</f>
        <v>1</v>
      </c>
      <c r="I97" s="132">
        <f>IFERROR(__xludf.DUMMYFUNCTION("""COMPUTED_VALUE"""),1.0)</f>
        <v>1</v>
      </c>
      <c r="J97" s="132">
        <f>IFERROR(__xludf.DUMMYFUNCTION("""COMPUTED_VALUE"""),1.0)</f>
        <v>1</v>
      </c>
      <c r="K97" s="132">
        <f>IFERROR(__xludf.DUMMYFUNCTION("""COMPUTED_VALUE"""),1.0)</f>
        <v>1</v>
      </c>
      <c r="L97" s="132"/>
      <c r="M97" s="132">
        <f>IFERROR(__xludf.DUMMYFUNCTION("""COMPUTED_VALUE"""),1.0)</f>
        <v>1</v>
      </c>
      <c r="N97" s="132">
        <f>IFERROR(__xludf.DUMMYFUNCTION("""COMPUTED_VALUE"""),1.0)</f>
        <v>1</v>
      </c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3">
        <f>IFERROR(__xludf.DUMMYFUNCTION("""COMPUTED_VALUE"""),45444.0)</f>
        <v>45444</v>
      </c>
      <c r="B98" s="132" t="str">
        <f>IFERROR(__xludf.DUMMYFUNCTION("""COMPUTED_VALUE"""),"BBq")</f>
        <v>BBq</v>
      </c>
      <c r="C98" s="132" t="str">
        <f>IFERROR(__xludf.DUMMYFUNCTION("""COMPUTED_VALUE"""),"食物")</f>
        <v>食物</v>
      </c>
      <c r="D98" s="132">
        <f>IFERROR(__xludf.DUMMYFUNCTION("""COMPUTED_VALUE"""),17.96)</f>
        <v>17.96</v>
      </c>
      <c r="E98" s="132" t="str">
        <f>IFERROR(__xludf.DUMMYFUNCTION("""COMPUTED_VALUE"""),"Pigskin")</f>
        <v>Pigskin</v>
      </c>
      <c r="F98" s="132">
        <f>IFERROR(__xludf.DUMMYFUNCTION("""COMPUTED_VALUE"""),3.592)</f>
        <v>3.592</v>
      </c>
      <c r="G98" s="132">
        <f>IFERROR(__xludf.DUMMYFUNCTION("""COMPUTED_VALUE"""),3.592)</f>
        <v>3.592</v>
      </c>
      <c r="H98" s="132">
        <f>IFERROR(__xludf.DUMMYFUNCTION("""COMPUTED_VALUE"""),1.0)</f>
        <v>1</v>
      </c>
      <c r="I98" s="132">
        <f>IFERROR(__xludf.DUMMYFUNCTION("""COMPUTED_VALUE"""),1.0)</f>
        <v>1</v>
      </c>
      <c r="J98" s="132">
        <f>IFERROR(__xludf.DUMMYFUNCTION("""COMPUTED_VALUE"""),1.0)</f>
        <v>1</v>
      </c>
      <c r="K98" s="132">
        <f>IFERROR(__xludf.DUMMYFUNCTION("""COMPUTED_VALUE"""),1.0)</f>
        <v>1</v>
      </c>
      <c r="L98" s="132"/>
      <c r="M98" s="132"/>
      <c r="N98" s="132">
        <f>IFERROR(__xludf.DUMMYFUNCTION("""COMPUTED_VALUE"""),1.0)</f>
        <v>1</v>
      </c>
      <c r="O98" s="132"/>
      <c r="P98" s="132"/>
      <c r="Q98" s="134">
        <f>IFERROR(__xludf.DUMMYFUNCTION("""COMPUTED_VALUE"""),45505.0)</f>
        <v>45505</v>
      </c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3">
        <f>IFERROR(__xludf.DUMMYFUNCTION("""COMPUTED_VALUE"""),45444.0)</f>
        <v>45444</v>
      </c>
      <c r="B99" s="132" t="str">
        <f>IFERROR(__xludf.DUMMYFUNCTION("""COMPUTED_VALUE"""),"BBq")</f>
        <v>BBq</v>
      </c>
      <c r="C99" s="132" t="str">
        <f>IFERROR(__xludf.DUMMYFUNCTION("""COMPUTED_VALUE"""),"食物")</f>
        <v>食物</v>
      </c>
      <c r="D99" s="132">
        <f>IFERROR(__xludf.DUMMYFUNCTION("""COMPUTED_VALUE"""),42.8948)</f>
        <v>42.8948</v>
      </c>
      <c r="E99" s="132" t="str">
        <f>IFERROR(__xludf.DUMMYFUNCTION("""COMPUTED_VALUE"""),"BL")</f>
        <v>BL</v>
      </c>
      <c r="F99" s="132">
        <f>IFERROR(__xludf.DUMMYFUNCTION("""COMPUTED_VALUE"""),6.127828571428571)</f>
        <v>6.127828571</v>
      </c>
      <c r="G99" s="132">
        <f>IFERROR(__xludf.DUMMYFUNCTION("""COMPUTED_VALUE"""),6.127828571428571)</f>
        <v>6.127828571</v>
      </c>
      <c r="H99" s="132">
        <f>IFERROR(__xludf.DUMMYFUNCTION("""COMPUTED_VALUE"""),1.0)</f>
        <v>1</v>
      </c>
      <c r="I99" s="132">
        <f>IFERROR(__xludf.DUMMYFUNCTION("""COMPUTED_VALUE"""),1.0)</f>
        <v>1</v>
      </c>
      <c r="J99" s="132">
        <f>IFERROR(__xludf.DUMMYFUNCTION("""COMPUTED_VALUE"""),1.0)</f>
        <v>1</v>
      </c>
      <c r="K99" s="132">
        <f>IFERROR(__xludf.DUMMYFUNCTION("""COMPUTED_VALUE"""),1.0)</f>
        <v>1</v>
      </c>
      <c r="L99" s="132"/>
      <c r="M99" s="132"/>
      <c r="N99" s="132">
        <f>IFERROR(__xludf.DUMMYFUNCTION("""COMPUTED_VALUE"""),1.0)</f>
        <v>1</v>
      </c>
      <c r="O99" s="132"/>
      <c r="P99" s="132"/>
      <c r="Q99" s="132"/>
      <c r="R99" s="132" t="str">
        <f>IFERROR(__xludf.DUMMYFUNCTION("""COMPUTED_VALUE"""),"Water (Pay by Rachel)")</f>
        <v>Water (Pay by Rachel)</v>
      </c>
      <c r="S99" s="132">
        <f>IFERROR(__xludf.DUMMYFUNCTION("""COMPUTED_VALUE"""),375.27)</f>
        <v>375.27</v>
      </c>
      <c r="T99" s="132">
        <f>IFERROR(__xludf.DUMMYFUNCTION("""COMPUTED_VALUE"""),75.054)</f>
        <v>75.054</v>
      </c>
      <c r="U99" s="132" t="str">
        <f>IFERROR(__xludf.DUMMYFUNCTION("""COMPUTED_VALUE"""),"Paid")</f>
        <v>Paid</v>
      </c>
      <c r="V99" s="132" t="str">
        <f>IFERROR(__xludf.DUMMYFUNCTION("""COMPUTED_VALUE"""),"Paid")</f>
        <v>Paid</v>
      </c>
      <c r="W99" s="132" t="str">
        <f>IFERROR(__xludf.DUMMYFUNCTION("""COMPUTED_VALUE"""),"Paid")</f>
        <v>Paid</v>
      </c>
      <c r="X99" s="132" t="str">
        <f>IFERROR(__xludf.DUMMYFUNCTION("""COMPUTED_VALUE"""),"Paid")</f>
        <v>Paid</v>
      </c>
      <c r="Y99" s="132" t="str">
        <f>IFERROR(__xludf.DUMMYFUNCTION("""COMPUTED_VALUE"""),"Paid")</f>
        <v>Paid</v>
      </c>
      <c r="Z99" s="132"/>
    </row>
    <row r="100">
      <c r="A100" s="133">
        <f>IFERROR(__xludf.DUMMYFUNCTION("""COMPUTED_VALUE"""),45444.0)</f>
        <v>45444</v>
      </c>
      <c r="B100" s="132" t="str">
        <f>IFERROR(__xludf.DUMMYFUNCTION("""COMPUTED_VALUE"""),"Costco")</f>
        <v>Costco</v>
      </c>
      <c r="C100" s="132"/>
      <c r="D100" s="132">
        <f>IFERROR(__xludf.DUMMYFUNCTION("""COMPUTED_VALUE"""),67.59)</f>
        <v>67.59</v>
      </c>
      <c r="E100" s="132" t="str">
        <f>IFERROR(__xludf.DUMMYFUNCTION("""COMPUTED_VALUE"""),"Timothy")</f>
        <v>Timothy</v>
      </c>
      <c r="F100" s="132">
        <f>IFERROR(__xludf.DUMMYFUNCTION("""COMPUTED_VALUE"""),67.59)</f>
        <v>67.59</v>
      </c>
      <c r="G100" s="132">
        <f>IFERROR(__xludf.DUMMYFUNCTION("""COMPUTED_VALUE"""),67.59)</f>
        <v>67.59</v>
      </c>
      <c r="H100" s="132"/>
      <c r="I100" s="132"/>
      <c r="J100" s="132"/>
      <c r="K100" s="132"/>
      <c r="L100" s="132"/>
      <c r="M100" s="132">
        <f>IFERROR(__xludf.DUMMYFUNCTION("""COMPUTED_VALUE"""),1.0)</f>
        <v>1</v>
      </c>
      <c r="N100" s="132"/>
      <c r="O100" s="132"/>
      <c r="P100" s="132"/>
      <c r="Q100" s="132"/>
      <c r="R100" s="132" t="str">
        <f>IFERROR(__xludf.DUMMYFUNCTION("""COMPUTED_VALUE"""),"Heat")</f>
        <v>Heat</v>
      </c>
      <c r="S100" s="132">
        <f>IFERROR(__xludf.DUMMYFUNCTION("""COMPUTED_VALUE"""),47.34)</f>
        <v>47.34</v>
      </c>
      <c r="T100" s="132">
        <f>IFERROR(__xludf.DUMMYFUNCTION("""COMPUTED_VALUE"""),9.468)</f>
        <v>9.468</v>
      </c>
      <c r="U100" s="132" t="str">
        <f>IFERROR(__xludf.DUMMYFUNCTION("""COMPUTED_VALUE"""),"Paid")</f>
        <v>Paid</v>
      </c>
      <c r="V100" s="132" t="str">
        <f>IFERROR(__xludf.DUMMYFUNCTION("""COMPUTED_VALUE"""),"Paid")</f>
        <v>Paid</v>
      </c>
      <c r="W100" s="132" t="str">
        <f>IFERROR(__xludf.DUMMYFUNCTION("""COMPUTED_VALUE"""),"Paid")</f>
        <v>Paid</v>
      </c>
      <c r="X100" s="132" t="str">
        <f>IFERROR(__xludf.DUMMYFUNCTION("""COMPUTED_VALUE"""),"Paid")</f>
        <v>Paid</v>
      </c>
      <c r="Y100" s="132" t="str">
        <f>IFERROR(__xludf.DUMMYFUNCTION("""COMPUTED_VALUE"""),"Paid")</f>
        <v>Paid</v>
      </c>
      <c r="Z100" s="132"/>
    </row>
    <row r="101">
      <c r="A101" s="133">
        <f>IFERROR(__xludf.DUMMYFUNCTION("""COMPUTED_VALUE"""),45444.0)</f>
        <v>45444</v>
      </c>
      <c r="B101" s="132" t="str">
        <f>IFERROR(__xludf.DUMMYFUNCTION("""COMPUTED_VALUE"""),"BBQ")</f>
        <v>BBQ</v>
      </c>
      <c r="C101" s="132" t="str">
        <f>IFERROR(__xludf.DUMMYFUNCTION("""COMPUTED_VALUE"""),"食物")</f>
        <v>食物</v>
      </c>
      <c r="D101" s="132">
        <f>IFERROR(__xludf.DUMMYFUNCTION("""COMPUTED_VALUE"""),23.03)</f>
        <v>23.03</v>
      </c>
      <c r="E101" s="132" t="str">
        <f>IFERROR(__xludf.DUMMYFUNCTION("""COMPUTED_VALUE"""),"Timothy")</f>
        <v>Timothy</v>
      </c>
      <c r="F101" s="132">
        <f>IFERROR(__xludf.DUMMYFUNCTION("""COMPUTED_VALUE"""),2.87875)</f>
        <v>2.87875</v>
      </c>
      <c r="G101" s="132">
        <f>IFERROR(__xludf.DUMMYFUNCTION("""COMPUTED_VALUE"""),2.87875)</f>
        <v>2.87875</v>
      </c>
      <c r="H101" s="132">
        <f>IFERROR(__xludf.DUMMYFUNCTION("""COMPUTED_VALUE"""),1.0)</f>
        <v>1</v>
      </c>
      <c r="I101" s="132">
        <f>IFERROR(__xludf.DUMMYFUNCTION("""COMPUTED_VALUE"""),1.0)</f>
        <v>1</v>
      </c>
      <c r="J101" s="132">
        <f>IFERROR(__xludf.DUMMYFUNCTION("""COMPUTED_VALUE"""),1.0)</f>
        <v>1</v>
      </c>
      <c r="K101" s="132">
        <f>IFERROR(__xludf.DUMMYFUNCTION("""COMPUTED_VALUE"""),1.0)</f>
        <v>1</v>
      </c>
      <c r="L101" s="132"/>
      <c r="M101" s="132">
        <f>IFERROR(__xludf.DUMMYFUNCTION("""COMPUTED_VALUE"""),1.0)</f>
        <v>1</v>
      </c>
      <c r="N101" s="132">
        <f>IFERROR(__xludf.DUMMYFUNCTION("""COMPUTED_VALUE"""),1.0)</f>
        <v>1</v>
      </c>
      <c r="O101" s="132"/>
      <c r="P101" s="132"/>
      <c r="Q101" s="132"/>
      <c r="R101" s="132" t="str">
        <f>IFERROR(__xludf.DUMMYFUNCTION("""COMPUTED_VALUE"""),"Electricity")</f>
        <v>Electricity</v>
      </c>
      <c r="S101" s="132">
        <f>IFERROR(__xludf.DUMMYFUNCTION("""COMPUTED_VALUE"""),208.04)</f>
        <v>208.04</v>
      </c>
      <c r="T101" s="132">
        <f>IFERROR(__xludf.DUMMYFUNCTION("""COMPUTED_VALUE"""),41.608)</f>
        <v>41.608</v>
      </c>
      <c r="U101" s="132" t="str">
        <f>IFERROR(__xludf.DUMMYFUNCTION("""COMPUTED_VALUE"""),"Paid")</f>
        <v>Paid</v>
      </c>
      <c r="V101" s="132" t="str">
        <f>IFERROR(__xludf.DUMMYFUNCTION("""COMPUTED_VALUE"""),"Paid")</f>
        <v>Paid</v>
      </c>
      <c r="W101" s="132" t="str">
        <f>IFERROR(__xludf.DUMMYFUNCTION("""COMPUTED_VALUE"""),"Paid")</f>
        <v>Paid</v>
      </c>
      <c r="X101" s="132" t="str">
        <f>IFERROR(__xludf.DUMMYFUNCTION("""COMPUTED_VALUE"""),"Paid")</f>
        <v>Paid</v>
      </c>
      <c r="Y101" s="132" t="str">
        <f>IFERROR(__xludf.DUMMYFUNCTION("""COMPUTED_VALUE"""),"Paid")</f>
        <v>Paid</v>
      </c>
      <c r="Z101" s="132"/>
    </row>
    <row r="102">
      <c r="A102" s="133">
        <f>IFERROR(__xludf.DUMMYFUNCTION("""COMPUTED_VALUE"""),45444.0)</f>
        <v>45444</v>
      </c>
      <c r="B102" s="132" t="str">
        <f>IFERROR(__xludf.DUMMYFUNCTION("""COMPUTED_VALUE"""),"Costco")</f>
        <v>Costco</v>
      </c>
      <c r="C102" s="132" t="str">
        <f>IFERROR(__xludf.DUMMYFUNCTION("""COMPUTED_VALUE"""),"食物")</f>
        <v>食物</v>
      </c>
      <c r="D102" s="132">
        <f>IFERROR(__xludf.DUMMYFUNCTION("""COMPUTED_VALUE"""),31.43)</f>
        <v>31.43</v>
      </c>
      <c r="E102" s="132" t="str">
        <f>IFERROR(__xludf.DUMMYFUNCTION("""COMPUTED_VALUE"""),"Timothy")</f>
        <v>Timothy</v>
      </c>
      <c r="F102" s="132">
        <f>IFERROR(__xludf.DUMMYFUNCTION("""COMPUTED_VALUE"""),6.286)</f>
        <v>6.286</v>
      </c>
      <c r="G102" s="132">
        <f>IFERROR(__xludf.DUMMYFUNCTION("""COMPUTED_VALUE"""),6.286)</f>
        <v>6.286</v>
      </c>
      <c r="H102" s="132">
        <f>IFERROR(__xludf.DUMMYFUNCTION("""COMPUTED_VALUE"""),1.0)</f>
        <v>1</v>
      </c>
      <c r="I102" s="132">
        <f>IFERROR(__xludf.DUMMYFUNCTION("""COMPUTED_VALUE"""),1.0)</f>
        <v>1</v>
      </c>
      <c r="J102" s="132">
        <f>IFERROR(__xludf.DUMMYFUNCTION("""COMPUTED_VALUE"""),1.0)</f>
        <v>1</v>
      </c>
      <c r="K102" s="132">
        <f>IFERROR(__xludf.DUMMYFUNCTION("""COMPUTED_VALUE"""),1.0)</f>
        <v>1</v>
      </c>
      <c r="L102" s="132"/>
      <c r="M102" s="132"/>
      <c r="N102" s="132">
        <f>IFERROR(__xludf.DUMMYFUNCTION("""COMPUTED_VALUE"""),1.0)</f>
        <v>1</v>
      </c>
      <c r="O102" s="132"/>
      <c r="P102" s="132"/>
      <c r="Q102" s="132"/>
      <c r="R102" s="132" t="str">
        <f>IFERROR(__xludf.DUMMYFUNCTION("""COMPUTED_VALUE"""),"Internet")</f>
        <v>Internet</v>
      </c>
      <c r="S102" s="132">
        <f>IFERROR(__xludf.DUMMYFUNCTION("""COMPUTED_VALUE"""),56.5)</f>
        <v>56.5</v>
      </c>
      <c r="T102" s="132">
        <f>IFERROR(__xludf.DUMMYFUNCTION("""COMPUTED_VALUE"""),11.3)</f>
        <v>11.3</v>
      </c>
      <c r="U102" s="132" t="str">
        <f>IFERROR(__xludf.DUMMYFUNCTION("""COMPUTED_VALUE"""),"Paid")</f>
        <v>Paid</v>
      </c>
      <c r="V102" s="132" t="str">
        <f>IFERROR(__xludf.DUMMYFUNCTION("""COMPUTED_VALUE"""),"Paid")</f>
        <v>Paid</v>
      </c>
      <c r="W102" s="132" t="str">
        <f>IFERROR(__xludf.DUMMYFUNCTION("""COMPUTED_VALUE"""),"Paid")</f>
        <v>Paid</v>
      </c>
      <c r="X102" s="132" t="str">
        <f>IFERROR(__xludf.DUMMYFUNCTION("""COMPUTED_VALUE"""),"Paid")</f>
        <v>Paid</v>
      </c>
      <c r="Y102" s="132" t="str">
        <f>IFERROR(__xludf.DUMMYFUNCTION("""COMPUTED_VALUE"""),"Paid")</f>
        <v>Paid</v>
      </c>
      <c r="Z102" s="132"/>
    </row>
    <row r="103">
      <c r="A103" s="132" t="str">
        <f>IFERROR(__xludf.DUMMYFUNCTION("""COMPUTED_VALUE"""),"1/6/")</f>
        <v>1/6/</v>
      </c>
      <c r="B103" s="132" t="str">
        <f>IFERROR(__xludf.DUMMYFUNCTION("""COMPUTED_VALUE"""),"BBQ")</f>
        <v>BBQ</v>
      </c>
      <c r="C103" s="132" t="str">
        <f>IFERROR(__xludf.DUMMYFUNCTION("""COMPUTED_VALUE"""),"食物")</f>
        <v>食物</v>
      </c>
      <c r="D103" s="132">
        <f>IFERROR(__xludf.DUMMYFUNCTION("""COMPUTED_VALUE"""),23.88)</f>
        <v>23.88</v>
      </c>
      <c r="E103" s="132" t="str">
        <f>IFERROR(__xludf.DUMMYFUNCTION("""COMPUTED_VALUE"""),"Pigskin")</f>
        <v>Pigskin</v>
      </c>
      <c r="F103" s="132">
        <f>IFERROR(__xludf.DUMMYFUNCTION("""COMPUTED_VALUE"""),2.985)</f>
        <v>2.985</v>
      </c>
      <c r="G103" s="132">
        <f>IFERROR(__xludf.DUMMYFUNCTION("""COMPUTED_VALUE"""),2.985)</f>
        <v>2.985</v>
      </c>
      <c r="H103" s="132">
        <f>IFERROR(__xludf.DUMMYFUNCTION("""COMPUTED_VALUE"""),1.0)</f>
        <v>1</v>
      </c>
      <c r="I103" s="132">
        <f>IFERROR(__xludf.DUMMYFUNCTION("""COMPUTED_VALUE"""),1.0)</f>
        <v>1</v>
      </c>
      <c r="J103" s="132">
        <f>IFERROR(__xludf.DUMMYFUNCTION("""COMPUTED_VALUE"""),1.0)</f>
        <v>1</v>
      </c>
      <c r="K103" s="132">
        <f>IFERROR(__xludf.DUMMYFUNCTION("""COMPUTED_VALUE"""),1.0)</f>
        <v>1</v>
      </c>
      <c r="L103" s="132"/>
      <c r="M103" s="132">
        <f>IFERROR(__xludf.DUMMYFUNCTION("""COMPUTED_VALUE"""),1.0)</f>
        <v>1</v>
      </c>
      <c r="N103" s="132">
        <f>IFERROR(__xludf.DUMMYFUNCTION("""COMPUTED_VALUE"""),1.0)</f>
        <v>1</v>
      </c>
      <c r="O103" s="132"/>
      <c r="P103" s="132"/>
      <c r="Q103" s="132"/>
      <c r="R103" s="132"/>
      <c r="S103" s="132">
        <f>IFERROR(__xludf.DUMMYFUNCTION("""COMPUTED_VALUE"""),687.15)</f>
        <v>687.15</v>
      </c>
      <c r="T103" s="132">
        <f>IFERROR(__xludf.DUMMYFUNCTION("""COMPUTED_VALUE"""),137.43)</f>
        <v>137.43</v>
      </c>
      <c r="U103" s="132"/>
      <c r="V103" s="132"/>
      <c r="W103" s="132"/>
      <c r="X103" s="132"/>
      <c r="Y103" s="132"/>
      <c r="Z103" s="132"/>
    </row>
    <row r="104">
      <c r="A104" s="133"/>
      <c r="B104" s="132" t="str">
        <f>IFERROR(__xludf.DUMMYFUNCTION("""COMPUTED_VALUE"""),"potato")</f>
        <v>potato</v>
      </c>
      <c r="C104" s="132" t="str">
        <f>IFERROR(__xludf.DUMMYFUNCTION("""COMPUTED_VALUE"""),"食物")</f>
        <v>食物</v>
      </c>
      <c r="D104" s="132">
        <f>IFERROR(__xludf.DUMMYFUNCTION("""COMPUTED_VALUE"""),7.99)</f>
        <v>7.99</v>
      </c>
      <c r="E104" s="132" t="str">
        <f>IFERROR(__xludf.DUMMYFUNCTION("""COMPUTED_VALUE"""),"BL")</f>
        <v>BL</v>
      </c>
      <c r="F104" s="132">
        <f>IFERROR(__xludf.DUMMYFUNCTION("""COMPUTED_VALUE"""),1.598)</f>
        <v>1.598</v>
      </c>
      <c r="G104" s="132">
        <f>IFERROR(__xludf.DUMMYFUNCTION("""COMPUTED_VALUE"""),1.598)</f>
        <v>1.598</v>
      </c>
      <c r="H104" s="132">
        <f>IFERROR(__xludf.DUMMYFUNCTION("""COMPUTED_VALUE"""),1.0)</f>
        <v>1</v>
      </c>
      <c r="I104" s="132">
        <f>IFERROR(__xludf.DUMMYFUNCTION("""COMPUTED_VALUE"""),1.0)</f>
        <v>1</v>
      </c>
      <c r="J104" s="132">
        <f>IFERROR(__xludf.DUMMYFUNCTION("""COMPUTED_VALUE"""),1.0)</f>
        <v>1</v>
      </c>
      <c r="K104" s="132">
        <f>IFERROR(__xludf.DUMMYFUNCTION("""COMPUTED_VALUE"""),1.0)</f>
        <v>1</v>
      </c>
      <c r="L104" s="132"/>
      <c r="M104" s="132"/>
      <c r="N104" s="132">
        <f>IFERROR(__xludf.DUMMYFUNCTION("""COMPUTED_VALUE"""),1.0)</f>
        <v>1</v>
      </c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3"/>
      <c r="B105" s="132" t="str">
        <f>IFERROR(__xludf.DUMMYFUNCTION("""COMPUTED_VALUE"""),"yogurt")</f>
        <v>yogurt</v>
      </c>
      <c r="C105" s="132" t="str">
        <f>IFERROR(__xludf.DUMMYFUNCTION("""COMPUTED_VALUE"""),"食物")</f>
        <v>食物</v>
      </c>
      <c r="D105" s="132">
        <f>IFERROR(__xludf.DUMMYFUNCTION("""COMPUTED_VALUE"""),12.99)</f>
        <v>12.99</v>
      </c>
      <c r="E105" s="132" t="str">
        <f>IFERROR(__xludf.DUMMYFUNCTION("""COMPUTED_VALUE"""),"BL")</f>
        <v>BL</v>
      </c>
      <c r="F105" s="132">
        <f>IFERROR(__xludf.DUMMYFUNCTION("""COMPUTED_VALUE"""),12.99)</f>
        <v>12.99</v>
      </c>
      <c r="G105" s="132">
        <f>IFERROR(__xludf.DUMMYFUNCTION("""COMPUTED_VALUE"""),12.99)</f>
        <v>12.99</v>
      </c>
      <c r="H105" s="132"/>
      <c r="I105" s="132"/>
      <c r="J105" s="132">
        <f>IFERROR(__xludf.DUMMYFUNCTION("""COMPUTED_VALUE"""),1.0)</f>
        <v>1</v>
      </c>
      <c r="K105" s="132"/>
      <c r="L105" s="132"/>
      <c r="M105" s="132"/>
      <c r="N105" s="132"/>
      <c r="O105" s="132"/>
      <c r="P105" s="132"/>
      <c r="Q105" s="134">
        <f>IFERROR(__xludf.DUMMYFUNCTION("""COMPUTED_VALUE"""),45536.0)</f>
        <v>45536</v>
      </c>
      <c r="R105" s="132" t="str">
        <f>IFERROR(__xludf.DUMMYFUNCTION("""COMPUTED_VALUE"""),"Water ")</f>
        <v>Water </v>
      </c>
      <c r="S105" s="132">
        <f>IFERROR(__xludf.DUMMYFUNCTION("""COMPUTED_VALUE"""),100.0)</f>
        <v>100</v>
      </c>
      <c r="T105" s="132" t="str">
        <f>IFERROR(__xludf.DUMMYFUNCTION("""COMPUTED_VALUE"""),"喺key deposit退咗")</f>
        <v>喺key deposit退咗</v>
      </c>
      <c r="U105" s="132" t="str">
        <f>IFERROR(__xludf.DUMMYFUNCTION("""COMPUTED_VALUE"""),"Paid")</f>
        <v>Paid</v>
      </c>
      <c r="V105" s="132" t="str">
        <f>IFERROR(__xludf.DUMMYFUNCTION("""COMPUTED_VALUE"""),"Paid")</f>
        <v>Paid</v>
      </c>
      <c r="W105" s="132" t="str">
        <f>IFERROR(__xludf.DUMMYFUNCTION("""COMPUTED_VALUE"""),"Paid")</f>
        <v>Paid</v>
      </c>
      <c r="X105" s="132" t="str">
        <f>IFERROR(__xludf.DUMMYFUNCTION("""COMPUTED_VALUE"""),"Paid")</f>
        <v>Paid</v>
      </c>
      <c r="Y105" s="132" t="str">
        <f>IFERROR(__xludf.DUMMYFUNCTION("""COMPUTED_VALUE"""),"Paid")</f>
        <v>Paid</v>
      </c>
      <c r="Z105" s="132"/>
    </row>
    <row r="106">
      <c r="A106" s="133"/>
      <c r="B106" s="132" t="str">
        <f>IFERROR(__xludf.DUMMYFUNCTION("""COMPUTED_VALUE"""),"breast")</f>
        <v>breast</v>
      </c>
      <c r="C106" s="132" t="str">
        <f>IFERROR(__xludf.DUMMYFUNCTION("""COMPUTED_VALUE"""),"食物")</f>
        <v>食物</v>
      </c>
      <c r="D106" s="135">
        <f>IFERROR(__xludf.DUMMYFUNCTION("""COMPUTED_VALUE"""),31.24)</f>
        <v>31.24</v>
      </c>
      <c r="E106" s="132" t="str">
        <f>IFERROR(__xludf.DUMMYFUNCTION("""COMPUTED_VALUE"""),"BL")</f>
        <v>BL</v>
      </c>
      <c r="F106" s="132">
        <f>IFERROR(__xludf.DUMMYFUNCTION("""COMPUTED_VALUE"""),31.24)</f>
        <v>31.24</v>
      </c>
      <c r="G106" s="132">
        <f>IFERROR(__xludf.DUMMYFUNCTION("""COMPUTED_VALUE"""),31.24)</f>
        <v>31.24</v>
      </c>
      <c r="H106" s="132"/>
      <c r="I106" s="132"/>
      <c r="J106" s="132"/>
      <c r="K106" s="132"/>
      <c r="L106" s="132">
        <f>IFERROR(__xludf.DUMMYFUNCTION("""COMPUTED_VALUE"""),1.0)</f>
        <v>1</v>
      </c>
      <c r="M106" s="132"/>
      <c r="N106" s="132"/>
      <c r="O106" s="132"/>
      <c r="P106" s="132"/>
      <c r="Q106" s="132"/>
      <c r="R106" s="132" t="str">
        <f>IFERROR(__xludf.DUMMYFUNCTION("""COMPUTED_VALUE"""),"Key deposit (退俾大家）")</f>
        <v>Key deposit (退俾大家）</v>
      </c>
      <c r="S106" s="132">
        <f>IFERROR(__xludf.DUMMYFUNCTION("""COMPUTED_VALUE"""),-900.0)</f>
        <v>-900</v>
      </c>
      <c r="T106" s="132">
        <f>IFERROR(__xludf.DUMMYFUNCTION("""COMPUTED_VALUE"""),-180.0)</f>
        <v>-180</v>
      </c>
      <c r="U106" s="132" t="str">
        <f>IFERROR(__xludf.DUMMYFUNCTION("""COMPUTED_VALUE"""),"Paid")</f>
        <v>Paid</v>
      </c>
      <c r="V106" s="132" t="str">
        <f>IFERROR(__xludf.DUMMYFUNCTION("""COMPUTED_VALUE"""),"Paid")</f>
        <v>Paid</v>
      </c>
      <c r="W106" s="132" t="str">
        <f>IFERROR(__xludf.DUMMYFUNCTION("""COMPUTED_VALUE"""),"Paid")</f>
        <v>Paid</v>
      </c>
      <c r="X106" s="132" t="str">
        <f>IFERROR(__xludf.DUMMYFUNCTION("""COMPUTED_VALUE"""),"Paid")</f>
        <v>Paid</v>
      </c>
      <c r="Y106" s="132" t="str">
        <f>IFERROR(__xludf.DUMMYFUNCTION("""COMPUTED_VALUE"""),"Paid")</f>
        <v>Paid</v>
      </c>
      <c r="Z106" s="132"/>
    </row>
    <row r="107">
      <c r="A107" s="133"/>
      <c r="B107" s="132" t="str">
        <f>IFERROR(__xludf.DUMMYFUNCTION("""COMPUTED_VALUE"""),"Scotties tissue")</f>
        <v>Scotties tissue</v>
      </c>
      <c r="C107" s="132" t="str">
        <f>IFERROR(__xludf.DUMMYFUNCTION("""COMPUTED_VALUE"""),"居家")</f>
        <v>居家</v>
      </c>
      <c r="D107" s="132">
        <f>IFERROR(__xludf.DUMMYFUNCTION("""COMPUTED_VALUE"""),28.238699999999994)</f>
        <v>28.2387</v>
      </c>
      <c r="E107" s="132" t="str">
        <f>IFERROR(__xludf.DUMMYFUNCTION("""COMPUTED_VALUE"""),"BL")</f>
        <v>BL</v>
      </c>
      <c r="F107" s="132">
        <f>IFERROR(__xludf.DUMMYFUNCTION("""COMPUTED_VALUE"""),5.647739999999999)</f>
        <v>5.64774</v>
      </c>
      <c r="G107" s="132">
        <f>IFERROR(__xludf.DUMMYFUNCTION("""COMPUTED_VALUE"""),5.647739999999999)</f>
        <v>5.64774</v>
      </c>
      <c r="H107" s="132">
        <f>IFERROR(__xludf.DUMMYFUNCTION("""COMPUTED_VALUE"""),1.0)</f>
        <v>1</v>
      </c>
      <c r="I107" s="132">
        <f>IFERROR(__xludf.DUMMYFUNCTION("""COMPUTED_VALUE"""),1.0)</f>
        <v>1</v>
      </c>
      <c r="J107" s="132">
        <f>IFERROR(__xludf.DUMMYFUNCTION("""COMPUTED_VALUE"""),1.0)</f>
        <v>1</v>
      </c>
      <c r="K107" s="132">
        <f>IFERROR(__xludf.DUMMYFUNCTION("""COMPUTED_VALUE"""),1.0)</f>
        <v>1</v>
      </c>
      <c r="L107" s="132"/>
      <c r="M107" s="132"/>
      <c r="N107" s="132">
        <f>IFERROR(__xludf.DUMMYFUNCTION("""COMPUTED_VALUE"""),1.0)</f>
        <v>1</v>
      </c>
      <c r="O107" s="132"/>
      <c r="P107" s="132"/>
      <c r="Q107" s="132"/>
      <c r="R107" s="132" t="str">
        <f>IFERROR(__xludf.DUMMYFUNCTION("""COMPUTED_VALUE"""),"Heat")</f>
        <v>Heat</v>
      </c>
      <c r="S107" s="132">
        <f>IFERROR(__xludf.DUMMYFUNCTION("""COMPUTED_VALUE"""),68.81)</f>
        <v>68.81</v>
      </c>
      <c r="T107" s="132">
        <f>IFERROR(__xludf.DUMMYFUNCTION("""COMPUTED_VALUE"""),13.762)</f>
        <v>13.762</v>
      </c>
      <c r="U107" s="132" t="str">
        <f>IFERROR(__xludf.DUMMYFUNCTION("""COMPUTED_VALUE"""),"Paid")</f>
        <v>Paid</v>
      </c>
      <c r="V107" s="132" t="str">
        <f>IFERROR(__xludf.DUMMYFUNCTION("""COMPUTED_VALUE"""),"Paid")</f>
        <v>Paid</v>
      </c>
      <c r="W107" s="132" t="str">
        <f>IFERROR(__xludf.DUMMYFUNCTION("""COMPUTED_VALUE"""),"Paid")</f>
        <v>Paid</v>
      </c>
      <c r="X107" s="132" t="str">
        <f>IFERROR(__xludf.DUMMYFUNCTION("""COMPUTED_VALUE"""),"Paid")</f>
        <v>Paid</v>
      </c>
      <c r="Y107" s="132" t="str">
        <f>IFERROR(__xludf.DUMMYFUNCTION("""COMPUTED_VALUE"""),"Paid")</f>
        <v>Paid</v>
      </c>
      <c r="Z107" s="132"/>
    </row>
    <row r="108">
      <c r="A108" s="133"/>
      <c r="B108" s="132" t="str">
        <f>IFERROR(__xludf.DUMMYFUNCTION("""COMPUTED_VALUE"""),"Olay")</f>
        <v>Olay</v>
      </c>
      <c r="C108" s="132" t="str">
        <f>IFERROR(__xludf.DUMMYFUNCTION("""COMPUTED_VALUE"""),"居家")</f>
        <v>居家</v>
      </c>
      <c r="D108" s="132">
        <f>IFERROR(__xludf.DUMMYFUNCTION("""COMPUTED_VALUE"""),18.0687)</f>
        <v>18.0687</v>
      </c>
      <c r="E108" s="132" t="str">
        <f>IFERROR(__xludf.DUMMYFUNCTION("""COMPUTED_VALUE"""),"BL")</f>
        <v>BL</v>
      </c>
      <c r="F108" s="132">
        <f>IFERROR(__xludf.DUMMYFUNCTION("""COMPUTED_VALUE"""),6.0229)</f>
        <v>6.0229</v>
      </c>
      <c r="G108" s="132">
        <f>IFERROR(__xludf.DUMMYFUNCTION("""COMPUTED_VALUE"""),6.0229)</f>
        <v>6.0229</v>
      </c>
      <c r="H108" s="132"/>
      <c r="I108" s="132"/>
      <c r="J108" s="132">
        <f>IFERROR(__xludf.DUMMYFUNCTION("""COMPUTED_VALUE"""),1.0)</f>
        <v>1</v>
      </c>
      <c r="K108" s="132">
        <f>IFERROR(__xludf.DUMMYFUNCTION("""COMPUTED_VALUE"""),1.0)</f>
        <v>1</v>
      </c>
      <c r="L108" s="132"/>
      <c r="M108" s="132"/>
      <c r="N108" s="132">
        <f>IFERROR(__xludf.DUMMYFUNCTION("""COMPUTED_VALUE"""),1.0)</f>
        <v>1</v>
      </c>
      <c r="O108" s="132"/>
      <c r="P108" s="132"/>
      <c r="Q108" s="132"/>
      <c r="R108" s="132" t="str">
        <f>IFERROR(__xludf.DUMMYFUNCTION("""COMPUTED_VALUE"""),"Electricity")</f>
        <v>Electricity</v>
      </c>
      <c r="S108" s="132">
        <f>IFERROR(__xludf.DUMMYFUNCTION("""COMPUTED_VALUE"""),185.28)</f>
        <v>185.28</v>
      </c>
      <c r="T108" s="132">
        <f>IFERROR(__xludf.DUMMYFUNCTION("""COMPUTED_VALUE"""),37.056)</f>
        <v>37.056</v>
      </c>
      <c r="U108" s="132" t="str">
        <f>IFERROR(__xludf.DUMMYFUNCTION("""COMPUTED_VALUE"""),"Paid")</f>
        <v>Paid</v>
      </c>
      <c r="V108" s="132" t="str">
        <f>IFERROR(__xludf.DUMMYFUNCTION("""COMPUTED_VALUE"""),"Paid")</f>
        <v>Paid</v>
      </c>
      <c r="W108" s="132" t="str">
        <f>IFERROR(__xludf.DUMMYFUNCTION("""COMPUTED_VALUE"""),"Paid")</f>
        <v>Paid</v>
      </c>
      <c r="X108" s="132" t="str">
        <f>IFERROR(__xludf.DUMMYFUNCTION("""COMPUTED_VALUE"""),"Paid")</f>
        <v>Paid</v>
      </c>
      <c r="Y108" s="132" t="str">
        <f>IFERROR(__xludf.DUMMYFUNCTION("""COMPUTED_VALUE"""),"Paid")</f>
        <v>Paid</v>
      </c>
      <c r="Z108" s="132"/>
    </row>
    <row r="109">
      <c r="A109" s="133"/>
      <c r="B109" s="132" t="str">
        <f>IFERROR(__xludf.DUMMYFUNCTION("""COMPUTED_VALUE"""),"Stawberry")</f>
        <v>Stawberry</v>
      </c>
      <c r="C109" s="132" t="str">
        <f>IFERROR(__xludf.DUMMYFUNCTION("""COMPUTED_VALUE"""),"食物")</f>
        <v>食物</v>
      </c>
      <c r="D109" s="132">
        <f>IFERROR(__xludf.DUMMYFUNCTION("""COMPUTED_VALUE"""),6.99)</f>
        <v>6.99</v>
      </c>
      <c r="E109" s="132" t="str">
        <f>IFERROR(__xludf.DUMMYFUNCTION("""COMPUTED_VALUE"""),"BL")</f>
        <v>BL</v>
      </c>
      <c r="F109" s="132">
        <f>IFERROR(__xludf.DUMMYFUNCTION("""COMPUTED_VALUE"""),1.3980000000000001)</f>
        <v>1.398</v>
      </c>
      <c r="G109" s="132">
        <f>IFERROR(__xludf.DUMMYFUNCTION("""COMPUTED_VALUE"""),1.3980000000000001)</f>
        <v>1.398</v>
      </c>
      <c r="H109" s="132">
        <f>IFERROR(__xludf.DUMMYFUNCTION("""COMPUTED_VALUE"""),1.0)</f>
        <v>1</v>
      </c>
      <c r="I109" s="132">
        <f>IFERROR(__xludf.DUMMYFUNCTION("""COMPUTED_VALUE"""),1.0)</f>
        <v>1</v>
      </c>
      <c r="J109" s="132">
        <f>IFERROR(__xludf.DUMMYFUNCTION("""COMPUTED_VALUE"""),1.0)</f>
        <v>1</v>
      </c>
      <c r="K109" s="132">
        <f>IFERROR(__xludf.DUMMYFUNCTION("""COMPUTED_VALUE"""),1.0)</f>
        <v>1</v>
      </c>
      <c r="L109" s="132"/>
      <c r="M109" s="132"/>
      <c r="N109" s="132">
        <f>IFERROR(__xludf.DUMMYFUNCTION("""COMPUTED_VALUE"""),1.0)</f>
        <v>1</v>
      </c>
      <c r="O109" s="132"/>
      <c r="P109" s="132"/>
      <c r="Q109" s="132"/>
      <c r="R109" s="132" t="str">
        <f>IFERROR(__xludf.DUMMYFUNCTION("""COMPUTED_VALUE"""),"Internet")</f>
        <v>Internet</v>
      </c>
      <c r="S109" s="132">
        <f>IFERROR(__xludf.DUMMYFUNCTION("""COMPUTED_VALUE"""),56.5)</f>
        <v>56.5</v>
      </c>
      <c r="T109" s="132">
        <f>IFERROR(__xludf.DUMMYFUNCTION("""COMPUTED_VALUE"""),11.3)</f>
        <v>11.3</v>
      </c>
      <c r="U109" s="132" t="str">
        <f>IFERROR(__xludf.DUMMYFUNCTION("""COMPUTED_VALUE"""),"Paid")</f>
        <v>Paid</v>
      </c>
      <c r="V109" s="132" t="str">
        <f>IFERROR(__xludf.DUMMYFUNCTION("""COMPUTED_VALUE"""),"Paid")</f>
        <v>Paid</v>
      </c>
      <c r="W109" s="132" t="str">
        <f>IFERROR(__xludf.DUMMYFUNCTION("""COMPUTED_VALUE"""),"Paid")</f>
        <v>Paid</v>
      </c>
      <c r="X109" s="132" t="str">
        <f>IFERROR(__xludf.DUMMYFUNCTION("""COMPUTED_VALUE"""),"Paid")</f>
        <v>Paid</v>
      </c>
      <c r="Y109" s="132" t="str">
        <f>IFERROR(__xludf.DUMMYFUNCTION("""COMPUTED_VALUE"""),"Paid")</f>
        <v>Paid</v>
      </c>
      <c r="Z109" s="132"/>
    </row>
    <row r="110">
      <c r="A110" s="133"/>
      <c r="B110" s="132" t="str">
        <f>IFERROR(__xludf.DUMMYFUNCTION("""COMPUTED_VALUE"""),"milk")</f>
        <v>milk</v>
      </c>
      <c r="C110" s="132" t="str">
        <f>IFERROR(__xludf.DUMMYFUNCTION("""COMPUTED_VALUE"""),"食物")</f>
        <v>食物</v>
      </c>
      <c r="D110" s="132">
        <f>IFERROR(__xludf.DUMMYFUNCTION("""COMPUTED_VALUE"""),6.9947)</f>
        <v>6.9947</v>
      </c>
      <c r="E110" s="132" t="str">
        <f>IFERROR(__xludf.DUMMYFUNCTION("""COMPUTED_VALUE"""),"BL")</f>
        <v>BL</v>
      </c>
      <c r="F110" s="132">
        <f>IFERROR(__xludf.DUMMYFUNCTION("""COMPUTED_VALUE"""),6.9947)</f>
        <v>6.9947</v>
      </c>
      <c r="G110" s="132">
        <f>IFERROR(__xludf.DUMMYFUNCTION("""COMPUTED_VALUE"""),6.9947)</f>
        <v>6.9947</v>
      </c>
      <c r="H110" s="132"/>
      <c r="I110" s="132"/>
      <c r="J110" s="132"/>
      <c r="K110" s="132"/>
      <c r="L110" s="132">
        <f>IFERROR(__xludf.DUMMYFUNCTION("""COMPUTED_VALUE"""),1.0)</f>
        <v>1</v>
      </c>
      <c r="M110" s="132"/>
      <c r="N110" s="132"/>
      <c r="O110" s="132"/>
      <c r="P110" s="132"/>
      <c r="Q110" s="132"/>
      <c r="R110" s="132"/>
      <c r="S110" s="132">
        <f>IFERROR(__xludf.DUMMYFUNCTION("""COMPUTED_VALUE"""),-489.4100000000001)</f>
        <v>-489.41</v>
      </c>
      <c r="T110" s="132">
        <f>IFERROR(__xludf.DUMMYFUNCTION("""COMPUTED_VALUE"""),-117.88200000000002)</f>
        <v>-117.882</v>
      </c>
      <c r="U110" s="132"/>
      <c r="V110" s="132"/>
      <c r="W110" s="132"/>
      <c r="X110" s="132"/>
      <c r="Y110" s="132"/>
      <c r="Z110" s="132"/>
    </row>
    <row r="111">
      <c r="A111" s="133"/>
      <c r="B111" s="132" t="str">
        <f>IFERROR(__xludf.DUMMYFUNCTION("""COMPUTED_VALUE"""),"yogurt")</f>
        <v>yogurt</v>
      </c>
      <c r="C111" s="132" t="str">
        <f>IFERROR(__xludf.DUMMYFUNCTION("""COMPUTED_VALUE"""),"食物")</f>
        <v>食物</v>
      </c>
      <c r="D111" s="132">
        <f>IFERROR(__xludf.DUMMYFUNCTION("""COMPUTED_VALUE"""),11.49)</f>
        <v>11.49</v>
      </c>
      <c r="E111" s="132" t="str">
        <f>IFERROR(__xludf.DUMMYFUNCTION("""COMPUTED_VALUE"""),"BL")</f>
        <v>BL</v>
      </c>
      <c r="F111" s="132">
        <f>IFERROR(__xludf.DUMMYFUNCTION("""COMPUTED_VALUE"""),11.49)</f>
        <v>11.49</v>
      </c>
      <c r="G111" s="132">
        <f>IFERROR(__xludf.DUMMYFUNCTION("""COMPUTED_VALUE"""),11.49)</f>
        <v>11.49</v>
      </c>
      <c r="H111" s="132"/>
      <c r="I111" s="132"/>
      <c r="J111" s="132"/>
      <c r="K111" s="132"/>
      <c r="L111" s="132">
        <f>IFERROR(__xludf.DUMMYFUNCTION("""COMPUTED_VALUE"""),1.0)</f>
        <v>1</v>
      </c>
      <c r="M111" s="132"/>
      <c r="N111" s="132"/>
      <c r="O111" s="132"/>
      <c r="P111" s="132"/>
      <c r="Q111" s="134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3"/>
      <c r="B112" s="132" t="str">
        <f>IFERROR(__xludf.DUMMYFUNCTION("""COMPUTED_VALUE"""),"egg")</f>
        <v>egg</v>
      </c>
      <c r="C112" s="132" t="str">
        <f>IFERROR(__xludf.DUMMYFUNCTION("""COMPUTED_VALUE"""),"食物")</f>
        <v>食物</v>
      </c>
      <c r="D112" s="135">
        <f>IFERROR(__xludf.DUMMYFUNCTION("""COMPUTED_VALUE"""),8.89)</f>
        <v>8.89</v>
      </c>
      <c r="E112" s="132" t="str">
        <f>IFERROR(__xludf.DUMMYFUNCTION("""COMPUTED_VALUE"""),"BL")</f>
        <v>BL</v>
      </c>
      <c r="F112" s="132">
        <f>IFERROR(__xludf.DUMMYFUNCTION("""COMPUTED_VALUE"""),8.89)</f>
        <v>8.89</v>
      </c>
      <c r="G112" s="132">
        <f>IFERROR(__xludf.DUMMYFUNCTION("""COMPUTED_VALUE"""),8.89)</f>
        <v>8.89</v>
      </c>
      <c r="H112" s="132"/>
      <c r="I112" s="132"/>
      <c r="J112" s="132"/>
      <c r="K112" s="132"/>
      <c r="L112" s="132">
        <f>IFERROR(__xludf.DUMMYFUNCTION("""COMPUTED_VALUE"""),1.0)</f>
        <v>1</v>
      </c>
      <c r="M112" s="132"/>
      <c r="N112" s="132"/>
      <c r="O112" s="132"/>
      <c r="P112" s="132"/>
      <c r="Q112" s="134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3"/>
      <c r="B113" s="132" t="str">
        <f>IFERROR(__xludf.DUMMYFUNCTION("""COMPUTED_VALUE"""),"yogurt")</f>
        <v>yogurt</v>
      </c>
      <c r="C113" s="132" t="str">
        <f>IFERROR(__xludf.DUMMYFUNCTION("""COMPUTED_VALUE"""),"食物")</f>
        <v>食物</v>
      </c>
      <c r="D113" s="132">
        <f>IFERROR(__xludf.DUMMYFUNCTION("""COMPUTED_VALUE"""),14.49)</f>
        <v>14.49</v>
      </c>
      <c r="E113" s="132" t="str">
        <f>IFERROR(__xludf.DUMMYFUNCTION("""COMPUTED_VALUE"""),"BL")</f>
        <v>BL</v>
      </c>
      <c r="F113" s="132">
        <f>IFERROR(__xludf.DUMMYFUNCTION("""COMPUTED_VALUE"""),4.83)</f>
        <v>4.83</v>
      </c>
      <c r="G113" s="132">
        <f>IFERROR(__xludf.DUMMYFUNCTION("""COMPUTED_VALUE"""),4.83)</f>
        <v>4.83</v>
      </c>
      <c r="H113" s="132"/>
      <c r="I113" s="132">
        <f>IFERROR(__xludf.DUMMYFUNCTION("""COMPUTED_VALUE"""),1.0)</f>
        <v>1</v>
      </c>
      <c r="J113" s="132">
        <f>IFERROR(__xludf.DUMMYFUNCTION("""COMPUTED_VALUE"""),1.0)</f>
        <v>1</v>
      </c>
      <c r="K113" s="132"/>
      <c r="L113" s="132"/>
      <c r="M113" s="132"/>
      <c r="N113" s="132">
        <f>IFERROR(__xludf.DUMMYFUNCTION("""COMPUTED_VALUE"""),1.0)</f>
        <v>1</v>
      </c>
      <c r="O113" s="132"/>
      <c r="P113" s="132"/>
      <c r="Q113" s="134">
        <f>IFERROR(__xludf.DUMMYFUNCTION("""COMPUTED_VALUE"""),45566.0)</f>
        <v>45566</v>
      </c>
      <c r="R113" s="132" t="str">
        <f>IFERROR(__xludf.DUMMYFUNCTION("""COMPUTED_VALUE"""),"Heat")</f>
        <v>Heat</v>
      </c>
      <c r="S113" s="132">
        <f>IFERROR(__xludf.DUMMYFUNCTION("""COMPUTED_VALUE"""),68.81)</f>
        <v>68.81</v>
      </c>
      <c r="T113" s="132">
        <f>IFERROR(__xludf.DUMMYFUNCTION("""COMPUTED_VALUE"""),11.468333333333334)</f>
        <v>11.46833333</v>
      </c>
      <c r="U113" s="132" t="str">
        <f>IFERROR(__xludf.DUMMYFUNCTION("""COMPUTED_VALUE"""),"Paid")</f>
        <v>Paid</v>
      </c>
      <c r="V113" s="132" t="str">
        <f>IFERROR(__xludf.DUMMYFUNCTION("""COMPUTED_VALUE"""),"Paid")</f>
        <v>Paid</v>
      </c>
      <c r="W113" s="132" t="str">
        <f>IFERROR(__xludf.DUMMYFUNCTION("""COMPUTED_VALUE"""),"Paid")</f>
        <v>Paid</v>
      </c>
      <c r="X113" s="132" t="str">
        <f>IFERROR(__xludf.DUMMYFUNCTION("""COMPUTED_VALUE"""),"Paid")</f>
        <v>Paid</v>
      </c>
      <c r="Y113" s="132" t="str">
        <f>IFERROR(__xludf.DUMMYFUNCTION("""COMPUTED_VALUE"""),"Paid")</f>
        <v>Paid</v>
      </c>
      <c r="Z113" s="132"/>
    </row>
    <row r="114">
      <c r="A114" s="133"/>
      <c r="B114" s="132" t="str">
        <f>IFERROR(__xludf.DUMMYFUNCTION("""COMPUTED_VALUE"""),"Coke")</f>
        <v>Coke</v>
      </c>
      <c r="C114" s="132" t="str">
        <f>IFERROR(__xludf.DUMMYFUNCTION("""COMPUTED_VALUE"""),"飲品")</f>
        <v>飲品</v>
      </c>
      <c r="D114" s="135">
        <f>IFERROR(__xludf.DUMMYFUNCTION("""COMPUTED_VALUE"""),12.8707)</f>
        <v>12.8707</v>
      </c>
      <c r="E114" s="132" t="str">
        <f>IFERROR(__xludf.DUMMYFUNCTION("""COMPUTED_VALUE"""),"BL")</f>
        <v>BL</v>
      </c>
      <c r="F114" s="132">
        <f>IFERROR(__xludf.DUMMYFUNCTION("""COMPUTED_VALUE"""),2.57414)</f>
        <v>2.57414</v>
      </c>
      <c r="G114" s="132">
        <f>IFERROR(__xludf.DUMMYFUNCTION("""COMPUTED_VALUE"""),2.57414)</f>
        <v>2.57414</v>
      </c>
      <c r="H114" s="132">
        <f>IFERROR(__xludf.DUMMYFUNCTION("""COMPUTED_VALUE"""),1.0)</f>
        <v>1</v>
      </c>
      <c r="I114" s="132">
        <f>IFERROR(__xludf.DUMMYFUNCTION("""COMPUTED_VALUE"""),1.0)</f>
        <v>1</v>
      </c>
      <c r="J114" s="132">
        <f>IFERROR(__xludf.DUMMYFUNCTION("""COMPUTED_VALUE"""),1.0)</f>
        <v>1</v>
      </c>
      <c r="K114" s="132">
        <f>IFERROR(__xludf.DUMMYFUNCTION("""COMPUTED_VALUE"""),1.0)</f>
        <v>1</v>
      </c>
      <c r="L114" s="132"/>
      <c r="M114" s="132"/>
      <c r="N114" s="132">
        <f>IFERROR(__xludf.DUMMYFUNCTION("""COMPUTED_VALUE"""),1.0)</f>
        <v>1</v>
      </c>
      <c r="O114" s="132"/>
      <c r="P114" s="132"/>
      <c r="Q114" s="132"/>
      <c r="R114" s="132" t="str">
        <f>IFERROR(__xludf.DUMMYFUNCTION("""COMPUTED_VALUE"""),"Electricity")</f>
        <v>Electricity</v>
      </c>
      <c r="S114" s="132">
        <f>IFERROR(__xludf.DUMMYFUNCTION("""COMPUTED_VALUE"""),128.04)</f>
        <v>128.04</v>
      </c>
      <c r="T114" s="132">
        <f>IFERROR(__xludf.DUMMYFUNCTION("""COMPUTED_VALUE"""),21.34)</f>
        <v>21.34</v>
      </c>
      <c r="U114" s="132" t="str">
        <f>IFERROR(__xludf.DUMMYFUNCTION("""COMPUTED_VALUE"""),"Paid")</f>
        <v>Paid</v>
      </c>
      <c r="V114" s="132" t="str">
        <f>IFERROR(__xludf.DUMMYFUNCTION("""COMPUTED_VALUE"""),"Paid")</f>
        <v>Paid</v>
      </c>
      <c r="W114" s="132" t="str">
        <f>IFERROR(__xludf.DUMMYFUNCTION("""COMPUTED_VALUE"""),"Paid")</f>
        <v>Paid</v>
      </c>
      <c r="X114" s="132" t="str">
        <f>IFERROR(__xludf.DUMMYFUNCTION("""COMPUTED_VALUE"""),"Paid")</f>
        <v>Paid</v>
      </c>
      <c r="Y114" s="132" t="str">
        <f>IFERROR(__xludf.DUMMYFUNCTION("""COMPUTED_VALUE"""),"Paid")</f>
        <v>Paid</v>
      </c>
      <c r="Z114" s="132"/>
    </row>
    <row r="115">
      <c r="A115" s="132"/>
      <c r="B115" s="132"/>
      <c r="C115" s="132"/>
      <c r="D115" s="132">
        <f>IFERROR(__xludf.DUMMYFUNCTION("""COMPUTED_VALUE"""),11.2774)</f>
        <v>11.2774</v>
      </c>
      <c r="E115" s="132" t="str">
        <f>IFERROR(__xludf.DUMMYFUNCTION("""COMPUTED_VALUE"""),"Pigskin")</f>
        <v>Pigskin</v>
      </c>
      <c r="F115" s="132">
        <f>IFERROR(__xludf.DUMMYFUNCTION("""COMPUTED_VALUE"""),11.2774)</f>
        <v>11.2774</v>
      </c>
      <c r="G115" s="132">
        <f>IFERROR(__xludf.DUMMYFUNCTION("""COMPUTED_VALUE"""),11.2774)</f>
        <v>11.2774</v>
      </c>
      <c r="H115" s="132"/>
      <c r="I115" s="132"/>
      <c r="J115" s="132"/>
      <c r="K115" s="132"/>
      <c r="L115" s="132"/>
      <c r="M115" s="132">
        <f>IFERROR(__xludf.DUMMYFUNCTION("""COMPUTED_VALUE"""),1.0)</f>
        <v>1</v>
      </c>
      <c r="N115" s="132"/>
      <c r="O115" s="132"/>
      <c r="P115" s="132"/>
      <c r="Q115" s="132"/>
      <c r="R115" s="132" t="str">
        <f>IFERROR(__xludf.DUMMYFUNCTION("""COMPUTED_VALUE"""),"Internet")</f>
        <v>Internet</v>
      </c>
      <c r="S115" s="132">
        <f>IFERROR(__xludf.DUMMYFUNCTION("""COMPUTED_VALUE"""),56.5)</f>
        <v>56.5</v>
      </c>
      <c r="T115" s="132">
        <f>IFERROR(__xludf.DUMMYFUNCTION("""COMPUTED_VALUE"""),9.416666666666666)</f>
        <v>9.416666667</v>
      </c>
      <c r="U115" s="132" t="str">
        <f>IFERROR(__xludf.DUMMYFUNCTION("""COMPUTED_VALUE"""),"Paid")</f>
        <v>Paid</v>
      </c>
      <c r="V115" s="132" t="str">
        <f>IFERROR(__xludf.DUMMYFUNCTION("""COMPUTED_VALUE"""),"Paid")</f>
        <v>Paid</v>
      </c>
      <c r="W115" s="132" t="str">
        <f>IFERROR(__xludf.DUMMYFUNCTION("""COMPUTED_VALUE"""),"Paid")</f>
        <v>Paid</v>
      </c>
      <c r="X115" s="132" t="str">
        <f>IFERROR(__xludf.DUMMYFUNCTION("""COMPUTED_VALUE"""),"Paid")</f>
        <v>Paid</v>
      </c>
      <c r="Y115" s="132" t="str">
        <f>IFERROR(__xludf.DUMMYFUNCTION("""COMPUTED_VALUE"""),"Paid")</f>
        <v>Paid</v>
      </c>
      <c r="Z115" s="132"/>
    </row>
    <row r="116">
      <c r="A116" s="133"/>
      <c r="B116" s="132" t="str">
        <f>IFERROR(__xludf.DUMMYFUNCTION("""COMPUTED_VALUE"""),"Othera")</f>
        <v>Othera</v>
      </c>
      <c r="C116" s="132" t="str">
        <f>IFERROR(__xludf.DUMMYFUNCTION("""COMPUTED_VALUE"""),"食物")</f>
        <v>食物</v>
      </c>
      <c r="D116" s="132">
        <f>IFERROR(__xludf.DUMMYFUNCTION("""COMPUTED_VALUE"""),12.1387)</f>
        <v>12.1387</v>
      </c>
      <c r="E116" s="132" t="str">
        <f>IFERROR(__xludf.DUMMYFUNCTION("""COMPUTED_VALUE"""),"Pigskin")</f>
        <v>Pigskin</v>
      </c>
      <c r="F116" s="132">
        <f>IFERROR(__xludf.DUMMYFUNCTION("""COMPUTED_VALUE"""),2.42774)</f>
        <v>2.42774</v>
      </c>
      <c r="G116" s="132">
        <f>IFERROR(__xludf.DUMMYFUNCTION("""COMPUTED_VALUE"""),2.42774)</f>
        <v>2.42774</v>
      </c>
      <c r="H116" s="132">
        <f>IFERROR(__xludf.DUMMYFUNCTION("""COMPUTED_VALUE"""),1.0)</f>
        <v>1</v>
      </c>
      <c r="I116" s="132">
        <f>IFERROR(__xludf.DUMMYFUNCTION("""COMPUTED_VALUE"""),1.0)</f>
        <v>1</v>
      </c>
      <c r="J116" s="132">
        <f>IFERROR(__xludf.DUMMYFUNCTION("""COMPUTED_VALUE"""),1.0)</f>
        <v>1</v>
      </c>
      <c r="K116" s="132">
        <f>IFERROR(__xludf.DUMMYFUNCTION("""COMPUTED_VALUE"""),1.0)</f>
        <v>1</v>
      </c>
      <c r="L116" s="132"/>
      <c r="M116" s="132"/>
      <c r="N116" s="132">
        <f>IFERROR(__xludf.DUMMYFUNCTION("""COMPUTED_VALUE"""),1.0)</f>
        <v>1</v>
      </c>
      <c r="O116" s="132"/>
      <c r="P116" s="132"/>
      <c r="Q116" s="132"/>
      <c r="R116" s="132" t="str">
        <f>IFERROR(__xludf.DUMMYFUNCTION("""COMPUTED_VALUE"""),"Rent for 2 months")</f>
        <v>Rent for 2 months</v>
      </c>
      <c r="S116" s="132">
        <f>IFERROR(__xludf.DUMMYFUNCTION("""COMPUTED_VALUE"""),7800.0)</f>
        <v>7800</v>
      </c>
      <c r="T116" s="132">
        <f>IFERROR(__xludf.DUMMYFUNCTION("""COMPUTED_VALUE"""),1300.0)</f>
        <v>1300</v>
      </c>
      <c r="U116" s="132" t="str">
        <f>IFERROR(__xludf.DUMMYFUNCTION("""COMPUTED_VALUE"""),"Paid")</f>
        <v>Paid</v>
      </c>
      <c r="V116" s="132" t="str">
        <f>IFERROR(__xludf.DUMMYFUNCTION("""COMPUTED_VALUE"""),"Paid")</f>
        <v>Paid</v>
      </c>
      <c r="W116" s="132" t="str">
        <f>IFERROR(__xludf.DUMMYFUNCTION("""COMPUTED_VALUE"""),"Paid")</f>
        <v>Paid</v>
      </c>
      <c r="X116" s="132" t="str">
        <f>IFERROR(__xludf.DUMMYFUNCTION("""COMPUTED_VALUE"""),"Paid")</f>
        <v>Paid</v>
      </c>
      <c r="Y116" s="132" t="str">
        <f>IFERROR(__xludf.DUMMYFUNCTION("""COMPUTED_VALUE"""),"Paid")</f>
        <v>Paid</v>
      </c>
      <c r="Z116" s="132"/>
    </row>
    <row r="117">
      <c r="A117" s="133"/>
      <c r="B117" s="132" t="str">
        <f>IFERROR(__xludf.DUMMYFUNCTION("""COMPUTED_VALUE"""),"othera")</f>
        <v>othera</v>
      </c>
      <c r="C117" s="132" t="str">
        <f>IFERROR(__xludf.DUMMYFUNCTION("""COMPUTED_VALUE"""),"食物")</f>
        <v>食物</v>
      </c>
      <c r="D117" s="132">
        <f>IFERROR(__xludf.DUMMYFUNCTION("""COMPUTED_VALUE"""),86.9113)</f>
        <v>86.9113</v>
      </c>
      <c r="E117" s="132" t="str">
        <f>IFERROR(__xludf.DUMMYFUNCTION("""COMPUTED_VALUE"""),"BL")</f>
        <v>BL</v>
      </c>
      <c r="F117" s="132">
        <f>IFERROR(__xludf.DUMMYFUNCTION("""COMPUTED_VALUE"""),17.38226)</f>
        <v>17.38226</v>
      </c>
      <c r="G117" s="132">
        <f>IFERROR(__xludf.DUMMYFUNCTION("""COMPUTED_VALUE"""),17.38226)</f>
        <v>17.38226</v>
      </c>
      <c r="H117" s="132">
        <f>IFERROR(__xludf.DUMMYFUNCTION("""COMPUTED_VALUE"""),1.0)</f>
        <v>1</v>
      </c>
      <c r="I117" s="132">
        <f>IFERROR(__xludf.DUMMYFUNCTION("""COMPUTED_VALUE"""),1.0)</f>
        <v>1</v>
      </c>
      <c r="J117" s="132">
        <f>IFERROR(__xludf.DUMMYFUNCTION("""COMPUTED_VALUE"""),1.0)</f>
        <v>1</v>
      </c>
      <c r="K117" s="132">
        <f>IFERROR(__xludf.DUMMYFUNCTION("""COMPUTED_VALUE"""),1.0)</f>
        <v>1</v>
      </c>
      <c r="L117" s="132"/>
      <c r="M117" s="132"/>
      <c r="N117" s="132">
        <f>IFERROR(__xludf.DUMMYFUNCTION("""COMPUTED_VALUE"""),1.0)</f>
        <v>1</v>
      </c>
      <c r="O117" s="132"/>
      <c r="P117" s="132"/>
      <c r="Q117" s="132"/>
      <c r="R117" s="132" t="str">
        <f>IFERROR(__xludf.DUMMYFUNCTION("""COMPUTED_VALUE"""),"Key deposit")</f>
        <v>Key deposit</v>
      </c>
      <c r="S117" s="132">
        <f>IFERROR(__xludf.DUMMYFUNCTION("""COMPUTED_VALUE"""),500.0)</f>
        <v>500</v>
      </c>
      <c r="T117" s="132">
        <f>IFERROR(__xludf.DUMMYFUNCTION("""COMPUTED_VALUE"""),83.33333333333333)</f>
        <v>83.33333333</v>
      </c>
      <c r="U117" s="132" t="str">
        <f>IFERROR(__xludf.DUMMYFUNCTION("""COMPUTED_VALUE"""),"Paid")</f>
        <v>Paid</v>
      </c>
      <c r="V117" s="132" t="str">
        <f>IFERROR(__xludf.DUMMYFUNCTION("""COMPUTED_VALUE"""),"Paid")</f>
        <v>Paid</v>
      </c>
      <c r="W117" s="132" t="str">
        <f>IFERROR(__xludf.DUMMYFUNCTION("""COMPUTED_VALUE"""),"Paid")</f>
        <v>Paid</v>
      </c>
      <c r="X117" s="132" t="str">
        <f>IFERROR(__xludf.DUMMYFUNCTION("""COMPUTED_VALUE"""),"Paid")</f>
        <v>Paid</v>
      </c>
      <c r="Y117" s="132" t="str">
        <f>IFERROR(__xludf.DUMMYFUNCTION("""COMPUTED_VALUE"""),"Paid")</f>
        <v>Paid</v>
      </c>
      <c r="Z117" s="132"/>
    </row>
    <row r="118">
      <c r="A118" s="133">
        <f>IFERROR(__xludf.DUMMYFUNCTION("""COMPUTED_VALUE"""),45433.0)</f>
        <v>45433</v>
      </c>
      <c r="B118" s="132" t="str">
        <f>IFERROR(__xludf.DUMMYFUNCTION("""COMPUTED_VALUE"""),"BBQ kam kam")</f>
        <v>BBQ kam kam</v>
      </c>
      <c r="C118" s="132" t="str">
        <f>IFERROR(__xludf.DUMMYFUNCTION("""COMPUTED_VALUE"""),"居家")</f>
        <v>居家</v>
      </c>
      <c r="D118" s="132">
        <f>IFERROR(__xludf.DUMMYFUNCTION("""COMPUTED_VALUE"""),11.28)</f>
        <v>11.28</v>
      </c>
      <c r="E118" s="132" t="str">
        <f>IFERROR(__xludf.DUMMYFUNCTION("""COMPUTED_VALUE"""),"BL")</f>
        <v>BL</v>
      </c>
      <c r="F118" s="132">
        <f>IFERROR(__xludf.DUMMYFUNCTION("""COMPUTED_VALUE"""),2.256)</f>
        <v>2.256</v>
      </c>
      <c r="G118" s="132">
        <f>IFERROR(__xludf.DUMMYFUNCTION("""COMPUTED_VALUE"""),2.256)</f>
        <v>2.256</v>
      </c>
      <c r="H118" s="132">
        <f>IFERROR(__xludf.DUMMYFUNCTION("""COMPUTED_VALUE"""),1.0)</f>
        <v>1</v>
      </c>
      <c r="I118" s="132">
        <f>IFERROR(__xludf.DUMMYFUNCTION("""COMPUTED_VALUE"""),1.0)</f>
        <v>1</v>
      </c>
      <c r="J118" s="132">
        <f>IFERROR(__xludf.DUMMYFUNCTION("""COMPUTED_VALUE"""),1.0)</f>
        <v>1</v>
      </c>
      <c r="K118" s="132">
        <f>IFERROR(__xludf.DUMMYFUNCTION("""COMPUTED_VALUE"""),1.0)</f>
        <v>1</v>
      </c>
      <c r="L118" s="132"/>
      <c r="M118" s="132"/>
      <c r="N118" s="132">
        <f>IFERROR(__xludf.DUMMYFUNCTION("""COMPUTED_VALUE"""),1.0)</f>
        <v>1</v>
      </c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3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3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4">
        <f>IFERROR(__xludf.DUMMYFUNCTION("""COMPUTED_VALUE"""),45597.0)</f>
        <v>45597</v>
      </c>
      <c r="R120" s="132" t="str">
        <f>IFERROR(__xludf.DUMMYFUNCTION("""COMPUTED_VALUE"""),"Rent")</f>
        <v>Rent</v>
      </c>
      <c r="S120" s="132">
        <f>IFERROR(__xludf.DUMMYFUNCTION("""COMPUTED_VALUE"""),3900.0)</f>
        <v>3900</v>
      </c>
      <c r="T120" s="132">
        <f>IFERROR(__xludf.DUMMYFUNCTION("""COMPUTED_VALUE"""),650.0)</f>
        <v>650</v>
      </c>
      <c r="U120" s="132" t="str">
        <f>IFERROR(__xludf.DUMMYFUNCTION("""COMPUTED_VALUE"""),"Paid")</f>
        <v>Paid</v>
      </c>
      <c r="V120" s="132" t="str">
        <f>IFERROR(__xludf.DUMMYFUNCTION("""COMPUTED_VALUE"""),"Paid")</f>
        <v>Paid</v>
      </c>
      <c r="W120" s="132" t="str">
        <f>IFERROR(__xludf.DUMMYFUNCTION("""COMPUTED_VALUE"""),"Paid")</f>
        <v>Paid</v>
      </c>
      <c r="X120" s="132" t="str">
        <f>IFERROR(__xludf.DUMMYFUNCTION("""COMPUTED_VALUE"""),"Paid")</f>
        <v>Paid</v>
      </c>
      <c r="Y120" s="132" t="str">
        <f>IFERROR(__xludf.DUMMYFUNCTION("""COMPUTED_VALUE"""),"Paid")</f>
        <v>Paid</v>
      </c>
      <c r="Z120" s="132"/>
    </row>
    <row r="121">
      <c r="A121" s="133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 t="str">
        <f>IFERROR(__xludf.DUMMYFUNCTION("""COMPUTED_VALUE"""),"Heat")</f>
        <v>Heat</v>
      </c>
      <c r="S121" s="132">
        <f>IFERROR(__xludf.DUMMYFUNCTION("""COMPUTED_VALUE"""),158.95)</f>
        <v>158.95</v>
      </c>
      <c r="T121" s="132">
        <f>IFERROR(__xludf.DUMMYFUNCTION("""COMPUTED_VALUE"""),26.491666666666664)</f>
        <v>26.49166667</v>
      </c>
      <c r="U121" s="132" t="str">
        <f>IFERROR(__xludf.DUMMYFUNCTION("""COMPUTED_VALUE"""),"Paid")</f>
        <v>Paid</v>
      </c>
      <c r="V121" s="132" t="str">
        <f>IFERROR(__xludf.DUMMYFUNCTION("""COMPUTED_VALUE"""),"Paid")</f>
        <v>Paid</v>
      </c>
      <c r="W121" s="132" t="str">
        <f>IFERROR(__xludf.DUMMYFUNCTION("""COMPUTED_VALUE"""),"Paid")</f>
        <v>Paid</v>
      </c>
      <c r="X121" s="132" t="str">
        <f>IFERROR(__xludf.DUMMYFUNCTION("""COMPUTED_VALUE"""),"Paid")</f>
        <v>Paid</v>
      </c>
      <c r="Y121" s="132" t="str">
        <f>IFERROR(__xludf.DUMMYFUNCTION("""COMPUTED_VALUE"""),"Paid")</f>
        <v>Paid</v>
      </c>
      <c r="Z121" s="132"/>
    </row>
    <row r="122">
      <c r="A122" s="133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 t="str">
        <f>IFERROR(__xludf.DUMMYFUNCTION("""COMPUTED_VALUE"""),"Electricity")</f>
        <v>Electricity</v>
      </c>
      <c r="S122" s="132">
        <f>IFERROR(__xludf.DUMMYFUNCTION("""COMPUTED_VALUE"""),167.9)</f>
        <v>167.9</v>
      </c>
      <c r="T122" s="132">
        <f>IFERROR(__xludf.DUMMYFUNCTION("""COMPUTED_VALUE"""),27.983333333333334)</f>
        <v>27.98333333</v>
      </c>
      <c r="U122" s="132" t="str">
        <f>IFERROR(__xludf.DUMMYFUNCTION("""COMPUTED_VALUE"""),"Paid")</f>
        <v>Paid</v>
      </c>
      <c r="V122" s="132" t="str">
        <f>IFERROR(__xludf.DUMMYFUNCTION("""COMPUTED_VALUE"""),"Paid")</f>
        <v>Paid</v>
      </c>
      <c r="W122" s="132" t="str">
        <f>IFERROR(__xludf.DUMMYFUNCTION("""COMPUTED_VALUE"""),"Paid")</f>
        <v>Paid</v>
      </c>
      <c r="X122" s="132" t="str">
        <f>IFERROR(__xludf.DUMMYFUNCTION("""COMPUTED_VALUE"""),"Paid")</f>
        <v>Paid</v>
      </c>
      <c r="Y122" s="132" t="str">
        <f>IFERROR(__xludf.DUMMYFUNCTION("""COMPUTED_VALUE"""),"Paid")</f>
        <v>Paid</v>
      </c>
      <c r="Z122" s="132"/>
    </row>
    <row r="123">
      <c r="A123" s="133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 t="str">
        <f>IFERROR(__xludf.DUMMYFUNCTION("""COMPUTED_VALUE"""),"Internet")</f>
        <v>Internet</v>
      </c>
      <c r="S123" s="132">
        <f>IFERROR(__xludf.DUMMYFUNCTION("""COMPUTED_VALUE"""),56.5)</f>
        <v>56.5</v>
      </c>
      <c r="T123" s="132">
        <f>IFERROR(__xludf.DUMMYFUNCTION("""COMPUTED_VALUE"""),9.416666666666666)</f>
        <v>9.416666667</v>
      </c>
      <c r="U123" s="132" t="str">
        <f>IFERROR(__xludf.DUMMYFUNCTION("""COMPUTED_VALUE"""),"Paid")</f>
        <v>Paid</v>
      </c>
      <c r="V123" s="132" t="str">
        <f>IFERROR(__xludf.DUMMYFUNCTION("""COMPUTED_VALUE"""),"Paid")</f>
        <v>Paid</v>
      </c>
      <c r="W123" s="132" t="str">
        <f>IFERROR(__xludf.DUMMYFUNCTION("""COMPUTED_VALUE"""),"Paid")</f>
        <v>Paid</v>
      </c>
      <c r="X123" s="132" t="str">
        <f>IFERROR(__xludf.DUMMYFUNCTION("""COMPUTED_VALUE"""),"Paid")</f>
        <v>Paid</v>
      </c>
      <c r="Y123" s="132" t="str">
        <f>IFERROR(__xludf.DUMMYFUNCTION("""COMPUTED_VALUE"""),"Paid")</f>
        <v>Paid</v>
      </c>
      <c r="Z123" s="132"/>
    </row>
    <row r="124">
      <c r="A124" s="133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3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3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4">
        <f>IFERROR(__xludf.DUMMYFUNCTION("""COMPUTED_VALUE"""),45627.0)</f>
        <v>45627</v>
      </c>
      <c r="R126" s="132" t="str">
        <f>IFERROR(__xludf.DUMMYFUNCTION("""COMPUTED_VALUE"""),"Rent")</f>
        <v>Rent</v>
      </c>
      <c r="S126" s="132">
        <f>IFERROR(__xludf.DUMMYFUNCTION("""COMPUTED_VALUE"""),3900.0)</f>
        <v>3900</v>
      </c>
      <c r="T126" s="132">
        <f>IFERROR(__xludf.DUMMYFUNCTION("""COMPUTED_VALUE"""),650.0)</f>
        <v>650</v>
      </c>
      <c r="U126" s="132" t="str">
        <f>IFERROR(__xludf.DUMMYFUNCTION("""COMPUTED_VALUE"""),"Paid")</f>
        <v>Paid</v>
      </c>
      <c r="V126" s="132" t="str">
        <f>IFERROR(__xludf.DUMMYFUNCTION("""COMPUTED_VALUE"""),"Paid")</f>
        <v>Paid</v>
      </c>
      <c r="W126" s="132" t="str">
        <f>IFERROR(__xludf.DUMMYFUNCTION("""COMPUTED_VALUE"""),"Paid")</f>
        <v>Paid</v>
      </c>
      <c r="X126" s="132" t="str">
        <f>IFERROR(__xludf.DUMMYFUNCTION("""COMPUTED_VALUE"""),"Paid")</f>
        <v>Paid</v>
      </c>
      <c r="Y126" s="132" t="str">
        <f>IFERROR(__xludf.DUMMYFUNCTION("""COMPUTED_VALUE"""),"Paid")</f>
        <v>Paid</v>
      </c>
      <c r="Z126" s="132"/>
    </row>
    <row r="127">
      <c r="A127" s="132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 t="str">
        <f>IFERROR(__xludf.DUMMYFUNCTION("""COMPUTED_VALUE"""),"Heat")</f>
        <v>Heat</v>
      </c>
      <c r="S127" s="132">
        <f>IFERROR(__xludf.DUMMYFUNCTION("""COMPUTED_VALUE"""),182.8)</f>
        <v>182.8</v>
      </c>
      <c r="T127" s="132">
        <f>IFERROR(__xludf.DUMMYFUNCTION("""COMPUTED_VALUE"""),30.46666666666667)</f>
        <v>30.46666667</v>
      </c>
      <c r="U127" s="132" t="str">
        <f>IFERROR(__xludf.DUMMYFUNCTION("""COMPUTED_VALUE"""),"Paid")</f>
        <v>Paid</v>
      </c>
      <c r="V127" s="132" t="str">
        <f>IFERROR(__xludf.DUMMYFUNCTION("""COMPUTED_VALUE"""),"Paid")</f>
        <v>Paid</v>
      </c>
      <c r="W127" s="132" t="str">
        <f>IFERROR(__xludf.DUMMYFUNCTION("""COMPUTED_VALUE"""),"Paid")</f>
        <v>Paid</v>
      </c>
      <c r="X127" s="132" t="str">
        <f>IFERROR(__xludf.DUMMYFUNCTION("""COMPUTED_VALUE"""),"Paid")</f>
        <v>Paid</v>
      </c>
      <c r="Y127" s="132" t="str">
        <f>IFERROR(__xludf.DUMMYFUNCTION("""COMPUTED_VALUE"""),"Paid")</f>
        <v>Paid</v>
      </c>
      <c r="Z127" s="132"/>
    </row>
    <row r="128">
      <c r="A128" s="132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 t="str">
        <f>IFERROR(__xludf.DUMMYFUNCTION("""COMPUTED_VALUE"""),"Electricity")</f>
        <v>Electricity</v>
      </c>
      <c r="S128" s="132">
        <f>IFERROR(__xludf.DUMMYFUNCTION("""COMPUTED_VALUE"""),166.37)</f>
        <v>166.37</v>
      </c>
      <c r="T128" s="132">
        <f>IFERROR(__xludf.DUMMYFUNCTION("""COMPUTED_VALUE"""),27.728333333333335)</f>
        <v>27.72833333</v>
      </c>
      <c r="U128" s="132" t="str">
        <f>IFERROR(__xludf.DUMMYFUNCTION("""COMPUTED_VALUE"""),"Paid")</f>
        <v>Paid</v>
      </c>
      <c r="V128" s="132" t="str">
        <f>IFERROR(__xludf.DUMMYFUNCTION("""COMPUTED_VALUE"""),"Paid")</f>
        <v>Paid</v>
      </c>
      <c r="W128" s="132" t="str">
        <f>IFERROR(__xludf.DUMMYFUNCTION("""COMPUTED_VALUE"""),"Paid")</f>
        <v>Paid</v>
      </c>
      <c r="X128" s="132" t="str">
        <f>IFERROR(__xludf.DUMMYFUNCTION("""COMPUTED_VALUE"""),"Paid")</f>
        <v>Paid</v>
      </c>
      <c r="Y128" s="132" t="str">
        <f>IFERROR(__xludf.DUMMYFUNCTION("""COMPUTED_VALUE"""),"Paid")</f>
        <v>Paid</v>
      </c>
      <c r="Z128" s="132"/>
    </row>
    <row r="129">
      <c r="A129" s="88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Q129" s="88"/>
      <c r="R129" s="88" t="str">
        <f>IFERROR(__xludf.DUMMYFUNCTION("""COMPUTED_VALUE"""),"Internet")</f>
        <v>Internet</v>
      </c>
      <c r="S129" s="88">
        <f>IFERROR(__xludf.DUMMYFUNCTION("""COMPUTED_VALUE"""),56.5)</f>
        <v>56.5</v>
      </c>
      <c r="T129" s="88">
        <f>IFERROR(__xludf.DUMMYFUNCTION("""COMPUTED_VALUE"""),9.416666666666666)</f>
        <v>9.416666667</v>
      </c>
      <c r="U129" s="88" t="str">
        <f>IFERROR(__xludf.DUMMYFUNCTION("""COMPUTED_VALUE"""),"Paid")</f>
        <v>Paid</v>
      </c>
      <c r="V129" s="88" t="str">
        <f>IFERROR(__xludf.DUMMYFUNCTION("""COMPUTED_VALUE"""),"Paid")</f>
        <v>Paid</v>
      </c>
      <c r="W129" s="88" t="str">
        <f>IFERROR(__xludf.DUMMYFUNCTION("""COMPUTED_VALUE"""),"Paid")</f>
        <v>Paid</v>
      </c>
      <c r="X129" s="88" t="str">
        <f>IFERROR(__xludf.DUMMYFUNCTION("""COMPUTED_VALUE"""),"Paid")</f>
        <v>Paid</v>
      </c>
      <c r="Y129" s="88" t="str">
        <f>IFERROR(__xludf.DUMMYFUNCTION("""COMPUTED_VALUE"""),"Paid")</f>
        <v>Paid</v>
      </c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Q130" s="88"/>
      <c r="R130" s="88"/>
      <c r="S130" s="88"/>
      <c r="T130" s="88"/>
      <c r="U130" s="88"/>
      <c r="V130" s="88"/>
      <c r="W130" s="88"/>
      <c r="X130" s="88"/>
      <c r="Y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Q131" s="138">
        <f>IFERROR(__xludf.DUMMYFUNCTION("""COMPUTED_VALUE"""),45658.0)</f>
        <v>45658</v>
      </c>
      <c r="R131" s="88" t="str">
        <f>IFERROR(__xludf.DUMMYFUNCTION("""COMPUTED_VALUE"""),"Rent")</f>
        <v>Rent</v>
      </c>
      <c r="S131" s="88">
        <f>IFERROR(__xludf.DUMMYFUNCTION("""COMPUTED_VALUE"""),3900.0)</f>
        <v>3900</v>
      </c>
      <c r="T131" s="88">
        <f>IFERROR(__xludf.DUMMYFUNCTION("""COMPUTED_VALUE"""),650.0)</f>
        <v>650</v>
      </c>
      <c r="U131" s="88" t="str">
        <f>IFERROR(__xludf.DUMMYFUNCTION("""COMPUTED_VALUE"""),"Paid")</f>
        <v>Paid</v>
      </c>
      <c r="V131" s="88" t="str">
        <f>IFERROR(__xludf.DUMMYFUNCTION("""COMPUTED_VALUE"""),"Paid")</f>
        <v>Paid</v>
      </c>
      <c r="W131" s="88" t="str">
        <f>IFERROR(__xludf.DUMMYFUNCTION("""COMPUTED_VALUE"""),"Paid")</f>
        <v>Paid</v>
      </c>
      <c r="X131" s="88" t="str">
        <f>IFERROR(__xludf.DUMMYFUNCTION("""COMPUTED_VALUE"""),"Paid")</f>
        <v>Paid</v>
      </c>
      <c r="Y131" s="88" t="str">
        <f>IFERROR(__xludf.DUMMYFUNCTION("""COMPUTED_VALUE"""),"Paid")</f>
        <v>Paid</v>
      </c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Q132" s="88"/>
      <c r="R132" s="88" t="str">
        <f>IFERROR(__xludf.DUMMYFUNCTION("""COMPUTED_VALUE"""),"Heat January 17, 2025 - February 18, 2025")</f>
        <v>Heat January 17, 2025 - February 18, 2025</v>
      </c>
      <c r="S132" s="88">
        <f>IFERROR(__xludf.DUMMYFUNCTION("""COMPUTED_VALUE"""),303.55)</f>
        <v>303.55</v>
      </c>
      <c r="T132" s="88">
        <f>IFERROR(__xludf.DUMMYFUNCTION("""COMPUTED_VALUE"""),60.71)</f>
        <v>60.71</v>
      </c>
      <c r="U132" s="88"/>
      <c r="V132" s="88"/>
      <c r="W132" s="88"/>
      <c r="X132" s="88"/>
      <c r="Y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Q133" s="88"/>
      <c r="R133" s="88" t="str">
        <f>IFERROR(__xludf.DUMMYFUNCTION("""COMPUTED_VALUE"""),"Electricity")</f>
        <v>Electricity</v>
      </c>
      <c r="S133" s="88">
        <f>IFERROR(__xludf.DUMMYFUNCTION("""COMPUTED_VALUE"""),202.18)</f>
        <v>202.18</v>
      </c>
      <c r="T133" s="88">
        <f>IFERROR(__xludf.DUMMYFUNCTION("""COMPUTED_VALUE"""),33.696666666666665)</f>
        <v>33.69666667</v>
      </c>
      <c r="U133" s="88"/>
      <c r="V133" s="88"/>
      <c r="W133" s="88"/>
      <c r="X133" s="88"/>
      <c r="Y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Q134" s="88"/>
      <c r="R134" s="88" t="str">
        <f>IFERROR(__xludf.DUMMYFUNCTION("""COMPUTED_VALUE"""),"Internet")</f>
        <v>Internet</v>
      </c>
      <c r="S134" s="88">
        <f>IFERROR(__xludf.DUMMYFUNCTION("""COMPUTED_VALUE"""),56.5)</f>
        <v>56.5</v>
      </c>
      <c r="T134" s="88">
        <f>IFERROR(__xludf.DUMMYFUNCTION("""COMPUTED_VALUE"""),9.416666666666666)</f>
        <v>9.416666667</v>
      </c>
      <c r="U134" s="88"/>
      <c r="V134" s="88"/>
      <c r="W134" s="88"/>
      <c r="X134" s="88"/>
      <c r="Y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Q135" s="88"/>
      <c r="R135" s="88" t="str">
        <f>IFERROR(__xludf.DUMMYFUNCTION("""COMPUTED_VALUE"""),"Water")</f>
        <v>Water</v>
      </c>
      <c r="S135" s="88">
        <f>IFERROR(__xludf.DUMMYFUNCTION("""COMPUTED_VALUE"""),136.32)</f>
        <v>136.32</v>
      </c>
      <c r="T135" s="88">
        <f>IFERROR(__xludf.DUMMYFUNCTION("""COMPUTED_VALUE"""),22.72)</f>
        <v>22.72</v>
      </c>
      <c r="U135" s="88"/>
      <c r="V135" s="88"/>
      <c r="W135" s="88"/>
      <c r="X135" s="88"/>
      <c r="Y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Q136" s="88"/>
      <c r="R136" s="88"/>
      <c r="S136" s="88"/>
      <c r="T136" s="88"/>
      <c r="U136" s="88"/>
      <c r="V136" s="88"/>
      <c r="W136" s="88"/>
      <c r="X136" s="88"/>
      <c r="Y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Q137" s="138">
        <f>IFERROR(__xludf.DUMMYFUNCTION("""COMPUTED_VALUE"""),45689.0)</f>
        <v>45689</v>
      </c>
      <c r="R137" s="88" t="str">
        <f>IFERROR(__xludf.DUMMYFUNCTION("""COMPUTED_VALUE"""),"Rent")</f>
        <v>Rent</v>
      </c>
      <c r="S137" s="88">
        <f>IFERROR(__xludf.DUMMYFUNCTION("""COMPUTED_VALUE"""),3900.0)</f>
        <v>3900</v>
      </c>
      <c r="T137" s="88">
        <f>IFERROR(__xludf.DUMMYFUNCTION("""COMPUTED_VALUE"""),650.0)</f>
        <v>650</v>
      </c>
      <c r="U137" s="88" t="str">
        <f>IFERROR(__xludf.DUMMYFUNCTION("""COMPUTED_VALUE"""),"Paid")</f>
        <v>Paid</v>
      </c>
      <c r="V137" s="88" t="str">
        <f>IFERROR(__xludf.DUMMYFUNCTION("""COMPUTED_VALUE"""),"Paid")</f>
        <v>Paid</v>
      </c>
      <c r="W137" s="88" t="str">
        <f>IFERROR(__xludf.DUMMYFUNCTION("""COMPUTED_VALUE"""),"Paid")</f>
        <v>Paid</v>
      </c>
      <c r="X137" s="88" t="str">
        <f>IFERROR(__xludf.DUMMYFUNCTION("""COMPUTED_VALUE"""),"Paid")</f>
        <v>Paid</v>
      </c>
      <c r="Y137" s="88" t="str">
        <f>IFERROR(__xludf.DUMMYFUNCTION("""COMPUTED_VALUE"""),"Paid")</f>
        <v>Paid</v>
      </c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Q138" s="88"/>
      <c r="R138" s="88" t="str">
        <f>IFERROR(__xludf.DUMMYFUNCTION("""COMPUTED_VALUE"""),"Heat Feb 19 - Mar 18")</f>
        <v>Heat Feb 19 - Mar 18</v>
      </c>
      <c r="S138" s="88">
        <f>IFERROR(__xludf.DUMMYFUNCTION("""COMPUTED_VALUE"""),146.59)</f>
        <v>146.59</v>
      </c>
      <c r="T138" s="88">
        <f>IFERROR(__xludf.DUMMYFUNCTION("""COMPUTED_VALUE"""),48.86333333333334)</f>
        <v>48.86333333</v>
      </c>
      <c r="U138" s="88"/>
      <c r="V138" s="88"/>
      <c r="W138" s="88"/>
      <c r="X138" s="88"/>
      <c r="Y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Q139" s="88"/>
      <c r="R139" s="88" t="str">
        <f>IFERROR(__xludf.DUMMYFUNCTION("""COMPUTED_VALUE"""),"Electricity")</f>
        <v>Electricity</v>
      </c>
      <c r="S139" s="88">
        <f>IFERROR(__xludf.DUMMYFUNCTION("""COMPUTED_VALUE"""),147.53)</f>
        <v>147.53</v>
      </c>
      <c r="T139" s="88"/>
      <c r="U139" s="88"/>
      <c r="V139" s="88"/>
      <c r="W139" s="88"/>
      <c r="X139" s="88"/>
      <c r="Y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Q140" s="88"/>
      <c r="R140" s="88" t="str">
        <f>IFERROR(__xludf.DUMMYFUNCTION("""COMPUTED_VALUE"""),"Internet")</f>
        <v>Internet</v>
      </c>
      <c r="S140" s="88">
        <f>IFERROR(__xludf.DUMMYFUNCTION("""COMPUTED_VALUE"""),56.5)</f>
        <v>56.5</v>
      </c>
      <c r="T140" s="88">
        <f>IFERROR(__xludf.DUMMYFUNCTION("""COMPUTED_VALUE"""),9.416666666666666)</f>
        <v>9.416666667</v>
      </c>
      <c r="U140" s="88"/>
      <c r="V140" s="88"/>
      <c r="W140" s="88"/>
      <c r="X140" s="88"/>
      <c r="Y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Q141" s="88"/>
      <c r="R141" s="88"/>
      <c r="S141" s="88"/>
      <c r="T141" s="88"/>
      <c r="U141" s="88"/>
      <c r="V141" s="88"/>
      <c r="W141" s="88"/>
      <c r="X141" s="88"/>
      <c r="Y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Q142" s="88"/>
      <c r="R142" s="88"/>
      <c r="S142" s="88"/>
      <c r="T142" s="88"/>
      <c r="U142" s="88"/>
      <c r="V142" s="88"/>
      <c r="W142" s="88"/>
      <c r="X142" s="88"/>
      <c r="Y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Q143" s="138">
        <f>IFERROR(__xludf.DUMMYFUNCTION("""COMPUTED_VALUE"""),45717.0)</f>
        <v>45717</v>
      </c>
      <c r="R143" s="88" t="str">
        <f>IFERROR(__xludf.DUMMYFUNCTION("""COMPUTED_VALUE"""),"Rent")</f>
        <v>Rent</v>
      </c>
      <c r="S143" s="88">
        <f>IFERROR(__xludf.DUMMYFUNCTION("""COMPUTED_VALUE"""),3900.0)</f>
        <v>3900</v>
      </c>
      <c r="T143" s="88">
        <f>IFERROR(__xludf.DUMMYFUNCTION("""COMPUTED_VALUE"""),650.0)</f>
        <v>650</v>
      </c>
      <c r="U143" s="88" t="str">
        <f>IFERROR(__xludf.DUMMYFUNCTION("""COMPUTED_VALUE"""),"Paid")</f>
        <v>Paid</v>
      </c>
      <c r="V143" s="88" t="str">
        <f>IFERROR(__xludf.DUMMYFUNCTION("""COMPUTED_VALUE"""),"Paid")</f>
        <v>Paid</v>
      </c>
      <c r="W143" s="88"/>
      <c r="X143" s="88" t="str">
        <f>IFERROR(__xludf.DUMMYFUNCTION("""COMPUTED_VALUE"""),"Paid")</f>
        <v>Paid</v>
      </c>
      <c r="Y143" s="88" t="str">
        <f>IFERROR(__xludf.DUMMYFUNCTION("""COMPUTED_VALUE"""),"Paid")</f>
        <v>Paid</v>
      </c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Q144" s="88"/>
      <c r="R144" s="88" t="str">
        <f>IFERROR(__xludf.DUMMYFUNCTION("""COMPUTED_VALUE"""),"Heat")</f>
        <v>Heat</v>
      </c>
      <c r="S144" s="88"/>
      <c r="T144" s="88"/>
      <c r="U144" s="88"/>
      <c r="V144" s="88"/>
      <c r="W144" s="88"/>
      <c r="X144" s="88"/>
      <c r="Y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Q145" s="88"/>
      <c r="R145" s="88" t="str">
        <f>IFERROR(__xludf.DUMMYFUNCTION("""COMPUTED_VALUE"""),"Electricity")</f>
        <v>Electricity</v>
      </c>
      <c r="S145" s="88">
        <f>IFERROR(__xludf.DUMMYFUNCTION("""COMPUTED_VALUE"""),100.34)</f>
        <v>100.34</v>
      </c>
      <c r="T145" s="88"/>
      <c r="U145" s="88"/>
      <c r="V145" s="88"/>
      <c r="W145" s="88"/>
      <c r="X145" s="88"/>
      <c r="Y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Q146" s="88"/>
      <c r="R146" s="88" t="str">
        <f>IFERROR(__xludf.DUMMYFUNCTION("""COMPUTED_VALUE"""),"Internet")</f>
        <v>Internet</v>
      </c>
      <c r="S146" s="88">
        <f>IFERROR(__xludf.DUMMYFUNCTION("""COMPUTED_VALUE"""),56.5)</f>
        <v>56.5</v>
      </c>
      <c r="T146" s="88">
        <f>IFERROR(__xludf.DUMMYFUNCTION("""COMPUTED_VALUE"""),9.416666666666666)</f>
        <v>9.416666667</v>
      </c>
      <c r="U146" s="88"/>
      <c r="V146" s="88"/>
      <c r="W146" s="88"/>
      <c r="X146" s="88"/>
      <c r="Y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Q147" s="88"/>
      <c r="R147" s="88"/>
      <c r="S147" s="88"/>
      <c r="T147" s="88"/>
      <c r="U147" s="88"/>
      <c r="V147" s="88"/>
      <c r="W147" s="88"/>
      <c r="X147" s="88"/>
      <c r="Y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Q148" s="88"/>
      <c r="R148" s="88"/>
      <c r="S148" s="88"/>
      <c r="T148" s="88"/>
      <c r="U148" s="88"/>
      <c r="V148" s="88"/>
      <c r="W148" s="88"/>
      <c r="X148" s="88"/>
      <c r="Y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Q149" s="88"/>
      <c r="R149" s="88"/>
      <c r="S149" s="88"/>
      <c r="T149" s="88"/>
      <c r="U149" s="88"/>
      <c r="V149" s="88"/>
      <c r="W149" s="88"/>
      <c r="X149" s="88"/>
      <c r="Y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Q150" s="88"/>
      <c r="R150" s="88"/>
      <c r="S150" s="88"/>
      <c r="T150" s="88"/>
      <c r="U150" s="88"/>
      <c r="V150" s="88"/>
      <c r="W150" s="88"/>
      <c r="X150" s="88"/>
      <c r="Y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Q151" s="88"/>
      <c r="R151" s="88"/>
      <c r="S151" s="88"/>
      <c r="T151" s="88"/>
      <c r="U151" s="88"/>
      <c r="V151" s="88"/>
      <c r="W151" s="88"/>
      <c r="X151" s="88"/>
      <c r="Y151" s="88"/>
    </row>
    <row r="152">
      <c r="A152" s="88"/>
      <c r="B152" s="88"/>
      <c r="C152" s="88"/>
      <c r="D152" s="88"/>
      <c r="E152" s="88"/>
      <c r="F152" s="88" t="str">
        <f>IFERROR(__xludf.DUMMYFUNCTION("""COMPUTED_VALUE"""),"#DIV/0!")</f>
        <v>#DIV/0!</v>
      </c>
      <c r="G152" s="88"/>
      <c r="H152" s="88"/>
      <c r="I152" s="88"/>
      <c r="J152" s="88"/>
      <c r="K152" s="88"/>
      <c r="L152" s="88"/>
      <c r="M152" s="88"/>
      <c r="N152" s="88"/>
      <c r="Q152" s="88"/>
      <c r="R152" s="88"/>
      <c r="S152" s="88"/>
      <c r="T152" s="88"/>
      <c r="U152" s="88"/>
      <c r="V152" s="88"/>
      <c r="W152" s="88"/>
      <c r="X152" s="88"/>
      <c r="Y152" s="88"/>
    </row>
    <row r="153">
      <c r="A153" s="88"/>
      <c r="B153" s="88"/>
      <c r="C153" s="88"/>
      <c r="D153" s="88"/>
      <c r="E153" s="88"/>
      <c r="F153" s="88" t="str">
        <f>IFERROR(__xludf.DUMMYFUNCTION("""COMPUTED_VALUE"""),"#DIV/0!")</f>
        <v>#DIV/0!</v>
      </c>
      <c r="G153" s="88"/>
      <c r="H153" s="88"/>
      <c r="I153" s="88"/>
      <c r="J153" s="88"/>
      <c r="K153" s="88"/>
      <c r="L153" s="88"/>
      <c r="M153" s="88"/>
      <c r="N153" s="88"/>
      <c r="Q153" s="88"/>
      <c r="R153" s="88"/>
      <c r="S153" s="88"/>
      <c r="T153" s="88"/>
      <c r="U153" s="88"/>
      <c r="V153" s="88"/>
      <c r="W153" s="88"/>
      <c r="X153" s="88"/>
      <c r="Y153" s="88"/>
    </row>
    <row r="154">
      <c r="A154" s="88"/>
      <c r="B154" s="88"/>
      <c r="C154" s="88"/>
      <c r="D154" s="88"/>
      <c r="E154" s="88"/>
      <c r="F154" s="88" t="str">
        <f>IFERROR(__xludf.DUMMYFUNCTION("""COMPUTED_VALUE"""),"#DIV/0!")</f>
        <v>#DIV/0!</v>
      </c>
      <c r="G154" s="88"/>
      <c r="H154" s="88"/>
      <c r="I154" s="88"/>
      <c r="J154" s="88"/>
      <c r="K154" s="88"/>
      <c r="L154" s="88"/>
      <c r="M154" s="88"/>
      <c r="N154" s="88"/>
      <c r="Q154" s="88"/>
      <c r="R154" s="88"/>
      <c r="S154" s="88"/>
      <c r="T154" s="88"/>
      <c r="U154" s="88"/>
      <c r="V154" s="88"/>
      <c r="W154" s="88"/>
      <c r="X154" s="88"/>
      <c r="Y154" s="88"/>
    </row>
    <row r="155">
      <c r="A155" s="88"/>
      <c r="B155" s="88"/>
      <c r="C155" s="88"/>
      <c r="D155" s="88"/>
      <c r="E155" s="88"/>
      <c r="F155" s="88" t="str">
        <f>IFERROR(__xludf.DUMMYFUNCTION("""COMPUTED_VALUE"""),"#DIV/0!")</f>
        <v>#DIV/0!</v>
      </c>
      <c r="G155" s="88"/>
      <c r="H155" s="88"/>
      <c r="I155" s="88"/>
      <c r="J155" s="88"/>
      <c r="K155" s="88"/>
      <c r="L155" s="88"/>
      <c r="M155" s="88"/>
      <c r="N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>
      <c r="A156" s="88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Q156" s="88"/>
      <c r="R156" s="88"/>
      <c r="S156" s="88"/>
      <c r="T156" s="88"/>
      <c r="U156" s="88"/>
      <c r="V156" s="88"/>
      <c r="W156" s="88"/>
      <c r="X156" s="88"/>
      <c r="Y156" s="88"/>
    </row>
    <row r="157">
      <c r="A157" s="137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Q157" s="88"/>
      <c r="R157" s="88"/>
      <c r="S157" s="88"/>
      <c r="T157" s="88"/>
      <c r="U157" s="88"/>
      <c r="V157" s="88"/>
      <c r="W157" s="88"/>
      <c r="X157" s="88"/>
      <c r="Y157" s="88"/>
    </row>
    <row r="158">
      <c r="A158" s="137"/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Q158" s="88"/>
      <c r="R158" s="88"/>
      <c r="S158" s="88"/>
      <c r="T158" s="88"/>
      <c r="U158" s="88"/>
      <c r="V158" s="88"/>
      <c r="W158" s="88"/>
      <c r="X158" s="88"/>
      <c r="Y158" s="88"/>
    </row>
    <row r="159">
      <c r="A159" s="137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Q159" s="88"/>
      <c r="R159" s="88"/>
      <c r="S159" s="88"/>
      <c r="T159" s="88"/>
      <c r="U159" s="88"/>
      <c r="V159" s="88"/>
      <c r="W159" s="88"/>
      <c r="X159" s="88"/>
      <c r="Y159" s="88"/>
    </row>
    <row r="160">
      <c r="A160" s="88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Q160" s="88"/>
      <c r="R160" s="88"/>
      <c r="S160" s="88"/>
      <c r="T160" s="88"/>
      <c r="U160" s="88"/>
      <c r="V160" s="88"/>
      <c r="W160" s="88"/>
      <c r="X160" s="88"/>
      <c r="Y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Q161" s="88"/>
      <c r="R161" s="88"/>
      <c r="S161" s="88"/>
      <c r="T161" s="88"/>
      <c r="U161" s="88"/>
      <c r="V161" s="88"/>
      <c r="W161" s="88"/>
      <c r="X161" s="88"/>
      <c r="Y161" s="88"/>
    </row>
    <row r="162">
      <c r="A162" s="88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Q162" s="88"/>
      <c r="R162" s="88"/>
      <c r="S162" s="88"/>
      <c r="T162" s="88"/>
      <c r="U162" s="88"/>
      <c r="V162" s="88"/>
      <c r="W162" s="88"/>
      <c r="X162" s="88"/>
      <c r="Y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Q163" s="88"/>
      <c r="R163" s="88"/>
      <c r="S163" s="88"/>
      <c r="T163" s="88"/>
      <c r="U163" s="88"/>
      <c r="V163" s="88"/>
      <c r="W163" s="88"/>
      <c r="X163" s="88"/>
      <c r="Y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Q164" s="88"/>
      <c r="R164" s="88"/>
      <c r="S164" s="88"/>
      <c r="T164" s="88"/>
      <c r="U164" s="88"/>
      <c r="V164" s="88"/>
      <c r="W164" s="88"/>
      <c r="X164" s="88"/>
      <c r="Y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Q165" s="88"/>
      <c r="R165" s="88"/>
      <c r="S165" s="88"/>
      <c r="T165" s="88"/>
      <c r="U165" s="88"/>
      <c r="V165" s="88"/>
      <c r="W165" s="88"/>
      <c r="X165" s="88"/>
      <c r="Y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Q166" s="88"/>
      <c r="R166" s="88"/>
      <c r="S166" s="88"/>
      <c r="T166" s="88"/>
      <c r="U166" s="88"/>
      <c r="V166" s="88"/>
      <c r="W166" s="88"/>
      <c r="X166" s="88"/>
      <c r="Y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Q167" s="88"/>
      <c r="R167" s="88"/>
      <c r="S167" s="88"/>
      <c r="T167" s="88"/>
      <c r="U167" s="88"/>
      <c r="V167" s="88"/>
      <c r="W167" s="88"/>
      <c r="X167" s="88"/>
      <c r="Y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Q168" s="88"/>
      <c r="R168" s="88"/>
      <c r="S168" s="88"/>
      <c r="T168" s="88"/>
      <c r="U168" s="88"/>
      <c r="V168" s="88"/>
      <c r="W168" s="88"/>
      <c r="X168" s="88"/>
      <c r="Y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Q169" s="88"/>
      <c r="R169" s="88"/>
      <c r="S169" s="88"/>
      <c r="T169" s="88"/>
      <c r="U169" s="88"/>
      <c r="V169" s="88"/>
      <c r="W169" s="88"/>
      <c r="X169" s="88"/>
      <c r="Y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Q170" s="88"/>
      <c r="R170" s="88"/>
      <c r="S170" s="88"/>
      <c r="T170" s="88"/>
      <c r="U170" s="88"/>
      <c r="V170" s="88"/>
      <c r="W170" s="88"/>
      <c r="X170" s="88"/>
      <c r="Y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Q171" s="88"/>
      <c r="R171" s="88"/>
      <c r="S171" s="88"/>
      <c r="T171" s="88"/>
      <c r="U171" s="88"/>
      <c r="V171" s="88"/>
      <c r="W171" s="88"/>
      <c r="X171" s="88"/>
      <c r="Y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Q173" s="88"/>
      <c r="R173" s="88"/>
      <c r="S173" s="88"/>
      <c r="T173" s="88"/>
      <c r="U173" s="88"/>
      <c r="V173" s="88"/>
      <c r="W173" s="88"/>
      <c r="X173" s="88"/>
      <c r="Y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Q174" s="88"/>
      <c r="R174" s="88"/>
      <c r="S174" s="88"/>
      <c r="T174" s="88"/>
      <c r="U174" s="88"/>
      <c r="V174" s="88"/>
      <c r="W174" s="88"/>
      <c r="X174" s="88"/>
      <c r="Y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Q176" s="88"/>
      <c r="R176" s="88"/>
      <c r="S176" s="88"/>
      <c r="T176" s="88"/>
      <c r="U176" s="88"/>
      <c r="V176" s="88"/>
      <c r="W176" s="88"/>
      <c r="X176" s="88"/>
      <c r="Y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Q177" s="88"/>
      <c r="R177" s="88"/>
      <c r="S177" s="88"/>
      <c r="T177" s="88"/>
      <c r="U177" s="88"/>
      <c r="V177" s="88"/>
      <c r="W177" s="88"/>
      <c r="X177" s="88"/>
      <c r="Y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Q178" s="88"/>
      <c r="R178" s="88"/>
      <c r="S178" s="88"/>
      <c r="T178" s="88"/>
      <c r="U178" s="88"/>
      <c r="V178" s="88"/>
      <c r="W178" s="88"/>
      <c r="X178" s="88"/>
      <c r="Y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Q179" s="88"/>
      <c r="R179" s="88"/>
      <c r="S179" s="88"/>
      <c r="T179" s="88"/>
      <c r="U179" s="88"/>
      <c r="V179" s="88"/>
      <c r="W179" s="88"/>
      <c r="X179" s="88"/>
      <c r="Y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Q180" s="88"/>
      <c r="R180" s="88"/>
      <c r="S180" s="88"/>
      <c r="T180" s="88"/>
      <c r="U180" s="88"/>
      <c r="V180" s="88"/>
      <c r="W180" s="88"/>
      <c r="X180" s="88"/>
      <c r="Y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Q181" s="88"/>
      <c r="R181" s="88"/>
      <c r="S181" s="88"/>
      <c r="T181" s="88"/>
      <c r="U181" s="88"/>
      <c r="V181" s="88"/>
      <c r="W181" s="88"/>
      <c r="X181" s="88"/>
      <c r="Y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Q183" s="88"/>
      <c r="R183" s="88"/>
      <c r="S183" s="88"/>
      <c r="T183" s="88"/>
      <c r="U183" s="88"/>
      <c r="V183" s="88"/>
      <c r="W183" s="88"/>
      <c r="X183" s="88"/>
      <c r="Y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Q184" s="88"/>
      <c r="R184" s="88"/>
      <c r="S184" s="88"/>
      <c r="T184" s="88"/>
      <c r="U184" s="88"/>
      <c r="V184" s="88"/>
      <c r="W184" s="88"/>
      <c r="X184" s="88"/>
      <c r="Y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Q185" s="88"/>
      <c r="R185" s="88"/>
      <c r="S185" s="88"/>
      <c r="T185" s="88"/>
      <c r="U185" s="88"/>
      <c r="V185" s="88"/>
      <c r="W185" s="88"/>
      <c r="X185" s="88"/>
      <c r="Y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Q186" s="88"/>
      <c r="R186" s="88"/>
      <c r="S186" s="88"/>
      <c r="T186" s="88"/>
      <c r="U186" s="88"/>
      <c r="V186" s="88"/>
      <c r="W186" s="88"/>
      <c r="X186" s="88"/>
      <c r="Y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Q187" s="88"/>
      <c r="R187" s="88"/>
      <c r="S187" s="88"/>
      <c r="T187" s="88"/>
      <c r="U187" s="88"/>
      <c r="V187" s="88"/>
      <c r="W187" s="88"/>
      <c r="X187" s="88"/>
      <c r="Y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Q188" s="88"/>
      <c r="R188" s="88"/>
      <c r="S188" s="88"/>
      <c r="T188" s="88"/>
      <c r="U188" s="88"/>
      <c r="V188" s="88"/>
      <c r="W188" s="88"/>
      <c r="X188" s="88"/>
      <c r="Y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Q189" s="88"/>
      <c r="R189" s="88"/>
      <c r="S189" s="88"/>
      <c r="T189" s="88"/>
      <c r="U189" s="88"/>
      <c r="V189" s="88"/>
      <c r="W189" s="88"/>
      <c r="X189" s="88"/>
      <c r="Y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Q190" s="88"/>
      <c r="R190" s="88"/>
      <c r="S190" s="88"/>
      <c r="T190" s="88"/>
      <c r="U190" s="88"/>
      <c r="V190" s="88"/>
      <c r="W190" s="88"/>
      <c r="X190" s="139"/>
      <c r="Y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Q191" s="88"/>
      <c r="R191" s="88"/>
      <c r="S191" s="88"/>
      <c r="T191" s="88"/>
      <c r="U191" s="88"/>
      <c r="V191" s="88"/>
      <c r="W191" s="88"/>
      <c r="X191" s="139"/>
      <c r="Y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Q193" s="88"/>
      <c r="R193" s="88"/>
      <c r="S193" s="88"/>
      <c r="T193" s="88"/>
      <c r="U193" s="88"/>
      <c r="V193" s="88"/>
      <c r="W193" s="88"/>
      <c r="X193" s="139"/>
      <c r="Y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Q194" s="88"/>
      <c r="R194" s="88"/>
      <c r="S194" s="88"/>
      <c r="T194" s="88"/>
      <c r="U194" s="88"/>
      <c r="V194" s="88"/>
      <c r="W194" s="88"/>
      <c r="X194" s="139"/>
      <c r="Y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Q195" s="88"/>
      <c r="R195" s="88"/>
      <c r="S195" s="88"/>
      <c r="T195" s="88"/>
      <c r="U195" s="88"/>
      <c r="V195" s="88"/>
      <c r="W195" s="88"/>
      <c r="X195" s="139"/>
      <c r="Y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Q196" s="88"/>
      <c r="R196" s="88"/>
      <c r="S196" s="88"/>
      <c r="T196" s="88"/>
      <c r="U196" s="88"/>
      <c r="V196" s="88"/>
      <c r="W196" s="88"/>
      <c r="X196" s="139"/>
      <c r="Y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Q197" s="88"/>
      <c r="R197" s="88"/>
      <c r="S197" s="88"/>
      <c r="T197" s="88"/>
      <c r="U197" s="88"/>
      <c r="V197" s="88"/>
      <c r="W197" s="88"/>
      <c r="X197" s="139"/>
      <c r="Y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Q198" s="88"/>
      <c r="R198" s="88"/>
      <c r="S198" s="88"/>
      <c r="T198" s="88"/>
      <c r="U198" s="88"/>
      <c r="V198" s="88"/>
      <c r="W198" s="88"/>
      <c r="X198" s="139"/>
      <c r="Y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Q199" s="88"/>
      <c r="R199" s="88"/>
      <c r="S199" s="88"/>
      <c r="T199" s="88"/>
      <c r="U199" s="88"/>
      <c r="V199" s="88"/>
      <c r="W199" s="88"/>
      <c r="X199" s="88"/>
      <c r="Y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Q200" s="88"/>
      <c r="R200" s="88"/>
      <c r="S200" s="88"/>
      <c r="T200" s="88"/>
      <c r="U200" s="88"/>
      <c r="V200" s="88"/>
      <c r="W200" s="88"/>
      <c r="X200" s="139"/>
      <c r="Y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Q201" s="88"/>
      <c r="R201" s="88"/>
      <c r="S201" s="88"/>
      <c r="T201" s="88"/>
      <c r="U201" s="88"/>
      <c r="V201" s="88"/>
      <c r="W201" s="88"/>
      <c r="X201" s="88"/>
      <c r="Y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Q202" s="88"/>
      <c r="R202" s="88"/>
      <c r="S202" s="88"/>
      <c r="T202" s="88"/>
      <c r="U202" s="88"/>
      <c r="V202" s="88"/>
      <c r="W202" s="88"/>
      <c r="X202" s="88"/>
      <c r="Y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Q203" s="88"/>
      <c r="R203" s="88"/>
      <c r="S203" s="88"/>
      <c r="T203" s="88"/>
      <c r="U203" s="88"/>
      <c r="V203" s="88"/>
      <c r="W203" s="88"/>
      <c r="X203" s="139"/>
      <c r="Y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Q204" s="88"/>
      <c r="R204" s="88"/>
      <c r="S204" s="88"/>
      <c r="T204" s="88"/>
      <c r="U204" s="88"/>
      <c r="V204" s="88"/>
      <c r="W204" s="88"/>
      <c r="X204" s="88"/>
      <c r="Y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Q205" s="88"/>
      <c r="R205" s="88"/>
      <c r="S205" s="88"/>
      <c r="T205" s="88"/>
      <c r="U205" s="88"/>
      <c r="V205" s="88"/>
      <c r="W205" s="88"/>
      <c r="X205" s="88"/>
      <c r="Y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Q206" s="88"/>
      <c r="R206" s="88"/>
      <c r="S206" s="88"/>
      <c r="T206" s="88"/>
      <c r="U206" s="88"/>
      <c r="V206" s="88"/>
      <c r="W206" s="88"/>
      <c r="X206" s="88"/>
      <c r="Y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Q207" s="88"/>
      <c r="R207" s="88"/>
      <c r="S207" s="88"/>
      <c r="T207" s="88"/>
      <c r="U207" s="88"/>
      <c r="V207" s="88"/>
      <c r="W207" s="88"/>
      <c r="X207" s="88"/>
      <c r="Y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Q208" s="88"/>
      <c r="R208" s="88"/>
      <c r="S208" s="88"/>
      <c r="T208" s="88"/>
      <c r="U208" s="88"/>
      <c r="V208" s="88"/>
      <c r="W208" s="88"/>
      <c r="X208" s="88"/>
      <c r="Y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Q209" s="88"/>
      <c r="R209" s="88"/>
      <c r="S209" s="88"/>
      <c r="T209" s="88"/>
      <c r="U209" s="88"/>
      <c r="V209" s="88"/>
      <c r="W209" s="88"/>
      <c r="X209" s="88"/>
      <c r="Y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Q210" s="88"/>
      <c r="R210" s="88"/>
      <c r="S210" s="88"/>
      <c r="T210" s="88"/>
      <c r="U210" s="88"/>
      <c r="V210" s="88"/>
      <c r="W210" s="88"/>
      <c r="X210" s="88"/>
      <c r="Y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Q211" s="88"/>
      <c r="R211" s="88"/>
      <c r="S211" s="88"/>
      <c r="T211" s="88"/>
      <c r="U211" s="88"/>
      <c r="V211" s="88"/>
      <c r="W211" s="88"/>
      <c r="X211" s="88"/>
      <c r="Y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Q212" s="88"/>
      <c r="R212" s="88"/>
      <c r="S212" s="88"/>
      <c r="T212" s="88"/>
      <c r="U212" s="88"/>
      <c r="V212" s="88"/>
      <c r="W212" s="88"/>
      <c r="X212" s="88"/>
      <c r="Y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Q213" s="88"/>
      <c r="R213" s="88"/>
      <c r="S213" s="88"/>
      <c r="T213" s="88"/>
      <c r="U213" s="88"/>
      <c r="V213" s="88"/>
      <c r="W213" s="88"/>
      <c r="X213" s="88"/>
      <c r="Y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Q214" s="88"/>
      <c r="R214" s="88"/>
      <c r="S214" s="88"/>
      <c r="T214" s="88"/>
      <c r="U214" s="88"/>
      <c r="V214" s="88"/>
      <c r="W214" s="88"/>
      <c r="X214" s="88"/>
      <c r="Y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Q215" s="88"/>
      <c r="R215" s="88"/>
      <c r="S215" s="88"/>
      <c r="T215" s="88"/>
      <c r="U215" s="88"/>
      <c r="V215" s="88"/>
      <c r="W215" s="88"/>
      <c r="X215" s="88"/>
      <c r="Y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Q216" s="88"/>
      <c r="R216" s="88"/>
      <c r="S216" s="88"/>
      <c r="T216" s="88"/>
      <c r="U216" s="88"/>
      <c r="V216" s="88"/>
      <c r="W216" s="88"/>
      <c r="X216" s="88"/>
      <c r="Y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Q217" s="88"/>
      <c r="R217" s="88"/>
      <c r="S217" s="88"/>
      <c r="T217" s="88"/>
      <c r="U217" s="88"/>
      <c r="V217" s="88"/>
      <c r="W217" s="88"/>
      <c r="X217" s="88"/>
      <c r="Y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Q218" s="88"/>
      <c r="R218" s="88"/>
      <c r="S218" s="88"/>
      <c r="T218" s="88"/>
      <c r="U218" s="88"/>
      <c r="V218" s="88"/>
      <c r="W218" s="88"/>
      <c r="X218" s="88"/>
      <c r="Y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Q219" s="88"/>
      <c r="R219" s="88"/>
      <c r="S219" s="88"/>
      <c r="T219" s="88"/>
      <c r="U219" s="88"/>
      <c r="V219" s="88"/>
      <c r="W219" s="88"/>
      <c r="X219" s="88"/>
      <c r="Y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Q220" s="88"/>
      <c r="R220" s="88"/>
      <c r="S220" s="88"/>
      <c r="T220" s="88"/>
      <c r="U220" s="88"/>
      <c r="V220" s="88"/>
      <c r="W220" s="88"/>
      <c r="X220" s="88"/>
      <c r="Y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Q221" s="88"/>
      <c r="R221" s="88"/>
      <c r="S221" s="88"/>
      <c r="T221" s="88"/>
      <c r="U221" s="88"/>
      <c r="V221" s="88"/>
      <c r="W221" s="88"/>
      <c r="X221" s="88"/>
      <c r="Y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Q222" s="88"/>
      <c r="R222" s="88"/>
      <c r="S222" s="88"/>
      <c r="T222" s="88"/>
      <c r="U222" s="88"/>
      <c r="V222" s="88"/>
      <c r="W222" s="88"/>
      <c r="X222" s="88"/>
      <c r="Y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Q223" s="88"/>
      <c r="R223" s="88"/>
      <c r="S223" s="88"/>
      <c r="T223" s="88"/>
      <c r="U223" s="88"/>
      <c r="V223" s="88"/>
      <c r="W223" s="88"/>
      <c r="X223" s="88"/>
      <c r="Y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Q224" s="88"/>
      <c r="R224" s="88"/>
      <c r="S224" s="88"/>
      <c r="T224" s="88"/>
      <c r="U224" s="88"/>
      <c r="V224" s="88"/>
      <c r="W224" s="88"/>
      <c r="X224" s="88"/>
      <c r="Y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Q225" s="88"/>
      <c r="R225" s="88"/>
      <c r="S225" s="88"/>
      <c r="T225" s="88"/>
      <c r="U225" s="88"/>
      <c r="V225" s="88"/>
      <c r="W225" s="88"/>
      <c r="X225" s="88"/>
      <c r="Y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Q226" s="88"/>
      <c r="R226" s="88"/>
      <c r="S226" s="88"/>
      <c r="T226" s="88"/>
      <c r="U226" s="88"/>
      <c r="V226" s="88"/>
      <c r="W226" s="88"/>
      <c r="X226" s="88"/>
      <c r="Y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Q227" s="88"/>
      <c r="R227" s="88"/>
      <c r="S227" s="88"/>
      <c r="T227" s="88"/>
      <c r="U227" s="88"/>
      <c r="V227" s="88"/>
      <c r="W227" s="88"/>
      <c r="X227" s="88"/>
      <c r="Y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Q228" s="88"/>
      <c r="R228" s="88"/>
      <c r="S228" s="88"/>
      <c r="T228" s="88"/>
      <c r="U228" s="88"/>
      <c r="V228" s="88"/>
      <c r="W228" s="88"/>
      <c r="X228" s="88"/>
      <c r="Y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Q229" s="88"/>
      <c r="R229" s="88"/>
      <c r="S229" s="88"/>
      <c r="T229" s="88"/>
      <c r="U229" s="88"/>
      <c r="V229" s="88"/>
      <c r="W229" s="88"/>
      <c r="X229" s="88"/>
      <c r="Y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Q230" s="88"/>
      <c r="R230" s="88"/>
      <c r="S230" s="88"/>
      <c r="T230" s="88"/>
      <c r="U230" s="88"/>
      <c r="V230" s="88"/>
      <c r="W230" s="88"/>
      <c r="X230" s="88"/>
      <c r="Y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Q231" s="88"/>
      <c r="R231" s="88"/>
      <c r="S231" s="88"/>
      <c r="T231" s="88"/>
      <c r="U231" s="88"/>
      <c r="V231" s="88"/>
      <c r="W231" s="88"/>
      <c r="X231" s="88"/>
      <c r="Y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Q232" s="88"/>
      <c r="R232" s="88"/>
      <c r="S232" s="88"/>
      <c r="T232" s="88"/>
      <c r="U232" s="88"/>
      <c r="V232" s="88"/>
      <c r="W232" s="88"/>
      <c r="X232" s="88"/>
      <c r="Y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Q233" s="88"/>
      <c r="R233" s="88"/>
      <c r="S233" s="88"/>
      <c r="T233" s="88"/>
      <c r="U233" s="88"/>
      <c r="V233" s="88"/>
      <c r="W233" s="88"/>
      <c r="X233" s="88"/>
      <c r="Y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Q234" s="88"/>
      <c r="R234" s="88"/>
      <c r="S234" s="88"/>
      <c r="T234" s="88"/>
      <c r="U234" s="88"/>
      <c r="V234" s="88"/>
      <c r="W234" s="88"/>
      <c r="X234" s="88"/>
      <c r="Y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Q235" s="88"/>
      <c r="R235" s="88"/>
      <c r="S235" s="88"/>
      <c r="T235" s="88"/>
      <c r="U235" s="88"/>
      <c r="V235" s="88"/>
      <c r="W235" s="88"/>
      <c r="X235" s="88"/>
      <c r="Y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Q236" s="88"/>
      <c r="R236" s="88"/>
      <c r="S236" s="88"/>
      <c r="T236" s="88"/>
      <c r="U236" s="88"/>
      <c r="V236" s="88"/>
      <c r="W236" s="88"/>
      <c r="X236" s="88"/>
      <c r="Y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Q237" s="88"/>
      <c r="R237" s="88"/>
      <c r="S237" s="88"/>
      <c r="T237" s="88"/>
      <c r="U237" s="88"/>
      <c r="V237" s="88"/>
      <c r="W237" s="88"/>
      <c r="X237" s="88"/>
      <c r="Y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Q238" s="88"/>
      <c r="R238" s="88"/>
      <c r="S238" s="88"/>
      <c r="T238" s="88"/>
      <c r="U238" s="88"/>
      <c r="V238" s="88"/>
      <c r="W238" s="88"/>
      <c r="X238" s="88"/>
      <c r="Y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Q239" s="88"/>
      <c r="R239" s="88"/>
      <c r="S239" s="88"/>
      <c r="T239" s="88"/>
      <c r="U239" s="88"/>
      <c r="V239" s="88"/>
      <c r="W239" s="88"/>
      <c r="X239" s="88"/>
      <c r="Y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Q240" s="88"/>
      <c r="R240" s="88"/>
      <c r="S240" s="88"/>
      <c r="T240" s="88"/>
      <c r="U240" s="88"/>
      <c r="V240" s="88"/>
      <c r="W240" s="88"/>
      <c r="X240" s="88"/>
      <c r="Y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Q241" s="88"/>
      <c r="R241" s="88"/>
      <c r="S241" s="88"/>
      <c r="T241" s="88"/>
      <c r="U241" s="88"/>
      <c r="V241" s="88"/>
      <c r="W241" s="88"/>
      <c r="X241" s="88"/>
      <c r="Y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Q242" s="88"/>
      <c r="R242" s="88"/>
      <c r="S242" s="88"/>
      <c r="T242" s="88"/>
      <c r="U242" s="88"/>
      <c r="V242" s="88"/>
      <c r="W242" s="88"/>
      <c r="X242" s="88"/>
      <c r="Y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Q243" s="88"/>
      <c r="R243" s="88"/>
      <c r="S243" s="88"/>
      <c r="T243" s="88"/>
      <c r="U243" s="88"/>
      <c r="V243" s="88"/>
      <c r="W243" s="88"/>
      <c r="X243" s="88"/>
      <c r="Y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Q244" s="88"/>
      <c r="R244" s="88"/>
      <c r="S244" s="88"/>
      <c r="T244" s="88"/>
      <c r="U244" s="88"/>
      <c r="V244" s="88"/>
      <c r="W244" s="88"/>
      <c r="X244" s="88"/>
      <c r="Y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Q245" s="88"/>
      <c r="R245" s="88"/>
      <c r="S245" s="88"/>
      <c r="T245" s="88"/>
      <c r="U245" s="88"/>
      <c r="V245" s="88"/>
      <c r="W245" s="88"/>
      <c r="X245" s="88"/>
      <c r="Y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Q246" s="88"/>
      <c r="R246" s="88"/>
      <c r="S246" s="88"/>
      <c r="T246" s="88"/>
      <c r="U246" s="88"/>
      <c r="V246" s="88"/>
      <c r="W246" s="88"/>
      <c r="X246" s="88"/>
      <c r="Y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Q247" s="88"/>
      <c r="R247" s="88"/>
      <c r="S247" s="88"/>
      <c r="T247" s="88"/>
      <c r="U247" s="88"/>
      <c r="V247" s="88"/>
      <c r="W247" s="88"/>
      <c r="X247" s="88"/>
      <c r="Y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Q248" s="88"/>
      <c r="R248" s="88"/>
      <c r="S248" s="88"/>
      <c r="T248" s="88"/>
      <c r="U248" s="88"/>
      <c r="V248" s="88"/>
      <c r="W248" s="88"/>
      <c r="X248" s="88"/>
      <c r="Y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Q249" s="88"/>
      <c r="R249" s="88"/>
      <c r="S249" s="88"/>
      <c r="T249" s="88"/>
      <c r="U249" s="88"/>
      <c r="V249" s="88"/>
      <c r="W249" s="88"/>
      <c r="X249" s="88"/>
      <c r="Y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Q250" s="88"/>
      <c r="R250" s="88"/>
      <c r="S250" s="88"/>
      <c r="T250" s="88"/>
      <c r="U250" s="88"/>
      <c r="V250" s="88"/>
      <c r="W250" s="88"/>
      <c r="X250" s="88"/>
      <c r="Y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Q251" s="88"/>
      <c r="R251" s="88"/>
      <c r="S251" s="88"/>
      <c r="T251" s="88"/>
      <c r="U251" s="88"/>
      <c r="V251" s="88"/>
      <c r="W251" s="88"/>
      <c r="X251" s="88"/>
      <c r="Y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Q252" s="88"/>
      <c r="R252" s="88"/>
      <c r="S252" s="88"/>
      <c r="T252" s="88"/>
      <c r="U252" s="88"/>
      <c r="V252" s="88"/>
      <c r="W252" s="88"/>
      <c r="X252" s="88"/>
      <c r="Y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Q253" s="88"/>
      <c r="R253" s="88"/>
      <c r="S253" s="88"/>
      <c r="T253" s="88"/>
      <c r="U253" s="88"/>
      <c r="V253" s="88"/>
      <c r="W253" s="88"/>
      <c r="X253" s="88"/>
      <c r="Y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Q254" s="88"/>
      <c r="R254" s="88"/>
      <c r="S254" s="88"/>
      <c r="T254" s="88"/>
      <c r="U254" s="88"/>
      <c r="V254" s="88"/>
      <c r="W254" s="88"/>
      <c r="X254" s="88"/>
      <c r="Y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Q255" s="88"/>
      <c r="R255" s="88"/>
      <c r="S255" s="88"/>
      <c r="T255" s="88"/>
      <c r="U255" s="88"/>
      <c r="V255" s="88"/>
      <c r="W255" s="88"/>
      <c r="X255" s="88"/>
      <c r="Y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Q256" s="88"/>
      <c r="R256" s="88"/>
      <c r="S256" s="88"/>
      <c r="T256" s="88"/>
      <c r="U256" s="88"/>
      <c r="V256" s="88"/>
      <c r="W256" s="88"/>
      <c r="X256" s="88"/>
      <c r="Y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Q257" s="88"/>
      <c r="R257" s="88"/>
      <c r="S257" s="88"/>
      <c r="T257" s="88"/>
      <c r="U257" s="88"/>
      <c r="V257" s="88"/>
      <c r="W257" s="88"/>
      <c r="X257" s="88"/>
      <c r="Y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Q258" s="88"/>
      <c r="R258" s="88"/>
      <c r="S258" s="88"/>
      <c r="T258" s="88"/>
      <c r="U258" s="88"/>
      <c r="V258" s="88"/>
      <c r="W258" s="88"/>
      <c r="X258" s="88"/>
      <c r="Y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Q259" s="88"/>
      <c r="R259" s="88"/>
      <c r="S259" s="88"/>
      <c r="T259" s="88"/>
      <c r="U259" s="88"/>
      <c r="V259" s="88"/>
      <c r="W259" s="88"/>
      <c r="X259" s="88"/>
      <c r="Y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Q260" s="88"/>
      <c r="R260" s="88"/>
      <c r="S260" s="88"/>
      <c r="T260" s="88"/>
      <c r="U260" s="88"/>
      <c r="V260" s="88"/>
      <c r="W260" s="88"/>
      <c r="X260" s="88"/>
      <c r="Y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Q261" s="88"/>
      <c r="R261" s="88"/>
      <c r="S261" s="88"/>
      <c r="T261" s="88"/>
      <c r="U261" s="88"/>
      <c r="V261" s="88"/>
      <c r="W261" s="88"/>
      <c r="X261" s="88"/>
      <c r="Y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Q262" s="88"/>
      <c r="R262" s="88"/>
      <c r="S262" s="88"/>
      <c r="T262" s="88"/>
      <c r="U262" s="88"/>
      <c r="V262" s="88"/>
      <c r="W262" s="88"/>
      <c r="X262" s="88"/>
      <c r="Y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Q263" s="88"/>
      <c r="R263" s="88"/>
      <c r="S263" s="88"/>
      <c r="T263" s="88"/>
      <c r="U263" s="88"/>
      <c r="V263" s="88"/>
      <c r="W263" s="88"/>
      <c r="X263" s="88"/>
      <c r="Y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Q264" s="88"/>
      <c r="R264" s="88"/>
      <c r="S264" s="88"/>
      <c r="T264" s="88"/>
      <c r="U264" s="88"/>
      <c r="V264" s="88"/>
      <c r="W264" s="88"/>
      <c r="X264" s="88"/>
      <c r="Y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Q266" s="88"/>
      <c r="R266" s="88"/>
      <c r="S266" s="88"/>
      <c r="T266" s="88"/>
      <c r="U266" s="88"/>
      <c r="V266" s="88"/>
      <c r="W266" s="88"/>
      <c r="X266" s="88"/>
      <c r="Y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Q267" s="88"/>
      <c r="R267" s="88"/>
      <c r="S267" s="88"/>
      <c r="T267" s="88"/>
      <c r="U267" s="88"/>
      <c r="V267" s="88"/>
      <c r="W267" s="88"/>
      <c r="X267" s="88"/>
      <c r="Y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Q268" s="88"/>
      <c r="R268" s="88"/>
      <c r="S268" s="88"/>
      <c r="T268" s="88"/>
      <c r="U268" s="88"/>
      <c r="V268" s="88"/>
      <c r="W268" s="88"/>
      <c r="X268" s="88"/>
      <c r="Y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Q269" s="88"/>
      <c r="R269" s="88"/>
      <c r="S269" s="88"/>
      <c r="T269" s="88"/>
      <c r="U269" s="88"/>
      <c r="V269" s="88"/>
      <c r="W269" s="88"/>
      <c r="X269" s="88"/>
      <c r="Y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Q270" s="88"/>
      <c r="R270" s="88"/>
      <c r="S270" s="88"/>
      <c r="T270" s="88"/>
      <c r="U270" s="88"/>
      <c r="V270" s="88"/>
      <c r="W270" s="88"/>
      <c r="X270" s="88"/>
      <c r="Y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Q271" s="88"/>
      <c r="R271" s="88"/>
      <c r="S271" s="88"/>
      <c r="T271" s="88"/>
      <c r="U271" s="88"/>
      <c r="V271" s="88"/>
      <c r="W271" s="88"/>
      <c r="X271" s="88"/>
      <c r="Y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Q272" s="88"/>
      <c r="R272" s="88"/>
      <c r="S272" s="88"/>
      <c r="T272" s="88"/>
      <c r="U272" s="88"/>
      <c r="V272" s="88"/>
      <c r="W272" s="88"/>
      <c r="X272" s="88"/>
      <c r="Y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Q273" s="88"/>
      <c r="R273" s="88"/>
      <c r="S273" s="88"/>
      <c r="T273" s="88"/>
      <c r="U273" s="88"/>
      <c r="V273" s="88"/>
      <c r="W273" s="88"/>
      <c r="X273" s="88"/>
      <c r="Y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Q274" s="88"/>
      <c r="R274" s="88"/>
      <c r="S274" s="88"/>
      <c r="T274" s="88"/>
      <c r="U274" s="88"/>
      <c r="V274" s="88"/>
      <c r="W274" s="88"/>
      <c r="X274" s="88"/>
      <c r="Y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Q275" s="88"/>
      <c r="R275" s="88"/>
      <c r="S275" s="88"/>
      <c r="T275" s="88"/>
      <c r="U275" s="88"/>
      <c r="V275" s="88"/>
      <c r="W275" s="88"/>
      <c r="X275" s="88"/>
      <c r="Y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Q276" s="88"/>
      <c r="R276" s="88"/>
      <c r="S276" s="88"/>
      <c r="T276" s="88"/>
      <c r="U276" s="88"/>
      <c r="V276" s="88"/>
      <c r="W276" s="88"/>
      <c r="X276" s="88"/>
      <c r="Y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Q277" s="88"/>
      <c r="R277" s="88"/>
      <c r="S277" s="88"/>
      <c r="T277" s="88"/>
      <c r="U277" s="88"/>
      <c r="V277" s="88"/>
      <c r="W277" s="88"/>
      <c r="X277" s="88"/>
      <c r="Y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Q278" s="88"/>
      <c r="R278" s="88"/>
      <c r="S278" s="88"/>
      <c r="T278" s="88"/>
      <c r="U278" s="88"/>
      <c r="V278" s="88"/>
      <c r="W278" s="88"/>
      <c r="X278" s="88"/>
      <c r="Y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Q279" s="88"/>
      <c r="R279" s="88"/>
      <c r="S279" s="88"/>
      <c r="T279" s="88"/>
      <c r="U279" s="88"/>
      <c r="V279" s="88"/>
      <c r="W279" s="88"/>
      <c r="X279" s="88"/>
      <c r="Y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Q280" s="88"/>
      <c r="R280" s="88"/>
      <c r="S280" s="88"/>
      <c r="T280" s="88"/>
      <c r="U280" s="88"/>
      <c r="V280" s="88"/>
      <c r="W280" s="88"/>
      <c r="X280" s="88"/>
      <c r="Y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Q281" s="88"/>
      <c r="R281" s="88"/>
      <c r="S281" s="88"/>
      <c r="T281" s="88"/>
      <c r="U281" s="88"/>
      <c r="V281" s="88"/>
      <c r="W281" s="88"/>
      <c r="X281" s="88"/>
      <c r="Y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Q282" s="88"/>
      <c r="R282" s="88"/>
      <c r="S282" s="88"/>
      <c r="T282" s="88"/>
      <c r="U282" s="88"/>
      <c r="V282" s="88"/>
      <c r="W282" s="88"/>
      <c r="X282" s="88"/>
      <c r="Y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Q283" s="88"/>
      <c r="R283" s="88"/>
      <c r="S283" s="88"/>
      <c r="T283" s="88"/>
      <c r="U283" s="88"/>
      <c r="V283" s="88"/>
      <c r="W283" s="88"/>
      <c r="X283" s="88"/>
      <c r="Y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Q284" s="88"/>
      <c r="R284" s="88"/>
      <c r="S284" s="88"/>
      <c r="T284" s="88"/>
      <c r="U284" s="88"/>
      <c r="V284" s="88"/>
      <c r="W284" s="88"/>
      <c r="X284" s="88"/>
      <c r="Y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Q285" s="88"/>
      <c r="R285" s="88"/>
      <c r="S285" s="88"/>
      <c r="T285" s="88"/>
      <c r="U285" s="88"/>
      <c r="V285" s="88"/>
      <c r="W285" s="88"/>
      <c r="X285" s="88"/>
      <c r="Y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Q286" s="88"/>
      <c r="R286" s="88"/>
      <c r="S286" s="88"/>
      <c r="T286" s="88"/>
      <c r="U286" s="88"/>
      <c r="V286" s="88"/>
      <c r="W286" s="88"/>
      <c r="X286" s="88"/>
      <c r="Y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Q287" s="88"/>
      <c r="R287" s="88"/>
      <c r="S287" s="88"/>
      <c r="T287" s="88"/>
      <c r="U287" s="88"/>
      <c r="V287" s="88"/>
      <c r="W287" s="88"/>
      <c r="X287" s="88"/>
      <c r="Y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Q288" s="88"/>
      <c r="R288" s="88"/>
      <c r="S288" s="88"/>
      <c r="T288" s="88"/>
      <c r="U288" s="88"/>
      <c r="V288" s="88"/>
      <c r="W288" s="88"/>
      <c r="X288" s="88"/>
      <c r="Y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Q289" s="88"/>
      <c r="R289" s="88"/>
      <c r="S289" s="88"/>
      <c r="T289" s="88"/>
      <c r="U289" s="88"/>
      <c r="V289" s="88"/>
      <c r="W289" s="88"/>
      <c r="X289" s="88"/>
      <c r="Y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Q290" s="88"/>
      <c r="R290" s="88"/>
      <c r="S290" s="88"/>
      <c r="T290" s="88"/>
      <c r="U290" s="88"/>
      <c r="V290" s="88"/>
      <c r="W290" s="88"/>
      <c r="X290" s="88"/>
      <c r="Y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Q291" s="88"/>
      <c r="R291" s="88"/>
      <c r="S291" s="88"/>
      <c r="T291" s="88"/>
      <c r="U291" s="88"/>
      <c r="V291" s="88"/>
      <c r="W291" s="88"/>
      <c r="X291" s="88"/>
      <c r="Y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Q292" s="88"/>
      <c r="R292" s="88"/>
      <c r="S292" s="88"/>
      <c r="T292" s="88"/>
      <c r="U292" s="88"/>
      <c r="V292" s="88"/>
      <c r="W292" s="88"/>
      <c r="X292" s="88"/>
      <c r="Y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Q293" s="88"/>
      <c r="R293" s="88"/>
      <c r="S293" s="88"/>
      <c r="T293" s="88"/>
      <c r="U293" s="88"/>
      <c r="V293" s="88"/>
      <c r="W293" s="88"/>
      <c r="X293" s="88"/>
      <c r="Y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Q294" s="88"/>
      <c r="R294" s="88"/>
      <c r="S294" s="88"/>
      <c r="T294" s="88"/>
      <c r="U294" s="88"/>
      <c r="V294" s="88"/>
      <c r="W294" s="88"/>
      <c r="X294" s="88"/>
      <c r="Y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Q295" s="88"/>
      <c r="R295" s="88"/>
      <c r="S295" s="88"/>
      <c r="T295" s="88"/>
      <c r="U295" s="88"/>
      <c r="V295" s="88"/>
      <c r="W295" s="88"/>
      <c r="X295" s="88"/>
      <c r="Y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Q296" s="88"/>
      <c r="R296" s="88"/>
      <c r="S296" s="88"/>
      <c r="T296" s="88"/>
      <c r="U296" s="88"/>
      <c r="V296" s="88"/>
      <c r="W296" s="88"/>
      <c r="X296" s="88"/>
      <c r="Y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Q297" s="88"/>
      <c r="R297" s="88"/>
      <c r="S297" s="88"/>
      <c r="T297" s="88"/>
      <c r="U297" s="88"/>
      <c r="V297" s="88"/>
      <c r="W297" s="88"/>
      <c r="X297" s="88"/>
      <c r="Y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Q298" s="88"/>
      <c r="R298" s="88"/>
      <c r="S298" s="88"/>
      <c r="T298" s="88"/>
      <c r="U298" s="88"/>
      <c r="V298" s="88"/>
      <c r="W298" s="88"/>
      <c r="X298" s="88"/>
      <c r="Y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Q299" s="88"/>
      <c r="R299" s="88"/>
      <c r="S299" s="88"/>
      <c r="T299" s="88"/>
      <c r="U299" s="88"/>
      <c r="V299" s="88"/>
      <c r="W299" s="88"/>
      <c r="X299" s="88"/>
      <c r="Y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Q300" s="88"/>
      <c r="R300" s="88"/>
      <c r="S300" s="88"/>
      <c r="T300" s="88"/>
      <c r="U300" s="88"/>
      <c r="V300" s="88"/>
      <c r="W300" s="88"/>
      <c r="X300" s="88"/>
      <c r="Y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Q301" s="88"/>
      <c r="R301" s="88"/>
      <c r="S301" s="88"/>
      <c r="T301" s="88"/>
      <c r="U301" s="88"/>
      <c r="V301" s="88"/>
      <c r="W301" s="88"/>
      <c r="X301" s="88"/>
      <c r="Y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Q302" s="88"/>
      <c r="R302" s="88"/>
      <c r="S302" s="88"/>
      <c r="T302" s="88"/>
      <c r="U302" s="88"/>
      <c r="V302" s="88"/>
      <c r="W302" s="88"/>
      <c r="X302" s="88"/>
      <c r="Y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Q303" s="88"/>
      <c r="R303" s="88"/>
      <c r="S303" s="88"/>
      <c r="T303" s="88"/>
      <c r="U303" s="88"/>
      <c r="V303" s="88"/>
      <c r="W303" s="88"/>
      <c r="X303" s="88"/>
      <c r="Y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Q304" s="88"/>
      <c r="R304" s="88"/>
      <c r="S304" s="88"/>
      <c r="T304" s="88"/>
      <c r="U304" s="88"/>
      <c r="V304" s="88"/>
      <c r="W304" s="88"/>
      <c r="X304" s="88"/>
      <c r="Y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Q305" s="88"/>
      <c r="R305" s="88"/>
      <c r="S305" s="88"/>
      <c r="T305" s="88"/>
      <c r="U305" s="88"/>
      <c r="V305" s="88"/>
      <c r="W305" s="88"/>
      <c r="X305" s="88"/>
      <c r="Y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Q306" s="88"/>
      <c r="R306" s="88"/>
      <c r="S306" s="88"/>
      <c r="T306" s="88"/>
      <c r="U306" s="88"/>
      <c r="V306" s="88"/>
      <c r="W306" s="88"/>
      <c r="X306" s="88"/>
      <c r="Y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Q307" s="88"/>
      <c r="R307" s="88"/>
      <c r="S307" s="88"/>
      <c r="T307" s="88"/>
      <c r="U307" s="88"/>
      <c r="V307" s="88"/>
      <c r="W307" s="88"/>
      <c r="X307" s="88"/>
      <c r="Y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Q308" s="88"/>
      <c r="R308" s="88"/>
      <c r="S308" s="88"/>
      <c r="T308" s="88"/>
      <c r="U308" s="88"/>
      <c r="V308" s="88"/>
      <c r="W308" s="88"/>
      <c r="X308" s="88"/>
      <c r="Y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Q309" s="88"/>
      <c r="R309" s="88"/>
      <c r="S309" s="88"/>
      <c r="T309" s="88"/>
      <c r="U309" s="88"/>
      <c r="V309" s="88"/>
      <c r="W309" s="88"/>
      <c r="X309" s="88"/>
      <c r="Y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Q310" s="88"/>
      <c r="R310" s="88"/>
      <c r="S310" s="88"/>
      <c r="T310" s="88"/>
      <c r="U310" s="88"/>
      <c r="V310" s="88"/>
      <c r="W310" s="88"/>
      <c r="X310" s="88"/>
      <c r="Y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Q311" s="88"/>
      <c r="R311" s="88"/>
      <c r="S311" s="88"/>
      <c r="T311" s="88"/>
      <c r="U311" s="88"/>
      <c r="V311" s="88"/>
      <c r="W311" s="88"/>
      <c r="X311" s="88"/>
      <c r="Y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Q312" s="88"/>
      <c r="R312" s="88"/>
      <c r="S312" s="88"/>
      <c r="T312" s="88"/>
      <c r="U312" s="88"/>
      <c r="V312" s="88"/>
      <c r="W312" s="88"/>
      <c r="X312" s="88"/>
      <c r="Y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Q313" s="88"/>
      <c r="R313" s="88"/>
      <c r="S313" s="88"/>
      <c r="T313" s="88"/>
      <c r="U313" s="88"/>
      <c r="V313" s="88"/>
      <c r="W313" s="88"/>
      <c r="X313" s="88"/>
      <c r="Y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Q314" s="88"/>
      <c r="R314" s="88"/>
      <c r="S314" s="88"/>
      <c r="T314" s="88"/>
      <c r="U314" s="88"/>
      <c r="V314" s="88"/>
      <c r="W314" s="88"/>
      <c r="X314" s="88"/>
      <c r="Y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Q315" s="88"/>
      <c r="R315" s="88"/>
      <c r="S315" s="88"/>
      <c r="T315" s="88"/>
      <c r="U315" s="88"/>
      <c r="V315" s="88"/>
      <c r="W315" s="88"/>
      <c r="X315" s="88"/>
      <c r="Y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Q316" s="88"/>
      <c r="R316" s="88"/>
      <c r="S316" s="88"/>
      <c r="T316" s="88"/>
      <c r="U316" s="88"/>
      <c r="V316" s="88"/>
      <c r="W316" s="88"/>
      <c r="X316" s="88"/>
      <c r="Y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Q317" s="88"/>
      <c r="R317" s="88"/>
      <c r="S317" s="88"/>
      <c r="T317" s="88"/>
      <c r="U317" s="88"/>
      <c r="V317" s="88"/>
      <c r="W317" s="88"/>
      <c r="X317" s="88"/>
      <c r="Y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Q318" s="88"/>
      <c r="R318" s="88"/>
      <c r="S318" s="88"/>
      <c r="T318" s="88"/>
      <c r="U318" s="88"/>
      <c r="V318" s="88"/>
      <c r="W318" s="88"/>
      <c r="X318" s="88"/>
      <c r="Y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Q319" s="88"/>
      <c r="R319" s="88"/>
      <c r="S319" s="88"/>
      <c r="T319" s="88"/>
      <c r="U319" s="88"/>
      <c r="V319" s="88"/>
      <c r="W319" s="88"/>
      <c r="X319" s="88"/>
      <c r="Y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Q320" s="88"/>
      <c r="R320" s="88"/>
      <c r="S320" s="88"/>
      <c r="T320" s="88"/>
      <c r="U320" s="88"/>
      <c r="V320" s="88"/>
      <c r="W320" s="88"/>
      <c r="X320" s="88"/>
      <c r="Y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Q321" s="88"/>
      <c r="R321" s="88"/>
      <c r="S321" s="88"/>
      <c r="T321" s="88"/>
      <c r="U321" s="88"/>
      <c r="V321" s="88"/>
      <c r="W321" s="88"/>
      <c r="X321" s="88"/>
      <c r="Y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Q322" s="88"/>
      <c r="R322" s="88"/>
      <c r="S322" s="88"/>
      <c r="T322" s="88"/>
      <c r="U322" s="88"/>
      <c r="V322" s="88"/>
      <c r="W322" s="88"/>
      <c r="X322" s="88"/>
      <c r="Y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Q323" s="88"/>
      <c r="R323" s="88"/>
      <c r="S323" s="88"/>
      <c r="T323" s="88"/>
      <c r="U323" s="88"/>
      <c r="V323" s="88"/>
      <c r="W323" s="88"/>
      <c r="X323" s="88"/>
      <c r="Y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Q324" s="88"/>
      <c r="R324" s="88"/>
      <c r="S324" s="88"/>
      <c r="T324" s="88"/>
      <c r="U324" s="88"/>
      <c r="V324" s="88"/>
      <c r="W324" s="88"/>
      <c r="X324" s="88"/>
      <c r="Y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Q325" s="88"/>
      <c r="R325" s="88"/>
      <c r="S325" s="88"/>
      <c r="T325" s="88"/>
      <c r="U325" s="88"/>
      <c r="V325" s="88"/>
      <c r="W325" s="88"/>
      <c r="X325" s="88"/>
      <c r="Y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Q326" s="88"/>
      <c r="R326" s="88"/>
      <c r="S326" s="88"/>
      <c r="T326" s="88"/>
      <c r="U326" s="88"/>
      <c r="V326" s="88"/>
      <c r="W326" s="88"/>
      <c r="X326" s="88"/>
      <c r="Y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Q327" s="88"/>
      <c r="R327" s="88"/>
      <c r="S327" s="88"/>
      <c r="T327" s="88"/>
      <c r="U327" s="88"/>
      <c r="V327" s="88"/>
      <c r="W327" s="88"/>
      <c r="X327" s="88"/>
      <c r="Y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Q328" s="88"/>
      <c r="R328" s="88"/>
      <c r="S328" s="88"/>
      <c r="T328" s="88"/>
      <c r="U328" s="88"/>
      <c r="V328" s="88"/>
      <c r="W328" s="88"/>
      <c r="X328" s="88"/>
      <c r="Y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Q329" s="88"/>
      <c r="R329" s="88"/>
      <c r="S329" s="88"/>
      <c r="T329" s="88"/>
      <c r="U329" s="88"/>
      <c r="V329" s="88"/>
      <c r="W329" s="88"/>
      <c r="X329" s="88"/>
      <c r="Y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Q330" s="88"/>
      <c r="R330" s="88"/>
      <c r="S330" s="88"/>
      <c r="T330" s="88"/>
      <c r="U330" s="88"/>
      <c r="V330" s="88"/>
      <c r="W330" s="88"/>
      <c r="X330" s="88"/>
      <c r="Y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Q331" s="88"/>
      <c r="R331" s="88"/>
      <c r="S331" s="88"/>
      <c r="T331" s="88"/>
      <c r="U331" s="88"/>
      <c r="V331" s="88"/>
      <c r="W331" s="88"/>
      <c r="X331" s="88"/>
      <c r="Y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Q332" s="88"/>
      <c r="R332" s="88"/>
      <c r="S332" s="88"/>
      <c r="T332" s="88"/>
      <c r="U332" s="88"/>
      <c r="V332" s="88"/>
      <c r="W332" s="88"/>
      <c r="X332" s="88"/>
      <c r="Y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Q333" s="88"/>
      <c r="R333" s="88"/>
      <c r="S333" s="88"/>
      <c r="T333" s="88"/>
      <c r="U333" s="88"/>
      <c r="V333" s="88"/>
      <c r="W333" s="88"/>
      <c r="X333" s="88"/>
      <c r="Y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Q334" s="88"/>
      <c r="R334" s="88"/>
      <c r="S334" s="88"/>
      <c r="T334" s="88"/>
      <c r="U334" s="88"/>
      <c r="V334" s="88"/>
      <c r="W334" s="88"/>
      <c r="X334" s="88"/>
      <c r="Y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Q335" s="88"/>
      <c r="R335" s="88"/>
      <c r="S335" s="88"/>
      <c r="T335" s="88"/>
      <c r="U335" s="88"/>
      <c r="V335" s="88"/>
      <c r="W335" s="88"/>
      <c r="X335" s="88"/>
      <c r="Y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Q336" s="88"/>
      <c r="R336" s="88"/>
      <c r="S336" s="88"/>
      <c r="T336" s="88"/>
      <c r="U336" s="88"/>
      <c r="V336" s="88"/>
      <c r="W336" s="88"/>
      <c r="X336" s="88"/>
      <c r="Y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Q337" s="88"/>
      <c r="R337" s="88"/>
      <c r="S337" s="88"/>
      <c r="T337" s="88"/>
      <c r="U337" s="88"/>
      <c r="V337" s="88"/>
      <c r="W337" s="88"/>
      <c r="X337" s="88"/>
      <c r="Y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Q338" s="88"/>
      <c r="R338" s="88"/>
      <c r="S338" s="88"/>
      <c r="T338" s="88"/>
      <c r="U338" s="88"/>
      <c r="V338" s="88"/>
      <c r="W338" s="88"/>
      <c r="X338" s="88"/>
      <c r="Y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Q339" s="88"/>
      <c r="R339" s="88"/>
      <c r="S339" s="88"/>
      <c r="T339" s="88"/>
      <c r="U339" s="88"/>
      <c r="V339" s="88"/>
      <c r="W339" s="88"/>
      <c r="X339" s="88"/>
      <c r="Y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Q340" s="88"/>
      <c r="R340" s="88"/>
      <c r="S340" s="88"/>
      <c r="T340" s="88"/>
      <c r="U340" s="88"/>
      <c r="V340" s="88"/>
      <c r="W340" s="88"/>
      <c r="X340" s="88"/>
      <c r="Y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Q341" s="88"/>
      <c r="R341" s="88"/>
      <c r="S341" s="88"/>
      <c r="T341" s="88"/>
      <c r="U341" s="88"/>
      <c r="V341" s="88"/>
      <c r="W341" s="88"/>
      <c r="X341" s="88"/>
      <c r="Y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Q342" s="88"/>
      <c r="R342" s="88"/>
      <c r="S342" s="88"/>
      <c r="T342" s="88"/>
      <c r="U342" s="88"/>
      <c r="V342" s="88"/>
      <c r="W342" s="88"/>
      <c r="X342" s="88"/>
      <c r="Y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Q343" s="88"/>
      <c r="R343" s="88"/>
      <c r="S343" s="88"/>
      <c r="T343" s="88"/>
      <c r="U343" s="88"/>
      <c r="V343" s="88"/>
      <c r="W343" s="88"/>
      <c r="X343" s="88"/>
      <c r="Y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Q344" s="88"/>
      <c r="R344" s="88"/>
      <c r="S344" s="88"/>
      <c r="T344" s="88"/>
      <c r="U344" s="88"/>
      <c r="V344" s="88"/>
      <c r="W344" s="88"/>
      <c r="X344" s="88"/>
      <c r="Y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Q345" s="88"/>
      <c r="R345" s="88"/>
      <c r="S345" s="88"/>
      <c r="T345" s="88"/>
      <c r="U345" s="88"/>
      <c r="V345" s="88"/>
      <c r="W345" s="88"/>
      <c r="X345" s="88"/>
      <c r="Y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Q346" s="88"/>
      <c r="R346" s="88"/>
      <c r="S346" s="88"/>
      <c r="T346" s="88"/>
      <c r="U346" s="88"/>
      <c r="V346" s="88"/>
      <c r="W346" s="88"/>
      <c r="X346" s="88"/>
      <c r="Y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Q347" s="88"/>
      <c r="R347" s="88"/>
      <c r="S347" s="88"/>
      <c r="T347" s="88"/>
      <c r="U347" s="88"/>
      <c r="V347" s="88"/>
      <c r="W347" s="88"/>
      <c r="X347" s="88"/>
      <c r="Y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Q348" s="88"/>
      <c r="R348" s="88"/>
      <c r="S348" s="88"/>
      <c r="T348" s="88"/>
      <c r="U348" s="88"/>
      <c r="V348" s="88"/>
      <c r="W348" s="88"/>
      <c r="X348" s="88"/>
      <c r="Y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Q349" s="88"/>
      <c r="R349" s="88"/>
      <c r="S349" s="88"/>
      <c r="T349" s="88"/>
      <c r="U349" s="88"/>
      <c r="V349" s="88"/>
      <c r="W349" s="88"/>
      <c r="X349" s="88"/>
      <c r="Y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Q350" s="88"/>
      <c r="R350" s="88"/>
      <c r="S350" s="88"/>
      <c r="T350" s="88"/>
      <c r="U350" s="88"/>
      <c r="V350" s="88"/>
      <c r="W350" s="88"/>
      <c r="X350" s="88"/>
      <c r="Y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Q351" s="88"/>
      <c r="R351" s="88"/>
      <c r="S351" s="88"/>
      <c r="T351" s="88"/>
      <c r="U351" s="88"/>
      <c r="V351" s="88"/>
      <c r="W351" s="88"/>
      <c r="X351" s="88"/>
      <c r="Y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Q352" s="88"/>
      <c r="R352" s="88"/>
      <c r="S352" s="88"/>
      <c r="T352" s="88"/>
      <c r="U352" s="88"/>
      <c r="V352" s="88"/>
      <c r="W352" s="88"/>
      <c r="X352" s="88"/>
      <c r="Y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Q353" s="88"/>
      <c r="R353" s="88"/>
      <c r="S353" s="88"/>
      <c r="T353" s="88"/>
      <c r="U353" s="88"/>
      <c r="V353" s="88"/>
      <c r="W353" s="88"/>
      <c r="X353" s="88"/>
      <c r="Y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Q354" s="88"/>
      <c r="R354" s="88"/>
      <c r="S354" s="88"/>
      <c r="T354" s="88"/>
      <c r="U354" s="88"/>
      <c r="V354" s="88"/>
      <c r="W354" s="88"/>
      <c r="X354" s="88"/>
      <c r="Y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Q355" s="88"/>
      <c r="R355" s="88"/>
      <c r="S355" s="88"/>
      <c r="T355" s="88"/>
      <c r="U355" s="88"/>
      <c r="V355" s="88"/>
      <c r="W355" s="88"/>
      <c r="X355" s="88"/>
      <c r="Y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Q356" s="88"/>
      <c r="R356" s="88"/>
      <c r="S356" s="88"/>
      <c r="T356" s="88"/>
      <c r="U356" s="88"/>
      <c r="V356" s="88"/>
      <c r="W356" s="88"/>
      <c r="X356" s="88"/>
      <c r="Y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Q357" s="88"/>
      <c r="R357" s="88"/>
      <c r="S357" s="88"/>
      <c r="T357" s="88"/>
      <c r="U357" s="88"/>
      <c r="V357" s="88"/>
      <c r="W357" s="88"/>
      <c r="X357" s="88"/>
      <c r="Y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Q358" s="88"/>
      <c r="R358" s="88"/>
      <c r="S358" s="88"/>
      <c r="T358" s="88"/>
      <c r="U358" s="88"/>
      <c r="V358" s="88"/>
      <c r="W358" s="88"/>
      <c r="X358" s="88"/>
      <c r="Y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Q359" s="88"/>
      <c r="R359" s="88"/>
      <c r="S359" s="88"/>
      <c r="T359" s="88"/>
      <c r="U359" s="88"/>
      <c r="V359" s="88"/>
      <c r="W359" s="88"/>
      <c r="X359" s="88"/>
      <c r="Y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Q360" s="88"/>
      <c r="R360" s="88"/>
      <c r="S360" s="88"/>
      <c r="T360" s="88"/>
      <c r="U360" s="88"/>
      <c r="V360" s="88"/>
      <c r="W360" s="88"/>
      <c r="X360" s="88"/>
      <c r="Y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Q361" s="88"/>
      <c r="R361" s="88"/>
      <c r="S361" s="88"/>
      <c r="T361" s="88"/>
      <c r="U361" s="88"/>
      <c r="V361" s="88"/>
      <c r="W361" s="88"/>
      <c r="X361" s="88"/>
      <c r="Y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Q362" s="88"/>
      <c r="R362" s="88"/>
      <c r="S362" s="88"/>
      <c r="T362" s="88"/>
      <c r="U362" s="88"/>
      <c r="V362" s="88"/>
      <c r="W362" s="88"/>
      <c r="X362" s="88"/>
      <c r="Y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Q363" s="88"/>
      <c r="R363" s="88"/>
      <c r="S363" s="88"/>
      <c r="T363" s="88"/>
      <c r="U363" s="88"/>
      <c r="V363" s="88"/>
      <c r="W363" s="88"/>
      <c r="X363" s="88"/>
      <c r="Y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Q364" s="88"/>
      <c r="R364" s="88"/>
      <c r="S364" s="88"/>
      <c r="T364" s="88"/>
      <c r="U364" s="88"/>
      <c r="V364" s="88"/>
      <c r="W364" s="88"/>
      <c r="X364" s="88"/>
      <c r="Y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Q365" s="88"/>
      <c r="R365" s="88"/>
      <c r="S365" s="88"/>
      <c r="T365" s="88"/>
      <c r="U365" s="88"/>
      <c r="V365" s="88"/>
      <c r="W365" s="88"/>
      <c r="X365" s="88"/>
      <c r="Y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Q366" s="88"/>
      <c r="R366" s="88"/>
      <c r="S366" s="88"/>
      <c r="T366" s="88"/>
      <c r="U366" s="88"/>
      <c r="V366" s="88"/>
      <c r="W366" s="88"/>
      <c r="X366" s="88"/>
      <c r="Y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Q367" s="88"/>
      <c r="R367" s="88"/>
      <c r="S367" s="88"/>
      <c r="T367" s="88"/>
      <c r="U367" s="88"/>
      <c r="V367" s="88"/>
      <c r="W367" s="88"/>
      <c r="X367" s="88"/>
      <c r="Y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Q368" s="88"/>
      <c r="R368" s="88"/>
      <c r="S368" s="88"/>
      <c r="T368" s="88"/>
      <c r="U368" s="88"/>
      <c r="V368" s="88"/>
      <c r="W368" s="88"/>
      <c r="X368" s="88"/>
      <c r="Y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Q369" s="88"/>
      <c r="R369" s="88"/>
      <c r="S369" s="88"/>
      <c r="T369" s="88"/>
      <c r="U369" s="88"/>
      <c r="V369" s="88"/>
      <c r="W369" s="88"/>
      <c r="X369" s="88"/>
      <c r="Y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Q370" s="88"/>
      <c r="R370" s="88"/>
      <c r="S370" s="88"/>
      <c r="T370" s="88"/>
      <c r="U370" s="88"/>
      <c r="V370" s="88"/>
      <c r="W370" s="88"/>
      <c r="X370" s="88"/>
      <c r="Y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Q371" s="88"/>
      <c r="R371" s="88"/>
      <c r="S371" s="88"/>
      <c r="T371" s="88"/>
      <c r="U371" s="88"/>
      <c r="V371" s="88"/>
      <c r="W371" s="88"/>
      <c r="X371" s="88"/>
      <c r="Y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Q372" s="88"/>
      <c r="R372" s="88"/>
      <c r="S372" s="88"/>
      <c r="T372" s="88"/>
      <c r="U372" s="88"/>
      <c r="V372" s="88"/>
      <c r="W372" s="88"/>
      <c r="X372" s="88"/>
      <c r="Y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Q373" s="88"/>
      <c r="R373" s="88"/>
      <c r="S373" s="88"/>
      <c r="T373" s="88"/>
      <c r="U373" s="88"/>
      <c r="V373" s="88"/>
      <c r="W373" s="88"/>
      <c r="X373" s="88"/>
      <c r="Y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Q374" s="88"/>
      <c r="R374" s="88"/>
      <c r="S374" s="88"/>
      <c r="T374" s="88"/>
      <c r="U374" s="88"/>
      <c r="V374" s="88"/>
      <c r="W374" s="88"/>
      <c r="X374" s="88"/>
      <c r="Y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Q375" s="88"/>
      <c r="R375" s="88"/>
      <c r="S375" s="88"/>
      <c r="T375" s="88"/>
      <c r="U375" s="88"/>
      <c r="V375" s="88"/>
      <c r="W375" s="88"/>
      <c r="X375" s="88"/>
      <c r="Y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Q376" s="88"/>
      <c r="R376" s="88"/>
      <c r="S376" s="88"/>
      <c r="T376" s="88"/>
      <c r="U376" s="88"/>
      <c r="V376" s="88"/>
      <c r="W376" s="88"/>
      <c r="X376" s="88"/>
      <c r="Y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Q377" s="88"/>
      <c r="R377" s="88"/>
      <c r="S377" s="88"/>
      <c r="T377" s="88"/>
      <c r="U377" s="88"/>
      <c r="V377" s="88"/>
      <c r="W377" s="88"/>
      <c r="X377" s="88"/>
      <c r="Y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Q378" s="88"/>
      <c r="R378" s="88"/>
      <c r="S378" s="88"/>
      <c r="T378" s="88"/>
      <c r="U378" s="88"/>
      <c r="V378" s="88"/>
      <c r="W378" s="88"/>
      <c r="X378" s="88"/>
      <c r="Y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Q379" s="88"/>
      <c r="R379" s="88"/>
      <c r="S379" s="88"/>
      <c r="T379" s="88"/>
      <c r="U379" s="88"/>
      <c r="V379" s="88"/>
      <c r="W379" s="88"/>
      <c r="X379" s="88"/>
      <c r="Y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Q380" s="88"/>
      <c r="R380" s="88"/>
      <c r="S380" s="88"/>
      <c r="T380" s="88"/>
      <c r="U380" s="88"/>
      <c r="V380" s="88"/>
      <c r="W380" s="88"/>
      <c r="X380" s="88"/>
      <c r="Y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Q381" s="88"/>
      <c r="R381" s="88"/>
      <c r="S381" s="88"/>
      <c r="T381" s="88"/>
      <c r="U381" s="88"/>
      <c r="V381" s="88"/>
      <c r="W381" s="88"/>
      <c r="X381" s="88"/>
      <c r="Y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Q382" s="88"/>
      <c r="R382" s="88"/>
      <c r="S382" s="88"/>
      <c r="T382" s="88"/>
      <c r="U382" s="88"/>
      <c r="V382" s="88"/>
      <c r="W382" s="88"/>
      <c r="X382" s="88"/>
      <c r="Y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Q383" s="88"/>
      <c r="R383" s="88"/>
      <c r="S383" s="88"/>
      <c r="T383" s="88"/>
      <c r="U383" s="88"/>
      <c r="V383" s="88"/>
      <c r="W383" s="88"/>
      <c r="X383" s="88"/>
      <c r="Y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Q384" s="88"/>
      <c r="R384" s="88"/>
      <c r="S384" s="88"/>
      <c r="T384" s="88"/>
      <c r="U384" s="88"/>
      <c r="V384" s="88"/>
      <c r="W384" s="88"/>
      <c r="X384" s="88"/>
      <c r="Y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Q385" s="88"/>
      <c r="R385" s="88"/>
      <c r="S385" s="88"/>
      <c r="T385" s="88"/>
      <c r="U385" s="88"/>
      <c r="V385" s="88"/>
      <c r="W385" s="88"/>
      <c r="X385" s="88"/>
      <c r="Y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Q386" s="88"/>
      <c r="R386" s="88"/>
      <c r="S386" s="88"/>
      <c r="T386" s="88"/>
      <c r="U386" s="88"/>
      <c r="V386" s="88"/>
      <c r="W386" s="88"/>
      <c r="X386" s="88"/>
      <c r="Y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Q387" s="88"/>
      <c r="R387" s="88"/>
      <c r="S387" s="88"/>
      <c r="T387" s="88"/>
      <c r="U387" s="88"/>
      <c r="V387" s="88"/>
      <c r="W387" s="88"/>
      <c r="X387" s="88"/>
      <c r="Y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Q388" s="88"/>
      <c r="R388" s="88"/>
      <c r="S388" s="88"/>
      <c r="T388" s="88"/>
      <c r="U388" s="88"/>
      <c r="V388" s="88"/>
      <c r="W388" s="88"/>
      <c r="X388" s="88"/>
      <c r="Y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Q389" s="88"/>
      <c r="R389" s="88"/>
      <c r="S389" s="88"/>
      <c r="T389" s="88"/>
      <c r="U389" s="88"/>
      <c r="V389" s="88"/>
      <c r="W389" s="88"/>
      <c r="X389" s="88"/>
      <c r="Y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Q390" s="88"/>
      <c r="R390" s="88"/>
      <c r="S390" s="88"/>
      <c r="T390" s="88"/>
      <c r="U390" s="88"/>
      <c r="V390" s="88"/>
      <c r="W390" s="88"/>
      <c r="X390" s="88"/>
      <c r="Y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Q391" s="88"/>
      <c r="R391" s="88"/>
      <c r="S391" s="88"/>
      <c r="T391" s="88"/>
      <c r="U391" s="88"/>
      <c r="V391" s="88"/>
      <c r="W391" s="88"/>
      <c r="X391" s="88"/>
      <c r="Y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Q392" s="88"/>
      <c r="R392" s="88"/>
      <c r="S392" s="88"/>
      <c r="T392" s="88"/>
      <c r="U392" s="88"/>
      <c r="V392" s="88"/>
      <c r="W392" s="88"/>
      <c r="X392" s="88"/>
      <c r="Y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Q393" s="88"/>
      <c r="R393" s="88"/>
      <c r="S393" s="88"/>
      <c r="T393" s="88"/>
      <c r="U393" s="88"/>
      <c r="V393" s="88"/>
      <c r="W393" s="88"/>
      <c r="X393" s="88"/>
      <c r="Y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Q394" s="88"/>
      <c r="R394" s="88"/>
      <c r="S394" s="88"/>
      <c r="T394" s="88"/>
      <c r="U394" s="88"/>
      <c r="V394" s="88"/>
      <c r="W394" s="88"/>
      <c r="X394" s="88"/>
      <c r="Y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Q395" s="88"/>
      <c r="R395" s="88"/>
      <c r="S395" s="88"/>
      <c r="T395" s="88"/>
      <c r="U395" s="88"/>
      <c r="V395" s="88"/>
      <c r="W395" s="88"/>
      <c r="X395" s="88"/>
      <c r="Y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Q396" s="88"/>
      <c r="R396" s="88"/>
      <c r="S396" s="88"/>
      <c r="T396" s="88"/>
      <c r="U396" s="88"/>
      <c r="V396" s="88"/>
      <c r="W396" s="88"/>
      <c r="X396" s="88"/>
      <c r="Y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Q397" s="88"/>
      <c r="R397" s="88"/>
      <c r="S397" s="88"/>
      <c r="T397" s="88"/>
      <c r="U397" s="88"/>
      <c r="V397" s="88"/>
      <c r="W397" s="88"/>
      <c r="X397" s="88"/>
      <c r="Y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Q398" s="88"/>
      <c r="R398" s="88"/>
      <c r="S398" s="88"/>
      <c r="T398" s="88"/>
      <c r="U398" s="88"/>
      <c r="V398" s="88"/>
      <c r="W398" s="88"/>
      <c r="X398" s="88"/>
      <c r="Y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Q399" s="88"/>
      <c r="R399" s="88"/>
      <c r="S399" s="88"/>
      <c r="T399" s="88"/>
      <c r="U399" s="88"/>
      <c r="V399" s="88"/>
      <c r="W399" s="88"/>
      <c r="X399" s="88"/>
      <c r="Y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Q400" s="88"/>
      <c r="R400" s="88"/>
      <c r="S400" s="88"/>
      <c r="T400" s="88"/>
      <c r="U400" s="88"/>
      <c r="V400" s="88"/>
      <c r="W400" s="88"/>
      <c r="X400" s="88"/>
      <c r="Y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Q401" s="88"/>
      <c r="R401" s="88"/>
      <c r="S401" s="88"/>
      <c r="T401" s="88"/>
      <c r="U401" s="88"/>
      <c r="V401" s="88"/>
      <c r="W401" s="88"/>
      <c r="X401" s="88"/>
      <c r="Y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Q402" s="88"/>
      <c r="R402" s="88"/>
      <c r="S402" s="88"/>
      <c r="T402" s="88"/>
      <c r="U402" s="88"/>
      <c r="V402" s="88"/>
      <c r="W402" s="88"/>
      <c r="X402" s="88"/>
      <c r="Y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Q403" s="88"/>
      <c r="R403" s="88"/>
      <c r="S403" s="88"/>
      <c r="T403" s="88"/>
      <c r="U403" s="88"/>
      <c r="V403" s="88"/>
      <c r="W403" s="88"/>
      <c r="X403" s="88"/>
      <c r="Y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Q404" s="88"/>
      <c r="R404" s="88"/>
      <c r="S404" s="88"/>
      <c r="T404" s="88"/>
      <c r="U404" s="88"/>
      <c r="V404" s="88"/>
      <c r="W404" s="88"/>
      <c r="X404" s="88"/>
      <c r="Y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Q405" s="88"/>
      <c r="R405" s="88"/>
      <c r="S405" s="88"/>
      <c r="T405" s="88"/>
      <c r="U405" s="88"/>
      <c r="V405" s="88"/>
      <c r="W405" s="88"/>
      <c r="X405" s="88"/>
      <c r="Y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Q406" s="88"/>
      <c r="R406" s="88"/>
      <c r="S406" s="88"/>
      <c r="T406" s="88"/>
      <c r="U406" s="88"/>
      <c r="V406" s="88"/>
      <c r="W406" s="88"/>
      <c r="X406" s="88"/>
      <c r="Y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Q407" s="88"/>
      <c r="R407" s="88"/>
      <c r="S407" s="88"/>
      <c r="T407" s="88"/>
      <c r="U407" s="88"/>
      <c r="V407" s="88"/>
      <c r="W407" s="88"/>
      <c r="X407" s="88"/>
      <c r="Y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Q408" s="88"/>
      <c r="R408" s="88"/>
      <c r="S408" s="88"/>
      <c r="T408" s="88"/>
      <c r="U408" s="88"/>
      <c r="V408" s="88"/>
      <c r="W408" s="88"/>
      <c r="X408" s="88"/>
      <c r="Y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Q409" s="88"/>
      <c r="R409" s="88"/>
      <c r="S409" s="88"/>
      <c r="T409" s="88"/>
      <c r="U409" s="88"/>
      <c r="V409" s="88"/>
      <c r="W409" s="88"/>
      <c r="X409" s="88"/>
      <c r="Y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Q410" s="88"/>
      <c r="R410" s="88"/>
      <c r="S410" s="88"/>
      <c r="T410" s="88"/>
      <c r="U410" s="88"/>
      <c r="V410" s="88"/>
      <c r="W410" s="88"/>
      <c r="X410" s="88"/>
      <c r="Y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Q411" s="88"/>
      <c r="R411" s="88"/>
      <c r="S411" s="88"/>
      <c r="T411" s="88"/>
      <c r="U411" s="88"/>
      <c r="V411" s="88"/>
      <c r="W411" s="88"/>
      <c r="X411" s="88"/>
      <c r="Y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Q412" s="88"/>
      <c r="R412" s="88"/>
      <c r="S412" s="88"/>
      <c r="T412" s="88"/>
      <c r="U412" s="88"/>
      <c r="V412" s="88"/>
      <c r="W412" s="88"/>
      <c r="X412" s="88"/>
      <c r="Y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Q413" s="88"/>
      <c r="R413" s="88"/>
      <c r="S413" s="88"/>
      <c r="T413" s="88"/>
      <c r="U413" s="88"/>
      <c r="V413" s="88"/>
      <c r="W413" s="88"/>
      <c r="X413" s="88"/>
      <c r="Y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Q414" s="88"/>
      <c r="R414" s="88"/>
      <c r="S414" s="88"/>
      <c r="T414" s="88"/>
      <c r="U414" s="88"/>
      <c r="V414" s="88"/>
      <c r="W414" s="88"/>
      <c r="X414" s="88"/>
      <c r="Y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Q415" s="88"/>
      <c r="R415" s="88"/>
      <c r="S415" s="88"/>
      <c r="T415" s="88"/>
      <c r="U415" s="88"/>
      <c r="V415" s="88"/>
      <c r="W415" s="88"/>
      <c r="X415" s="88"/>
      <c r="Y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Q416" s="88"/>
      <c r="R416" s="88"/>
      <c r="S416" s="88"/>
      <c r="T416" s="88"/>
      <c r="U416" s="88"/>
      <c r="V416" s="88"/>
      <c r="W416" s="88"/>
      <c r="X416" s="88"/>
      <c r="Y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Q417" s="88"/>
      <c r="R417" s="88"/>
      <c r="S417" s="88"/>
      <c r="T417" s="88"/>
      <c r="U417" s="88"/>
      <c r="V417" s="88"/>
      <c r="W417" s="88"/>
      <c r="X417" s="88"/>
      <c r="Y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Q418" s="88"/>
      <c r="R418" s="88"/>
      <c r="S418" s="88"/>
      <c r="T418" s="88"/>
      <c r="U418" s="88"/>
      <c r="V418" s="88"/>
      <c r="W418" s="88"/>
      <c r="X418" s="88"/>
      <c r="Y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Q419" s="88"/>
      <c r="R419" s="88"/>
      <c r="S419" s="88"/>
      <c r="T419" s="88"/>
      <c r="U419" s="88"/>
      <c r="V419" s="88"/>
      <c r="W419" s="88"/>
      <c r="X419" s="88"/>
      <c r="Y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Q420" s="88"/>
      <c r="R420" s="88"/>
      <c r="S420" s="88"/>
      <c r="T420" s="88"/>
      <c r="U420" s="88"/>
      <c r="V420" s="88"/>
      <c r="W420" s="88"/>
      <c r="X420" s="88"/>
      <c r="Y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Q421" s="88"/>
      <c r="R421" s="88"/>
      <c r="S421" s="88"/>
      <c r="T421" s="88"/>
      <c r="U421" s="88"/>
      <c r="V421" s="88"/>
      <c r="W421" s="88"/>
      <c r="X421" s="88"/>
      <c r="Y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Q422" s="88"/>
      <c r="R422" s="88"/>
      <c r="S422" s="88"/>
      <c r="T422" s="88"/>
      <c r="U422" s="88"/>
      <c r="V422" s="88"/>
      <c r="W422" s="88"/>
      <c r="X422" s="88"/>
      <c r="Y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Q423" s="88"/>
      <c r="R423" s="88"/>
      <c r="S423" s="88"/>
      <c r="T423" s="88"/>
      <c r="U423" s="88"/>
      <c r="V423" s="88"/>
      <c r="W423" s="88"/>
      <c r="X423" s="88"/>
      <c r="Y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Q424" s="88"/>
      <c r="R424" s="88"/>
      <c r="S424" s="88"/>
      <c r="T424" s="88"/>
      <c r="U424" s="88"/>
      <c r="V424" s="88"/>
      <c r="W424" s="88"/>
      <c r="X424" s="88"/>
      <c r="Y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Q425" s="88"/>
      <c r="R425" s="88"/>
      <c r="S425" s="88"/>
      <c r="T425" s="88"/>
      <c r="U425" s="88"/>
      <c r="V425" s="88"/>
      <c r="W425" s="88"/>
      <c r="X425" s="88"/>
      <c r="Y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Q426" s="88"/>
      <c r="R426" s="88"/>
      <c r="S426" s="88"/>
      <c r="T426" s="88"/>
      <c r="U426" s="88"/>
      <c r="V426" s="88"/>
      <c r="W426" s="88"/>
      <c r="X426" s="88"/>
      <c r="Y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Q427" s="88"/>
      <c r="R427" s="88"/>
      <c r="S427" s="88"/>
      <c r="T427" s="88"/>
      <c r="U427" s="88"/>
      <c r="V427" s="88"/>
      <c r="W427" s="88"/>
      <c r="X427" s="88"/>
      <c r="Y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Q428" s="88"/>
      <c r="R428" s="88"/>
      <c r="S428" s="88"/>
      <c r="T428" s="88"/>
      <c r="U428" s="88"/>
      <c r="V428" s="88"/>
      <c r="W428" s="88"/>
      <c r="X428" s="88"/>
      <c r="Y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Q429" s="88"/>
      <c r="R429" s="88"/>
      <c r="S429" s="88"/>
      <c r="T429" s="88"/>
      <c r="U429" s="88"/>
      <c r="V429" s="88"/>
      <c r="W429" s="88"/>
      <c r="X429" s="88"/>
      <c r="Y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Q430" s="88"/>
      <c r="R430" s="88"/>
      <c r="S430" s="88"/>
      <c r="T430" s="88"/>
      <c r="U430" s="88"/>
      <c r="V430" s="88"/>
      <c r="W430" s="88"/>
      <c r="X430" s="88"/>
      <c r="Y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Q431" s="88"/>
      <c r="R431" s="88"/>
      <c r="S431" s="88"/>
      <c r="T431" s="88"/>
      <c r="U431" s="88"/>
      <c r="V431" s="88"/>
      <c r="W431" s="88"/>
      <c r="X431" s="88"/>
      <c r="Y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Q432" s="88"/>
      <c r="R432" s="88"/>
      <c r="S432" s="88"/>
      <c r="T432" s="88"/>
      <c r="U432" s="88"/>
      <c r="V432" s="88"/>
      <c r="W432" s="88"/>
      <c r="X432" s="88"/>
      <c r="Y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Q433" s="88"/>
      <c r="R433" s="88"/>
      <c r="S433" s="88"/>
      <c r="T433" s="88"/>
      <c r="U433" s="88"/>
      <c r="V433" s="88"/>
      <c r="W433" s="88"/>
      <c r="X433" s="88"/>
      <c r="Y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Q434" s="88"/>
      <c r="R434" s="88"/>
      <c r="S434" s="88"/>
      <c r="T434" s="88"/>
      <c r="U434" s="88"/>
      <c r="V434" s="88"/>
      <c r="W434" s="88"/>
      <c r="X434" s="88"/>
      <c r="Y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Q435" s="88"/>
      <c r="R435" s="88"/>
      <c r="S435" s="88"/>
      <c r="T435" s="88"/>
      <c r="U435" s="88"/>
      <c r="V435" s="88"/>
      <c r="W435" s="88"/>
      <c r="X435" s="88"/>
      <c r="Y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Q436" s="88"/>
      <c r="R436" s="88"/>
      <c r="S436" s="88"/>
      <c r="T436" s="88"/>
      <c r="U436" s="88"/>
      <c r="V436" s="88"/>
      <c r="W436" s="88"/>
      <c r="X436" s="88"/>
      <c r="Y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Q437" s="88"/>
      <c r="R437" s="88"/>
      <c r="S437" s="88"/>
      <c r="T437" s="88"/>
      <c r="U437" s="88"/>
      <c r="V437" s="88"/>
      <c r="W437" s="88"/>
      <c r="X437" s="88"/>
      <c r="Y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Q454" s="88"/>
      <c r="R454" s="88"/>
      <c r="S454" s="88"/>
      <c r="T454" s="88"/>
      <c r="U454" s="88"/>
      <c r="V454" s="88"/>
      <c r="W454" s="88"/>
      <c r="X454" s="88"/>
      <c r="Y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Q455" s="88"/>
      <c r="R455" s="88"/>
      <c r="S455" s="88"/>
      <c r="T455" s="88"/>
      <c r="U455" s="88"/>
      <c r="V455" s="88"/>
      <c r="W455" s="88"/>
      <c r="X455" s="88"/>
      <c r="Y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Q456" s="88"/>
      <c r="R456" s="88"/>
      <c r="S456" s="88"/>
      <c r="T456" s="88"/>
      <c r="U456" s="88"/>
      <c r="V456" s="88"/>
      <c r="W456" s="88"/>
      <c r="X456" s="88"/>
      <c r="Y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Q457" s="88"/>
      <c r="R457" s="88"/>
      <c r="S457" s="88"/>
      <c r="T457" s="88"/>
      <c r="U457" s="88"/>
      <c r="V457" s="88"/>
      <c r="W457" s="88"/>
      <c r="X457" s="88"/>
      <c r="Y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Q458" s="88"/>
      <c r="R458" s="88"/>
      <c r="S458" s="88"/>
      <c r="T458" s="88"/>
      <c r="U458" s="88"/>
      <c r="V458" s="88"/>
      <c r="W458" s="88"/>
      <c r="X458" s="88"/>
      <c r="Y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Q459" s="88"/>
      <c r="R459" s="88"/>
      <c r="S459" s="88"/>
      <c r="T459" s="88"/>
      <c r="U459" s="88"/>
      <c r="V459" s="88"/>
      <c r="W459" s="88"/>
      <c r="X459" s="88"/>
      <c r="Y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Q460" s="88"/>
      <c r="R460" s="88"/>
      <c r="S460" s="88"/>
      <c r="T460" s="88"/>
      <c r="U460" s="88"/>
      <c r="V460" s="88"/>
      <c r="W460" s="88"/>
      <c r="X460" s="88"/>
      <c r="Y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Q461" s="88"/>
      <c r="R461" s="88"/>
      <c r="S461" s="88"/>
      <c r="T461" s="88"/>
      <c r="U461" s="88"/>
      <c r="V461" s="88"/>
      <c r="W461" s="88"/>
      <c r="X461" s="88"/>
      <c r="Y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Q462" s="88"/>
      <c r="R462" s="88"/>
      <c r="S462" s="88"/>
      <c r="T462" s="88"/>
      <c r="U462" s="88"/>
      <c r="V462" s="88"/>
      <c r="W462" s="88"/>
      <c r="X462" s="88"/>
      <c r="Y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Q463" s="88"/>
      <c r="R463" s="88"/>
      <c r="S463" s="88"/>
      <c r="T463" s="88"/>
      <c r="U463" s="88"/>
      <c r="V463" s="88"/>
      <c r="W463" s="88"/>
      <c r="X463" s="88"/>
      <c r="Y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Q464" s="88"/>
      <c r="R464" s="88"/>
      <c r="S464" s="88"/>
      <c r="T464" s="88"/>
      <c r="U464" s="88"/>
      <c r="V464" s="88"/>
      <c r="W464" s="88"/>
      <c r="X464" s="88"/>
      <c r="Y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Q465" s="88"/>
      <c r="R465" s="88"/>
      <c r="S465" s="88"/>
      <c r="T465" s="88"/>
      <c r="U465" s="88"/>
      <c r="V465" s="88"/>
      <c r="W465" s="88"/>
      <c r="X465" s="88"/>
      <c r="Y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Q466" s="88"/>
      <c r="R466" s="88"/>
      <c r="S466" s="88"/>
      <c r="T466" s="88"/>
      <c r="U466" s="88"/>
      <c r="V466" s="88"/>
      <c r="W466" s="88"/>
      <c r="X466" s="88"/>
      <c r="Y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Q467" s="88"/>
      <c r="R467" s="88"/>
      <c r="S467" s="88"/>
      <c r="T467" s="88"/>
      <c r="U467" s="88"/>
      <c r="V467" s="88"/>
      <c r="W467" s="88"/>
      <c r="X467" s="88"/>
      <c r="Y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Q468" s="88"/>
      <c r="R468" s="88"/>
      <c r="S468" s="88"/>
      <c r="T468" s="88"/>
      <c r="U468" s="88"/>
      <c r="V468" s="88"/>
      <c r="W468" s="88"/>
      <c r="X468" s="88"/>
      <c r="Y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Q469" s="88"/>
      <c r="R469" s="88"/>
      <c r="S469" s="88"/>
      <c r="T469" s="88"/>
      <c r="U469" s="88"/>
      <c r="V469" s="88"/>
      <c r="W469" s="88"/>
      <c r="X469" s="88"/>
      <c r="Y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Q470" s="88"/>
      <c r="R470" s="88"/>
      <c r="S470" s="88"/>
      <c r="T470" s="88"/>
      <c r="U470" s="88"/>
      <c r="V470" s="88"/>
      <c r="W470" s="88"/>
      <c r="X470" s="88"/>
      <c r="Y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Q471" s="88"/>
      <c r="R471" s="88"/>
      <c r="S471" s="88"/>
      <c r="T471" s="88"/>
      <c r="U471" s="88"/>
      <c r="V471" s="88"/>
      <c r="W471" s="88"/>
      <c r="X471" s="88"/>
      <c r="Y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Q472" s="88"/>
      <c r="R472" s="88"/>
      <c r="S472" s="88"/>
      <c r="T472" s="88"/>
      <c r="U472" s="88"/>
      <c r="V472" s="88"/>
      <c r="W472" s="88"/>
      <c r="X472" s="88"/>
      <c r="Y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Q473" s="88"/>
      <c r="R473" s="88"/>
      <c r="S473" s="88"/>
      <c r="T473" s="88"/>
      <c r="U473" s="88"/>
      <c r="V473" s="88"/>
      <c r="W473" s="88"/>
      <c r="X473" s="88"/>
      <c r="Y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Q474" s="88"/>
      <c r="R474" s="88"/>
      <c r="S474" s="88"/>
      <c r="T474" s="88"/>
      <c r="U474" s="88"/>
      <c r="V474" s="88"/>
      <c r="W474" s="88"/>
      <c r="X474" s="88"/>
      <c r="Y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Q475" s="88"/>
      <c r="R475" s="88"/>
      <c r="S475" s="88"/>
      <c r="T475" s="88"/>
      <c r="U475" s="88"/>
      <c r="V475" s="88"/>
      <c r="W475" s="88"/>
      <c r="X475" s="88"/>
      <c r="Y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Q476" s="88"/>
      <c r="R476" s="88"/>
      <c r="S476" s="88"/>
      <c r="T476" s="88"/>
      <c r="U476" s="88"/>
      <c r="V476" s="88"/>
      <c r="W476" s="88"/>
      <c r="X476" s="88"/>
      <c r="Y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Q477" s="88"/>
      <c r="R477" s="88"/>
      <c r="S477" s="88"/>
      <c r="T477" s="88"/>
      <c r="U477" s="88"/>
      <c r="V477" s="88"/>
      <c r="W477" s="88"/>
      <c r="X477" s="88"/>
      <c r="Y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Q478" s="88"/>
      <c r="R478" s="88"/>
      <c r="S478" s="88"/>
      <c r="T478" s="88"/>
      <c r="U478" s="88"/>
      <c r="V478" s="88"/>
      <c r="W478" s="88"/>
      <c r="X478" s="88"/>
      <c r="Y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Q479" s="88"/>
      <c r="R479" s="88"/>
      <c r="S479" s="88"/>
      <c r="T479" s="88"/>
      <c r="U479" s="88"/>
      <c r="V479" s="88"/>
      <c r="W479" s="88"/>
      <c r="X479" s="88"/>
      <c r="Y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Q480" s="88"/>
      <c r="R480" s="88"/>
      <c r="S480" s="88"/>
      <c r="T480" s="88"/>
      <c r="U480" s="88"/>
      <c r="V480" s="88"/>
      <c r="W480" s="88"/>
      <c r="X480" s="88"/>
      <c r="Y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Q481" s="88"/>
      <c r="R481" s="88"/>
      <c r="S481" s="88"/>
      <c r="T481" s="88"/>
      <c r="U481" s="88"/>
      <c r="V481" s="88"/>
      <c r="W481" s="88"/>
      <c r="X481" s="88"/>
      <c r="Y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Q482" s="88"/>
      <c r="R482" s="88"/>
      <c r="S482" s="88"/>
      <c r="T482" s="88"/>
      <c r="U482" s="88"/>
      <c r="V482" s="88"/>
      <c r="W482" s="88"/>
      <c r="X482" s="88"/>
      <c r="Y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Q483" s="88"/>
      <c r="R483" s="88"/>
      <c r="S483" s="88"/>
      <c r="T483" s="88"/>
      <c r="U483" s="88"/>
      <c r="V483" s="88"/>
      <c r="W483" s="88"/>
      <c r="X483" s="88"/>
      <c r="Y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Q484" s="88"/>
      <c r="R484" s="88"/>
      <c r="S484" s="88"/>
      <c r="T484" s="88"/>
      <c r="U484" s="88"/>
      <c r="V484" s="88"/>
      <c r="W484" s="88"/>
      <c r="X484" s="88"/>
      <c r="Y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Q485" s="88"/>
      <c r="R485" s="88"/>
      <c r="S485" s="88"/>
      <c r="T485" s="88"/>
      <c r="U485" s="88"/>
      <c r="V485" s="88"/>
      <c r="W485" s="88"/>
      <c r="X485" s="88"/>
      <c r="Y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Q486" s="88"/>
      <c r="R486" s="88"/>
      <c r="S486" s="88"/>
      <c r="T486" s="88"/>
      <c r="U486" s="88"/>
      <c r="V486" s="88"/>
      <c r="W486" s="88"/>
      <c r="X486" s="88"/>
      <c r="Y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Q487" s="88"/>
      <c r="R487" s="88"/>
      <c r="S487" s="88"/>
      <c r="T487" s="88"/>
      <c r="U487" s="88"/>
      <c r="V487" s="88"/>
      <c r="W487" s="88"/>
      <c r="X487" s="88"/>
      <c r="Y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Q488" s="88"/>
      <c r="R488" s="88"/>
      <c r="S488" s="88"/>
      <c r="T488" s="88"/>
      <c r="U488" s="88"/>
      <c r="V488" s="88"/>
      <c r="W488" s="88"/>
      <c r="X488" s="88"/>
      <c r="Y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Q489" s="88"/>
      <c r="R489" s="88"/>
      <c r="S489" s="88"/>
      <c r="T489" s="88"/>
      <c r="U489" s="88"/>
      <c r="V489" s="88"/>
      <c r="W489" s="88"/>
      <c r="X489" s="88"/>
      <c r="Y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Q490" s="88"/>
      <c r="R490" s="88"/>
      <c r="S490" s="88"/>
      <c r="T490" s="88"/>
      <c r="U490" s="88"/>
      <c r="V490" s="88"/>
      <c r="W490" s="88"/>
      <c r="X490" s="88"/>
      <c r="Y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Q491" s="88"/>
      <c r="R491" s="88"/>
      <c r="S491" s="88"/>
      <c r="T491" s="88"/>
      <c r="U491" s="88"/>
      <c r="V491" s="88"/>
      <c r="W491" s="88"/>
      <c r="X491" s="88"/>
      <c r="Y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Q492" s="88"/>
      <c r="R492" s="88"/>
      <c r="S492" s="88"/>
      <c r="T492" s="88"/>
      <c r="U492" s="88"/>
      <c r="V492" s="88"/>
      <c r="W492" s="88"/>
      <c r="X492" s="88"/>
      <c r="Y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Q493" s="88"/>
      <c r="R493" s="88"/>
      <c r="S493" s="88"/>
      <c r="T493" s="88"/>
      <c r="U493" s="88"/>
      <c r="V493" s="88"/>
      <c r="W493" s="88"/>
      <c r="X493" s="88"/>
      <c r="Y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Q494" s="88"/>
      <c r="R494" s="88"/>
      <c r="S494" s="88"/>
      <c r="T494" s="88"/>
      <c r="U494" s="88"/>
      <c r="V494" s="88"/>
      <c r="W494" s="88"/>
      <c r="X494" s="88"/>
      <c r="Y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Q495" s="88"/>
      <c r="R495" s="88"/>
      <c r="S495" s="88"/>
      <c r="T495" s="88"/>
      <c r="U495" s="88"/>
      <c r="V495" s="88"/>
      <c r="W495" s="88"/>
      <c r="X495" s="88"/>
      <c r="Y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Q496" s="88"/>
      <c r="R496" s="88"/>
      <c r="S496" s="88"/>
      <c r="T496" s="88"/>
      <c r="U496" s="88"/>
      <c r="V496" s="88"/>
      <c r="W496" s="88"/>
      <c r="X496" s="88"/>
      <c r="Y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Q497" s="88"/>
      <c r="R497" s="88"/>
      <c r="S497" s="88"/>
      <c r="T497" s="88"/>
      <c r="U497" s="88"/>
      <c r="V497" s="88"/>
      <c r="W497" s="88"/>
      <c r="X497" s="88"/>
      <c r="Y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Q498" s="88"/>
      <c r="R498" s="88"/>
      <c r="S498" s="88"/>
      <c r="T498" s="88"/>
      <c r="U498" s="88"/>
      <c r="V498" s="88"/>
      <c r="W498" s="88"/>
      <c r="X498" s="88"/>
      <c r="Y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Q499" s="88"/>
      <c r="R499" s="88"/>
      <c r="S499" s="88"/>
      <c r="T499" s="88"/>
      <c r="U499" s="88"/>
      <c r="V499" s="88"/>
      <c r="W499" s="88"/>
      <c r="X499" s="88"/>
      <c r="Y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Q500" s="88"/>
      <c r="R500" s="88"/>
      <c r="S500" s="88"/>
      <c r="T500" s="88"/>
      <c r="U500" s="88"/>
      <c r="V500" s="88"/>
      <c r="W500" s="88"/>
      <c r="X500" s="88"/>
      <c r="Y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Q501" s="88"/>
      <c r="R501" s="88"/>
      <c r="S501" s="88"/>
      <c r="T501" s="88"/>
      <c r="U501" s="88"/>
      <c r="V501" s="88"/>
      <c r="W501" s="88"/>
      <c r="X501" s="88"/>
      <c r="Y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Q502" s="88"/>
      <c r="R502" s="88"/>
      <c r="S502" s="88"/>
      <c r="T502" s="88"/>
      <c r="U502" s="88"/>
      <c r="V502" s="88"/>
      <c r="W502" s="88"/>
      <c r="X502" s="88"/>
      <c r="Y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Q503" s="88"/>
      <c r="R503" s="88"/>
      <c r="S503" s="88"/>
      <c r="T503" s="88"/>
      <c r="U503" s="88"/>
      <c r="V503" s="88"/>
      <c r="W503" s="88"/>
      <c r="X503" s="88"/>
      <c r="Y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Q504" s="88"/>
      <c r="R504" s="88"/>
      <c r="S504" s="88"/>
      <c r="T504" s="88"/>
      <c r="U504" s="88"/>
      <c r="V504" s="88"/>
      <c r="W504" s="88"/>
      <c r="X504" s="88"/>
      <c r="Y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Q505" s="88"/>
      <c r="R505" s="88"/>
      <c r="S505" s="88"/>
      <c r="T505" s="88"/>
      <c r="U505" s="88"/>
      <c r="V505" s="88"/>
      <c r="W505" s="88"/>
      <c r="X505" s="88"/>
      <c r="Y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Q506" s="88"/>
      <c r="R506" s="88"/>
      <c r="S506" s="88"/>
      <c r="T506" s="88"/>
      <c r="U506" s="88"/>
      <c r="V506" s="88"/>
      <c r="W506" s="88"/>
      <c r="X506" s="88"/>
      <c r="Y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Q507" s="88"/>
      <c r="R507" s="88"/>
      <c r="S507" s="88"/>
      <c r="T507" s="88"/>
      <c r="U507" s="88"/>
      <c r="V507" s="88"/>
      <c r="W507" s="88"/>
      <c r="X507" s="88"/>
      <c r="Y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Q508" s="88"/>
      <c r="R508" s="88"/>
      <c r="S508" s="88"/>
      <c r="T508" s="88"/>
      <c r="U508" s="88"/>
      <c r="V508" s="88"/>
      <c r="W508" s="88"/>
      <c r="X508" s="88"/>
      <c r="Y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Q509" s="88"/>
      <c r="R509" s="88"/>
      <c r="S509" s="88"/>
      <c r="T509" s="88"/>
      <c r="U509" s="88"/>
      <c r="V509" s="88"/>
      <c r="W509" s="88"/>
      <c r="X509" s="88"/>
      <c r="Y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Q510" s="88"/>
      <c r="R510" s="88"/>
      <c r="S510" s="88"/>
      <c r="T510" s="88"/>
      <c r="U510" s="88"/>
      <c r="V510" s="88"/>
      <c r="W510" s="88"/>
      <c r="X510" s="88"/>
      <c r="Y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Q511" s="88"/>
      <c r="R511" s="88"/>
      <c r="S511" s="88"/>
      <c r="T511" s="88"/>
      <c r="U511" s="88"/>
      <c r="V511" s="88"/>
      <c r="W511" s="88"/>
      <c r="X511" s="88"/>
      <c r="Y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Q512" s="88"/>
      <c r="R512" s="88"/>
      <c r="S512" s="88"/>
      <c r="T512" s="88"/>
      <c r="U512" s="88"/>
      <c r="V512" s="88"/>
      <c r="W512" s="88"/>
      <c r="X512" s="88"/>
      <c r="Y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Q513" s="88"/>
      <c r="R513" s="88"/>
      <c r="S513" s="88"/>
      <c r="T513" s="88"/>
      <c r="U513" s="88"/>
      <c r="V513" s="88"/>
      <c r="W513" s="88"/>
      <c r="X513" s="88"/>
      <c r="Y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Q514" s="88"/>
      <c r="R514" s="88"/>
      <c r="S514" s="88"/>
      <c r="T514" s="88"/>
      <c r="U514" s="88"/>
      <c r="V514" s="88"/>
      <c r="W514" s="88"/>
      <c r="X514" s="88"/>
      <c r="Y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Q515" s="88"/>
      <c r="R515" s="88"/>
      <c r="S515" s="88"/>
      <c r="T515" s="88"/>
      <c r="U515" s="88"/>
      <c r="V515" s="88"/>
      <c r="W515" s="88"/>
      <c r="X515" s="88"/>
      <c r="Y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Q516" s="88"/>
      <c r="R516" s="88"/>
      <c r="S516" s="88"/>
      <c r="T516" s="88"/>
      <c r="U516" s="88"/>
      <c r="V516" s="88"/>
      <c r="W516" s="88"/>
      <c r="X516" s="88"/>
      <c r="Y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Q517" s="88"/>
      <c r="R517" s="88"/>
      <c r="S517" s="88"/>
      <c r="T517" s="88"/>
      <c r="U517" s="88"/>
      <c r="V517" s="88"/>
      <c r="W517" s="88"/>
      <c r="X517" s="88"/>
      <c r="Y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Q518" s="88"/>
      <c r="R518" s="88"/>
      <c r="S518" s="88"/>
      <c r="T518" s="88"/>
      <c r="U518" s="88"/>
      <c r="V518" s="88"/>
      <c r="W518" s="88"/>
      <c r="X518" s="88"/>
      <c r="Y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Q519" s="88"/>
      <c r="R519" s="88"/>
      <c r="S519" s="88"/>
      <c r="T519" s="88"/>
      <c r="U519" s="88"/>
      <c r="V519" s="88"/>
      <c r="W519" s="88"/>
      <c r="X519" s="88"/>
      <c r="Y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Q520" s="88"/>
      <c r="R520" s="88"/>
      <c r="S520" s="88"/>
      <c r="T520" s="88"/>
      <c r="U520" s="88"/>
      <c r="V520" s="88"/>
      <c r="W520" s="88"/>
      <c r="X520" s="88"/>
      <c r="Y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Q521" s="88"/>
      <c r="R521" s="88"/>
      <c r="S521" s="88"/>
      <c r="T521" s="88"/>
      <c r="U521" s="88"/>
      <c r="V521" s="88"/>
      <c r="W521" s="88"/>
      <c r="X521" s="88"/>
      <c r="Y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Q522" s="88"/>
      <c r="R522" s="88"/>
      <c r="S522" s="88"/>
      <c r="T522" s="88"/>
      <c r="U522" s="88"/>
      <c r="V522" s="88"/>
      <c r="W522" s="88"/>
      <c r="X522" s="88"/>
      <c r="Y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Q523" s="88"/>
      <c r="R523" s="88"/>
      <c r="S523" s="88"/>
      <c r="T523" s="88"/>
      <c r="U523" s="88"/>
      <c r="V523" s="88"/>
      <c r="W523" s="88"/>
      <c r="X523" s="88"/>
      <c r="Y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Q524" s="88"/>
      <c r="R524" s="88"/>
      <c r="S524" s="88"/>
      <c r="T524" s="88"/>
      <c r="U524" s="88"/>
      <c r="V524" s="88"/>
      <c r="W524" s="88"/>
      <c r="X524" s="88"/>
      <c r="Y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Q525" s="88"/>
      <c r="R525" s="88"/>
      <c r="S525" s="88"/>
      <c r="T525" s="88"/>
      <c r="U525" s="88"/>
      <c r="V525" s="88"/>
      <c r="W525" s="88"/>
      <c r="X525" s="88"/>
      <c r="Y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Q526" s="88"/>
      <c r="R526" s="88"/>
      <c r="S526" s="88"/>
      <c r="T526" s="88"/>
      <c r="U526" s="88"/>
      <c r="V526" s="88"/>
      <c r="W526" s="88"/>
      <c r="X526" s="88"/>
      <c r="Y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Q527" s="88"/>
      <c r="R527" s="88"/>
      <c r="S527" s="88"/>
      <c r="T527" s="88"/>
      <c r="U527" s="88"/>
      <c r="V527" s="88"/>
      <c r="W527" s="88"/>
      <c r="X527" s="88"/>
      <c r="Y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Q528" s="88"/>
      <c r="R528" s="88"/>
      <c r="S528" s="88"/>
      <c r="T528" s="88"/>
      <c r="U528" s="88"/>
      <c r="V528" s="88"/>
      <c r="W528" s="88"/>
      <c r="X528" s="88"/>
      <c r="Y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Q529" s="88"/>
      <c r="R529" s="88"/>
      <c r="S529" s="88"/>
      <c r="T529" s="88"/>
      <c r="U529" s="88"/>
      <c r="V529" s="88"/>
      <c r="W529" s="88"/>
      <c r="X529" s="88"/>
      <c r="Y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Q530" s="88"/>
      <c r="R530" s="88"/>
      <c r="S530" s="88"/>
      <c r="T530" s="88"/>
      <c r="U530" s="88"/>
      <c r="V530" s="88"/>
      <c r="W530" s="88"/>
      <c r="X530" s="88"/>
      <c r="Y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Q531" s="88"/>
      <c r="R531" s="88"/>
      <c r="S531" s="88"/>
      <c r="T531" s="88"/>
      <c r="U531" s="88"/>
      <c r="V531" s="88"/>
      <c r="W531" s="88"/>
      <c r="X531" s="88"/>
      <c r="Y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Q532" s="88"/>
      <c r="R532" s="88"/>
      <c r="S532" s="88"/>
      <c r="T532" s="88"/>
      <c r="U532" s="88"/>
      <c r="V532" s="88"/>
      <c r="W532" s="88"/>
      <c r="X532" s="88"/>
      <c r="Y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Q533" s="88"/>
      <c r="R533" s="88"/>
      <c r="S533" s="88"/>
      <c r="T533" s="88"/>
      <c r="U533" s="88"/>
      <c r="V533" s="88"/>
      <c r="W533" s="88"/>
      <c r="X533" s="88"/>
      <c r="Y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Q534" s="88"/>
      <c r="R534" s="88"/>
      <c r="S534" s="88"/>
      <c r="T534" s="88"/>
      <c r="U534" s="88"/>
      <c r="V534" s="88"/>
      <c r="W534" s="88"/>
      <c r="X534" s="88"/>
      <c r="Y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Q535" s="88"/>
      <c r="R535" s="88"/>
      <c r="S535" s="88"/>
      <c r="T535" s="88"/>
      <c r="U535" s="88"/>
      <c r="V535" s="88"/>
      <c r="W535" s="88"/>
      <c r="X535" s="88"/>
      <c r="Y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Q536" s="88"/>
      <c r="R536" s="88"/>
      <c r="S536" s="88"/>
      <c r="T536" s="88"/>
      <c r="U536" s="88"/>
      <c r="V536" s="88"/>
      <c r="W536" s="88"/>
      <c r="X536" s="88"/>
      <c r="Y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Q537" s="88"/>
      <c r="R537" s="88"/>
      <c r="S537" s="88"/>
      <c r="T537" s="88"/>
      <c r="U537" s="88"/>
      <c r="V537" s="88"/>
      <c r="W537" s="88"/>
      <c r="X537" s="88"/>
      <c r="Y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Q538" s="88"/>
      <c r="R538" s="88"/>
      <c r="S538" s="88"/>
      <c r="T538" s="88"/>
      <c r="U538" s="88"/>
      <c r="V538" s="88"/>
      <c r="W538" s="88"/>
      <c r="X538" s="88"/>
      <c r="Y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Q539" s="88"/>
      <c r="R539" s="88"/>
      <c r="S539" s="88"/>
      <c r="T539" s="88"/>
      <c r="U539" s="88"/>
      <c r="V539" s="88"/>
      <c r="W539" s="88"/>
      <c r="X539" s="88"/>
      <c r="Y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Q540" s="88"/>
      <c r="R540" s="88"/>
      <c r="S540" s="88"/>
      <c r="T540" s="88"/>
      <c r="U540" s="88"/>
      <c r="V540" s="88"/>
      <c r="W540" s="88"/>
      <c r="X540" s="88"/>
      <c r="Y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Q541" s="88"/>
      <c r="R541" s="88"/>
      <c r="S541" s="88"/>
      <c r="T541" s="88"/>
      <c r="U541" s="88"/>
      <c r="V541" s="88"/>
      <c r="W541" s="88"/>
      <c r="X541" s="88"/>
      <c r="Y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Q542" s="88"/>
      <c r="R542" s="88"/>
      <c r="S542" s="88"/>
      <c r="T542" s="88"/>
      <c r="U542" s="88"/>
      <c r="V542" s="88"/>
      <c r="W542" s="88"/>
      <c r="X542" s="88"/>
      <c r="Y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Q543" s="88"/>
      <c r="R543" s="88"/>
      <c r="S543" s="88"/>
      <c r="T543" s="88"/>
      <c r="U543" s="88"/>
      <c r="V543" s="88"/>
      <c r="W543" s="88"/>
      <c r="X543" s="88"/>
      <c r="Y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Q544" s="88"/>
      <c r="R544" s="88"/>
      <c r="S544" s="88"/>
      <c r="T544" s="88"/>
      <c r="U544" s="88"/>
      <c r="V544" s="88"/>
      <c r="W544" s="88"/>
      <c r="X544" s="88"/>
      <c r="Y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Q545" s="88"/>
      <c r="R545" s="88"/>
      <c r="S545" s="88"/>
      <c r="T545" s="88"/>
      <c r="U545" s="88"/>
      <c r="V545" s="88"/>
      <c r="W545" s="88"/>
      <c r="X545" s="88"/>
      <c r="Y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Q546" s="88"/>
      <c r="R546" s="88"/>
      <c r="S546" s="88"/>
      <c r="T546" s="88"/>
      <c r="U546" s="88"/>
      <c r="V546" s="88"/>
      <c r="W546" s="88"/>
      <c r="X546" s="88"/>
      <c r="Y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Q547" s="88"/>
      <c r="R547" s="88"/>
      <c r="S547" s="88"/>
      <c r="T547" s="88"/>
      <c r="U547" s="88"/>
      <c r="V547" s="88"/>
      <c r="W547" s="88"/>
      <c r="X547" s="88"/>
      <c r="Y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Q548" s="88"/>
      <c r="R548" s="88"/>
      <c r="S548" s="88"/>
      <c r="T548" s="88"/>
      <c r="U548" s="88"/>
      <c r="V548" s="88"/>
      <c r="W548" s="88"/>
      <c r="X548" s="88"/>
      <c r="Y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Q549" s="88"/>
      <c r="R549" s="88"/>
      <c r="S549" s="88"/>
      <c r="T549" s="88"/>
      <c r="U549" s="88"/>
      <c r="V549" s="88"/>
      <c r="W549" s="88"/>
      <c r="X549" s="88"/>
      <c r="Y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Q550" s="88"/>
      <c r="R550" s="88"/>
      <c r="S550" s="88"/>
      <c r="T550" s="88"/>
      <c r="U550" s="88"/>
      <c r="V550" s="88"/>
      <c r="W550" s="88"/>
      <c r="X550" s="88"/>
      <c r="Y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Q551" s="88"/>
      <c r="R551" s="88"/>
      <c r="S551" s="88"/>
      <c r="T551" s="88"/>
      <c r="U551" s="88"/>
      <c r="V551" s="88"/>
      <c r="W551" s="88"/>
      <c r="X551" s="88"/>
      <c r="Y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Q552" s="88"/>
      <c r="R552" s="88"/>
      <c r="S552" s="88"/>
      <c r="T552" s="88"/>
      <c r="U552" s="88"/>
      <c r="V552" s="88"/>
      <c r="W552" s="88"/>
      <c r="X552" s="88"/>
      <c r="Y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Q553" s="88"/>
      <c r="R553" s="88"/>
      <c r="S553" s="88"/>
      <c r="T553" s="88"/>
      <c r="U553" s="88"/>
      <c r="V553" s="88"/>
      <c r="W553" s="88"/>
      <c r="X553" s="88"/>
      <c r="Y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Q554" s="88"/>
      <c r="R554" s="88"/>
      <c r="S554" s="88"/>
      <c r="T554" s="88"/>
      <c r="U554" s="88"/>
      <c r="V554" s="88"/>
      <c r="W554" s="88"/>
      <c r="X554" s="88"/>
      <c r="Y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Q555" s="88"/>
      <c r="R555" s="88"/>
      <c r="S555" s="88"/>
      <c r="T555" s="88"/>
      <c r="U555" s="88"/>
      <c r="V555" s="88"/>
      <c r="W555" s="88"/>
      <c r="X555" s="88"/>
      <c r="Y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Q556" s="88"/>
      <c r="R556" s="88"/>
      <c r="S556" s="88"/>
      <c r="T556" s="88"/>
      <c r="U556" s="88"/>
      <c r="V556" s="88"/>
      <c r="W556" s="88"/>
      <c r="X556" s="88"/>
      <c r="Y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Q557" s="88"/>
      <c r="R557" s="88"/>
      <c r="S557" s="88"/>
      <c r="T557" s="88"/>
      <c r="U557" s="88"/>
      <c r="V557" s="88"/>
      <c r="W557" s="88"/>
      <c r="X557" s="88"/>
      <c r="Y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Q558" s="88"/>
      <c r="R558" s="88"/>
      <c r="S558" s="88"/>
      <c r="T558" s="88"/>
      <c r="U558" s="88"/>
      <c r="V558" s="88"/>
      <c r="W558" s="88"/>
      <c r="X558" s="88"/>
      <c r="Y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Q559" s="88"/>
      <c r="R559" s="88"/>
      <c r="S559" s="88"/>
      <c r="T559" s="88"/>
      <c r="U559" s="88"/>
      <c r="V559" s="88"/>
      <c r="W559" s="88"/>
      <c r="X559" s="88"/>
      <c r="Y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Q560" s="88"/>
      <c r="R560" s="88"/>
      <c r="S560" s="88"/>
      <c r="T560" s="88"/>
      <c r="U560" s="88"/>
      <c r="V560" s="88"/>
      <c r="W560" s="88"/>
      <c r="X560" s="88"/>
      <c r="Y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Q561" s="88"/>
      <c r="R561" s="88"/>
      <c r="S561" s="88"/>
      <c r="T561" s="88"/>
      <c r="U561" s="88"/>
      <c r="V561" s="88"/>
      <c r="W561" s="88"/>
      <c r="X561" s="88"/>
      <c r="Y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Q562" s="88"/>
      <c r="R562" s="88"/>
      <c r="S562" s="88"/>
      <c r="T562" s="88"/>
      <c r="U562" s="88"/>
      <c r="V562" s="88"/>
      <c r="W562" s="88"/>
      <c r="X562" s="88"/>
      <c r="Y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Q563" s="88"/>
      <c r="R563" s="88"/>
      <c r="S563" s="88"/>
      <c r="T563" s="88"/>
      <c r="U563" s="88"/>
      <c r="V563" s="88"/>
      <c r="W563" s="88"/>
      <c r="X563" s="88"/>
      <c r="Y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Q564" s="88"/>
      <c r="R564" s="88"/>
      <c r="S564" s="88"/>
      <c r="T564" s="88"/>
      <c r="U564" s="88"/>
      <c r="V564" s="88"/>
      <c r="W564" s="88"/>
      <c r="X564" s="88"/>
      <c r="Y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Q565" s="88"/>
      <c r="R565" s="88"/>
      <c r="S565" s="88"/>
      <c r="T565" s="88"/>
      <c r="U565" s="88"/>
      <c r="V565" s="88"/>
      <c r="W565" s="88"/>
      <c r="X565" s="88"/>
      <c r="Y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Q566" s="88"/>
      <c r="R566" s="88"/>
      <c r="S566" s="88"/>
      <c r="T566" s="88"/>
      <c r="U566" s="88"/>
      <c r="V566" s="88"/>
      <c r="W566" s="88"/>
      <c r="X566" s="88"/>
      <c r="Y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Q567" s="88"/>
      <c r="R567" s="88"/>
      <c r="S567" s="88"/>
      <c r="T567" s="88"/>
      <c r="U567" s="88"/>
      <c r="V567" s="88"/>
      <c r="W567" s="88"/>
      <c r="X567" s="88"/>
      <c r="Y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Q568" s="88"/>
      <c r="R568" s="88"/>
      <c r="S568" s="88"/>
      <c r="T568" s="88"/>
      <c r="U568" s="88"/>
      <c r="V568" s="88"/>
      <c r="W568" s="88"/>
      <c r="X568" s="88"/>
      <c r="Y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Q569" s="88"/>
      <c r="R569" s="88"/>
      <c r="S569" s="88"/>
      <c r="T569" s="88"/>
      <c r="U569" s="88"/>
      <c r="V569" s="88"/>
      <c r="W569" s="88"/>
      <c r="X569" s="88"/>
      <c r="Y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Q570" s="88"/>
      <c r="R570" s="88"/>
      <c r="S570" s="88"/>
      <c r="T570" s="88"/>
      <c r="U570" s="88"/>
      <c r="V570" s="88"/>
      <c r="W570" s="88"/>
      <c r="X570" s="88"/>
      <c r="Y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Q571" s="88"/>
      <c r="R571" s="88"/>
      <c r="S571" s="88"/>
      <c r="T571" s="88"/>
      <c r="U571" s="88"/>
      <c r="V571" s="88"/>
      <c r="W571" s="88"/>
      <c r="X571" s="88"/>
      <c r="Y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Q605" s="88"/>
      <c r="R605" s="88"/>
      <c r="S605" s="88"/>
      <c r="T605" s="88"/>
      <c r="U605" s="88"/>
      <c r="V605" s="88"/>
      <c r="W605" s="88"/>
      <c r="X605" s="88"/>
      <c r="Y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Q606" s="88"/>
      <c r="R606" s="88"/>
      <c r="S606" s="88"/>
      <c r="T606" s="88"/>
      <c r="U606" s="88"/>
      <c r="V606" s="88"/>
      <c r="W606" s="88"/>
      <c r="X606" s="88"/>
      <c r="Y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Q607" s="88"/>
      <c r="R607" s="88"/>
      <c r="S607" s="88"/>
      <c r="T607" s="88"/>
      <c r="U607" s="88"/>
      <c r="V607" s="88"/>
      <c r="W607" s="88"/>
      <c r="X607" s="88"/>
      <c r="Y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Q608" s="88"/>
      <c r="R608" s="88"/>
      <c r="S608" s="88"/>
      <c r="T608" s="88"/>
      <c r="U608" s="88"/>
      <c r="V608" s="88"/>
      <c r="W608" s="88"/>
      <c r="X608" s="88"/>
      <c r="Y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Q609" s="88"/>
      <c r="R609" s="88"/>
      <c r="S609" s="88"/>
      <c r="T609" s="88"/>
      <c r="U609" s="88"/>
      <c r="V609" s="88"/>
      <c r="W609" s="88"/>
      <c r="X609" s="88"/>
      <c r="Y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Q610" s="88"/>
      <c r="R610" s="88"/>
      <c r="S610" s="88"/>
      <c r="T610" s="88"/>
      <c r="U610" s="88"/>
      <c r="V610" s="88"/>
      <c r="W610" s="88"/>
      <c r="X610" s="88"/>
      <c r="Y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Q611" s="88"/>
      <c r="R611" s="88"/>
      <c r="S611" s="88"/>
      <c r="T611" s="88"/>
      <c r="U611" s="88"/>
      <c r="V611" s="88"/>
      <c r="W611" s="88"/>
      <c r="X611" s="88"/>
      <c r="Y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Q612" s="88"/>
      <c r="R612" s="88"/>
      <c r="S612" s="88"/>
      <c r="T612" s="88"/>
      <c r="U612" s="88"/>
      <c r="V612" s="88"/>
      <c r="W612" s="88"/>
      <c r="X612" s="88"/>
      <c r="Y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Q613" s="88"/>
      <c r="R613" s="88"/>
      <c r="S613" s="88"/>
      <c r="T613" s="88"/>
      <c r="U613" s="88"/>
      <c r="V613" s="88"/>
      <c r="W613" s="88"/>
      <c r="X613" s="88"/>
      <c r="Y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Q614" s="88"/>
      <c r="R614" s="88"/>
      <c r="S614" s="88"/>
      <c r="T614" s="88"/>
      <c r="U614" s="88"/>
      <c r="V614" s="88"/>
      <c r="W614" s="88"/>
      <c r="X614" s="88"/>
      <c r="Y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Q615" s="88"/>
      <c r="R615" s="88"/>
      <c r="S615" s="88"/>
      <c r="T615" s="88"/>
      <c r="U615" s="88"/>
      <c r="V615" s="88"/>
      <c r="W615" s="88"/>
      <c r="X615" s="88"/>
      <c r="Y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Q616" s="88"/>
      <c r="R616" s="88"/>
      <c r="S616" s="88"/>
      <c r="T616" s="88"/>
      <c r="U616" s="88"/>
      <c r="V616" s="88"/>
      <c r="W616" s="88"/>
      <c r="X616" s="88"/>
      <c r="Y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Q617" s="88"/>
      <c r="R617" s="88"/>
      <c r="S617" s="88"/>
      <c r="T617" s="88"/>
      <c r="U617" s="88"/>
      <c r="V617" s="88"/>
      <c r="W617" s="88"/>
      <c r="X617" s="88"/>
      <c r="Y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Q618" s="88"/>
      <c r="R618" s="88"/>
      <c r="S618" s="88"/>
      <c r="T618" s="88"/>
      <c r="U618" s="88"/>
      <c r="V618" s="88"/>
      <c r="W618" s="88"/>
      <c r="X618" s="88"/>
      <c r="Y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Q619" s="88"/>
      <c r="R619" s="88"/>
      <c r="S619" s="88"/>
      <c r="T619" s="88"/>
      <c r="U619" s="88"/>
      <c r="V619" s="88"/>
      <c r="W619" s="88"/>
      <c r="X619" s="88"/>
      <c r="Y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Q620" s="88"/>
      <c r="R620" s="88"/>
      <c r="S620" s="88"/>
      <c r="T620" s="88"/>
      <c r="U620" s="88"/>
      <c r="V620" s="88"/>
      <c r="W620" s="88"/>
      <c r="X620" s="88"/>
      <c r="Y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Q621" s="88"/>
      <c r="R621" s="88"/>
      <c r="S621" s="88"/>
      <c r="T621" s="88"/>
      <c r="U621" s="88"/>
      <c r="V621" s="88"/>
      <c r="W621" s="88"/>
      <c r="X621" s="88"/>
      <c r="Y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Q622" s="88"/>
      <c r="R622" s="88"/>
      <c r="S622" s="88"/>
      <c r="T622" s="88"/>
      <c r="U622" s="88"/>
      <c r="V622" s="88"/>
      <c r="W622" s="88"/>
      <c r="X622" s="88"/>
      <c r="Y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Q623" s="88"/>
      <c r="R623" s="88"/>
      <c r="S623" s="88"/>
      <c r="T623" s="88"/>
      <c r="U623" s="88"/>
      <c r="V623" s="88"/>
      <c r="W623" s="88"/>
      <c r="X623" s="88"/>
      <c r="Y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Q624" s="88"/>
      <c r="R624" s="88"/>
      <c r="S624" s="88"/>
      <c r="T624" s="88"/>
      <c r="U624" s="88"/>
      <c r="V624" s="88"/>
      <c r="W624" s="88"/>
      <c r="X624" s="88"/>
      <c r="Y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Q625" s="88"/>
      <c r="R625" s="88"/>
      <c r="S625" s="88"/>
      <c r="T625" s="88"/>
      <c r="U625" s="88"/>
      <c r="V625" s="88"/>
      <c r="W625" s="88"/>
      <c r="X625" s="88"/>
      <c r="Y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Q626" s="88"/>
      <c r="R626" s="88"/>
      <c r="S626" s="88"/>
      <c r="T626" s="88"/>
      <c r="U626" s="88"/>
      <c r="V626" s="88"/>
      <c r="W626" s="88"/>
      <c r="X626" s="88"/>
      <c r="Y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Q627" s="88"/>
      <c r="R627" s="88"/>
      <c r="S627" s="88"/>
      <c r="T627" s="88"/>
      <c r="U627" s="88"/>
      <c r="V627" s="88"/>
      <c r="W627" s="88"/>
      <c r="X627" s="88"/>
      <c r="Y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Q628" s="88"/>
      <c r="R628" s="88"/>
      <c r="S628" s="88"/>
      <c r="T628" s="88"/>
      <c r="U628" s="88"/>
      <c r="V628" s="88"/>
      <c r="W628" s="88"/>
      <c r="X628" s="88"/>
      <c r="Y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Q629" s="88"/>
      <c r="R629" s="88"/>
      <c r="S629" s="88"/>
      <c r="T629" s="88"/>
      <c r="U629" s="88"/>
      <c r="V629" s="88"/>
      <c r="W629" s="88"/>
      <c r="X629" s="88"/>
      <c r="Y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Q630" s="88"/>
      <c r="R630" s="88"/>
      <c r="S630" s="88"/>
      <c r="T630" s="88"/>
      <c r="U630" s="88"/>
      <c r="V630" s="88"/>
      <c r="W630" s="88"/>
      <c r="X630" s="88"/>
      <c r="Y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Q631" s="88"/>
      <c r="R631" s="88"/>
      <c r="S631" s="88"/>
      <c r="T631" s="88"/>
      <c r="U631" s="88"/>
      <c r="V631" s="88"/>
      <c r="W631" s="88"/>
      <c r="X631" s="88"/>
      <c r="Y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Q632" s="88"/>
      <c r="R632" s="88"/>
      <c r="S632" s="88"/>
      <c r="T632" s="88"/>
      <c r="U632" s="88"/>
      <c r="V632" s="88"/>
      <c r="W632" s="88"/>
      <c r="X632" s="88"/>
      <c r="Y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Q633" s="88"/>
      <c r="R633" s="88"/>
      <c r="S633" s="88"/>
      <c r="T633" s="88"/>
      <c r="U633" s="88"/>
      <c r="V633" s="88"/>
      <c r="W633" s="88"/>
      <c r="X633" s="88"/>
      <c r="Y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Q634" s="88"/>
      <c r="R634" s="88"/>
      <c r="S634" s="88"/>
      <c r="T634" s="88"/>
      <c r="U634" s="88"/>
      <c r="V634" s="88"/>
      <c r="W634" s="88"/>
      <c r="X634" s="88"/>
      <c r="Y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Q635" s="88"/>
      <c r="R635" s="88"/>
      <c r="S635" s="88"/>
      <c r="T635" s="88"/>
      <c r="U635" s="88"/>
      <c r="V635" s="88"/>
      <c r="W635" s="88"/>
      <c r="X635" s="88"/>
      <c r="Y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Q636" s="88"/>
      <c r="R636" s="88"/>
      <c r="S636" s="88"/>
      <c r="T636" s="88"/>
      <c r="U636" s="88"/>
      <c r="V636" s="88"/>
      <c r="W636" s="88"/>
      <c r="X636" s="88"/>
      <c r="Y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Q637" s="88"/>
      <c r="R637" s="88"/>
      <c r="S637" s="88"/>
      <c r="T637" s="88"/>
      <c r="U637" s="88"/>
      <c r="V637" s="88"/>
      <c r="W637" s="88"/>
      <c r="X637" s="88"/>
      <c r="Y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Q638" s="88"/>
      <c r="R638" s="88"/>
      <c r="S638" s="88"/>
      <c r="T638" s="88"/>
      <c r="U638" s="88"/>
      <c r="V638" s="88"/>
      <c r="W638" s="88"/>
      <c r="X638" s="88"/>
      <c r="Y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Q639" s="88"/>
      <c r="R639" s="88"/>
      <c r="S639" s="88"/>
      <c r="T639" s="88"/>
      <c r="U639" s="88"/>
      <c r="V639" s="88"/>
      <c r="W639" s="88"/>
      <c r="X639" s="88"/>
      <c r="Y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Q640" s="88"/>
      <c r="R640" s="88"/>
      <c r="S640" s="88"/>
      <c r="T640" s="88"/>
      <c r="U640" s="88"/>
      <c r="V640" s="88"/>
      <c r="W640" s="88"/>
      <c r="X640" s="88"/>
      <c r="Y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Q641" s="88"/>
      <c r="R641" s="88"/>
      <c r="S641" s="88"/>
      <c r="T641" s="88"/>
      <c r="U641" s="88"/>
      <c r="V641" s="88"/>
      <c r="W641" s="88"/>
      <c r="X641" s="88"/>
      <c r="Y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Q642" s="88"/>
      <c r="R642" s="88"/>
      <c r="S642" s="88"/>
      <c r="T642" s="88"/>
      <c r="U642" s="88"/>
      <c r="V642" s="88"/>
      <c r="W642" s="88"/>
      <c r="X642" s="88"/>
      <c r="Y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Q643" s="88"/>
      <c r="R643" s="88"/>
      <c r="S643" s="88"/>
      <c r="T643" s="88"/>
      <c r="U643" s="88"/>
      <c r="V643" s="88"/>
      <c r="W643" s="88"/>
      <c r="X643" s="88"/>
      <c r="Y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Q644" s="88"/>
      <c r="R644" s="88"/>
      <c r="S644" s="88"/>
      <c r="T644" s="88"/>
      <c r="U644" s="88"/>
      <c r="V644" s="88"/>
      <c r="W644" s="88"/>
      <c r="X644" s="88"/>
      <c r="Y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Q645" s="88"/>
      <c r="R645" s="88"/>
      <c r="S645" s="88"/>
      <c r="T645" s="88"/>
      <c r="U645" s="88"/>
      <c r="V645" s="88"/>
      <c r="W645" s="88"/>
      <c r="X645" s="88"/>
      <c r="Y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Q646" s="88"/>
      <c r="R646" s="88"/>
      <c r="S646" s="88"/>
      <c r="T646" s="88"/>
      <c r="U646" s="88"/>
      <c r="V646" s="88"/>
      <c r="W646" s="88"/>
      <c r="X646" s="88"/>
      <c r="Y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Q647" s="88"/>
      <c r="R647" s="88"/>
      <c r="S647" s="88"/>
      <c r="T647" s="88"/>
      <c r="U647" s="88"/>
      <c r="V647" s="88"/>
      <c r="W647" s="88"/>
      <c r="X647" s="88"/>
      <c r="Y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Q648" s="88"/>
      <c r="R648" s="88"/>
      <c r="S648" s="88"/>
      <c r="T648" s="88"/>
      <c r="U648" s="88"/>
      <c r="V648" s="88"/>
      <c r="W648" s="88"/>
      <c r="X648" s="88"/>
      <c r="Y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Q649" s="88"/>
      <c r="R649" s="88"/>
      <c r="S649" s="88"/>
      <c r="T649" s="88"/>
      <c r="U649" s="88"/>
      <c r="V649" s="88"/>
      <c r="W649" s="88"/>
      <c r="X649" s="88"/>
      <c r="Y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Q650" s="88"/>
      <c r="R650" s="88"/>
      <c r="S650" s="88"/>
      <c r="T650" s="88"/>
      <c r="U650" s="88"/>
      <c r="V650" s="88"/>
      <c r="W650" s="88"/>
      <c r="X650" s="88"/>
      <c r="Y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Q651" s="88"/>
      <c r="R651" s="88"/>
      <c r="S651" s="88"/>
      <c r="T651" s="88"/>
      <c r="U651" s="88"/>
      <c r="V651" s="88"/>
      <c r="W651" s="88"/>
      <c r="X651" s="88"/>
      <c r="Y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Q652" s="88"/>
      <c r="R652" s="88"/>
      <c r="S652" s="88"/>
      <c r="T652" s="88"/>
      <c r="U652" s="88"/>
      <c r="V652" s="88"/>
      <c r="W652" s="88"/>
      <c r="X652" s="88"/>
      <c r="Y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Q653" s="88"/>
      <c r="R653" s="88"/>
      <c r="S653" s="88"/>
      <c r="T653" s="88"/>
      <c r="U653" s="88"/>
      <c r="V653" s="88"/>
      <c r="W653" s="88"/>
      <c r="X653" s="88"/>
      <c r="Y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Q654" s="88"/>
      <c r="R654" s="88"/>
      <c r="S654" s="88"/>
      <c r="T654" s="88"/>
      <c r="U654" s="88"/>
      <c r="V654" s="88"/>
      <c r="W654" s="88"/>
      <c r="X654" s="88"/>
      <c r="Y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Q655" s="88"/>
      <c r="R655" s="88"/>
      <c r="S655" s="88"/>
      <c r="T655" s="88"/>
      <c r="U655" s="88"/>
      <c r="V655" s="88"/>
      <c r="W655" s="88"/>
      <c r="X655" s="88"/>
      <c r="Y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Q656" s="88"/>
      <c r="R656" s="88"/>
      <c r="S656" s="88"/>
      <c r="T656" s="88"/>
      <c r="U656" s="88"/>
      <c r="V656" s="88"/>
      <c r="W656" s="88"/>
      <c r="X656" s="88"/>
      <c r="Y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Q657" s="88"/>
      <c r="R657" s="88"/>
      <c r="S657" s="88"/>
      <c r="T657" s="88"/>
      <c r="U657" s="88"/>
      <c r="V657" s="88"/>
      <c r="W657" s="88"/>
      <c r="X657" s="88"/>
      <c r="Y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Q658" s="88"/>
      <c r="R658" s="88"/>
      <c r="S658" s="88"/>
      <c r="T658" s="88"/>
      <c r="U658" s="88"/>
      <c r="V658" s="88"/>
      <c r="W658" s="88"/>
      <c r="X658" s="88"/>
      <c r="Y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Q659" s="88"/>
      <c r="R659" s="88"/>
      <c r="S659" s="88"/>
      <c r="T659" s="88"/>
      <c r="U659" s="88"/>
      <c r="V659" s="88"/>
      <c r="W659" s="88"/>
      <c r="X659" s="88"/>
      <c r="Y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Q660" s="88"/>
      <c r="R660" s="88"/>
      <c r="S660" s="88"/>
      <c r="T660" s="88"/>
      <c r="U660" s="88"/>
      <c r="V660" s="88"/>
      <c r="W660" s="88"/>
      <c r="X660" s="88"/>
      <c r="Y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Q661" s="88"/>
      <c r="R661" s="88"/>
      <c r="S661" s="88"/>
      <c r="T661" s="88"/>
      <c r="U661" s="88"/>
      <c r="V661" s="88"/>
      <c r="W661" s="88"/>
      <c r="X661" s="88"/>
      <c r="Y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Q662" s="88"/>
      <c r="R662" s="88"/>
      <c r="S662" s="88"/>
      <c r="T662" s="88"/>
      <c r="U662" s="88"/>
      <c r="V662" s="88"/>
      <c r="W662" s="88"/>
      <c r="X662" s="88"/>
      <c r="Y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Q663" s="88"/>
      <c r="R663" s="88"/>
      <c r="S663" s="88"/>
      <c r="T663" s="88"/>
      <c r="U663" s="88"/>
      <c r="V663" s="88"/>
      <c r="W663" s="88"/>
      <c r="X663" s="88"/>
      <c r="Y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Q664" s="88"/>
      <c r="R664" s="88"/>
      <c r="S664" s="88"/>
      <c r="T664" s="88"/>
      <c r="U664" s="88"/>
      <c r="V664" s="88"/>
      <c r="W664" s="88"/>
      <c r="X664" s="88"/>
      <c r="Y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Q665" s="88"/>
      <c r="R665" s="88"/>
      <c r="S665" s="88"/>
      <c r="T665" s="88"/>
      <c r="U665" s="88"/>
      <c r="V665" s="88"/>
      <c r="W665" s="88"/>
      <c r="X665" s="88"/>
      <c r="Y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Q666" s="88"/>
      <c r="R666" s="88"/>
      <c r="S666" s="88"/>
      <c r="T666" s="88"/>
      <c r="U666" s="88"/>
      <c r="V666" s="88"/>
      <c r="W666" s="88"/>
      <c r="X666" s="88"/>
      <c r="Y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Q667" s="88"/>
      <c r="R667" s="88"/>
      <c r="S667" s="88"/>
      <c r="T667" s="88"/>
      <c r="U667" s="88"/>
      <c r="V667" s="88"/>
      <c r="W667" s="88"/>
      <c r="X667" s="88"/>
      <c r="Y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Q668" s="88"/>
      <c r="R668" s="88"/>
      <c r="S668" s="88"/>
      <c r="T668" s="88"/>
      <c r="U668" s="88"/>
      <c r="V668" s="88"/>
      <c r="W668" s="88"/>
      <c r="X668" s="88"/>
      <c r="Y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Q669" s="88"/>
      <c r="R669" s="88"/>
      <c r="S669" s="88"/>
      <c r="T669" s="88"/>
      <c r="U669" s="88"/>
      <c r="V669" s="88"/>
      <c r="W669" s="88"/>
      <c r="X669" s="88"/>
      <c r="Y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Q670" s="88"/>
      <c r="R670" s="88"/>
      <c r="S670" s="88"/>
      <c r="T670" s="88"/>
      <c r="U670" s="88"/>
      <c r="V670" s="88"/>
      <c r="W670" s="88"/>
      <c r="X670" s="88"/>
      <c r="Y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Q671" s="88"/>
      <c r="R671" s="88"/>
      <c r="S671" s="88"/>
      <c r="T671" s="88"/>
      <c r="U671" s="88"/>
      <c r="V671" s="88"/>
      <c r="W671" s="88"/>
      <c r="X671" s="88"/>
      <c r="Y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Q672" s="88"/>
      <c r="R672" s="88"/>
      <c r="S672" s="88"/>
      <c r="T672" s="88"/>
      <c r="U672" s="88"/>
      <c r="V672" s="88"/>
      <c r="W672" s="88"/>
      <c r="X672" s="88"/>
      <c r="Y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Q673" s="88"/>
      <c r="R673" s="88"/>
      <c r="S673" s="88"/>
      <c r="T673" s="88"/>
      <c r="U673" s="88"/>
      <c r="V673" s="88"/>
      <c r="W673" s="88"/>
      <c r="X673" s="88"/>
      <c r="Y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Q674" s="88"/>
      <c r="R674" s="88"/>
      <c r="S674" s="88"/>
      <c r="T674" s="88"/>
      <c r="U674" s="88"/>
      <c r="V674" s="88"/>
      <c r="W674" s="88"/>
      <c r="X674" s="88"/>
      <c r="Y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Q675" s="88"/>
      <c r="R675" s="88"/>
      <c r="S675" s="88"/>
      <c r="T675" s="88"/>
      <c r="U675" s="88"/>
      <c r="V675" s="88"/>
      <c r="W675" s="88"/>
      <c r="X675" s="88"/>
      <c r="Y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Q676" s="88"/>
      <c r="R676" s="88"/>
      <c r="S676" s="88"/>
      <c r="T676" s="88"/>
      <c r="U676" s="88"/>
      <c r="V676" s="88"/>
      <c r="W676" s="88"/>
      <c r="X676" s="88"/>
      <c r="Y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Q677" s="88"/>
      <c r="R677" s="88"/>
      <c r="S677" s="88"/>
      <c r="T677" s="88"/>
      <c r="U677" s="88"/>
      <c r="V677" s="88"/>
      <c r="W677" s="88"/>
      <c r="X677" s="88"/>
      <c r="Y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Q678" s="88"/>
      <c r="R678" s="88"/>
      <c r="S678" s="88"/>
      <c r="T678" s="88"/>
      <c r="U678" s="88"/>
      <c r="V678" s="88"/>
      <c r="W678" s="88"/>
      <c r="X678" s="88"/>
      <c r="Y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Q679" s="88"/>
      <c r="R679" s="88"/>
      <c r="S679" s="88"/>
      <c r="T679" s="88"/>
      <c r="U679" s="88"/>
      <c r="V679" s="88"/>
      <c r="W679" s="88"/>
      <c r="X679" s="88"/>
      <c r="Y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Q680" s="88"/>
      <c r="R680" s="88"/>
      <c r="S680" s="88"/>
      <c r="T680" s="88"/>
      <c r="U680" s="88"/>
      <c r="V680" s="88"/>
      <c r="W680" s="88"/>
      <c r="X680" s="88"/>
      <c r="Y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Q681" s="88"/>
      <c r="R681" s="88"/>
      <c r="S681" s="88"/>
      <c r="T681" s="88"/>
      <c r="U681" s="88"/>
      <c r="V681" s="88"/>
      <c r="W681" s="88"/>
      <c r="X681" s="88"/>
      <c r="Y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Q682" s="88"/>
      <c r="R682" s="88"/>
      <c r="S682" s="88"/>
      <c r="T682" s="88"/>
      <c r="U682" s="88"/>
      <c r="V682" s="88"/>
      <c r="W682" s="88"/>
      <c r="X682" s="88"/>
      <c r="Y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Q683" s="88"/>
      <c r="R683" s="88"/>
      <c r="S683" s="88"/>
      <c r="T683" s="88"/>
      <c r="U683" s="88"/>
      <c r="V683" s="88"/>
      <c r="W683" s="88"/>
      <c r="X683" s="88"/>
      <c r="Y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Q684" s="88"/>
      <c r="R684" s="88"/>
      <c r="S684" s="88"/>
      <c r="T684" s="88"/>
      <c r="U684" s="88"/>
      <c r="V684" s="88"/>
      <c r="W684" s="88"/>
      <c r="X684" s="88"/>
      <c r="Y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Q685" s="88"/>
      <c r="R685" s="88"/>
      <c r="S685" s="88"/>
      <c r="T685" s="88"/>
      <c r="U685" s="88"/>
      <c r="V685" s="88"/>
      <c r="W685" s="88"/>
      <c r="X685" s="88"/>
      <c r="Y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Q686" s="88"/>
      <c r="R686" s="88"/>
      <c r="S686" s="88"/>
      <c r="T686" s="88"/>
      <c r="U686" s="88"/>
      <c r="V686" s="88"/>
      <c r="W686" s="88"/>
      <c r="X686" s="88"/>
      <c r="Y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Q687" s="88"/>
      <c r="R687" s="88"/>
      <c r="S687" s="88"/>
      <c r="T687" s="88"/>
      <c r="U687" s="88"/>
      <c r="V687" s="88"/>
      <c r="W687" s="88"/>
      <c r="X687" s="88"/>
      <c r="Y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Q688" s="88"/>
      <c r="R688" s="88"/>
      <c r="S688" s="88"/>
      <c r="T688" s="88"/>
      <c r="U688" s="88"/>
      <c r="V688" s="88"/>
      <c r="W688" s="88"/>
      <c r="X688" s="88"/>
      <c r="Y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Q689" s="88"/>
      <c r="R689" s="88"/>
      <c r="S689" s="88"/>
      <c r="T689" s="88"/>
      <c r="U689" s="88"/>
      <c r="V689" s="88"/>
      <c r="W689" s="88"/>
      <c r="X689" s="88"/>
      <c r="Y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Q690" s="88"/>
      <c r="R690" s="88"/>
      <c r="S690" s="88"/>
      <c r="T690" s="88"/>
      <c r="U690" s="88"/>
      <c r="V690" s="88"/>
      <c r="W690" s="88"/>
      <c r="X690" s="88"/>
      <c r="Y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Q691" s="88"/>
      <c r="R691" s="88"/>
      <c r="S691" s="88"/>
      <c r="T691" s="88"/>
      <c r="U691" s="88"/>
      <c r="V691" s="88"/>
      <c r="W691" s="88"/>
      <c r="X691" s="88"/>
      <c r="Y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Q692" s="88"/>
      <c r="R692" s="88"/>
      <c r="S692" s="88"/>
      <c r="T692" s="88"/>
      <c r="U692" s="88"/>
      <c r="V692" s="88"/>
      <c r="W692" s="88"/>
      <c r="X692" s="88"/>
      <c r="Y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Q693" s="88"/>
      <c r="R693" s="88"/>
      <c r="S693" s="88"/>
      <c r="T693" s="88"/>
      <c r="U693" s="88"/>
      <c r="V693" s="88"/>
      <c r="W693" s="88"/>
      <c r="X693" s="88"/>
      <c r="Y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Q694" s="88"/>
      <c r="R694" s="88"/>
      <c r="S694" s="88"/>
      <c r="T694" s="88"/>
      <c r="U694" s="88"/>
      <c r="V694" s="88"/>
      <c r="W694" s="88"/>
      <c r="X694" s="88"/>
      <c r="Y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Q695" s="88"/>
      <c r="R695" s="88"/>
      <c r="S695" s="88"/>
      <c r="T695" s="88"/>
      <c r="U695" s="88"/>
      <c r="V695" s="88"/>
      <c r="W695" s="88"/>
      <c r="X695" s="88"/>
      <c r="Y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Q696" s="88"/>
      <c r="R696" s="88"/>
      <c r="S696" s="88"/>
      <c r="T696" s="88"/>
      <c r="U696" s="88"/>
      <c r="V696" s="88"/>
      <c r="W696" s="88"/>
      <c r="X696" s="88"/>
      <c r="Y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Q697" s="88"/>
      <c r="R697" s="88"/>
      <c r="S697" s="88"/>
      <c r="T697" s="88"/>
      <c r="U697" s="88"/>
      <c r="V697" s="88"/>
      <c r="W697" s="88"/>
      <c r="X697" s="88"/>
      <c r="Y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Q698" s="88"/>
      <c r="R698" s="88"/>
      <c r="S698" s="88"/>
      <c r="T698" s="88"/>
      <c r="U698" s="88"/>
      <c r="V698" s="88"/>
      <c r="W698" s="88"/>
      <c r="X698" s="88"/>
      <c r="Y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Q699" s="88"/>
      <c r="R699" s="88"/>
      <c r="S699" s="88"/>
      <c r="T699" s="88"/>
      <c r="U699" s="88"/>
      <c r="V699" s="88"/>
      <c r="W699" s="88"/>
      <c r="X699" s="88"/>
      <c r="Y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Q700" s="88"/>
      <c r="R700" s="88"/>
      <c r="S700" s="88"/>
      <c r="T700" s="88"/>
      <c r="U700" s="88"/>
      <c r="V700" s="88"/>
      <c r="W700" s="88"/>
      <c r="X700" s="88"/>
      <c r="Y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Q701" s="88"/>
      <c r="R701" s="88"/>
      <c r="S701" s="88"/>
      <c r="T701" s="88"/>
      <c r="U701" s="88"/>
      <c r="V701" s="88"/>
      <c r="W701" s="88"/>
      <c r="X701" s="88"/>
      <c r="Y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Q702" s="88"/>
      <c r="R702" s="88"/>
      <c r="S702" s="88"/>
      <c r="T702" s="88"/>
      <c r="U702" s="88"/>
      <c r="V702" s="88"/>
      <c r="W702" s="88"/>
      <c r="X702" s="88"/>
      <c r="Y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Q703" s="88"/>
      <c r="R703" s="88"/>
      <c r="S703" s="88"/>
      <c r="T703" s="88"/>
      <c r="U703" s="88"/>
      <c r="V703" s="88"/>
      <c r="W703" s="88"/>
      <c r="X703" s="88"/>
      <c r="Y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Q704" s="88"/>
      <c r="R704" s="88"/>
      <c r="S704" s="88"/>
      <c r="T704" s="88"/>
      <c r="U704" s="88"/>
      <c r="V704" s="88"/>
      <c r="W704" s="88"/>
      <c r="X704" s="88"/>
      <c r="Y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Q705" s="88"/>
      <c r="R705" s="88"/>
      <c r="S705" s="88"/>
      <c r="T705" s="88"/>
      <c r="U705" s="88"/>
      <c r="V705" s="88"/>
      <c r="W705" s="88"/>
      <c r="X705" s="88"/>
      <c r="Y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Q706" s="88"/>
      <c r="R706" s="88"/>
      <c r="S706" s="88"/>
      <c r="T706" s="88"/>
      <c r="U706" s="88"/>
      <c r="V706" s="88"/>
      <c r="W706" s="88"/>
      <c r="X706" s="88"/>
      <c r="Y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Q707" s="88"/>
      <c r="R707" s="88"/>
      <c r="S707" s="88"/>
      <c r="T707" s="88"/>
      <c r="U707" s="88"/>
      <c r="V707" s="88"/>
      <c r="W707" s="88"/>
      <c r="X707" s="88"/>
      <c r="Y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Q708" s="88"/>
      <c r="R708" s="88"/>
      <c r="S708" s="88"/>
      <c r="T708" s="88"/>
      <c r="U708" s="88"/>
      <c r="V708" s="88"/>
      <c r="W708" s="88"/>
      <c r="X708" s="88"/>
      <c r="Y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Q709" s="88"/>
      <c r="R709" s="88"/>
      <c r="S709" s="88"/>
      <c r="T709" s="88"/>
      <c r="U709" s="88"/>
      <c r="V709" s="88"/>
      <c r="W709" s="88"/>
      <c r="X709" s="88"/>
      <c r="Y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Q710" s="88"/>
      <c r="R710" s="88"/>
      <c r="S710" s="88"/>
      <c r="T710" s="88"/>
      <c r="U710" s="88"/>
      <c r="V710" s="88"/>
      <c r="W710" s="88"/>
      <c r="X710" s="88"/>
      <c r="Y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Q711" s="88"/>
      <c r="R711" s="88"/>
      <c r="S711" s="88"/>
      <c r="T711" s="88"/>
      <c r="U711" s="88"/>
      <c r="V711" s="88"/>
      <c r="W711" s="88"/>
      <c r="X711" s="88"/>
      <c r="Y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Q712" s="88"/>
      <c r="R712" s="88"/>
      <c r="S712" s="88"/>
      <c r="T712" s="88"/>
      <c r="U712" s="88"/>
      <c r="V712" s="88"/>
      <c r="W712" s="88"/>
      <c r="X712" s="88"/>
      <c r="Y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Q713" s="88"/>
      <c r="R713" s="88"/>
      <c r="S713" s="88"/>
      <c r="T713" s="88"/>
      <c r="U713" s="88"/>
      <c r="V713" s="88"/>
      <c r="W713" s="88"/>
      <c r="X713" s="88"/>
      <c r="Y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Q714" s="88"/>
      <c r="R714" s="88"/>
      <c r="S714" s="88"/>
      <c r="T714" s="88"/>
      <c r="U714" s="88"/>
      <c r="V714" s="88"/>
      <c r="W714" s="88"/>
      <c r="X714" s="88"/>
      <c r="Y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Q715" s="88"/>
      <c r="R715" s="88"/>
      <c r="S715" s="88"/>
      <c r="T715" s="88"/>
      <c r="U715" s="88"/>
      <c r="V715" s="88"/>
      <c r="W715" s="88"/>
      <c r="X715" s="88"/>
      <c r="Y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Q716" s="88"/>
      <c r="R716" s="88"/>
      <c r="S716" s="88"/>
      <c r="T716" s="88"/>
      <c r="U716" s="88"/>
      <c r="V716" s="88"/>
      <c r="W716" s="88"/>
      <c r="X716" s="88"/>
      <c r="Y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Q717" s="88"/>
      <c r="R717" s="88"/>
      <c r="S717" s="88"/>
      <c r="T717" s="88"/>
      <c r="U717" s="88"/>
      <c r="V717" s="88"/>
      <c r="W717" s="88"/>
      <c r="X717" s="88"/>
      <c r="Y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Q718" s="88"/>
      <c r="R718" s="88"/>
      <c r="S718" s="88"/>
      <c r="T718" s="88"/>
      <c r="U718" s="88"/>
      <c r="V718" s="88"/>
      <c r="W718" s="88"/>
      <c r="X718" s="88"/>
      <c r="Y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Q719" s="88"/>
      <c r="R719" s="88"/>
      <c r="S719" s="88"/>
      <c r="T719" s="88"/>
      <c r="U719" s="88"/>
      <c r="V719" s="88"/>
      <c r="W719" s="88"/>
      <c r="X719" s="88"/>
      <c r="Y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Q720" s="88"/>
      <c r="R720" s="88"/>
      <c r="S720" s="88"/>
      <c r="T720" s="88"/>
      <c r="U720" s="88"/>
      <c r="V720" s="88"/>
      <c r="W720" s="88"/>
      <c r="X720" s="88"/>
      <c r="Y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Q721" s="88"/>
      <c r="R721" s="88"/>
      <c r="S721" s="88"/>
      <c r="T721" s="88"/>
      <c r="U721" s="88"/>
      <c r="V721" s="88"/>
      <c r="W721" s="88"/>
      <c r="X721" s="88"/>
      <c r="Y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Q722" s="88"/>
      <c r="R722" s="88"/>
      <c r="S722" s="88"/>
      <c r="T722" s="88"/>
      <c r="U722" s="88"/>
      <c r="V722" s="88"/>
      <c r="W722" s="88"/>
      <c r="X722" s="88"/>
      <c r="Y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Q723" s="88"/>
      <c r="R723" s="88"/>
      <c r="S723" s="88"/>
      <c r="T723" s="88"/>
      <c r="U723" s="88"/>
      <c r="V723" s="88"/>
      <c r="W723" s="88"/>
      <c r="X723" s="88"/>
      <c r="Y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Q724" s="88"/>
      <c r="R724" s="88"/>
      <c r="S724" s="88"/>
      <c r="T724" s="88"/>
      <c r="U724" s="88"/>
      <c r="V724" s="88"/>
      <c r="W724" s="88"/>
      <c r="X724" s="88"/>
      <c r="Y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Q725" s="88"/>
      <c r="R725" s="88"/>
      <c r="S725" s="88"/>
      <c r="T725" s="88"/>
      <c r="U725" s="88"/>
      <c r="V725" s="88"/>
      <c r="W725" s="88"/>
      <c r="X725" s="88"/>
      <c r="Y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Q726" s="88"/>
      <c r="R726" s="88"/>
      <c r="S726" s="88"/>
      <c r="T726" s="88"/>
      <c r="U726" s="88"/>
      <c r="V726" s="88"/>
      <c r="W726" s="88"/>
      <c r="X726" s="88"/>
      <c r="Y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Q727" s="88"/>
      <c r="R727" s="88"/>
      <c r="S727" s="88"/>
      <c r="T727" s="88"/>
      <c r="U727" s="88"/>
      <c r="V727" s="88"/>
      <c r="W727" s="88"/>
      <c r="X727" s="88"/>
      <c r="Y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Q728" s="88"/>
      <c r="R728" s="88"/>
      <c r="S728" s="88"/>
      <c r="T728" s="88"/>
      <c r="U728" s="88"/>
      <c r="V728" s="88"/>
      <c r="W728" s="88"/>
      <c r="X728" s="88"/>
      <c r="Y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Q729" s="88"/>
      <c r="R729" s="88"/>
      <c r="S729" s="88"/>
      <c r="T729" s="88"/>
      <c r="U729" s="88"/>
      <c r="V729" s="88"/>
      <c r="W729" s="88"/>
      <c r="X729" s="88"/>
      <c r="Y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Q730" s="88"/>
      <c r="R730" s="88"/>
      <c r="S730" s="88"/>
      <c r="T730" s="88"/>
      <c r="U730" s="88"/>
      <c r="V730" s="88"/>
      <c r="W730" s="88"/>
      <c r="X730" s="88"/>
      <c r="Y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Q731" s="88"/>
      <c r="R731" s="88"/>
      <c r="S731" s="88"/>
      <c r="T731" s="88"/>
      <c r="U731" s="88"/>
      <c r="V731" s="88"/>
      <c r="W731" s="88"/>
      <c r="X731" s="88"/>
      <c r="Y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Q732" s="88"/>
      <c r="R732" s="88"/>
      <c r="S732" s="88"/>
      <c r="T732" s="88"/>
      <c r="U732" s="88"/>
      <c r="V732" s="88"/>
      <c r="W732" s="88"/>
      <c r="X732" s="88"/>
      <c r="Y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Q733" s="88"/>
      <c r="R733" s="88"/>
      <c r="S733" s="88"/>
      <c r="T733" s="88"/>
      <c r="U733" s="88"/>
      <c r="V733" s="88"/>
      <c r="W733" s="88"/>
      <c r="X733" s="88"/>
      <c r="Y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Q734" s="88"/>
      <c r="R734" s="88"/>
      <c r="S734" s="88"/>
      <c r="T734" s="88"/>
      <c r="U734" s="88"/>
      <c r="V734" s="88"/>
      <c r="W734" s="88"/>
      <c r="X734" s="88"/>
      <c r="Y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Q735" s="88"/>
      <c r="R735" s="88"/>
      <c r="S735" s="88"/>
      <c r="T735" s="88"/>
      <c r="U735" s="88"/>
      <c r="V735" s="88"/>
      <c r="W735" s="88"/>
      <c r="X735" s="88"/>
      <c r="Y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Q736" s="88"/>
      <c r="R736" s="88"/>
      <c r="S736" s="88"/>
      <c r="T736" s="88"/>
      <c r="U736" s="88"/>
      <c r="V736" s="88"/>
      <c r="W736" s="88"/>
      <c r="X736" s="88"/>
      <c r="Y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Q737" s="88"/>
      <c r="R737" s="88"/>
      <c r="S737" s="88"/>
      <c r="T737" s="88"/>
      <c r="U737" s="88"/>
      <c r="V737" s="88"/>
      <c r="W737" s="88"/>
      <c r="X737" s="88"/>
      <c r="Y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Q738" s="88"/>
      <c r="R738" s="88"/>
      <c r="S738" s="88"/>
      <c r="T738" s="88"/>
      <c r="U738" s="88"/>
      <c r="V738" s="88"/>
      <c r="W738" s="88"/>
      <c r="X738" s="88"/>
      <c r="Y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Q739" s="88"/>
      <c r="R739" s="88"/>
      <c r="S739" s="88"/>
      <c r="T739" s="88"/>
      <c r="U739" s="88"/>
      <c r="V739" s="88"/>
      <c r="W739" s="88"/>
      <c r="X739" s="88"/>
      <c r="Y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Q740" s="88"/>
      <c r="R740" s="88"/>
      <c r="S740" s="88"/>
      <c r="T740" s="88"/>
      <c r="U740" s="88"/>
      <c r="V740" s="88"/>
      <c r="W740" s="88"/>
      <c r="X740" s="88"/>
      <c r="Y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Q741" s="88"/>
      <c r="R741" s="88"/>
      <c r="S741" s="88"/>
      <c r="T741" s="88"/>
      <c r="U741" s="88"/>
      <c r="V741" s="88"/>
      <c r="W741" s="88"/>
      <c r="X741" s="88"/>
      <c r="Y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Q742" s="88"/>
      <c r="R742" s="88"/>
      <c r="S742" s="88"/>
      <c r="T742" s="88"/>
      <c r="U742" s="88"/>
      <c r="V742" s="88"/>
      <c r="W742" s="88"/>
      <c r="X742" s="88"/>
      <c r="Y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Q743" s="88"/>
      <c r="R743" s="88"/>
      <c r="S743" s="88"/>
      <c r="T743" s="88"/>
      <c r="U743" s="88"/>
      <c r="V743" s="88"/>
      <c r="W743" s="88"/>
      <c r="X743" s="88"/>
      <c r="Y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Q744" s="88"/>
      <c r="R744" s="88"/>
      <c r="S744" s="88"/>
      <c r="T744" s="88"/>
      <c r="U744" s="88"/>
      <c r="V744" s="88"/>
      <c r="W744" s="88"/>
      <c r="X744" s="88"/>
      <c r="Y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Q745" s="88"/>
      <c r="R745" s="88"/>
      <c r="S745" s="88"/>
      <c r="T745" s="88"/>
      <c r="U745" s="88"/>
      <c r="V745" s="88"/>
      <c r="W745" s="88"/>
      <c r="X745" s="88"/>
      <c r="Y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Q746" s="88"/>
      <c r="R746" s="88"/>
      <c r="S746" s="88"/>
      <c r="T746" s="88"/>
      <c r="U746" s="88"/>
      <c r="V746" s="88"/>
      <c r="W746" s="88"/>
      <c r="X746" s="88"/>
      <c r="Y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Q747" s="88"/>
      <c r="R747" s="88"/>
      <c r="S747" s="88"/>
      <c r="T747" s="88"/>
      <c r="U747" s="88"/>
      <c r="V747" s="88"/>
      <c r="W747" s="88"/>
      <c r="X747" s="88"/>
      <c r="Y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Q748" s="88"/>
      <c r="R748" s="88"/>
      <c r="S748" s="88"/>
      <c r="T748" s="88"/>
      <c r="U748" s="88"/>
      <c r="V748" s="88"/>
      <c r="W748" s="88"/>
      <c r="X748" s="88"/>
      <c r="Y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Q749" s="88"/>
      <c r="R749" s="88"/>
      <c r="S749" s="88"/>
      <c r="T749" s="88"/>
      <c r="U749" s="88"/>
      <c r="V749" s="88"/>
      <c r="W749" s="88"/>
      <c r="X749" s="88"/>
      <c r="Y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Q750" s="88"/>
      <c r="R750" s="88"/>
      <c r="S750" s="88"/>
      <c r="T750" s="88"/>
      <c r="U750" s="88"/>
      <c r="V750" s="88"/>
      <c r="W750" s="88"/>
      <c r="X750" s="88"/>
      <c r="Y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Q751" s="88"/>
      <c r="R751" s="88"/>
      <c r="S751" s="88"/>
      <c r="T751" s="88"/>
      <c r="U751" s="88"/>
      <c r="V751" s="88"/>
      <c r="W751" s="88"/>
      <c r="X751" s="88"/>
      <c r="Y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Q752" s="88"/>
      <c r="R752" s="88"/>
      <c r="S752" s="88"/>
      <c r="T752" s="88"/>
      <c r="U752" s="88"/>
      <c r="V752" s="88"/>
      <c r="W752" s="88"/>
      <c r="X752" s="88"/>
      <c r="Y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Q753" s="88"/>
      <c r="R753" s="88"/>
      <c r="S753" s="88"/>
      <c r="T753" s="88"/>
      <c r="U753" s="88"/>
      <c r="V753" s="88"/>
      <c r="W753" s="88"/>
      <c r="X753" s="88"/>
      <c r="Y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Q754" s="88"/>
      <c r="R754" s="88"/>
      <c r="S754" s="88"/>
      <c r="T754" s="88"/>
      <c r="U754" s="88"/>
      <c r="V754" s="88"/>
      <c r="W754" s="88"/>
      <c r="X754" s="88"/>
      <c r="Y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Q755" s="88"/>
      <c r="R755" s="88"/>
      <c r="S755" s="88"/>
      <c r="T755" s="88"/>
      <c r="U755" s="88"/>
      <c r="V755" s="88"/>
      <c r="W755" s="88"/>
      <c r="X755" s="88"/>
      <c r="Y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Q756" s="88"/>
      <c r="R756" s="88"/>
      <c r="S756" s="88"/>
      <c r="T756" s="88"/>
      <c r="U756" s="88"/>
      <c r="V756" s="88"/>
      <c r="W756" s="88"/>
      <c r="X756" s="88"/>
      <c r="Y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Q757" s="88"/>
      <c r="R757" s="88"/>
      <c r="S757" s="88"/>
      <c r="T757" s="88"/>
      <c r="U757" s="88"/>
      <c r="V757" s="88"/>
      <c r="W757" s="88"/>
      <c r="X757" s="88"/>
      <c r="Y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Q758" s="88"/>
      <c r="R758" s="88"/>
      <c r="S758" s="88"/>
      <c r="T758" s="88"/>
      <c r="U758" s="88"/>
      <c r="V758" s="88"/>
      <c r="W758" s="88"/>
      <c r="X758" s="88"/>
      <c r="Y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Q759" s="88"/>
      <c r="R759" s="88"/>
      <c r="S759" s="88"/>
      <c r="T759" s="88"/>
      <c r="U759" s="88"/>
      <c r="V759" s="88"/>
      <c r="W759" s="88"/>
      <c r="X759" s="88"/>
      <c r="Y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Q760" s="88"/>
      <c r="R760" s="88"/>
      <c r="S760" s="88"/>
      <c r="T760" s="88"/>
      <c r="U760" s="88"/>
      <c r="V760" s="88"/>
      <c r="W760" s="88"/>
      <c r="X760" s="88"/>
      <c r="Y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Q761" s="88"/>
      <c r="R761" s="88"/>
      <c r="S761" s="88"/>
      <c r="T761" s="88"/>
      <c r="U761" s="88"/>
      <c r="V761" s="88"/>
      <c r="W761" s="88"/>
      <c r="X761" s="88"/>
      <c r="Y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Q762" s="88"/>
      <c r="R762" s="88"/>
      <c r="S762" s="88"/>
      <c r="T762" s="88"/>
      <c r="U762" s="88"/>
      <c r="V762" s="88"/>
      <c r="W762" s="88"/>
      <c r="X762" s="88"/>
      <c r="Y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Q763" s="88"/>
      <c r="R763" s="88"/>
      <c r="S763" s="88"/>
      <c r="T763" s="88"/>
      <c r="U763" s="88"/>
      <c r="V763" s="88"/>
      <c r="W763" s="88"/>
      <c r="X763" s="88"/>
      <c r="Y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Q764" s="88"/>
      <c r="R764" s="88"/>
      <c r="S764" s="88"/>
      <c r="T764" s="88"/>
      <c r="U764" s="88"/>
      <c r="V764" s="88"/>
      <c r="W764" s="88"/>
      <c r="X764" s="88"/>
      <c r="Y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Q765" s="88"/>
      <c r="R765" s="88"/>
      <c r="S765" s="88"/>
      <c r="T765" s="88"/>
      <c r="U765" s="88"/>
      <c r="V765" s="88"/>
      <c r="W765" s="88"/>
      <c r="X765" s="88"/>
      <c r="Y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Q766" s="88"/>
      <c r="R766" s="88"/>
      <c r="S766" s="88"/>
      <c r="T766" s="88"/>
      <c r="U766" s="88"/>
      <c r="V766" s="88"/>
      <c r="W766" s="88"/>
      <c r="X766" s="88"/>
      <c r="Y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Q767" s="88"/>
      <c r="R767" s="88"/>
      <c r="S767" s="88"/>
      <c r="T767" s="88"/>
      <c r="U767" s="88"/>
      <c r="V767" s="88"/>
      <c r="W767" s="88"/>
      <c r="X767" s="88"/>
      <c r="Y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Q768" s="88"/>
      <c r="R768" s="88"/>
      <c r="S768" s="88"/>
      <c r="T768" s="88"/>
      <c r="U768" s="88"/>
      <c r="V768" s="88"/>
      <c r="W768" s="88"/>
      <c r="X768" s="88"/>
      <c r="Y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Q769" s="88"/>
      <c r="R769" s="88"/>
      <c r="S769" s="88"/>
      <c r="T769" s="88"/>
      <c r="U769" s="88"/>
      <c r="V769" s="88"/>
      <c r="W769" s="88"/>
      <c r="X769" s="88"/>
      <c r="Y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Q770" s="88"/>
      <c r="R770" s="88"/>
      <c r="S770" s="88"/>
      <c r="T770" s="88"/>
      <c r="U770" s="88"/>
      <c r="V770" s="88"/>
      <c r="W770" s="88"/>
      <c r="X770" s="88"/>
      <c r="Y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Q771" s="88"/>
      <c r="R771" s="88"/>
      <c r="S771" s="88"/>
      <c r="T771" s="88"/>
      <c r="U771" s="88"/>
      <c r="V771" s="88"/>
      <c r="W771" s="88"/>
      <c r="X771" s="88"/>
      <c r="Y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Q772" s="88"/>
      <c r="R772" s="88"/>
      <c r="S772" s="88"/>
      <c r="T772" s="88"/>
      <c r="U772" s="88"/>
      <c r="V772" s="88"/>
      <c r="W772" s="88"/>
      <c r="X772" s="88"/>
      <c r="Y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Q773" s="88"/>
      <c r="R773" s="88"/>
      <c r="S773" s="88"/>
      <c r="T773" s="88"/>
      <c r="U773" s="88"/>
      <c r="V773" s="88"/>
      <c r="W773" s="88"/>
      <c r="X773" s="88"/>
      <c r="Y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Q774" s="88"/>
      <c r="R774" s="88"/>
      <c r="S774" s="88"/>
      <c r="T774" s="88"/>
      <c r="U774" s="88"/>
      <c r="V774" s="88"/>
      <c r="W774" s="88"/>
      <c r="X774" s="88"/>
      <c r="Y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Q775" s="88"/>
      <c r="R775" s="88"/>
      <c r="S775" s="88"/>
      <c r="T775" s="88"/>
      <c r="U775" s="88"/>
      <c r="V775" s="88"/>
      <c r="W775" s="88"/>
      <c r="X775" s="88"/>
      <c r="Y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Q776" s="88"/>
      <c r="R776" s="88"/>
      <c r="S776" s="88"/>
      <c r="T776" s="88"/>
      <c r="U776" s="88"/>
      <c r="V776" s="88"/>
      <c r="W776" s="88"/>
      <c r="X776" s="88"/>
      <c r="Y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Q777" s="88"/>
      <c r="R777" s="88"/>
      <c r="S777" s="88"/>
      <c r="T777" s="88"/>
      <c r="U777" s="88"/>
      <c r="V777" s="88"/>
      <c r="W777" s="88"/>
      <c r="X777" s="88"/>
      <c r="Y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Q778" s="88"/>
      <c r="R778" s="88"/>
      <c r="S778" s="88"/>
      <c r="T778" s="88"/>
      <c r="U778" s="88"/>
      <c r="V778" s="88"/>
      <c r="W778" s="88"/>
      <c r="X778" s="88"/>
      <c r="Y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Q779" s="88"/>
      <c r="R779" s="88"/>
      <c r="S779" s="88"/>
      <c r="T779" s="88"/>
      <c r="U779" s="88"/>
      <c r="V779" s="88"/>
      <c r="W779" s="88"/>
      <c r="X779" s="88"/>
      <c r="Y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Q780" s="88"/>
      <c r="R780" s="88"/>
      <c r="S780" s="88"/>
      <c r="T780" s="88"/>
      <c r="U780" s="88"/>
      <c r="V780" s="88"/>
      <c r="W780" s="88"/>
      <c r="X780" s="88"/>
      <c r="Y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Q781" s="88"/>
      <c r="R781" s="88"/>
      <c r="S781" s="88"/>
      <c r="T781" s="88"/>
      <c r="U781" s="88"/>
      <c r="V781" s="88"/>
      <c r="W781" s="88"/>
      <c r="X781" s="88"/>
      <c r="Y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Q782" s="88"/>
      <c r="R782" s="88"/>
      <c r="S782" s="88"/>
      <c r="T782" s="88"/>
      <c r="U782" s="88"/>
      <c r="V782" s="88"/>
      <c r="W782" s="88"/>
      <c r="X782" s="88"/>
      <c r="Y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Q783" s="88"/>
      <c r="R783" s="88"/>
      <c r="S783" s="88"/>
      <c r="T783" s="88"/>
      <c r="U783" s="88"/>
      <c r="V783" s="88"/>
      <c r="W783" s="88"/>
      <c r="X783" s="88"/>
      <c r="Y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Q784" s="88"/>
      <c r="R784" s="88"/>
      <c r="S784" s="88"/>
      <c r="T784" s="88"/>
      <c r="U784" s="88"/>
      <c r="V784" s="88"/>
      <c r="W784" s="88"/>
      <c r="X784" s="88"/>
      <c r="Y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Q785" s="88"/>
      <c r="R785" s="88"/>
      <c r="S785" s="88"/>
      <c r="T785" s="88"/>
      <c r="U785" s="88"/>
      <c r="V785" s="88"/>
      <c r="W785" s="88"/>
      <c r="X785" s="88"/>
      <c r="Y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Q786" s="88"/>
      <c r="R786" s="88"/>
      <c r="S786" s="88"/>
      <c r="T786" s="88"/>
      <c r="U786" s="88"/>
      <c r="V786" s="88"/>
      <c r="W786" s="88"/>
      <c r="X786" s="88"/>
      <c r="Y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Q787" s="88"/>
      <c r="R787" s="88"/>
      <c r="S787" s="88"/>
      <c r="T787" s="88"/>
      <c r="U787" s="88"/>
      <c r="V787" s="88"/>
      <c r="W787" s="88"/>
      <c r="X787" s="88"/>
      <c r="Y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Q788" s="88"/>
      <c r="R788" s="88"/>
      <c r="S788" s="88"/>
      <c r="T788" s="88"/>
      <c r="U788" s="88"/>
      <c r="V788" s="88"/>
      <c r="W788" s="88"/>
      <c r="X788" s="88"/>
      <c r="Y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Q789" s="88"/>
      <c r="R789" s="88"/>
      <c r="S789" s="88"/>
      <c r="T789" s="88"/>
      <c r="U789" s="88"/>
      <c r="V789" s="88"/>
      <c r="W789" s="88"/>
      <c r="X789" s="88"/>
      <c r="Y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Q790" s="88"/>
      <c r="R790" s="88"/>
      <c r="S790" s="88"/>
      <c r="T790" s="88"/>
      <c r="U790" s="88"/>
      <c r="V790" s="88"/>
      <c r="W790" s="88"/>
      <c r="X790" s="88"/>
      <c r="Y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Q791" s="88"/>
      <c r="R791" s="88"/>
      <c r="S791" s="88"/>
      <c r="T791" s="88"/>
      <c r="U791" s="88"/>
      <c r="V791" s="88"/>
      <c r="W791" s="88"/>
      <c r="X791" s="88"/>
      <c r="Y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Q792" s="88"/>
      <c r="R792" s="88"/>
      <c r="S792" s="88"/>
      <c r="T792" s="88"/>
      <c r="U792" s="88"/>
      <c r="V792" s="88"/>
      <c r="W792" s="88"/>
      <c r="X792" s="88"/>
      <c r="Y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Q793" s="88"/>
      <c r="R793" s="88"/>
      <c r="S793" s="88"/>
      <c r="T793" s="88"/>
      <c r="U793" s="88"/>
      <c r="V793" s="88"/>
      <c r="W793" s="88"/>
      <c r="X793" s="88"/>
      <c r="Y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Q794" s="88"/>
      <c r="R794" s="88"/>
      <c r="S794" s="88"/>
      <c r="T794" s="88"/>
      <c r="U794" s="88"/>
      <c r="V794" s="88"/>
      <c r="W794" s="88"/>
      <c r="X794" s="88"/>
      <c r="Y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Q795" s="88"/>
      <c r="R795" s="88"/>
      <c r="S795" s="88"/>
      <c r="T795" s="88"/>
      <c r="U795" s="88"/>
      <c r="V795" s="88"/>
      <c r="W795" s="88"/>
      <c r="X795" s="88"/>
      <c r="Y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Q796" s="88"/>
      <c r="R796" s="88"/>
      <c r="S796" s="88"/>
      <c r="T796" s="88"/>
      <c r="U796" s="88"/>
      <c r="V796" s="88"/>
      <c r="W796" s="88"/>
      <c r="X796" s="88"/>
      <c r="Y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Q797" s="88"/>
      <c r="R797" s="88"/>
      <c r="S797" s="88"/>
      <c r="T797" s="88"/>
      <c r="U797" s="88"/>
      <c r="V797" s="88"/>
      <c r="W797" s="88"/>
      <c r="X797" s="88"/>
      <c r="Y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Q798" s="88"/>
      <c r="R798" s="88"/>
      <c r="S798" s="88"/>
      <c r="T798" s="88"/>
      <c r="U798" s="88"/>
      <c r="V798" s="88"/>
      <c r="W798" s="88"/>
      <c r="X798" s="88"/>
      <c r="Y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Q799" s="88"/>
      <c r="R799" s="88"/>
      <c r="S799" s="88"/>
      <c r="T799" s="88"/>
      <c r="U799" s="88"/>
      <c r="V799" s="88"/>
      <c r="W799" s="88"/>
      <c r="X799" s="88"/>
      <c r="Y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Q800" s="88"/>
      <c r="R800" s="88"/>
      <c r="S800" s="88"/>
      <c r="T800" s="88"/>
      <c r="U800" s="88"/>
      <c r="V800" s="88"/>
      <c r="W800" s="88"/>
      <c r="X800" s="88"/>
      <c r="Y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Q801" s="88"/>
      <c r="R801" s="88"/>
      <c r="S801" s="88"/>
      <c r="T801" s="88"/>
      <c r="U801" s="88"/>
      <c r="V801" s="88"/>
      <c r="W801" s="88"/>
      <c r="X801" s="88"/>
      <c r="Y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Q802" s="88"/>
      <c r="R802" s="88"/>
      <c r="S802" s="88"/>
      <c r="T802" s="88"/>
      <c r="U802" s="88"/>
      <c r="V802" s="88"/>
      <c r="W802" s="88"/>
      <c r="X802" s="88"/>
      <c r="Y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Q803" s="88"/>
      <c r="R803" s="88"/>
      <c r="S803" s="88"/>
      <c r="T803" s="88"/>
      <c r="U803" s="88"/>
      <c r="V803" s="88"/>
      <c r="W803" s="88"/>
      <c r="X803" s="88"/>
      <c r="Y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Q804" s="88"/>
      <c r="R804" s="88"/>
      <c r="S804" s="88"/>
      <c r="T804" s="88"/>
      <c r="U804" s="88"/>
      <c r="V804" s="88"/>
      <c r="W804" s="88"/>
      <c r="X804" s="88"/>
      <c r="Y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Q805" s="88"/>
      <c r="R805" s="88"/>
      <c r="S805" s="88"/>
      <c r="T805" s="88"/>
      <c r="U805" s="88"/>
      <c r="V805" s="88"/>
      <c r="W805" s="88"/>
      <c r="X805" s="88"/>
      <c r="Y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Q806" s="88"/>
      <c r="R806" s="88"/>
      <c r="S806" s="88"/>
      <c r="T806" s="88"/>
      <c r="U806" s="88"/>
      <c r="V806" s="88"/>
      <c r="W806" s="88"/>
      <c r="X806" s="88"/>
      <c r="Y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Q807" s="88"/>
      <c r="R807" s="88"/>
      <c r="S807" s="88"/>
      <c r="T807" s="88"/>
      <c r="U807" s="88"/>
      <c r="V807" s="88"/>
      <c r="W807" s="88"/>
      <c r="X807" s="88"/>
      <c r="Y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Q808" s="88"/>
      <c r="R808" s="88"/>
      <c r="S808" s="88"/>
      <c r="T808" s="88"/>
      <c r="U808" s="88"/>
      <c r="V808" s="88"/>
      <c r="W808" s="88"/>
      <c r="X808" s="88"/>
      <c r="Y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Q809" s="88"/>
      <c r="R809" s="88"/>
      <c r="S809" s="88"/>
      <c r="T809" s="88"/>
      <c r="U809" s="88"/>
      <c r="V809" s="88"/>
      <c r="W809" s="88"/>
      <c r="X809" s="88"/>
      <c r="Y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Q810" s="88"/>
      <c r="R810" s="88"/>
      <c r="S810" s="88"/>
      <c r="T810" s="88"/>
      <c r="U810" s="88"/>
      <c r="V810" s="88"/>
      <c r="W810" s="88"/>
      <c r="X810" s="88"/>
      <c r="Y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Q811" s="88"/>
      <c r="R811" s="88"/>
      <c r="S811" s="88"/>
      <c r="T811" s="88"/>
      <c r="U811" s="88"/>
      <c r="V811" s="88"/>
      <c r="W811" s="88"/>
      <c r="X811" s="88"/>
      <c r="Y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Q812" s="88"/>
      <c r="R812" s="88"/>
      <c r="S812" s="88"/>
      <c r="T812" s="88"/>
      <c r="U812" s="88"/>
      <c r="V812" s="88"/>
      <c r="W812" s="88"/>
      <c r="X812" s="88"/>
      <c r="Y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Q813" s="88"/>
      <c r="R813" s="88"/>
      <c r="S813" s="88"/>
      <c r="T813" s="88"/>
      <c r="U813" s="88"/>
      <c r="V813" s="88"/>
      <c r="W813" s="88"/>
      <c r="X813" s="88"/>
      <c r="Y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Q814" s="88"/>
      <c r="R814" s="88"/>
      <c r="S814" s="88"/>
      <c r="T814" s="88"/>
      <c r="U814" s="88"/>
      <c r="V814" s="88"/>
      <c r="W814" s="88"/>
      <c r="X814" s="88"/>
      <c r="Y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Q815" s="88"/>
      <c r="R815" s="88"/>
      <c r="S815" s="88"/>
      <c r="T815" s="88"/>
      <c r="U815" s="88"/>
      <c r="V815" s="88"/>
      <c r="W815" s="88"/>
      <c r="X815" s="88"/>
      <c r="Y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Q816" s="88"/>
      <c r="R816" s="88"/>
      <c r="S816" s="88"/>
      <c r="T816" s="88"/>
      <c r="U816" s="88"/>
      <c r="V816" s="88"/>
      <c r="W816" s="88"/>
      <c r="X816" s="88"/>
      <c r="Y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Q817" s="88"/>
      <c r="R817" s="88"/>
      <c r="S817" s="88"/>
      <c r="T817" s="88"/>
      <c r="U817" s="88"/>
      <c r="V817" s="88"/>
      <c r="W817" s="88"/>
      <c r="X817" s="88"/>
      <c r="Y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Q818" s="88"/>
      <c r="R818" s="88"/>
      <c r="S818" s="88"/>
      <c r="T818" s="88"/>
      <c r="U818" s="88"/>
      <c r="V818" s="88"/>
      <c r="W818" s="88"/>
      <c r="X818" s="88"/>
      <c r="Y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Q819" s="88"/>
      <c r="R819" s="88"/>
      <c r="S819" s="88"/>
      <c r="T819" s="88"/>
      <c r="U819" s="88"/>
      <c r="V819" s="88"/>
      <c r="W819" s="88"/>
      <c r="X819" s="88"/>
      <c r="Y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Q820" s="88"/>
      <c r="R820" s="88"/>
      <c r="S820" s="88"/>
      <c r="T820" s="88"/>
      <c r="U820" s="88"/>
      <c r="V820" s="88"/>
      <c r="W820" s="88"/>
      <c r="X820" s="88"/>
      <c r="Y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Q821" s="88"/>
      <c r="R821" s="88"/>
      <c r="S821" s="88"/>
      <c r="T821" s="88"/>
      <c r="U821" s="88"/>
      <c r="V821" s="88"/>
      <c r="W821" s="88"/>
      <c r="X821" s="88"/>
      <c r="Y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Q822" s="88"/>
      <c r="R822" s="88"/>
      <c r="S822" s="88"/>
      <c r="T822" s="88"/>
      <c r="U822" s="88"/>
      <c r="V822" s="88"/>
      <c r="W822" s="88"/>
      <c r="X822" s="88"/>
      <c r="Y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Q823" s="88"/>
      <c r="R823" s="88"/>
      <c r="S823" s="88"/>
      <c r="T823" s="88"/>
      <c r="U823" s="88"/>
      <c r="V823" s="88"/>
      <c r="W823" s="88"/>
      <c r="X823" s="88"/>
      <c r="Y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Q824" s="88"/>
      <c r="R824" s="88"/>
      <c r="S824" s="88"/>
      <c r="T824" s="88"/>
      <c r="U824" s="88"/>
      <c r="V824" s="88"/>
      <c r="W824" s="88"/>
      <c r="X824" s="88"/>
      <c r="Y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Q825" s="88"/>
      <c r="R825" s="88"/>
      <c r="S825" s="88"/>
      <c r="T825" s="88"/>
      <c r="U825" s="88"/>
      <c r="V825" s="88"/>
      <c r="W825" s="88"/>
      <c r="X825" s="88"/>
      <c r="Y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Q826" s="88"/>
      <c r="R826" s="88"/>
      <c r="S826" s="88"/>
      <c r="T826" s="88"/>
      <c r="U826" s="88"/>
      <c r="V826" s="88"/>
      <c r="W826" s="88"/>
      <c r="X826" s="88"/>
      <c r="Y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Q827" s="88"/>
      <c r="R827" s="88"/>
      <c r="S827" s="88"/>
      <c r="T827" s="88"/>
      <c r="U827" s="88"/>
      <c r="V827" s="88"/>
      <c r="W827" s="88"/>
      <c r="X827" s="88"/>
      <c r="Y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Q828" s="88"/>
      <c r="R828" s="88"/>
      <c r="S828" s="88"/>
      <c r="T828" s="88"/>
      <c r="U828" s="88"/>
      <c r="V828" s="88"/>
      <c r="W828" s="88"/>
      <c r="X828" s="88"/>
      <c r="Y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Q829" s="88"/>
      <c r="R829" s="88"/>
      <c r="S829" s="88"/>
      <c r="T829" s="88"/>
      <c r="U829" s="88"/>
      <c r="V829" s="88"/>
      <c r="W829" s="88"/>
      <c r="X829" s="88"/>
      <c r="Y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Q830" s="88"/>
      <c r="R830" s="88"/>
      <c r="S830" s="88"/>
      <c r="T830" s="88"/>
      <c r="U830" s="88"/>
      <c r="V830" s="88"/>
      <c r="W830" s="88"/>
      <c r="X830" s="88"/>
      <c r="Y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Q831" s="88"/>
      <c r="R831" s="88"/>
      <c r="S831" s="88"/>
      <c r="T831" s="88"/>
      <c r="U831" s="88"/>
      <c r="V831" s="88"/>
      <c r="W831" s="88"/>
      <c r="X831" s="88"/>
      <c r="Y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Q832" s="88"/>
      <c r="R832" s="88"/>
      <c r="S832" s="88"/>
      <c r="T832" s="88"/>
      <c r="U832" s="88"/>
      <c r="V832" s="88"/>
      <c r="W832" s="88"/>
      <c r="X832" s="88"/>
      <c r="Y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Q833" s="88"/>
      <c r="R833" s="88"/>
      <c r="S833" s="88"/>
      <c r="T833" s="88"/>
      <c r="U833" s="88"/>
      <c r="V833" s="88"/>
      <c r="W833" s="88"/>
      <c r="X833" s="88"/>
      <c r="Y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Q834" s="88"/>
      <c r="R834" s="88"/>
      <c r="S834" s="88"/>
      <c r="T834" s="88"/>
      <c r="U834" s="88"/>
      <c r="V834" s="88"/>
      <c r="W834" s="88"/>
      <c r="X834" s="88"/>
      <c r="Y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Q835" s="88"/>
      <c r="R835" s="88"/>
      <c r="S835" s="88"/>
      <c r="T835" s="88"/>
      <c r="U835" s="88"/>
      <c r="V835" s="88"/>
      <c r="W835" s="88"/>
      <c r="X835" s="88"/>
      <c r="Y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Q836" s="88"/>
      <c r="R836" s="88"/>
      <c r="S836" s="88"/>
      <c r="T836" s="88"/>
      <c r="U836" s="88"/>
      <c r="V836" s="88"/>
      <c r="W836" s="88"/>
      <c r="X836" s="88"/>
      <c r="Y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Q837" s="88"/>
      <c r="R837" s="88"/>
      <c r="S837" s="88"/>
      <c r="T837" s="88"/>
      <c r="U837" s="88"/>
      <c r="V837" s="88"/>
      <c r="W837" s="88"/>
      <c r="X837" s="88"/>
      <c r="Y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Q838" s="88"/>
      <c r="R838" s="88"/>
      <c r="S838" s="88"/>
      <c r="T838" s="88"/>
      <c r="U838" s="88"/>
      <c r="V838" s="88"/>
      <c r="W838" s="88"/>
      <c r="X838" s="88"/>
      <c r="Y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Q839" s="88"/>
      <c r="R839" s="88"/>
      <c r="S839" s="88"/>
      <c r="T839" s="88"/>
      <c r="U839" s="88"/>
      <c r="V839" s="88"/>
      <c r="W839" s="88"/>
      <c r="X839" s="88"/>
      <c r="Y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Q840" s="88"/>
      <c r="R840" s="88"/>
      <c r="S840" s="88"/>
      <c r="T840" s="88"/>
      <c r="U840" s="88"/>
      <c r="V840" s="88"/>
      <c r="W840" s="88"/>
      <c r="X840" s="88"/>
      <c r="Y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Q841" s="88"/>
      <c r="R841" s="88"/>
      <c r="S841" s="88"/>
      <c r="T841" s="88"/>
      <c r="U841" s="88"/>
      <c r="V841" s="88"/>
      <c r="W841" s="88"/>
      <c r="X841" s="88"/>
      <c r="Y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Q842" s="88"/>
      <c r="R842" s="88"/>
      <c r="S842" s="88"/>
      <c r="T842" s="88"/>
      <c r="U842" s="88"/>
      <c r="V842" s="88"/>
      <c r="W842" s="88"/>
      <c r="X842" s="88"/>
      <c r="Y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Q843" s="88"/>
      <c r="R843" s="88"/>
      <c r="S843" s="88"/>
      <c r="T843" s="88"/>
      <c r="U843" s="88"/>
      <c r="V843" s="88"/>
      <c r="W843" s="88"/>
      <c r="X843" s="88"/>
      <c r="Y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Q844" s="88"/>
      <c r="R844" s="88"/>
      <c r="S844" s="88"/>
      <c r="T844" s="88"/>
      <c r="U844" s="88"/>
      <c r="V844" s="88"/>
      <c r="W844" s="88"/>
      <c r="X844" s="88"/>
      <c r="Y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Q845" s="88"/>
      <c r="R845" s="88"/>
      <c r="S845" s="88"/>
      <c r="T845" s="88"/>
      <c r="U845" s="88"/>
      <c r="V845" s="88"/>
      <c r="W845" s="88"/>
      <c r="X845" s="88"/>
      <c r="Y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Q846" s="88"/>
      <c r="R846" s="88"/>
      <c r="S846" s="88"/>
      <c r="T846" s="88"/>
      <c r="U846" s="88"/>
      <c r="V846" s="88"/>
      <c r="W846" s="88"/>
      <c r="X846" s="88"/>
      <c r="Y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Q847" s="88"/>
      <c r="R847" s="88"/>
      <c r="S847" s="88"/>
      <c r="T847" s="88"/>
      <c r="U847" s="88"/>
      <c r="V847" s="88"/>
      <c r="W847" s="88"/>
      <c r="X847" s="88"/>
      <c r="Y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Q848" s="88"/>
      <c r="R848" s="88"/>
      <c r="S848" s="88"/>
      <c r="T848" s="88"/>
      <c r="U848" s="88"/>
      <c r="V848" s="88"/>
      <c r="W848" s="88"/>
      <c r="X848" s="88"/>
      <c r="Y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Q849" s="88"/>
      <c r="R849" s="88"/>
      <c r="S849" s="88"/>
      <c r="T849" s="88"/>
      <c r="U849" s="88"/>
      <c r="V849" s="88"/>
      <c r="W849" s="88"/>
      <c r="X849" s="88"/>
      <c r="Y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Q850" s="88"/>
      <c r="R850" s="88"/>
      <c r="S850" s="88"/>
      <c r="T850" s="88"/>
      <c r="U850" s="88"/>
      <c r="V850" s="88"/>
      <c r="W850" s="88"/>
      <c r="X850" s="88"/>
      <c r="Y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Q851" s="88"/>
      <c r="R851" s="88"/>
      <c r="S851" s="88"/>
      <c r="T851" s="88"/>
      <c r="U851" s="88"/>
      <c r="V851" s="88"/>
      <c r="W851" s="88"/>
      <c r="X851" s="88"/>
      <c r="Y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Q852" s="88"/>
      <c r="R852" s="88"/>
      <c r="S852" s="88"/>
      <c r="T852" s="88"/>
      <c r="U852" s="88"/>
      <c r="V852" s="88"/>
      <c r="W852" s="88"/>
      <c r="X852" s="88"/>
      <c r="Y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Q853" s="88"/>
      <c r="R853" s="88"/>
      <c r="S853" s="88"/>
      <c r="T853" s="88"/>
      <c r="U853" s="88"/>
      <c r="V853" s="88"/>
      <c r="W853" s="88"/>
      <c r="X853" s="88"/>
      <c r="Y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Q854" s="88"/>
      <c r="R854" s="88"/>
      <c r="S854" s="88"/>
      <c r="T854" s="88"/>
      <c r="U854" s="88"/>
      <c r="V854" s="88"/>
      <c r="W854" s="88"/>
      <c r="X854" s="88"/>
      <c r="Y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Q855" s="88"/>
      <c r="R855" s="88"/>
      <c r="S855" s="88"/>
      <c r="T855" s="88"/>
      <c r="U855" s="88"/>
      <c r="V855" s="88"/>
      <c r="W855" s="88"/>
      <c r="X855" s="88"/>
      <c r="Y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Q856" s="88"/>
      <c r="R856" s="88"/>
      <c r="S856" s="88"/>
      <c r="T856" s="88"/>
      <c r="U856" s="88"/>
      <c r="V856" s="88"/>
      <c r="W856" s="88"/>
      <c r="X856" s="88"/>
      <c r="Y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Q857" s="88"/>
      <c r="R857" s="88"/>
      <c r="S857" s="88"/>
      <c r="T857" s="88"/>
      <c r="U857" s="88"/>
      <c r="V857" s="88"/>
      <c r="W857" s="88"/>
      <c r="X857" s="88"/>
      <c r="Y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Q858" s="88"/>
      <c r="R858" s="88"/>
      <c r="S858" s="88"/>
      <c r="T858" s="88"/>
      <c r="U858" s="88"/>
      <c r="V858" s="88"/>
      <c r="W858" s="88"/>
      <c r="X858" s="88"/>
      <c r="Y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Q859" s="88"/>
      <c r="R859" s="88"/>
      <c r="S859" s="88"/>
      <c r="T859" s="88"/>
      <c r="U859" s="88"/>
      <c r="V859" s="88"/>
      <c r="W859" s="88"/>
      <c r="X859" s="88"/>
      <c r="Y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Q860" s="88"/>
      <c r="R860" s="88"/>
      <c r="S860" s="88"/>
      <c r="T860" s="88"/>
      <c r="U860" s="88"/>
      <c r="V860" s="88"/>
      <c r="W860" s="88"/>
      <c r="X860" s="88"/>
      <c r="Y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Q861" s="88"/>
      <c r="R861" s="88"/>
      <c r="S861" s="88"/>
      <c r="T861" s="88"/>
      <c r="U861" s="88"/>
      <c r="V861" s="88"/>
      <c r="W861" s="88"/>
      <c r="X861" s="88"/>
      <c r="Y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Q862" s="88"/>
      <c r="R862" s="88"/>
      <c r="S862" s="88"/>
      <c r="T862" s="88"/>
      <c r="U862" s="88"/>
      <c r="V862" s="88"/>
      <c r="W862" s="88"/>
      <c r="X862" s="88"/>
      <c r="Y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Q863" s="88"/>
      <c r="R863" s="88"/>
      <c r="S863" s="88"/>
      <c r="T863" s="88"/>
      <c r="U863" s="88"/>
      <c r="V863" s="88"/>
      <c r="W863" s="88"/>
      <c r="X863" s="88"/>
      <c r="Y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Q864" s="88"/>
      <c r="R864" s="88"/>
      <c r="S864" s="88"/>
      <c r="T864" s="88"/>
      <c r="U864" s="88"/>
      <c r="V864" s="88"/>
      <c r="W864" s="88"/>
      <c r="X864" s="88"/>
      <c r="Y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Q865" s="88"/>
      <c r="R865" s="88"/>
      <c r="S865" s="88"/>
      <c r="T865" s="88"/>
      <c r="U865" s="88"/>
      <c r="V865" s="88"/>
      <c r="W865" s="88"/>
      <c r="X865" s="88"/>
      <c r="Y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Q866" s="88"/>
      <c r="R866" s="88"/>
      <c r="S866" s="88"/>
      <c r="T866" s="88"/>
      <c r="U866" s="88"/>
      <c r="V866" s="88"/>
      <c r="W866" s="88"/>
      <c r="X866" s="88"/>
      <c r="Y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Q867" s="88"/>
      <c r="R867" s="88"/>
      <c r="S867" s="88"/>
      <c r="T867" s="88"/>
      <c r="U867" s="88"/>
      <c r="V867" s="88"/>
      <c r="W867" s="88"/>
      <c r="X867" s="88"/>
      <c r="Y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Q868" s="88"/>
      <c r="R868" s="88"/>
      <c r="S868" s="88"/>
      <c r="T868" s="88"/>
      <c r="U868" s="88"/>
      <c r="V868" s="88"/>
      <c r="W868" s="88"/>
      <c r="X868" s="88"/>
      <c r="Y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Q869" s="88"/>
      <c r="R869" s="88"/>
      <c r="S869" s="88"/>
      <c r="T869" s="88"/>
      <c r="U869" s="88"/>
      <c r="V869" s="88"/>
      <c r="W869" s="88"/>
      <c r="X869" s="88"/>
      <c r="Y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Q870" s="88"/>
      <c r="R870" s="88"/>
      <c r="S870" s="88"/>
      <c r="T870" s="88"/>
      <c r="U870" s="88"/>
      <c r="V870" s="88"/>
      <c r="W870" s="88"/>
      <c r="X870" s="88"/>
      <c r="Y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Q871" s="88"/>
      <c r="R871" s="88"/>
      <c r="S871" s="88"/>
      <c r="T871" s="88"/>
      <c r="U871" s="88"/>
      <c r="V871" s="88"/>
      <c r="W871" s="88"/>
      <c r="X871" s="88"/>
      <c r="Y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Q872" s="88"/>
      <c r="R872" s="88"/>
      <c r="S872" s="88"/>
      <c r="T872" s="88"/>
      <c r="U872" s="88"/>
      <c r="V872" s="88"/>
      <c r="W872" s="88"/>
      <c r="X872" s="88"/>
      <c r="Y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Q873" s="88"/>
      <c r="R873" s="88"/>
      <c r="S873" s="88"/>
      <c r="T873" s="88"/>
      <c r="U873" s="88"/>
      <c r="V873" s="88"/>
      <c r="W873" s="88"/>
      <c r="X873" s="88"/>
      <c r="Y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Q874" s="88"/>
      <c r="R874" s="88"/>
      <c r="S874" s="88"/>
      <c r="T874" s="88"/>
      <c r="U874" s="88"/>
      <c r="V874" s="88"/>
      <c r="W874" s="88"/>
      <c r="X874" s="88"/>
      <c r="Y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Q875" s="88"/>
      <c r="R875" s="88"/>
      <c r="S875" s="88"/>
      <c r="T875" s="88"/>
      <c r="U875" s="88"/>
      <c r="V875" s="88"/>
      <c r="W875" s="88"/>
      <c r="X875" s="88"/>
      <c r="Y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Q876" s="88"/>
      <c r="R876" s="88"/>
      <c r="S876" s="88"/>
      <c r="T876" s="88"/>
      <c r="U876" s="88"/>
      <c r="V876" s="88"/>
      <c r="W876" s="88"/>
      <c r="X876" s="88"/>
      <c r="Y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Q877" s="88"/>
      <c r="R877" s="88"/>
      <c r="S877" s="88"/>
      <c r="T877" s="88"/>
      <c r="U877" s="88"/>
      <c r="V877" s="88"/>
      <c r="W877" s="88"/>
      <c r="X877" s="88"/>
      <c r="Y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Q878" s="88"/>
      <c r="R878" s="88"/>
      <c r="S878" s="88"/>
      <c r="T878" s="88"/>
      <c r="U878" s="88"/>
      <c r="V878" s="88"/>
      <c r="W878" s="88"/>
      <c r="X878" s="88"/>
      <c r="Y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Q879" s="88"/>
      <c r="R879" s="88"/>
      <c r="S879" s="88"/>
      <c r="T879" s="88"/>
      <c r="U879" s="88"/>
      <c r="V879" s="88"/>
      <c r="W879" s="88"/>
      <c r="X879" s="88"/>
      <c r="Y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Q880" s="88"/>
      <c r="R880" s="88"/>
      <c r="S880" s="88"/>
      <c r="T880" s="88"/>
      <c r="U880" s="88"/>
      <c r="V880" s="88"/>
      <c r="W880" s="88"/>
      <c r="X880" s="88"/>
      <c r="Y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Q881" s="88"/>
      <c r="R881" s="88"/>
      <c r="S881" s="88"/>
      <c r="T881" s="88"/>
      <c r="U881" s="88"/>
      <c r="V881" s="88"/>
      <c r="W881" s="88"/>
      <c r="X881" s="88"/>
      <c r="Y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Q882" s="88"/>
      <c r="R882" s="88"/>
      <c r="S882" s="88"/>
      <c r="T882" s="88"/>
      <c r="U882" s="88"/>
      <c r="V882" s="88"/>
      <c r="W882" s="88"/>
      <c r="X882" s="88"/>
      <c r="Y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Q883" s="88"/>
      <c r="R883" s="88"/>
      <c r="S883" s="88"/>
      <c r="T883" s="88"/>
      <c r="U883" s="88"/>
      <c r="V883" s="88"/>
      <c r="W883" s="88"/>
      <c r="X883" s="88"/>
      <c r="Y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Q884" s="88"/>
      <c r="R884" s="88"/>
      <c r="S884" s="88"/>
      <c r="T884" s="88"/>
      <c r="U884" s="88"/>
      <c r="V884" s="88"/>
      <c r="W884" s="88"/>
      <c r="X884" s="88"/>
      <c r="Y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Q885" s="88"/>
      <c r="R885" s="88"/>
      <c r="S885" s="88"/>
      <c r="T885" s="88"/>
      <c r="U885" s="88"/>
      <c r="V885" s="88"/>
      <c r="W885" s="88"/>
      <c r="X885" s="88"/>
      <c r="Y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Q886" s="88"/>
      <c r="R886" s="88"/>
      <c r="S886" s="88"/>
      <c r="T886" s="88"/>
      <c r="U886" s="88"/>
      <c r="V886" s="88"/>
      <c r="W886" s="88"/>
      <c r="X886" s="88"/>
      <c r="Y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Q887" s="88"/>
      <c r="R887" s="88"/>
      <c r="S887" s="88"/>
      <c r="T887" s="88"/>
      <c r="U887" s="88"/>
      <c r="V887" s="88"/>
      <c r="W887" s="88"/>
      <c r="X887" s="88"/>
      <c r="Y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Q888" s="88"/>
      <c r="R888" s="88"/>
      <c r="S888" s="88"/>
      <c r="T888" s="88"/>
      <c r="U888" s="88"/>
      <c r="V888" s="88"/>
      <c r="W888" s="88"/>
      <c r="X888" s="88"/>
      <c r="Y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Q889" s="88"/>
      <c r="R889" s="88"/>
      <c r="S889" s="88"/>
      <c r="T889" s="88"/>
      <c r="U889" s="88"/>
      <c r="V889" s="88"/>
      <c r="W889" s="88"/>
      <c r="X889" s="88"/>
      <c r="Y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Q890" s="88"/>
      <c r="R890" s="88"/>
      <c r="S890" s="88"/>
      <c r="T890" s="88"/>
      <c r="U890" s="88"/>
      <c r="V890" s="88"/>
      <c r="W890" s="88"/>
      <c r="X890" s="88"/>
      <c r="Y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Q891" s="88"/>
      <c r="R891" s="88"/>
      <c r="S891" s="88"/>
      <c r="T891" s="88"/>
      <c r="U891" s="88"/>
      <c r="V891" s="88"/>
      <c r="W891" s="88"/>
      <c r="X891" s="88"/>
      <c r="Y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Q892" s="88"/>
      <c r="R892" s="88"/>
      <c r="S892" s="88"/>
      <c r="T892" s="88"/>
      <c r="U892" s="88"/>
      <c r="V892" s="88"/>
      <c r="W892" s="88"/>
      <c r="X892" s="88"/>
      <c r="Y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Q893" s="88"/>
      <c r="R893" s="88"/>
      <c r="S893" s="88"/>
      <c r="T893" s="88"/>
      <c r="U893" s="88"/>
      <c r="V893" s="88"/>
      <c r="W893" s="88"/>
      <c r="X893" s="88"/>
      <c r="Y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Q894" s="88"/>
      <c r="R894" s="88"/>
      <c r="S894" s="88"/>
      <c r="T894" s="88"/>
      <c r="U894" s="88"/>
      <c r="V894" s="88"/>
      <c r="W894" s="88"/>
      <c r="X894" s="88"/>
      <c r="Y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Q895" s="88"/>
      <c r="R895" s="88"/>
      <c r="S895" s="88"/>
      <c r="T895" s="88"/>
      <c r="U895" s="88"/>
      <c r="V895" s="88"/>
      <c r="W895" s="88"/>
      <c r="X895" s="88"/>
      <c r="Y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Q896" s="88"/>
      <c r="R896" s="88"/>
      <c r="S896" s="88"/>
      <c r="T896" s="88"/>
      <c r="U896" s="88"/>
      <c r="V896" s="88"/>
      <c r="W896" s="88"/>
      <c r="X896" s="88"/>
      <c r="Y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Q897" s="88"/>
      <c r="R897" s="88"/>
      <c r="S897" s="88"/>
      <c r="T897" s="88"/>
      <c r="U897" s="88"/>
      <c r="V897" s="88"/>
      <c r="W897" s="88"/>
      <c r="X897" s="88"/>
      <c r="Y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Q898" s="88"/>
      <c r="R898" s="88"/>
      <c r="S898" s="88"/>
      <c r="T898" s="88"/>
      <c r="U898" s="88"/>
      <c r="V898" s="88"/>
      <c r="W898" s="88"/>
      <c r="X898" s="88"/>
      <c r="Y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Q899" s="88"/>
      <c r="R899" s="88"/>
      <c r="S899" s="88"/>
      <c r="T899" s="88"/>
      <c r="U899" s="88"/>
      <c r="V899" s="88"/>
      <c r="W899" s="88"/>
      <c r="X899" s="88"/>
      <c r="Y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Q900" s="88"/>
      <c r="R900" s="88"/>
      <c r="S900" s="88"/>
      <c r="T900" s="88"/>
      <c r="U900" s="88"/>
      <c r="V900" s="88"/>
      <c r="W900" s="88"/>
      <c r="X900" s="88"/>
      <c r="Y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Q901" s="88"/>
      <c r="R901" s="88"/>
      <c r="S901" s="88"/>
      <c r="T901" s="88"/>
      <c r="U901" s="88"/>
      <c r="V901" s="88"/>
      <c r="W901" s="88"/>
      <c r="X901" s="88"/>
      <c r="Y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Q902" s="88"/>
      <c r="R902" s="88"/>
      <c r="S902" s="88"/>
      <c r="T902" s="88"/>
      <c r="U902" s="88"/>
      <c r="V902" s="88"/>
      <c r="W902" s="88"/>
      <c r="X902" s="88"/>
      <c r="Y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Q903" s="88"/>
      <c r="R903" s="88"/>
      <c r="S903" s="88"/>
      <c r="T903" s="88"/>
      <c r="U903" s="88"/>
      <c r="V903" s="88"/>
      <c r="W903" s="88"/>
      <c r="X903" s="88"/>
      <c r="Y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Q904" s="88"/>
      <c r="R904" s="88"/>
      <c r="S904" s="88"/>
      <c r="T904" s="88"/>
      <c r="U904" s="88"/>
      <c r="V904" s="88"/>
      <c r="W904" s="88"/>
      <c r="X904" s="88"/>
      <c r="Y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Q905" s="88"/>
      <c r="R905" s="88"/>
      <c r="S905" s="88"/>
      <c r="T905" s="88"/>
      <c r="U905" s="88"/>
      <c r="V905" s="88"/>
      <c r="W905" s="88"/>
      <c r="X905" s="88"/>
      <c r="Y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Q906" s="88"/>
      <c r="R906" s="88"/>
      <c r="S906" s="88"/>
      <c r="T906" s="88"/>
      <c r="U906" s="88"/>
      <c r="V906" s="88"/>
      <c r="W906" s="88"/>
      <c r="X906" s="88"/>
      <c r="Y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Q907" s="88"/>
      <c r="R907" s="88"/>
      <c r="S907" s="88"/>
      <c r="T907" s="88"/>
      <c r="U907" s="88"/>
      <c r="V907" s="88"/>
      <c r="W907" s="88"/>
      <c r="X907" s="88"/>
      <c r="Y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Q908" s="88"/>
      <c r="R908" s="88"/>
      <c r="S908" s="88"/>
      <c r="T908" s="88"/>
      <c r="U908" s="88"/>
      <c r="V908" s="88"/>
      <c r="W908" s="88"/>
      <c r="X908" s="88"/>
      <c r="Y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Q909" s="88"/>
      <c r="R909" s="88"/>
      <c r="S909" s="88"/>
      <c r="T909" s="88"/>
      <c r="U909" s="88"/>
      <c r="V909" s="88"/>
      <c r="W909" s="88"/>
      <c r="X909" s="88"/>
      <c r="Y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Q910" s="88"/>
      <c r="R910" s="88"/>
      <c r="S910" s="88"/>
      <c r="T910" s="88"/>
      <c r="U910" s="88"/>
      <c r="V910" s="88"/>
      <c r="W910" s="88"/>
      <c r="X910" s="88"/>
      <c r="Y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Q911" s="88"/>
      <c r="R911" s="88"/>
      <c r="S911" s="88"/>
      <c r="T911" s="88"/>
      <c r="U911" s="88"/>
      <c r="V911" s="88"/>
      <c r="W911" s="88"/>
      <c r="X911" s="88"/>
      <c r="Y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Q912" s="88"/>
      <c r="R912" s="88"/>
      <c r="S912" s="88"/>
      <c r="T912" s="88"/>
      <c r="U912" s="88"/>
      <c r="V912" s="88"/>
      <c r="W912" s="88"/>
      <c r="X912" s="88"/>
      <c r="Y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Q913" s="88"/>
      <c r="R913" s="88"/>
      <c r="S913" s="88"/>
      <c r="T913" s="88"/>
      <c r="U913" s="88"/>
      <c r="V913" s="88"/>
      <c r="W913" s="88"/>
      <c r="X913" s="88"/>
      <c r="Y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Q914" s="88"/>
      <c r="R914" s="88"/>
      <c r="S914" s="88"/>
      <c r="T914" s="88"/>
      <c r="U914" s="88"/>
      <c r="V914" s="88"/>
      <c r="W914" s="88"/>
      <c r="X914" s="88"/>
      <c r="Y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Q915" s="88"/>
      <c r="R915" s="88"/>
      <c r="S915" s="88"/>
      <c r="T915" s="88"/>
      <c r="U915" s="88"/>
      <c r="V915" s="88"/>
      <c r="W915" s="88"/>
      <c r="X915" s="88"/>
      <c r="Y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Q916" s="88"/>
      <c r="R916" s="88"/>
      <c r="S916" s="88"/>
      <c r="T916" s="88"/>
      <c r="U916" s="88"/>
      <c r="V916" s="88"/>
      <c r="W916" s="88"/>
      <c r="X916" s="88"/>
      <c r="Y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Q917" s="88"/>
      <c r="R917" s="88"/>
      <c r="S917" s="88"/>
      <c r="T917" s="88"/>
      <c r="U917" s="88"/>
      <c r="V917" s="88"/>
      <c r="W917" s="88"/>
      <c r="X917" s="88"/>
      <c r="Y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Q918" s="88"/>
      <c r="R918" s="88"/>
      <c r="S918" s="88"/>
      <c r="T918" s="88"/>
      <c r="U918" s="88"/>
      <c r="V918" s="88"/>
      <c r="W918" s="88"/>
      <c r="X918" s="88"/>
      <c r="Y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Q919" s="88"/>
      <c r="R919" s="88"/>
      <c r="S919" s="88"/>
      <c r="T919" s="88"/>
      <c r="U919" s="88"/>
      <c r="V919" s="88"/>
      <c r="W919" s="88"/>
      <c r="X919" s="88"/>
      <c r="Y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Q920" s="88"/>
      <c r="R920" s="88"/>
      <c r="S920" s="88"/>
      <c r="T920" s="88"/>
      <c r="U920" s="88"/>
      <c r="V920" s="88"/>
      <c r="W920" s="88"/>
      <c r="X920" s="88"/>
      <c r="Y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Q921" s="88"/>
      <c r="R921" s="88"/>
      <c r="S921" s="88"/>
      <c r="T921" s="88"/>
      <c r="U921" s="88"/>
      <c r="V921" s="88"/>
      <c r="W921" s="88"/>
      <c r="X921" s="88"/>
      <c r="Y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Q922" s="88"/>
      <c r="R922" s="88"/>
      <c r="S922" s="88"/>
      <c r="T922" s="88"/>
      <c r="U922" s="88"/>
      <c r="V922" s="88"/>
      <c r="W922" s="88"/>
      <c r="X922" s="88"/>
      <c r="Y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Q923" s="88"/>
      <c r="R923" s="88"/>
      <c r="S923" s="88"/>
      <c r="T923" s="88"/>
      <c r="U923" s="88"/>
      <c r="V923" s="88"/>
      <c r="W923" s="88"/>
      <c r="X923" s="88"/>
      <c r="Y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Q924" s="88"/>
      <c r="R924" s="88"/>
      <c r="S924" s="88"/>
      <c r="T924" s="88"/>
      <c r="U924" s="88"/>
      <c r="V924" s="88"/>
      <c r="W924" s="88"/>
      <c r="X924" s="88"/>
      <c r="Y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Q925" s="88"/>
      <c r="R925" s="88"/>
      <c r="S925" s="88"/>
      <c r="T925" s="88"/>
      <c r="U925" s="88"/>
      <c r="V925" s="88"/>
      <c r="W925" s="88"/>
      <c r="X925" s="88"/>
      <c r="Y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Q926" s="88"/>
      <c r="R926" s="88"/>
      <c r="S926" s="88"/>
      <c r="T926" s="88"/>
      <c r="U926" s="88"/>
      <c r="V926" s="88"/>
      <c r="W926" s="88"/>
      <c r="X926" s="88"/>
      <c r="Y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Q927" s="88"/>
      <c r="R927" s="88"/>
      <c r="S927" s="88"/>
      <c r="T927" s="88"/>
      <c r="U927" s="88"/>
      <c r="V927" s="88"/>
      <c r="W927" s="88"/>
      <c r="X927" s="88"/>
      <c r="Y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Q928" s="88"/>
      <c r="R928" s="88"/>
      <c r="S928" s="88"/>
      <c r="T928" s="88"/>
      <c r="U928" s="88"/>
      <c r="V928" s="88"/>
      <c r="W928" s="88"/>
      <c r="X928" s="88"/>
      <c r="Y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Q929" s="88"/>
      <c r="R929" s="88"/>
      <c r="S929" s="88"/>
      <c r="T929" s="88"/>
      <c r="U929" s="88"/>
      <c r="V929" s="88"/>
      <c r="W929" s="88"/>
      <c r="X929" s="88"/>
      <c r="Y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Q930" s="88"/>
      <c r="R930" s="88"/>
      <c r="S930" s="88"/>
      <c r="T930" s="88"/>
      <c r="U930" s="88"/>
      <c r="V930" s="88"/>
      <c r="W930" s="88"/>
      <c r="X930" s="88"/>
      <c r="Y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Q931" s="88"/>
      <c r="R931" s="88"/>
      <c r="S931" s="88"/>
      <c r="T931" s="88"/>
      <c r="U931" s="88"/>
      <c r="V931" s="88"/>
      <c r="W931" s="88"/>
      <c r="X931" s="88"/>
      <c r="Y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Q932" s="88"/>
      <c r="R932" s="88"/>
      <c r="S932" s="88"/>
      <c r="T932" s="88"/>
      <c r="U932" s="88"/>
      <c r="V932" s="88"/>
      <c r="W932" s="88"/>
      <c r="X932" s="88"/>
      <c r="Y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Q933" s="88"/>
      <c r="R933" s="88"/>
      <c r="S933" s="88"/>
      <c r="T933" s="88"/>
      <c r="U933" s="88"/>
      <c r="V933" s="88"/>
      <c r="W933" s="88"/>
      <c r="X933" s="88"/>
      <c r="Y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Q934" s="88"/>
      <c r="R934" s="88"/>
      <c r="S934" s="88"/>
      <c r="T934" s="88"/>
      <c r="U934" s="88"/>
      <c r="V934" s="88"/>
      <c r="W934" s="88"/>
      <c r="X934" s="88"/>
      <c r="Y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Q935" s="88"/>
      <c r="R935" s="88"/>
      <c r="S935" s="88"/>
      <c r="T935" s="88"/>
      <c r="U935" s="88"/>
      <c r="V935" s="88"/>
      <c r="W935" s="88"/>
      <c r="X935" s="88"/>
      <c r="Y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Q936" s="88"/>
      <c r="R936" s="88"/>
      <c r="S936" s="88"/>
      <c r="T936" s="88"/>
      <c r="U936" s="88"/>
      <c r="V936" s="88"/>
      <c r="W936" s="88"/>
      <c r="X936" s="88"/>
      <c r="Y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Q937" s="88"/>
      <c r="R937" s="88"/>
      <c r="S937" s="88"/>
      <c r="T937" s="88"/>
      <c r="U937" s="88"/>
      <c r="V937" s="88"/>
      <c r="W937" s="88"/>
      <c r="X937" s="88"/>
      <c r="Y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Q938" s="88"/>
      <c r="R938" s="88"/>
      <c r="S938" s="88"/>
      <c r="T938" s="88"/>
      <c r="U938" s="88"/>
      <c r="V938" s="88"/>
      <c r="W938" s="88"/>
      <c r="X938" s="88"/>
      <c r="Y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Q939" s="88"/>
      <c r="R939" s="88"/>
      <c r="S939" s="88"/>
      <c r="T939" s="88"/>
      <c r="U939" s="88"/>
      <c r="V939" s="88"/>
      <c r="W939" s="88"/>
      <c r="X939" s="88"/>
      <c r="Y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Q940" s="88"/>
      <c r="R940" s="88"/>
      <c r="S940" s="88"/>
      <c r="T940" s="88"/>
      <c r="U940" s="88"/>
      <c r="V940" s="88"/>
      <c r="W940" s="88"/>
      <c r="X940" s="88"/>
      <c r="Y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Q941" s="88"/>
      <c r="R941" s="88"/>
      <c r="S941" s="88"/>
      <c r="T941" s="88"/>
      <c r="U941" s="88"/>
      <c r="V941" s="88"/>
      <c r="W941" s="88"/>
      <c r="X941" s="88"/>
      <c r="Y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Q942" s="88"/>
      <c r="R942" s="88"/>
      <c r="S942" s="88"/>
      <c r="T942" s="88"/>
      <c r="U942" s="88"/>
      <c r="V942" s="88"/>
      <c r="W942" s="88"/>
      <c r="X942" s="88"/>
      <c r="Y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Q943" s="88"/>
      <c r="R943" s="88"/>
      <c r="S943" s="88"/>
      <c r="T943" s="88"/>
      <c r="U943" s="88"/>
      <c r="V943" s="88"/>
      <c r="W943" s="88"/>
      <c r="X943" s="88"/>
      <c r="Y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Q944" s="88"/>
      <c r="R944" s="88"/>
      <c r="S944" s="88"/>
      <c r="T944" s="88"/>
      <c r="U944" s="88"/>
      <c r="V944" s="88"/>
      <c r="W944" s="88"/>
      <c r="X944" s="88"/>
      <c r="Y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Q945" s="88"/>
      <c r="R945" s="88"/>
      <c r="S945" s="88"/>
      <c r="T945" s="88"/>
      <c r="U945" s="88"/>
      <c r="V945" s="88"/>
      <c r="W945" s="88"/>
      <c r="X945" s="88"/>
      <c r="Y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Q946" s="88"/>
      <c r="R946" s="88"/>
      <c r="S946" s="88"/>
      <c r="T946" s="88"/>
      <c r="U946" s="88"/>
      <c r="V946" s="88"/>
      <c r="W946" s="88"/>
      <c r="X946" s="88"/>
      <c r="Y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Q947" s="88"/>
      <c r="R947" s="88"/>
      <c r="S947" s="88"/>
      <c r="T947" s="88"/>
      <c r="U947" s="88"/>
      <c r="V947" s="88"/>
      <c r="W947" s="88"/>
      <c r="X947" s="88"/>
      <c r="Y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Q948" s="88"/>
      <c r="R948" s="88"/>
      <c r="S948" s="88"/>
      <c r="T948" s="88"/>
      <c r="U948" s="88"/>
      <c r="V948" s="88"/>
      <c r="W948" s="88"/>
      <c r="X948" s="88"/>
      <c r="Y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Q949" s="88"/>
      <c r="R949" s="88"/>
      <c r="S949" s="88"/>
      <c r="T949" s="88"/>
      <c r="U949" s="88"/>
      <c r="V949" s="88"/>
      <c r="W949" s="88"/>
      <c r="X949" s="88"/>
      <c r="Y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Q950" s="88"/>
      <c r="R950" s="88"/>
      <c r="S950" s="88"/>
      <c r="T950" s="88"/>
      <c r="U950" s="88"/>
      <c r="V950" s="88"/>
      <c r="W950" s="88"/>
      <c r="X950" s="88"/>
      <c r="Y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Q951" s="88"/>
      <c r="R951" s="88"/>
      <c r="S951" s="88"/>
      <c r="T951" s="88"/>
      <c r="U951" s="88"/>
      <c r="V951" s="88"/>
      <c r="W951" s="88"/>
      <c r="X951" s="88"/>
      <c r="Y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Q952" s="88"/>
      <c r="R952" s="88"/>
      <c r="S952" s="88"/>
      <c r="T952" s="88"/>
      <c r="U952" s="88"/>
      <c r="V952" s="88"/>
      <c r="W952" s="88"/>
      <c r="X952" s="88"/>
      <c r="Y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Q953" s="88"/>
      <c r="R953" s="88"/>
      <c r="S953" s="88"/>
      <c r="T953" s="88"/>
      <c r="U953" s="88"/>
      <c r="V953" s="88"/>
      <c r="W953" s="88"/>
      <c r="X953" s="88"/>
      <c r="Y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Q954" s="88"/>
      <c r="R954" s="88"/>
      <c r="S954" s="88"/>
      <c r="T954" s="88"/>
      <c r="U954" s="88"/>
      <c r="V954" s="88"/>
      <c r="W954" s="88"/>
      <c r="X954" s="88"/>
      <c r="Y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Q955" s="88"/>
      <c r="R955" s="88"/>
      <c r="S955" s="88"/>
      <c r="T955" s="88"/>
      <c r="U955" s="88"/>
      <c r="V955" s="88"/>
      <c r="W955" s="88"/>
      <c r="X955" s="88"/>
      <c r="Y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Q956" s="88"/>
      <c r="R956" s="88"/>
      <c r="S956" s="88"/>
      <c r="T956" s="88"/>
      <c r="U956" s="88"/>
      <c r="V956" s="88"/>
      <c r="W956" s="88"/>
      <c r="X956" s="88"/>
      <c r="Y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Q957" s="88"/>
      <c r="R957" s="88"/>
      <c r="S957" s="88"/>
      <c r="T957" s="88"/>
      <c r="U957" s="88"/>
      <c r="V957" s="88"/>
      <c r="W957" s="88"/>
      <c r="X957" s="88"/>
      <c r="Y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Q958" s="88"/>
      <c r="R958" s="88"/>
      <c r="S958" s="88"/>
      <c r="T958" s="88"/>
      <c r="U958" s="88"/>
      <c r="V958" s="88"/>
      <c r="W958" s="88"/>
      <c r="X958" s="88"/>
      <c r="Y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Q959" s="88"/>
      <c r="R959" s="88"/>
      <c r="S959" s="88"/>
      <c r="T959" s="88"/>
      <c r="U959" s="88"/>
      <c r="V959" s="88"/>
      <c r="W959" s="88"/>
      <c r="X959" s="88"/>
      <c r="Y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Q960" s="88"/>
      <c r="R960" s="88"/>
      <c r="S960" s="88"/>
      <c r="T960" s="88"/>
      <c r="U960" s="88"/>
      <c r="V960" s="88"/>
      <c r="W960" s="88"/>
      <c r="X960" s="88"/>
      <c r="Y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Q961" s="88"/>
      <c r="R961" s="88"/>
      <c r="S961" s="88"/>
      <c r="T961" s="88"/>
      <c r="U961" s="88"/>
      <c r="V961" s="88"/>
      <c r="W961" s="88"/>
      <c r="X961" s="88"/>
      <c r="Y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Q962" s="88"/>
      <c r="R962" s="88"/>
      <c r="S962" s="88"/>
      <c r="T962" s="88"/>
      <c r="U962" s="88"/>
      <c r="V962" s="88"/>
      <c r="W962" s="88"/>
      <c r="X962" s="88"/>
      <c r="Y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Q963" s="88"/>
      <c r="R963" s="88"/>
      <c r="S963" s="88"/>
      <c r="T963" s="88"/>
      <c r="U963" s="88"/>
      <c r="V963" s="88"/>
      <c r="W963" s="88"/>
      <c r="X963" s="88"/>
      <c r="Y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Q964" s="88"/>
      <c r="R964" s="88"/>
      <c r="S964" s="88"/>
      <c r="T964" s="88"/>
      <c r="U964" s="88"/>
      <c r="V964" s="88"/>
      <c r="W964" s="88"/>
      <c r="X964" s="88"/>
      <c r="Y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Q965" s="88"/>
      <c r="R965" s="88"/>
      <c r="S965" s="88"/>
      <c r="T965" s="88"/>
      <c r="U965" s="88"/>
      <c r="V965" s="88"/>
      <c r="W965" s="88"/>
      <c r="X965" s="88"/>
      <c r="Y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Q966" s="88"/>
      <c r="R966" s="88"/>
      <c r="S966" s="88"/>
      <c r="T966" s="88"/>
      <c r="U966" s="88"/>
      <c r="V966" s="88"/>
      <c r="W966" s="88"/>
      <c r="X966" s="88"/>
      <c r="Y966" s="88"/>
    </row>
    <row r="967">
      <c r="A967" s="140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Q967" s="88"/>
      <c r="R967" s="88"/>
      <c r="S967" s="88"/>
      <c r="T967" s="88"/>
      <c r="U967" s="88"/>
      <c r="V967" s="88"/>
      <c r="W967" s="88"/>
      <c r="X967" s="88"/>
      <c r="Y967" s="88"/>
    </row>
    <row r="968">
      <c r="Q968" s="88"/>
      <c r="R968" s="88"/>
      <c r="S968" s="88"/>
      <c r="T968" s="88"/>
      <c r="U968" s="88"/>
      <c r="V968" s="88"/>
      <c r="W968" s="88"/>
      <c r="X968" s="88"/>
      <c r="Y968" s="88"/>
    </row>
    <row r="969">
      <c r="Q969" s="88"/>
      <c r="R969" s="88"/>
      <c r="S969" s="88"/>
      <c r="T969" s="88"/>
      <c r="U969" s="88"/>
      <c r="V969" s="88"/>
      <c r="W969" s="88"/>
      <c r="X969" s="88"/>
      <c r="Y969" s="88"/>
    </row>
    <row r="970">
      <c r="Q970" s="88"/>
      <c r="R970" s="88"/>
      <c r="S970" s="88"/>
      <c r="T970" s="88"/>
      <c r="U970" s="88"/>
      <c r="V970" s="88"/>
      <c r="W970" s="88"/>
      <c r="X970" s="88"/>
      <c r="Y970" s="88"/>
    </row>
    <row r="971">
      <c r="Q971" s="88"/>
      <c r="R971" s="88"/>
      <c r="S971" s="88"/>
      <c r="T971" s="88"/>
      <c r="U971" s="88"/>
      <c r="V971" s="88"/>
      <c r="W971" s="88"/>
      <c r="X971" s="88"/>
      <c r="Y971" s="88"/>
    </row>
    <row r="972">
      <c r="Q972" s="88"/>
      <c r="R972" s="88"/>
      <c r="S972" s="88"/>
      <c r="T972" s="88"/>
      <c r="U972" s="88"/>
      <c r="V972" s="88"/>
      <c r="W972" s="88"/>
      <c r="X972" s="88"/>
      <c r="Y972" s="88"/>
    </row>
    <row r="973">
      <c r="Q973" s="88"/>
      <c r="R973" s="88"/>
      <c r="S973" s="88"/>
      <c r="T973" s="88"/>
      <c r="U973" s="88"/>
      <c r="V973" s="88"/>
      <c r="W973" s="88"/>
      <c r="X973" s="88"/>
      <c r="Y973" s="88"/>
    </row>
    <row r="974">
      <c r="Q974" s="88"/>
      <c r="R974" s="88"/>
      <c r="S974" s="88"/>
      <c r="T974" s="88"/>
      <c r="U974" s="88"/>
      <c r="V974" s="88"/>
      <c r="W974" s="88"/>
      <c r="X974" s="88"/>
      <c r="Y974" s="88"/>
    </row>
    <row r="975">
      <c r="Q975" s="88"/>
      <c r="R975" s="88"/>
      <c r="S975" s="88"/>
      <c r="T975" s="88"/>
      <c r="U975" s="88"/>
      <c r="V975" s="88"/>
      <c r="W975" s="88"/>
      <c r="X975" s="88"/>
      <c r="Y975" s="88"/>
    </row>
    <row r="976">
      <c r="Q976" s="88"/>
      <c r="R976" s="88"/>
      <c r="S976" s="88"/>
      <c r="T976" s="88"/>
      <c r="U976" s="88"/>
      <c r="V976" s="88"/>
      <c r="W976" s="88"/>
      <c r="X976" s="88"/>
      <c r="Y976" s="88"/>
    </row>
    <row r="977">
      <c r="Q977" s="88"/>
      <c r="R977" s="88"/>
      <c r="S977" s="88"/>
      <c r="T977" s="88"/>
      <c r="U977" s="88"/>
      <c r="V977" s="88"/>
      <c r="W977" s="88"/>
      <c r="X977" s="88"/>
      <c r="Y977" s="88"/>
    </row>
    <row r="978">
      <c r="Q978" s="88"/>
      <c r="R978" s="88"/>
      <c r="S978" s="88"/>
      <c r="T978" s="88"/>
      <c r="U978" s="88"/>
      <c r="V978" s="88"/>
      <c r="W978" s="88"/>
      <c r="X978" s="88"/>
      <c r="Y978" s="88"/>
    </row>
    <row r="979">
      <c r="Q979" s="88"/>
      <c r="R979" s="88"/>
      <c r="S979" s="88"/>
      <c r="T979" s="88"/>
      <c r="U979" s="88"/>
      <c r="V979" s="88"/>
      <c r="W979" s="88"/>
      <c r="X979" s="88"/>
      <c r="Y979" s="88"/>
    </row>
    <row r="980">
      <c r="Q980" s="88"/>
      <c r="R980" s="88"/>
      <c r="S980" s="88"/>
      <c r="T980" s="88"/>
      <c r="U980" s="88"/>
      <c r="V980" s="88"/>
      <c r="W980" s="88"/>
      <c r="X980" s="88"/>
      <c r="Y980" s="88"/>
    </row>
    <row r="981">
      <c r="Q981" s="88"/>
      <c r="R981" s="88"/>
      <c r="S981" s="88"/>
      <c r="T981" s="88"/>
      <c r="U981" s="88"/>
      <c r="V981" s="88"/>
      <c r="W981" s="88"/>
      <c r="X981" s="88"/>
      <c r="Y981" s="88"/>
    </row>
    <row r="982">
      <c r="Q982" s="88"/>
      <c r="R982" s="88"/>
      <c r="S982" s="88"/>
      <c r="T982" s="88"/>
      <c r="U982" s="88"/>
      <c r="V982" s="88"/>
      <c r="W982" s="88"/>
      <c r="X982" s="88"/>
      <c r="Y982" s="88"/>
    </row>
    <row r="983">
      <c r="Q983" s="88"/>
      <c r="R983" s="88"/>
      <c r="S983" s="88"/>
      <c r="T983" s="88"/>
      <c r="U983" s="88"/>
      <c r="V983" s="88"/>
      <c r="W983" s="88"/>
      <c r="X983" s="88"/>
      <c r="Y983" s="88"/>
    </row>
    <row r="984">
      <c r="Q984" s="88"/>
      <c r="R984" s="88"/>
      <c r="S984" s="88"/>
      <c r="T984" s="88"/>
      <c r="U984" s="88"/>
      <c r="V984" s="88"/>
      <c r="W984" s="88"/>
      <c r="X984" s="88"/>
      <c r="Y984" s="88"/>
    </row>
    <row r="985">
      <c r="Q985" s="88"/>
      <c r="R985" s="88"/>
      <c r="S985" s="88"/>
      <c r="T985" s="88"/>
      <c r="U985" s="88"/>
      <c r="V985" s="88"/>
      <c r="W985" s="88"/>
      <c r="X985" s="88"/>
      <c r="Y985" s="88"/>
    </row>
    <row r="986">
      <c r="Q986" s="88"/>
      <c r="R986" s="88"/>
      <c r="S986" s="88"/>
      <c r="T986" s="88"/>
      <c r="U986" s="88"/>
      <c r="V986" s="88"/>
      <c r="W986" s="88"/>
      <c r="X986" s="88"/>
      <c r="Y986" s="88"/>
    </row>
    <row r="987">
      <c r="Q987" s="88"/>
      <c r="R987" s="88"/>
      <c r="S987" s="88"/>
      <c r="T987" s="88"/>
      <c r="U987" s="88"/>
      <c r="V987" s="88"/>
      <c r="W987" s="88"/>
      <c r="X987" s="88"/>
      <c r="Y987" s="88"/>
    </row>
    <row r="988">
      <c r="Q988" s="88"/>
      <c r="R988" s="88"/>
      <c r="S988" s="88"/>
      <c r="T988" s="88"/>
      <c r="U988" s="88"/>
      <c r="V988" s="88"/>
      <c r="W988" s="88"/>
      <c r="X988" s="88"/>
      <c r="Y988" s="88"/>
    </row>
    <row r="989">
      <c r="Q989" s="88"/>
      <c r="R989" s="88"/>
      <c r="S989" s="88"/>
      <c r="T989" s="88"/>
      <c r="U989" s="88"/>
      <c r="V989" s="88"/>
      <c r="W989" s="88"/>
      <c r="X989" s="88"/>
      <c r="Y989" s="88"/>
    </row>
    <row r="990">
      <c r="Q990" s="88"/>
      <c r="R990" s="88"/>
      <c r="S990" s="88"/>
      <c r="T990" s="88"/>
      <c r="U990" s="88"/>
      <c r="V990" s="88"/>
      <c r="W990" s="88"/>
      <c r="X990" s="88"/>
      <c r="Y990" s="88"/>
    </row>
    <row r="991">
      <c r="Q991" s="88"/>
      <c r="R991" s="88"/>
      <c r="S991" s="88"/>
      <c r="T991" s="88"/>
      <c r="U991" s="88"/>
      <c r="V991" s="88"/>
      <c r="W991" s="88"/>
      <c r="X991" s="88"/>
      <c r="Y991" s="88"/>
    </row>
    <row r="992">
      <c r="Q992" s="88"/>
      <c r="R992" s="88"/>
      <c r="S992" s="88"/>
      <c r="T992" s="88"/>
      <c r="U992" s="88"/>
      <c r="V992" s="88"/>
      <c r="W992" s="88"/>
      <c r="X992" s="88"/>
      <c r="Y992" s="88"/>
    </row>
    <row r="993">
      <c r="Q993" s="88"/>
      <c r="R993" s="88"/>
      <c r="S993" s="88"/>
      <c r="T993" s="88"/>
      <c r="U993" s="88"/>
      <c r="V993" s="88"/>
      <c r="W993" s="88"/>
      <c r="X993" s="88"/>
      <c r="Y993" s="88"/>
    </row>
    <row r="994">
      <c r="Q994" s="88"/>
      <c r="R994" s="88"/>
      <c r="S994" s="88"/>
      <c r="T994" s="88"/>
      <c r="U994" s="88"/>
      <c r="V994" s="88"/>
      <c r="W994" s="88"/>
      <c r="X994" s="88"/>
      <c r="Y994" s="88"/>
    </row>
    <row r="995">
      <c r="Q995" s="88"/>
      <c r="R995" s="88"/>
      <c r="S995" s="88"/>
      <c r="T995" s="88"/>
      <c r="U995" s="88"/>
      <c r="V995" s="88"/>
      <c r="W995" s="88"/>
      <c r="X995" s="88"/>
      <c r="Y995" s="88"/>
    </row>
    <row r="996">
      <c r="Q996" s="88"/>
      <c r="R996" s="88"/>
      <c r="S996" s="88"/>
      <c r="T996" s="88"/>
      <c r="U996" s="88"/>
      <c r="V996" s="88"/>
      <c r="W996" s="88"/>
      <c r="X996" s="88"/>
      <c r="Y996" s="88"/>
    </row>
    <row r="997">
      <c r="Q997" s="88"/>
      <c r="R997" s="88"/>
      <c r="S997" s="88"/>
      <c r="T997" s="88"/>
      <c r="U997" s="88"/>
      <c r="V997" s="88"/>
      <c r="W997" s="88"/>
      <c r="X997" s="88"/>
      <c r="Y997" s="88"/>
    </row>
    <row r="998">
      <c r="Q998" s="88"/>
      <c r="R998" s="88"/>
      <c r="S998" s="88"/>
      <c r="T998" s="88"/>
      <c r="U998" s="88"/>
      <c r="V998" s="88"/>
      <c r="W998" s="88"/>
      <c r="X998" s="88"/>
      <c r="Y998" s="88"/>
    </row>
    <row r="999">
      <c r="Q999" s="88"/>
      <c r="R999" s="88"/>
      <c r="S999" s="88"/>
      <c r="T999" s="88"/>
      <c r="U999" s="88"/>
      <c r="V999" s="88"/>
      <c r="W999" s="88"/>
      <c r="X999" s="88"/>
      <c r="Y999" s="88"/>
    </row>
    <row r="1000">
      <c r="Q1000" s="88"/>
      <c r="R1000" s="88"/>
      <c r="S1000" s="88"/>
      <c r="T1000" s="88"/>
      <c r="U1000" s="88"/>
      <c r="V1000" s="88"/>
      <c r="W1000" s="88"/>
      <c r="X1000" s="88"/>
      <c r="Y1000" s="88"/>
    </row>
    <row r="1001">
      <c r="Q1001" s="88"/>
      <c r="R1001" s="88"/>
      <c r="S1001" s="88"/>
      <c r="T1001" s="88"/>
      <c r="U1001" s="88"/>
      <c r="V1001" s="88"/>
      <c r="W1001" s="88"/>
      <c r="X1001" s="88"/>
      <c r="Y1001" s="88"/>
    </row>
    <row r="1002">
      <c r="Q1002" s="88"/>
      <c r="R1002" s="88"/>
      <c r="S1002" s="88"/>
      <c r="T1002" s="88"/>
      <c r="U1002" s="88"/>
      <c r="V1002" s="88"/>
      <c r="W1002" s="88"/>
      <c r="X1002" s="88"/>
      <c r="Y1002" s="88"/>
    </row>
    <row r="1003">
      <c r="Q1003" s="88"/>
      <c r="R1003" s="88"/>
      <c r="S1003" s="88"/>
      <c r="T1003" s="88"/>
      <c r="U1003" s="88"/>
      <c r="V1003" s="88"/>
      <c r="W1003" s="88"/>
      <c r="X1003" s="88"/>
      <c r="Y1003" s="88"/>
    </row>
    <row r="1004">
      <c r="Q1004" s="88"/>
      <c r="R1004" s="88"/>
      <c r="S1004" s="88"/>
      <c r="T1004" s="88"/>
      <c r="U1004" s="88"/>
      <c r="V1004" s="88"/>
      <c r="W1004" s="88"/>
      <c r="X1004" s="88"/>
      <c r="Y1004" s="88"/>
    </row>
    <row r="1005">
      <c r="Q1005" s="88"/>
      <c r="R1005" s="88"/>
      <c r="S1005" s="88"/>
      <c r="T1005" s="88"/>
      <c r="U1005" s="88"/>
      <c r="V1005" s="88"/>
      <c r="W1005" s="88"/>
      <c r="X1005" s="88"/>
      <c r="Y1005" s="88"/>
    </row>
    <row r="1006">
      <c r="Q1006" s="88"/>
      <c r="R1006" s="88"/>
      <c r="S1006" s="88"/>
      <c r="T1006" s="88"/>
      <c r="U1006" s="88"/>
      <c r="V1006" s="88"/>
      <c r="W1006" s="88"/>
      <c r="X1006" s="88"/>
      <c r="Y1006" s="88"/>
    </row>
    <row r="1007">
      <c r="Q1007" s="88"/>
      <c r="R1007" s="88"/>
      <c r="S1007" s="88"/>
      <c r="T1007" s="88"/>
      <c r="U1007" s="88"/>
      <c r="V1007" s="88"/>
      <c r="W1007" s="88"/>
      <c r="X1007" s="88"/>
      <c r="Y1007" s="88"/>
    </row>
    <row r="1008">
      <c r="Q1008" s="88"/>
      <c r="R1008" s="88"/>
      <c r="S1008" s="88"/>
      <c r="T1008" s="88"/>
      <c r="U1008" s="88"/>
      <c r="V1008" s="88"/>
      <c r="W1008" s="88"/>
      <c r="X1008" s="88"/>
      <c r="Y1008" s="88"/>
    </row>
    <row r="1009">
      <c r="Q1009" s="88"/>
      <c r="R1009" s="88"/>
      <c r="S1009" s="88"/>
      <c r="T1009" s="88"/>
      <c r="U1009" s="88"/>
      <c r="V1009" s="88"/>
      <c r="W1009" s="88"/>
      <c r="X1009" s="88"/>
      <c r="Y1009" s="88"/>
    </row>
    <row r="1010">
      <c r="Q1010" s="88"/>
      <c r="R1010" s="88"/>
      <c r="S1010" s="88"/>
      <c r="T1010" s="88"/>
      <c r="U1010" s="88"/>
      <c r="V1010" s="88"/>
      <c r="W1010" s="88"/>
      <c r="X1010" s="88"/>
      <c r="Y1010" s="88"/>
    </row>
    <row r="1011">
      <c r="Q1011" s="88"/>
      <c r="R1011" s="88"/>
      <c r="S1011" s="88"/>
      <c r="T1011" s="88"/>
      <c r="U1011" s="88"/>
      <c r="V1011" s="88"/>
      <c r="W1011" s="88"/>
      <c r="X1011" s="88"/>
      <c r="Y1011" s="88"/>
    </row>
    <row r="1012">
      <c r="Q1012" s="88"/>
      <c r="R1012" s="88"/>
      <c r="S1012" s="88"/>
      <c r="T1012" s="88"/>
      <c r="U1012" s="88"/>
      <c r="V1012" s="88"/>
      <c r="W1012" s="88"/>
      <c r="X1012" s="88"/>
      <c r="Y1012" s="88"/>
    </row>
    <row r="1013">
      <c r="Q1013" s="88"/>
      <c r="R1013" s="88"/>
      <c r="S1013" s="88"/>
      <c r="T1013" s="88"/>
      <c r="U1013" s="88"/>
      <c r="V1013" s="88"/>
      <c r="W1013" s="88"/>
      <c r="X1013" s="88"/>
      <c r="Y1013" s="88"/>
    </row>
    <row r="1014">
      <c r="Q1014" s="88"/>
      <c r="R1014" s="88"/>
      <c r="S1014" s="88"/>
      <c r="T1014" s="88"/>
      <c r="U1014" s="88"/>
      <c r="V1014" s="88"/>
      <c r="W1014" s="88"/>
      <c r="X1014" s="88"/>
      <c r="Y1014" s="88"/>
    </row>
    <row r="1015">
      <c r="Q1015" s="88"/>
      <c r="R1015" s="88"/>
      <c r="S1015" s="88"/>
      <c r="T1015" s="88"/>
      <c r="U1015" s="88"/>
      <c r="V1015" s="88"/>
      <c r="W1015" s="88"/>
      <c r="X1015" s="88"/>
      <c r="Y1015" s="88"/>
    </row>
  </sheetData>
  <mergeCells count="1">
    <mergeCell ref="A1:F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5" max="5" width="10.88"/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SUMIFS($G$13:$G957, $E$13:$E957, "Rachel", $H$13:$H957, 1)-SUMIFS($G$13:$G957, $E$13:$E957, "Timothy", $I$13:$I957, 1)</f>
        <v>-1.94047619</v>
      </c>
      <c r="J3" s="21">
        <f>SUMIFS($G$13:$G957, $E$13:$E957, "BL", $H$13:$H957, 1)-SUMIFS($G$13:$G957, $E$13:$E957, "Timothy", $J$13:$J957, 1)</f>
        <v>293.8018319</v>
      </c>
      <c r="K3" s="21">
        <f>SUMIFS($G$13:$G957, $E$13:$E957, "Pigskin", $H$13:$H957, 1)-SUMIFS($G$13:$G957, $E$13:$E957, "Timothy", $K$13:$K957, 1)</f>
        <v>82.86120667</v>
      </c>
      <c r="L3" s="21">
        <f>SUMIFS($G$13:$G957, $E$13:$E957, "Angel", $H$13:$H957, 1)-SUMIFS($G$13:$G957, $E$13:$E957, "Timothy", $L$13:$L957, 1)</f>
        <v>-6.024285714</v>
      </c>
      <c r="M3" s="21">
        <f>SUMIFS($G$13:$G957, $E$13:$E957, "Ivan", $H$13:$H957, 1)-SUMIFS($G$13:$G957, $E$13:$E957, "Timothy", $M$13:$M957, 1)</f>
        <v>-6.232857143</v>
      </c>
      <c r="N3" s="21">
        <f>SUMIFS($G$13:$G957, $E$13:$E957, "Esther", $H$13:$H957, 1)-SUMIFS($G$13:$G957, $E$13:$E957, "Timothy", $N$13:$N957, 1)</f>
        <v>-21.32057143</v>
      </c>
      <c r="O3" s="22">
        <f>SUMIFS($G$13:$G957, $E$13:$E957, "Ken9", $H$13:$H957, 1)-SUMIFS($G$13:$G957, $E$13:$E957, "Timothy", $O$13:$O957,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102">
        <f>SUMIFS($G$13:$G957, $E$13:$E957, "Timothy", $I$13:$I957, 1)-SUMIFS($G$13:$G957, $E$13:$E957, "Rachel", $H$13:$H957, 1)</f>
        <v>1.94047619</v>
      </c>
      <c r="I4" s="20"/>
      <c r="J4" s="102">
        <f>SUMIFS($G$13:$G957, $E$13:$E957, "BL", $I$13:$I957, 1)-SUMIFS($G$13:$G957, $E$13:$E957, "Rachel", $J$13:$J957, 1)</f>
        <v>310.4720747</v>
      </c>
      <c r="K4" s="102">
        <f>SUMIFS($G$13:$G957, $E$13:$E957, "Pigskin", $I$13:$I957, 1)-SUMIFS($G$13:$G957, $E$13:$E957, "Rachel", $K$13:$K957, 1)</f>
        <v>96.77188286</v>
      </c>
      <c r="L4" s="25">
        <f>SUMIFS($G$13:$G957, $E$13:$E957, "Angel", $I$13:$I957, 1)-SUMIFS($G$13:$G957, $E$13:$E957, "Rachel", $L$13:$L957, 1)</f>
        <v>-3.355714286</v>
      </c>
      <c r="M4" s="102">
        <f>SUMIFS($G$13:$G957, $E$13:$E957, "Ivan", $I$13:$I957, 1)-SUMIFS($G$13:$G957, $E$13:$E957, "Rachel", $M$13:$M957, 1)</f>
        <v>14.76161905</v>
      </c>
      <c r="N4" s="25">
        <f>SUMIFS($G$13:$G957, $E$13:$E957, "Esther", $I$13:$I957, 1)-SUMIFS($G$13:$G957, $E$13:$E957, "Rachel", $N$13:$N957, 1)</f>
        <v>-8.055880952</v>
      </c>
      <c r="O4" s="31">
        <f>SUMIFS($G$13:$G957, $E$13:$E957, "Ken9", $I$13:$I957, 1)-SUMIFS($G$13:$G957, $E$13:$E957, "Rachel", $O$13:$O957,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SUMIFS($G$13:$G957, $E$13:$E957, "Timothy", $J$13:$J957, 1)-SUMIFS($G$13:$G957, $E$13:$E957, "BL", $H$13:$H957, 1)</f>
        <v>-293.8018319</v>
      </c>
      <c r="I5" s="28">
        <f>SUMIFS($G$13:$G957, $E$13:$E957, "Rachel", $J$13:$J957, 1)-SUMIFS($G$13:$G957, $E$13:$E957, "BL", $I$13:$I957, 1)</f>
        <v>-310.4720747</v>
      </c>
      <c r="J5" s="20"/>
      <c r="K5" s="102">
        <f>SUMIFS($G$13:$G957, $E$13:$E957, "Pigskin", $J$13:$J957, 1)-SUMIFS($G$13:$G957, $E$13:$E957, "BL", $K$13:$K957, 1)</f>
        <v>-198.2474085</v>
      </c>
      <c r="L5" s="28">
        <f>SUMIFS($G$13:$G957, $E$13:$E957, "Angel", $J$13:$J957, 1)-SUMIFS($G$13:$G957, $E$13:$E957, "BL", $L$13:$L957, 1)</f>
        <v>-158.3362338</v>
      </c>
      <c r="M5" s="25">
        <f>SUMIFS($G$13:$G957, $E$13:$E957, "Ivan", $J$13:$J957, 1)-SUMIFS($G$13:$G957, $E$13:$E957, "BL", $M$13:$M957, 1)</f>
        <v>-244.649329</v>
      </c>
      <c r="N5" s="28">
        <f>SUMIFS($G$13:$G957, $E$13:$E957, "Esther", $J$13:$J957, 1)-SUMIFS($G$13:$G957, $E$13:$E957, "BL", $N$13:$N957, 1)</f>
        <v>-293.1941557</v>
      </c>
      <c r="O5" s="142">
        <f>SUMIFS($G$13:$G957, $E$13:$E957, "Ken9", $J$13:$J957, 1)-SUMIFS($G$13:$G957, $E$13:$E957, "BL", $O$13:$O957, 1)</f>
        <v>-104.6090909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SUMIFS($G$13:$G957, $E$13:$E957, "Timothy", $K$13:$K957, 1)-SUMIFS($G$13:$G957, $E$13:$E957, "Pigskin", $H$13:$H957, 1)</f>
        <v>-82.86120667</v>
      </c>
      <c r="I6" s="28">
        <f>SUMIFS($G$13:$G957, $E$13:$E957, "Rachel", $K$13:$K957, 1)-SUMIFS($G$13:$G957, $E$13:$E957, "Pigskin", $I$13:$I957, 1)</f>
        <v>-96.77188286</v>
      </c>
      <c r="J6" s="102">
        <f>SUMIFS($G$13:$G957, $E$13:$E957, "BL", $K$13:$K957, 1)-SUMIFS($G$13:$G957, $E$13:$E957, "Pigskin", $J$13:$J957, 1)</f>
        <v>198.2474085</v>
      </c>
      <c r="K6" s="20"/>
      <c r="L6" s="25">
        <f>SUMIFS($G$13:$G957, $E$13:$E957, "Angel", $K$13:$K957, 1)-SUMIFS($G$13:$G957, $E$13:$E957, "Pigskin", $L$13:$L957, 1)</f>
        <v>-25.93708333</v>
      </c>
      <c r="M6" s="28">
        <f>SUMIFS($G$13:$G957, $E$13:$E957, "Ivan", $K$13:$K957, 1)-SUMIFS($G$13:$G957, $E$13:$E957, "Pigskin", $M$13:$M957, 1)</f>
        <v>-19.06499048</v>
      </c>
      <c r="N6" s="28">
        <f>SUMIFS($G$13:$G957, $E$13:$E957, "Esther", $K$13:$K957, 1)-SUMIFS($G$13:$G957, $E$13:$E957, "Pigskin", $N$13:$N957, 1)</f>
        <v>-51.05273048</v>
      </c>
      <c r="O6" s="31">
        <f>SUMIFS($G$13:$G957, $E$13:$E957, "Ken9", $K$13:$K957, 1)-SUMIFS($G$13:$G957, $E$13:$E957, "Pigskin", $O$13:$O957,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5">
        <f>SUMIFS($G$13:$G957, $E$13:$E957, "Timothy", $L$13:$L957, 1)-SUMIFS($G$13:$G957, $E$13:$E957, "Angel", $H$13:$H957, 1)</f>
        <v>6.024285714</v>
      </c>
      <c r="I7" s="25">
        <f>SUMIFS($G$13:$G957, $E$13:$E957, "Rachel", $L$13:$L957, 1)-SUMIFS($G$13:$G957, $E$13:$E957, "Angel", $I$13:$I957, 1)</f>
        <v>3.355714286</v>
      </c>
      <c r="J7" s="25">
        <f>SUMIFS($G$13:$G957, $E$13:$E957, "BL", $L$13:$L957, 1)-SUMIFS($G$13:$G957, $E$13:$E957, "Angel", $J$13:$J957, 1)</f>
        <v>158.3362338</v>
      </c>
      <c r="K7" s="25">
        <f>SUMIFS($G$13:$G957, $E$13:$E957, "Pigskin", $L$13:$L957, 1)-SUMIFS($G$13:$G957, $E$13:$E957, "Angel", $K$13:$K957, 1)</f>
        <v>25.93708333</v>
      </c>
      <c r="L7" s="20"/>
      <c r="M7" s="25">
        <f>SUMIFS($G$13:$G957, $E$13:$E957, "Ivan", $L$13:$L957, 1)-SUMIFS($G$13:$G957, $E$13:$E957, "Angel", $M$13:$M957, 1)</f>
        <v>25</v>
      </c>
      <c r="N7" s="28">
        <f>SUMIFS($G$13:$G957, $E$13:$E957, "Esther", $L$13:$L957, 1)-SUMIFS($G$13:$G957, $E$13:$E957, "Angel", $N$13:$N957, 1)</f>
        <v>0</v>
      </c>
      <c r="O7" s="31">
        <f>SUMIFS($G$13:$G957, $E$13:$E957, "Ken9", $L$13:$L957, 1)-SUMIFS($G$13:$G957, $E$13:$E957, "Angel", $O$13:$O957,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5">
        <f>SUMIFS($G$13:$G957, $E$13:$E957, "Timothy", $M$13:$M957, 1)-SUMIFS($G$13:$G957, $E$13:$E957, "Ivan", $H$13:$H957, 1)</f>
        <v>6.232857143</v>
      </c>
      <c r="I8" s="28">
        <f>SUMIFS($G$13:$G957, $E$13:$E957, "Rachel", $M$13:$M957, 1)-SUMIFS($G$13:$G957, $E$13:$E957, "Ivan", $I$13:$I957, 1)</f>
        <v>-14.76161905</v>
      </c>
      <c r="J8" s="25">
        <f>SUMIFS($G$13:$G957, $E$13:$E957, "BL", $M$13:$M957, 1)-SUMIFS($G$13:$G957, $E$13:$E957, "Ivan", $J$13:$J957, 1)</f>
        <v>244.649329</v>
      </c>
      <c r="K8" s="25">
        <f>SUMIFS($G$13:$G957, $E$13:$E957, "Pigskin", $M$13:$M957, 1)-SUMIFS($G$13:$G957, $E$13:$E957, "Ivan", $K$13:$K957, 1)</f>
        <v>19.06499048</v>
      </c>
      <c r="L8" s="25">
        <f>SUMIFS($G$13:$G957, $E$13:$E957, "Angel", $M$13:$M957, 1)-SUMIFS($G$13:$G957, $E$13:$E957, "Ivan", $L$13:$L957, 1)</f>
        <v>-25</v>
      </c>
      <c r="M8" s="20"/>
      <c r="N8" s="28">
        <f>SUMIFS($G$13:$G957, $E$13:$E957, "Esther", $M$13:$M957, 1)-SUMIFS($G$13:$G957, $E$13:$E957, "Ivan", $N$13:$N957, 1)</f>
        <v>-25</v>
      </c>
      <c r="O8" s="31">
        <f>SUMIFS($G$13:$G957, $E$13:$E957, "Ken9", $M$13:$M957, 1)-SUMIFS($G$13:$G957, $E$13:$E957, "Ivan", $O$13:$O957,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SUMIFS($G$13:$G957, $E$13:$E957, "Timothy", $N$13:$N957, 1)-SUMIFS($G$13:$G957, $E$13:$E957, "Esther", $H$13:$H957, 1)</f>
        <v>21.32057143</v>
      </c>
      <c r="I9" s="25">
        <f>SUMIFS($G$13:$G957, $E$13:$E957, "Rachel", $N$13:$N957, 1)-SUMIFS($G$13:$G957, $E$13:$E957, "Esther", $I$13:$I957, 1)</f>
        <v>8.055880952</v>
      </c>
      <c r="J9" s="25">
        <f>SUMIFS($G$13:$G957, $E$13:$E957, "BL", $N$13:$N957, 1)-SUMIFS($G$13:$G957, $E$13:$E957, "Esther", $J$13:$J957, 1)</f>
        <v>293.1941557</v>
      </c>
      <c r="K9" s="25">
        <f>SUMIFS($G$13:$G957, $E$13:$E957, "Pigskin", $N$13:$N957, 1)-SUMIFS($G$13:$G957, $E$13:$E957, "Esther", $K$13:$K957, 1)</f>
        <v>51.05273048</v>
      </c>
      <c r="L9" s="25">
        <f>SUMIFS($G$13:$G957, $E$13:$E957, "Angel", $N$13:$N957, 1)-SUMIFS($G$13:$G957, $E$13:$E957, "Esther", $L$13:$L957, 1)</f>
        <v>0</v>
      </c>
      <c r="M9" s="25">
        <f>SUMIFS($G$13:$G957, $E$13:$E957, "Ivan", $N$13:$N957, 1)-SUMIFS($G$13:$G957, $E$13:$E957, "Esther", $M$13:$M957, 1)</f>
        <v>25</v>
      </c>
      <c r="N9" s="20"/>
      <c r="O9" s="31">
        <f>SUMIFS($G$13:$G957, $E$13:$E957, "Ken9", $N$13:$N957, 1)-SUMIFS($G$13:$G957, $E$13:$E957, "Esther", $O$13:$O957,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SUMIFS($G$13:$G957, $E$13:$E957, "Timothy", $O$13:$O957, 1)-SUMIFS($G$13:$G957, $E$13:$E957, "Ken9", $H$13:$H957, 1)</f>
        <v>0</v>
      </c>
      <c r="I10" s="40">
        <f>SUMIFS($G$13:$G957, $E$13:$E957, "Rachel", $O$13:$O957, 1)-SUMIFS($G$13:$G957, $E$13:$E957, "Ken9", $I$13:$I957, 1)</f>
        <v>0</v>
      </c>
      <c r="J10" s="143">
        <f>SUMIFS($G$13:$G957, $E$13:$E957, "BL", $O$13:$O957, 1)-SUMIFS($G$13:$G957, $E$13:$E957, "Ken9", $J$13:$J957, 1)</f>
        <v>104.6090909</v>
      </c>
      <c r="K10" s="40">
        <f>SUMIFS($G$13:$G957, $E$13:$E957, "Pigskin", $O$13:$O957, 1)-SUMIFS($G$13:$G957, $E$13:$E957, "Ken9", $K$13:$K957, 1)</f>
        <v>0</v>
      </c>
      <c r="L10" s="40">
        <f>SUMIFS($G$13:$G957, $E$13:$E957, "Angel", $O$13:$O957, 1)-SUMIFS($G$13:$G957, $E$13:$E957, "Ken9", $L$13:$L957, 1)</f>
        <v>0</v>
      </c>
      <c r="M10" s="40">
        <f>SUMIFS($G$13:$G957, $E$13:$E957, "Ivan", $O$13:$O957, 1)-SUMIFS($G$13:$G957, $E$13:$E957, "Ken9", $M$13:$M957, 1)</f>
        <v>0</v>
      </c>
      <c r="N10" s="40">
        <f>SUMIFS($G$13:$G957, $E$13:$E957, "Esther", $O$13:$O957, 1)-SUMIFS($G$13:$G957, $E$13:$E957, "Ken9", $N$13:$N957,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2" t="s">
        <v>392</v>
      </c>
      <c r="Q12" s="144" t="s">
        <v>393</v>
      </c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61">
        <v>45353.0</v>
      </c>
      <c r="B13" s="51" t="s">
        <v>394</v>
      </c>
      <c r="C13" s="51" t="s">
        <v>11</v>
      </c>
      <c r="D13" s="63">
        <f>92.82-14.99</f>
        <v>77.83</v>
      </c>
      <c r="E13" s="51" t="s">
        <v>14</v>
      </c>
      <c r="F13" s="67">
        <f t="shared" ref="F13:F27" si="1">D13/sum(H13:Q13)</f>
        <v>12.97166667</v>
      </c>
      <c r="G13" s="10">
        <f t="shared" ref="G13:G27" si="2">D13/sum(H13:Q13)</f>
        <v>12.97166667</v>
      </c>
      <c r="H13" s="52">
        <v>1.0</v>
      </c>
      <c r="I13" s="52">
        <v>1.0</v>
      </c>
      <c r="J13" s="52">
        <v>1.0</v>
      </c>
      <c r="K13" s="52">
        <v>1.0</v>
      </c>
      <c r="L13" s="54">
        <v>1.0</v>
      </c>
      <c r="M13" s="53"/>
      <c r="N13" s="52">
        <v>1.0</v>
      </c>
      <c r="Q13" s="145"/>
      <c r="Z13" s="10"/>
      <c r="AA13" s="10"/>
    </row>
    <row r="14">
      <c r="A14" s="61">
        <v>45353.0</v>
      </c>
      <c r="B14" s="51" t="s">
        <v>395</v>
      </c>
      <c r="C14" s="51" t="s">
        <v>31</v>
      </c>
      <c r="D14" s="63">
        <v>14.99</v>
      </c>
      <c r="E14" s="51" t="s">
        <v>14</v>
      </c>
      <c r="F14" s="67">
        <f t="shared" si="1"/>
        <v>2.998</v>
      </c>
      <c r="G14" s="10">
        <f t="shared" si="2"/>
        <v>2.998</v>
      </c>
      <c r="H14" s="52">
        <v>1.0</v>
      </c>
      <c r="I14" s="54">
        <v>1.0</v>
      </c>
      <c r="J14" s="54">
        <v>1.0</v>
      </c>
      <c r="K14" s="54">
        <v>1.0</v>
      </c>
      <c r="L14" s="53"/>
      <c r="M14" s="53"/>
      <c r="N14" s="54">
        <v>1.0</v>
      </c>
      <c r="P14" s="1"/>
      <c r="Q14" s="145"/>
      <c r="Z14" s="10"/>
      <c r="AA14" s="10"/>
    </row>
    <row r="15">
      <c r="A15" s="61">
        <v>45378.0</v>
      </c>
      <c r="B15" s="51" t="s">
        <v>396</v>
      </c>
      <c r="C15" s="51" t="s">
        <v>11</v>
      </c>
      <c r="D15" s="63">
        <v>5.98</v>
      </c>
      <c r="E15" s="51" t="s">
        <v>13</v>
      </c>
      <c r="F15" s="67">
        <f t="shared" si="1"/>
        <v>1.196</v>
      </c>
      <c r="G15" s="10">
        <f t="shared" si="2"/>
        <v>1.196</v>
      </c>
      <c r="H15" s="52">
        <v>1.0</v>
      </c>
      <c r="I15" s="52">
        <v>1.0</v>
      </c>
      <c r="J15" s="52">
        <v>1.0</v>
      </c>
      <c r="K15" s="52">
        <v>1.0</v>
      </c>
      <c r="L15" s="53"/>
      <c r="M15" s="54">
        <v>1.0</v>
      </c>
      <c r="N15" s="52"/>
      <c r="Q15" s="145"/>
      <c r="Z15" s="10"/>
      <c r="AA15" s="10"/>
    </row>
    <row r="16">
      <c r="A16" s="61">
        <v>45378.0</v>
      </c>
      <c r="B16" s="51" t="s">
        <v>46</v>
      </c>
      <c r="C16" s="51" t="s">
        <v>11</v>
      </c>
      <c r="D16" s="51">
        <f>5.88+3.99</f>
        <v>9.87</v>
      </c>
      <c r="E16" s="51" t="s">
        <v>13</v>
      </c>
      <c r="F16" s="67">
        <f t="shared" si="1"/>
        <v>1.974</v>
      </c>
      <c r="G16" s="10">
        <f t="shared" si="2"/>
        <v>1.974</v>
      </c>
      <c r="H16" s="52">
        <v>1.0</v>
      </c>
      <c r="I16" s="52">
        <v>1.0</v>
      </c>
      <c r="J16" s="52">
        <v>1.0</v>
      </c>
      <c r="K16" s="52">
        <v>1.0</v>
      </c>
      <c r="L16" s="53"/>
      <c r="M16" s="53"/>
      <c r="N16" s="52">
        <v>1.0</v>
      </c>
      <c r="Q16" s="145"/>
      <c r="Z16" s="10"/>
      <c r="AA16" s="10"/>
    </row>
    <row r="17">
      <c r="A17" s="61">
        <v>45381.0</v>
      </c>
      <c r="B17" s="12" t="s">
        <v>397</v>
      </c>
      <c r="C17" s="12" t="s">
        <v>11</v>
      </c>
      <c r="D17" s="51">
        <v>16.09</v>
      </c>
      <c r="E17" s="51" t="s">
        <v>13</v>
      </c>
      <c r="F17" s="67">
        <f t="shared" si="1"/>
        <v>2.298571429</v>
      </c>
      <c r="G17" s="10">
        <f t="shared" si="2"/>
        <v>2.298571429</v>
      </c>
      <c r="H17" s="1">
        <v>1.0</v>
      </c>
      <c r="I17" s="1">
        <v>1.0</v>
      </c>
      <c r="J17" s="1">
        <v>1.0</v>
      </c>
      <c r="K17" s="1">
        <v>1.0</v>
      </c>
      <c r="L17" s="1">
        <v>1.0</v>
      </c>
      <c r="M17" s="1">
        <v>1.0</v>
      </c>
      <c r="N17" s="1">
        <v>1.0</v>
      </c>
      <c r="Z17" s="10"/>
      <c r="AA17" s="10"/>
    </row>
    <row r="18">
      <c r="A18" s="59">
        <v>45382.0</v>
      </c>
      <c r="B18" s="12" t="s">
        <v>190</v>
      </c>
      <c r="C18" s="12" t="s">
        <v>11</v>
      </c>
      <c r="D18" s="12">
        <v>65.0</v>
      </c>
      <c r="E18" s="12" t="s">
        <v>14</v>
      </c>
      <c r="F18" s="67">
        <f t="shared" si="1"/>
        <v>16.25</v>
      </c>
      <c r="G18" s="10">
        <f t="shared" si="2"/>
        <v>16.25</v>
      </c>
      <c r="H18" s="1">
        <v>1.0</v>
      </c>
      <c r="I18" s="1">
        <v>1.0</v>
      </c>
      <c r="J18" s="1">
        <v>1.0</v>
      </c>
      <c r="K18" s="1">
        <v>1.0</v>
      </c>
      <c r="Q18" s="18"/>
      <c r="R18" s="18"/>
      <c r="S18" s="18"/>
      <c r="Z18" s="10"/>
      <c r="AA18" s="10"/>
    </row>
    <row r="19">
      <c r="A19" s="61">
        <v>45383.0</v>
      </c>
      <c r="B19" s="12" t="s">
        <v>46</v>
      </c>
      <c r="C19" s="12" t="s">
        <v>11</v>
      </c>
      <c r="D19" s="12">
        <v>18.01</v>
      </c>
      <c r="E19" s="12" t="s">
        <v>13</v>
      </c>
      <c r="F19" s="67">
        <f t="shared" si="1"/>
        <v>3.602</v>
      </c>
      <c r="G19" s="10">
        <f t="shared" si="2"/>
        <v>3.602</v>
      </c>
      <c r="H19" s="1">
        <v>1.0</v>
      </c>
      <c r="I19" s="1">
        <v>1.0</v>
      </c>
      <c r="J19" s="1">
        <v>1.0</v>
      </c>
      <c r="K19" s="1">
        <v>1.0</v>
      </c>
      <c r="L19" s="1"/>
      <c r="M19" s="1"/>
      <c r="N19" s="1">
        <v>1.0</v>
      </c>
      <c r="P19" s="1"/>
      <c r="Q19" s="1"/>
      <c r="Z19" s="10"/>
      <c r="AA19" s="10"/>
    </row>
    <row r="20">
      <c r="A20" s="59">
        <v>45383.0</v>
      </c>
      <c r="B20" s="12" t="s">
        <v>398</v>
      </c>
      <c r="C20" s="12" t="s">
        <v>33</v>
      </c>
      <c r="D20" s="12">
        <v>20.33</v>
      </c>
      <c r="E20" s="12" t="s">
        <v>13</v>
      </c>
      <c r="F20" s="67">
        <f t="shared" si="1"/>
        <v>20.33</v>
      </c>
      <c r="G20" s="10">
        <f t="shared" si="2"/>
        <v>20.33</v>
      </c>
      <c r="N20" s="1">
        <v>1.0</v>
      </c>
      <c r="Z20" s="10"/>
      <c r="AA20" s="10"/>
    </row>
    <row r="21">
      <c r="A21" s="59">
        <v>45383.0</v>
      </c>
      <c r="B21" s="12" t="s">
        <v>399</v>
      </c>
      <c r="C21" s="12" t="s">
        <v>29</v>
      </c>
      <c r="D21" s="12">
        <v>18.2</v>
      </c>
      <c r="E21" s="12" t="s">
        <v>400</v>
      </c>
      <c r="F21" s="67">
        <f t="shared" si="1"/>
        <v>9.1</v>
      </c>
      <c r="G21" s="10">
        <f t="shared" si="2"/>
        <v>9.1</v>
      </c>
      <c r="J21" s="1">
        <v>1.0</v>
      </c>
      <c r="N21" s="1">
        <v>1.0</v>
      </c>
      <c r="Z21" s="10"/>
      <c r="AA21" s="10"/>
    </row>
    <row r="22">
      <c r="A22" s="55">
        <v>45383.0</v>
      </c>
      <c r="B22" s="12" t="s">
        <v>53</v>
      </c>
      <c r="C22" s="12" t="s">
        <v>29</v>
      </c>
      <c r="D22" s="12">
        <v>15.77</v>
      </c>
      <c r="E22" s="12" t="s">
        <v>13</v>
      </c>
      <c r="F22" s="67">
        <f t="shared" si="1"/>
        <v>7.885</v>
      </c>
      <c r="G22" s="10">
        <f t="shared" si="2"/>
        <v>7.885</v>
      </c>
      <c r="J22" s="1">
        <v>1.0</v>
      </c>
      <c r="N22" s="1">
        <v>1.0</v>
      </c>
      <c r="P22" s="1" t="s">
        <v>392</v>
      </c>
      <c r="Q22" s="1" t="s">
        <v>401</v>
      </c>
      <c r="R22" s="18"/>
      <c r="S22" s="18"/>
      <c r="Z22" s="10"/>
      <c r="AA22" s="10"/>
    </row>
    <row r="23">
      <c r="A23" s="61">
        <v>45384.0</v>
      </c>
      <c r="B23" s="12" t="s">
        <v>402</v>
      </c>
      <c r="C23" s="12" t="s">
        <v>23</v>
      </c>
      <c r="D23" s="12">
        <v>30.24</v>
      </c>
      <c r="E23" s="51" t="s">
        <v>14</v>
      </c>
      <c r="F23" s="67">
        <f t="shared" si="1"/>
        <v>6.048</v>
      </c>
      <c r="G23" s="10">
        <f t="shared" si="2"/>
        <v>6.048</v>
      </c>
      <c r="H23" s="52">
        <v>1.0</v>
      </c>
      <c r="I23" s="52">
        <v>1.0</v>
      </c>
      <c r="J23" s="52">
        <v>1.0</v>
      </c>
      <c r="K23" s="52">
        <v>1.0</v>
      </c>
      <c r="L23" s="53"/>
      <c r="M23" s="54"/>
      <c r="N23" s="52">
        <v>1.0</v>
      </c>
      <c r="Z23" s="10"/>
      <c r="AA23" s="10"/>
    </row>
    <row r="24">
      <c r="A24" s="55">
        <v>45384.0</v>
      </c>
      <c r="B24" s="12" t="s">
        <v>53</v>
      </c>
      <c r="C24" s="12" t="s">
        <v>29</v>
      </c>
      <c r="D24" s="12">
        <v>10.98</v>
      </c>
      <c r="E24" s="12" t="s">
        <v>14</v>
      </c>
      <c r="F24" s="67">
        <f t="shared" si="1"/>
        <v>3.66</v>
      </c>
      <c r="G24" s="10">
        <f t="shared" si="2"/>
        <v>3.66</v>
      </c>
      <c r="I24" s="1">
        <v>1.0</v>
      </c>
      <c r="K24" s="1">
        <v>1.0</v>
      </c>
      <c r="N24" s="1">
        <v>1.0</v>
      </c>
      <c r="Z24" s="10"/>
      <c r="AA24" s="10"/>
    </row>
    <row r="25">
      <c r="A25" s="59">
        <v>45384.0</v>
      </c>
      <c r="B25" s="12" t="s">
        <v>403</v>
      </c>
      <c r="C25" s="12" t="s">
        <v>11</v>
      </c>
      <c r="D25" s="12">
        <v>360.0</v>
      </c>
      <c r="E25" s="12" t="s">
        <v>13</v>
      </c>
      <c r="F25" s="67">
        <f t="shared" si="1"/>
        <v>51.42857143</v>
      </c>
      <c r="G25" s="10">
        <f t="shared" si="2"/>
        <v>51.42857143</v>
      </c>
      <c r="H25" s="1">
        <v>1.0</v>
      </c>
      <c r="I25" s="1">
        <v>1.0</v>
      </c>
      <c r="J25" s="1">
        <v>1.0</v>
      </c>
      <c r="K25" s="1">
        <v>1.0</v>
      </c>
      <c r="L25" s="1">
        <v>1.0</v>
      </c>
      <c r="M25" s="1">
        <v>1.0</v>
      </c>
      <c r="N25" s="1">
        <v>1.0</v>
      </c>
      <c r="R25" s="1" t="s">
        <v>404</v>
      </c>
      <c r="Z25" s="10"/>
      <c r="AA25" s="10"/>
    </row>
    <row r="26">
      <c r="A26" s="61">
        <v>45386.0</v>
      </c>
      <c r="B26" s="51" t="s">
        <v>405</v>
      </c>
      <c r="C26" s="51" t="s">
        <v>11</v>
      </c>
      <c r="D26" s="63">
        <v>23.24</v>
      </c>
      <c r="E26" s="51" t="s">
        <v>14</v>
      </c>
      <c r="F26" s="67">
        <f t="shared" si="1"/>
        <v>7.746666667</v>
      </c>
      <c r="G26" s="10">
        <f t="shared" si="2"/>
        <v>7.746666667</v>
      </c>
      <c r="H26" s="52">
        <v>1.0</v>
      </c>
      <c r="I26" s="52">
        <v>1.0</v>
      </c>
      <c r="J26" s="52"/>
      <c r="K26" s="52">
        <v>1.0</v>
      </c>
      <c r="L26" s="53"/>
      <c r="M26" s="53"/>
      <c r="N26" s="52"/>
      <c r="Z26" s="10"/>
      <c r="AA26" s="10"/>
    </row>
    <row r="27">
      <c r="A27" s="146">
        <v>45386.0</v>
      </c>
      <c r="B27" s="47" t="s">
        <v>406</v>
      </c>
      <c r="C27" s="47" t="s">
        <v>11</v>
      </c>
      <c r="D27" s="47">
        <v>164.94</v>
      </c>
      <c r="E27" s="47" t="s">
        <v>13</v>
      </c>
      <c r="F27" s="147">
        <f t="shared" si="1"/>
        <v>41.235</v>
      </c>
      <c r="G27" s="148">
        <f t="shared" si="2"/>
        <v>41.235</v>
      </c>
      <c r="H27" s="149"/>
      <c r="I27" s="149"/>
      <c r="J27" s="150">
        <v>1.0</v>
      </c>
      <c r="K27" s="149"/>
      <c r="L27" s="149"/>
      <c r="M27" s="150">
        <v>1.0</v>
      </c>
      <c r="N27" s="149"/>
      <c r="O27" s="149"/>
      <c r="P27" s="150">
        <v>1.0</v>
      </c>
      <c r="Q27" s="150">
        <v>1.0</v>
      </c>
      <c r="R27" s="151"/>
      <c r="S27" s="151"/>
      <c r="T27" s="149"/>
      <c r="U27" s="149"/>
      <c r="V27" s="149"/>
      <c r="W27" s="149"/>
      <c r="X27" s="149"/>
      <c r="Y27" s="149"/>
      <c r="Z27" s="147"/>
      <c r="AA27" s="147"/>
    </row>
    <row r="28">
      <c r="A28" s="152">
        <v>45387.0</v>
      </c>
      <c r="B28" s="47" t="s">
        <v>407</v>
      </c>
      <c r="C28" s="47" t="s">
        <v>11</v>
      </c>
      <c r="D28" s="47">
        <v>1150.7</v>
      </c>
      <c r="E28" s="47" t="s">
        <v>13</v>
      </c>
      <c r="F28" s="147">
        <f>D28/sum(H28:R28)</f>
        <v>104.6090909</v>
      </c>
      <c r="G28" s="148">
        <f>D28/sum(H28:R28)</f>
        <v>104.6090909</v>
      </c>
      <c r="H28" s="150">
        <v>1.0</v>
      </c>
      <c r="I28" s="150">
        <v>1.0</v>
      </c>
      <c r="J28" s="150">
        <v>1.0</v>
      </c>
      <c r="K28" s="150">
        <v>1.0</v>
      </c>
      <c r="L28" s="150">
        <v>1.0</v>
      </c>
      <c r="M28" s="150">
        <v>1.0</v>
      </c>
      <c r="N28" s="150">
        <v>1.0</v>
      </c>
      <c r="O28" s="150">
        <v>1.0</v>
      </c>
      <c r="P28" s="150">
        <v>1.0</v>
      </c>
      <c r="Q28" s="150">
        <v>1.0</v>
      </c>
      <c r="R28" s="150">
        <v>1.0</v>
      </c>
      <c r="S28" s="149"/>
      <c r="T28" s="149"/>
      <c r="U28" s="149"/>
      <c r="V28" s="149"/>
      <c r="W28" s="149"/>
      <c r="X28" s="149"/>
      <c r="Y28" s="149"/>
      <c r="Z28" s="147"/>
      <c r="AA28" s="147"/>
    </row>
    <row r="29">
      <c r="A29" s="61">
        <v>45388.0</v>
      </c>
      <c r="B29" s="51" t="s">
        <v>399</v>
      </c>
      <c r="C29" s="51" t="s">
        <v>29</v>
      </c>
      <c r="D29" s="51">
        <v>17.32</v>
      </c>
      <c r="E29" s="51" t="s">
        <v>2</v>
      </c>
      <c r="F29" s="67">
        <f t="shared" ref="F29:F102" si="3">D29/sum(H29:Q29)</f>
        <v>8.66</v>
      </c>
      <c r="G29" s="10">
        <f t="shared" ref="G29:G102" si="4">D29/sum(H29:Q29)</f>
        <v>8.66</v>
      </c>
      <c r="H29" s="52">
        <v>1.0</v>
      </c>
      <c r="I29" s="52"/>
      <c r="J29" s="52">
        <v>1.0</v>
      </c>
      <c r="K29" s="52"/>
      <c r="L29" s="53"/>
      <c r="M29" s="53"/>
      <c r="N29" s="52"/>
      <c r="Q29" s="145"/>
      <c r="Z29" s="10"/>
      <c r="AA29" s="10"/>
    </row>
    <row r="30">
      <c r="A30" s="61">
        <v>45388.0</v>
      </c>
      <c r="B30" s="51" t="s">
        <v>408</v>
      </c>
      <c r="C30" s="51" t="s">
        <v>11</v>
      </c>
      <c r="D30" s="153">
        <v>70.52</v>
      </c>
      <c r="E30" s="51" t="s">
        <v>2</v>
      </c>
      <c r="F30" s="67">
        <f t="shared" si="3"/>
        <v>10.07428571</v>
      </c>
      <c r="G30" s="148">
        <f t="shared" si="4"/>
        <v>10.07428571</v>
      </c>
      <c r="H30" s="52">
        <v>1.0</v>
      </c>
      <c r="I30" s="52">
        <v>1.0</v>
      </c>
      <c r="J30" s="52">
        <v>1.0</v>
      </c>
      <c r="K30" s="52">
        <v>1.0</v>
      </c>
      <c r="L30" s="53"/>
      <c r="M30" s="52">
        <v>1.0</v>
      </c>
      <c r="N30" s="52">
        <v>1.0</v>
      </c>
      <c r="P30" s="1">
        <v>1.0</v>
      </c>
      <c r="Q30" s="145"/>
      <c r="Z30" s="10"/>
      <c r="AA30" s="10"/>
    </row>
    <row r="31">
      <c r="A31" s="61">
        <v>45388.0</v>
      </c>
      <c r="B31" s="51" t="s">
        <v>353</v>
      </c>
      <c r="C31" s="51" t="s">
        <v>33</v>
      </c>
      <c r="D31" s="51">
        <v>4.52</v>
      </c>
      <c r="E31" s="51" t="s">
        <v>392</v>
      </c>
      <c r="F31" s="67">
        <f t="shared" si="3"/>
        <v>4.52</v>
      </c>
      <c r="G31" s="10">
        <f t="shared" si="4"/>
        <v>4.52</v>
      </c>
      <c r="H31" s="52">
        <v>1.0</v>
      </c>
      <c r="I31" s="53"/>
      <c r="J31" s="53"/>
      <c r="K31" s="53"/>
      <c r="L31" s="53"/>
      <c r="M31" s="53"/>
      <c r="N31" s="53"/>
      <c r="Z31" s="10"/>
      <c r="AA31" s="10"/>
    </row>
    <row r="32">
      <c r="A32" s="59">
        <v>45388.0</v>
      </c>
      <c r="B32" s="12" t="s">
        <v>409</v>
      </c>
      <c r="C32" s="51" t="s">
        <v>27</v>
      </c>
      <c r="D32" s="12">
        <v>130.96</v>
      </c>
      <c r="E32" s="12" t="s">
        <v>13</v>
      </c>
      <c r="F32" s="67">
        <f t="shared" si="3"/>
        <v>130.96</v>
      </c>
      <c r="G32" s="10">
        <f t="shared" si="4"/>
        <v>130.96</v>
      </c>
      <c r="J32" s="1">
        <v>1.0</v>
      </c>
      <c r="Z32" s="64"/>
      <c r="AA32" s="64"/>
    </row>
    <row r="33">
      <c r="A33" s="59">
        <v>45389.0</v>
      </c>
      <c r="B33" s="12" t="s">
        <v>410</v>
      </c>
      <c r="C33" s="12" t="s">
        <v>11</v>
      </c>
      <c r="D33" s="12">
        <v>42.92</v>
      </c>
      <c r="E33" s="12" t="s">
        <v>13</v>
      </c>
      <c r="F33" s="67">
        <f t="shared" si="3"/>
        <v>6.131428571</v>
      </c>
      <c r="G33" s="148">
        <f t="shared" si="4"/>
        <v>6.131428571</v>
      </c>
      <c r="H33" s="1">
        <v>1.0</v>
      </c>
      <c r="I33" s="1">
        <v>1.0</v>
      </c>
      <c r="J33" s="1">
        <v>1.0</v>
      </c>
      <c r="K33" s="1">
        <v>1.0</v>
      </c>
      <c r="M33" s="1">
        <v>1.0</v>
      </c>
      <c r="N33" s="1">
        <v>1.0</v>
      </c>
      <c r="P33" s="1">
        <v>1.0</v>
      </c>
      <c r="Z33" s="10"/>
      <c r="AA33" s="10"/>
    </row>
    <row r="34">
      <c r="A34" s="61">
        <v>45390.0</v>
      </c>
      <c r="B34" s="51" t="s">
        <v>411</v>
      </c>
      <c r="C34" s="51" t="s">
        <v>11</v>
      </c>
      <c r="D34" s="154">
        <v>42.17</v>
      </c>
      <c r="E34" s="51" t="s">
        <v>2</v>
      </c>
      <c r="F34" s="67">
        <f t="shared" si="3"/>
        <v>6.024285714</v>
      </c>
      <c r="G34" s="148">
        <f t="shared" si="4"/>
        <v>6.024285714</v>
      </c>
      <c r="H34" s="52">
        <v>1.0</v>
      </c>
      <c r="I34" s="52">
        <v>1.0</v>
      </c>
      <c r="J34" s="52">
        <v>1.0</v>
      </c>
      <c r="K34" s="52">
        <v>1.0</v>
      </c>
      <c r="L34" s="53"/>
      <c r="M34" s="54">
        <v>1.0</v>
      </c>
      <c r="N34" s="52">
        <v>1.0</v>
      </c>
      <c r="P34" s="1">
        <v>1.0</v>
      </c>
      <c r="Q34" s="145"/>
      <c r="Z34" s="10"/>
      <c r="AA34" s="10"/>
    </row>
    <row r="35">
      <c r="A35" s="61">
        <v>45390.0</v>
      </c>
      <c r="B35" s="51" t="s">
        <v>412</v>
      </c>
      <c r="C35" s="51" t="s">
        <v>11</v>
      </c>
      <c r="D35" s="51">
        <v>6.98</v>
      </c>
      <c r="E35" s="51" t="s">
        <v>14</v>
      </c>
      <c r="F35" s="67">
        <f t="shared" si="3"/>
        <v>0.9971428571</v>
      </c>
      <c r="G35" s="148">
        <f t="shared" si="4"/>
        <v>0.9971428571</v>
      </c>
      <c r="H35" s="52">
        <v>1.0</v>
      </c>
      <c r="I35" s="52">
        <v>1.0</v>
      </c>
      <c r="J35" s="52">
        <v>1.0</v>
      </c>
      <c r="K35" s="52">
        <v>1.0</v>
      </c>
      <c r="L35" s="54">
        <v>1.0</v>
      </c>
      <c r="M35" s="54">
        <v>1.0</v>
      </c>
      <c r="N35" s="52"/>
      <c r="P35" s="1">
        <v>1.0</v>
      </c>
      <c r="Z35" s="10"/>
      <c r="AA35" s="10"/>
    </row>
    <row r="36">
      <c r="A36" s="61">
        <v>45390.0</v>
      </c>
      <c r="B36" s="51" t="s">
        <v>412</v>
      </c>
      <c r="C36" s="51" t="s">
        <v>11</v>
      </c>
      <c r="D36" s="51">
        <v>42.17</v>
      </c>
      <c r="E36" s="51" t="s">
        <v>2</v>
      </c>
      <c r="F36" s="67">
        <f t="shared" si="3"/>
        <v>6.024285714</v>
      </c>
      <c r="G36" s="148">
        <f t="shared" si="4"/>
        <v>6.024285714</v>
      </c>
      <c r="H36" s="52">
        <v>1.0</v>
      </c>
      <c r="I36" s="52">
        <v>1.0</v>
      </c>
      <c r="J36" s="52">
        <v>1.0</v>
      </c>
      <c r="K36" s="52">
        <v>1.0</v>
      </c>
      <c r="L36" s="54">
        <v>1.0</v>
      </c>
      <c r="M36" s="54">
        <v>1.0</v>
      </c>
      <c r="N36" s="52"/>
      <c r="P36" s="1">
        <v>1.0</v>
      </c>
      <c r="Z36" s="10"/>
      <c r="AA36" s="10"/>
    </row>
    <row r="37">
      <c r="A37" s="61">
        <v>45390.0</v>
      </c>
      <c r="B37" s="51" t="s">
        <v>213</v>
      </c>
      <c r="C37" s="51" t="s">
        <v>11</v>
      </c>
      <c r="D37" s="51">
        <v>1.49</v>
      </c>
      <c r="E37" s="51" t="s">
        <v>14</v>
      </c>
      <c r="F37" s="67">
        <f t="shared" si="3"/>
        <v>0.298</v>
      </c>
      <c r="G37" s="10">
        <f t="shared" si="4"/>
        <v>0.298</v>
      </c>
      <c r="H37" s="52">
        <v>1.0</v>
      </c>
      <c r="I37" s="52">
        <v>1.0</v>
      </c>
      <c r="J37" s="52">
        <v>1.0</v>
      </c>
      <c r="K37" s="52">
        <v>1.0</v>
      </c>
      <c r="L37" s="53"/>
      <c r="M37" s="53"/>
      <c r="N37" s="52">
        <v>1.0</v>
      </c>
      <c r="Z37" s="10"/>
      <c r="AA37" s="10"/>
    </row>
    <row r="38">
      <c r="A38" s="59">
        <v>45390.0</v>
      </c>
      <c r="B38" s="12" t="s">
        <v>413</v>
      </c>
      <c r="C38" s="12" t="s">
        <v>11</v>
      </c>
      <c r="D38" s="12">
        <v>81.4</v>
      </c>
      <c r="E38" s="12" t="s">
        <v>13</v>
      </c>
      <c r="F38" s="67">
        <f t="shared" si="3"/>
        <v>20.35</v>
      </c>
      <c r="G38" s="148">
        <f t="shared" si="4"/>
        <v>20.35</v>
      </c>
      <c r="H38" s="1">
        <v>1.0</v>
      </c>
      <c r="J38" s="1">
        <v>1.0</v>
      </c>
      <c r="M38" s="1">
        <v>1.0</v>
      </c>
      <c r="P38" s="1">
        <v>1.0</v>
      </c>
      <c r="Z38" s="10"/>
      <c r="AA38" s="10"/>
    </row>
    <row r="39">
      <c r="A39" s="155">
        <v>45391.0</v>
      </c>
      <c r="B39" s="156" t="s">
        <v>414</v>
      </c>
      <c r="C39" s="156" t="s">
        <v>11</v>
      </c>
      <c r="D39" s="154">
        <v>54.66</v>
      </c>
      <c r="E39" s="156" t="s">
        <v>2</v>
      </c>
      <c r="F39" s="147">
        <f t="shared" si="3"/>
        <v>9.11</v>
      </c>
      <c r="G39" s="148">
        <f t="shared" si="4"/>
        <v>9.11</v>
      </c>
      <c r="H39" s="157">
        <v>1.0</v>
      </c>
      <c r="I39" s="157"/>
      <c r="J39" s="157">
        <v>1.0</v>
      </c>
      <c r="K39" s="157">
        <v>1.0</v>
      </c>
      <c r="L39" s="158"/>
      <c r="M39" s="157">
        <v>1.0</v>
      </c>
      <c r="N39" s="157"/>
      <c r="O39" s="149"/>
      <c r="P39" s="150">
        <v>1.0</v>
      </c>
      <c r="Q39" s="159">
        <v>1.0</v>
      </c>
      <c r="R39" s="149"/>
      <c r="S39" s="149"/>
      <c r="T39" s="149"/>
      <c r="U39" s="149"/>
      <c r="V39" s="149"/>
      <c r="W39" s="149"/>
      <c r="X39" s="149"/>
      <c r="Y39" s="149"/>
      <c r="Z39" s="147"/>
      <c r="AA39" s="147"/>
    </row>
    <row r="40">
      <c r="A40" s="155">
        <v>45391.0</v>
      </c>
      <c r="B40" s="156" t="s">
        <v>415</v>
      </c>
      <c r="C40" s="156" t="s">
        <v>11</v>
      </c>
      <c r="D40" s="153">
        <v>74.31</v>
      </c>
      <c r="E40" s="156" t="s">
        <v>13</v>
      </c>
      <c r="F40" s="147">
        <f t="shared" si="3"/>
        <v>12.385</v>
      </c>
      <c r="G40" s="148">
        <f t="shared" si="4"/>
        <v>12.385</v>
      </c>
      <c r="H40" s="160">
        <v>1.0</v>
      </c>
      <c r="I40" s="160"/>
      <c r="J40" s="160">
        <v>1.0</v>
      </c>
      <c r="K40" s="160">
        <v>1.0</v>
      </c>
      <c r="L40" s="161"/>
      <c r="M40" s="157">
        <v>1.0</v>
      </c>
      <c r="N40" s="160"/>
      <c r="O40" s="149"/>
      <c r="P40" s="150">
        <v>1.0</v>
      </c>
      <c r="Q40" s="159">
        <v>1.0</v>
      </c>
      <c r="R40" s="149"/>
      <c r="S40" s="149"/>
      <c r="T40" s="149"/>
      <c r="U40" s="149"/>
      <c r="V40" s="149"/>
      <c r="W40" s="149"/>
      <c r="X40" s="149"/>
      <c r="Y40" s="149"/>
      <c r="Z40" s="147"/>
      <c r="AA40" s="147"/>
    </row>
    <row r="41">
      <c r="A41" s="59">
        <v>45392.0</v>
      </c>
      <c r="B41" s="12" t="s">
        <v>416</v>
      </c>
      <c r="C41" s="12" t="s">
        <v>27</v>
      </c>
      <c r="D41" s="12">
        <v>20.0</v>
      </c>
      <c r="E41" s="12" t="s">
        <v>13</v>
      </c>
      <c r="F41" s="67">
        <f t="shared" si="3"/>
        <v>5</v>
      </c>
      <c r="G41" s="148">
        <f t="shared" si="4"/>
        <v>5</v>
      </c>
      <c r="H41" s="1">
        <v>1.0</v>
      </c>
      <c r="J41" s="1">
        <v>1.0</v>
      </c>
      <c r="M41" s="1">
        <v>1.0</v>
      </c>
      <c r="P41" s="1">
        <v>1.0</v>
      </c>
      <c r="Z41" s="10"/>
      <c r="AA41" s="10"/>
    </row>
    <row r="42">
      <c r="A42" s="61">
        <v>45393.0</v>
      </c>
      <c r="B42" s="51" t="s">
        <v>417</v>
      </c>
      <c r="C42" s="51" t="s">
        <v>11</v>
      </c>
      <c r="D42" s="51">
        <v>11.47</v>
      </c>
      <c r="E42" s="51" t="s">
        <v>13</v>
      </c>
      <c r="F42" s="67">
        <f t="shared" si="3"/>
        <v>1.911666667</v>
      </c>
      <c r="G42" s="10">
        <f t="shared" si="4"/>
        <v>1.911666667</v>
      </c>
      <c r="H42" s="52">
        <v>1.0</v>
      </c>
      <c r="I42" s="52">
        <v>1.0</v>
      </c>
      <c r="J42" s="52">
        <v>1.0</v>
      </c>
      <c r="K42" s="52">
        <v>1.0</v>
      </c>
      <c r="L42" s="53"/>
      <c r="M42" s="54">
        <v>1.0</v>
      </c>
      <c r="N42" s="52">
        <v>1.0</v>
      </c>
      <c r="Z42" s="10"/>
      <c r="AA42" s="10"/>
    </row>
    <row r="43">
      <c r="A43" s="61">
        <v>45394.0</v>
      </c>
      <c r="B43" s="51" t="s">
        <v>418</v>
      </c>
      <c r="C43" s="51" t="s">
        <v>11</v>
      </c>
      <c r="D43" s="51">
        <v>36.19</v>
      </c>
      <c r="E43" s="51" t="s">
        <v>14</v>
      </c>
      <c r="F43" s="67">
        <f t="shared" si="3"/>
        <v>4.52375</v>
      </c>
      <c r="G43" s="148">
        <f t="shared" si="4"/>
        <v>4.52375</v>
      </c>
      <c r="H43" s="52">
        <v>1.0</v>
      </c>
      <c r="I43" s="52">
        <v>1.0</v>
      </c>
      <c r="J43" s="52">
        <v>1.0</v>
      </c>
      <c r="K43" s="52">
        <v>1.0</v>
      </c>
      <c r="L43" s="54">
        <v>1.0</v>
      </c>
      <c r="M43" s="54">
        <v>1.0</v>
      </c>
      <c r="N43" s="52">
        <v>1.0</v>
      </c>
      <c r="P43" s="1">
        <v>1.0</v>
      </c>
      <c r="Z43" s="10"/>
      <c r="AA43" s="10"/>
    </row>
    <row r="44">
      <c r="A44" s="61">
        <v>45394.0</v>
      </c>
      <c r="B44" s="51" t="s">
        <v>419</v>
      </c>
      <c r="C44" s="51" t="s">
        <v>11</v>
      </c>
      <c r="D44" s="51">
        <v>7.0</v>
      </c>
      <c r="E44" s="51"/>
      <c r="F44" s="67" t="str">
        <f t="shared" si="3"/>
        <v>#DIV/0!</v>
      </c>
      <c r="G44" s="10" t="str">
        <f t="shared" si="4"/>
        <v>#DIV/0!</v>
      </c>
      <c r="H44" s="66"/>
      <c r="I44" s="66"/>
      <c r="J44" s="52"/>
      <c r="K44" s="66"/>
      <c r="L44" s="53"/>
      <c r="M44" s="53"/>
      <c r="N44" s="66"/>
      <c r="Z44" s="10"/>
      <c r="AA44" s="10"/>
    </row>
    <row r="45">
      <c r="A45" s="61">
        <v>45395.0</v>
      </c>
      <c r="B45" s="51" t="s">
        <v>420</v>
      </c>
      <c r="C45" s="51" t="s">
        <v>11</v>
      </c>
      <c r="D45" s="63">
        <v>1.36</v>
      </c>
      <c r="E45" s="51" t="s">
        <v>4</v>
      </c>
      <c r="F45" s="67">
        <f t="shared" si="3"/>
        <v>0.2266666667</v>
      </c>
      <c r="G45" s="10">
        <f t="shared" si="4"/>
        <v>0.2266666667</v>
      </c>
      <c r="H45" s="52">
        <v>1.0</v>
      </c>
      <c r="I45" s="54">
        <v>1.0</v>
      </c>
      <c r="J45" s="54">
        <v>1.0</v>
      </c>
      <c r="K45" s="54">
        <v>1.0</v>
      </c>
      <c r="L45" s="53"/>
      <c r="M45" s="54">
        <v>1.0</v>
      </c>
      <c r="N45" s="54">
        <v>1.0</v>
      </c>
      <c r="Q45" s="145"/>
      <c r="Z45" s="10"/>
      <c r="AA45" s="10"/>
    </row>
    <row r="46">
      <c r="A46" s="61">
        <v>45395.0</v>
      </c>
      <c r="B46" s="51" t="s">
        <v>396</v>
      </c>
      <c r="C46" s="51" t="s">
        <v>11</v>
      </c>
      <c r="D46" s="51">
        <v>39.37</v>
      </c>
      <c r="E46" s="51" t="s">
        <v>14</v>
      </c>
      <c r="F46" s="67">
        <f t="shared" si="3"/>
        <v>6.561666667</v>
      </c>
      <c r="G46" s="10">
        <f t="shared" si="4"/>
        <v>6.561666667</v>
      </c>
      <c r="H46" s="52">
        <v>1.0</v>
      </c>
      <c r="I46" s="54">
        <v>1.0</v>
      </c>
      <c r="J46" s="54">
        <v>1.0</v>
      </c>
      <c r="K46" s="54">
        <v>1.0</v>
      </c>
      <c r="L46" s="53"/>
      <c r="M46" s="54">
        <v>1.0</v>
      </c>
      <c r="N46" s="54">
        <v>1.0</v>
      </c>
      <c r="Z46" s="10"/>
      <c r="AA46" s="10"/>
    </row>
    <row r="47">
      <c r="A47" s="61">
        <v>45396.0</v>
      </c>
      <c r="B47" s="51" t="s">
        <v>421</v>
      </c>
      <c r="C47" s="51" t="s">
        <v>11</v>
      </c>
      <c r="D47" s="63">
        <v>26.11</v>
      </c>
      <c r="E47" s="51" t="s">
        <v>2</v>
      </c>
      <c r="F47" s="67">
        <f t="shared" si="3"/>
        <v>5.222</v>
      </c>
      <c r="G47" s="10">
        <f t="shared" si="4"/>
        <v>5.222</v>
      </c>
      <c r="H47" s="52">
        <v>1.0</v>
      </c>
      <c r="I47" s="54">
        <v>1.0</v>
      </c>
      <c r="J47" s="52">
        <v>1.0</v>
      </c>
      <c r="K47" s="54">
        <v>1.0</v>
      </c>
      <c r="L47" s="53"/>
      <c r="M47" s="53"/>
      <c r="N47" s="54">
        <v>1.0</v>
      </c>
      <c r="Q47" s="145"/>
      <c r="Z47" s="10"/>
      <c r="AA47" s="10"/>
    </row>
    <row r="48">
      <c r="A48" s="61">
        <v>45397.0</v>
      </c>
      <c r="B48" s="51" t="s">
        <v>422</v>
      </c>
      <c r="C48" s="51" t="s">
        <v>11</v>
      </c>
      <c r="D48" s="51">
        <v>33.28</v>
      </c>
      <c r="E48" s="51" t="s">
        <v>4</v>
      </c>
      <c r="F48" s="67">
        <f t="shared" si="3"/>
        <v>6.656</v>
      </c>
      <c r="G48" s="10">
        <f t="shared" si="4"/>
        <v>6.656</v>
      </c>
      <c r="H48" s="52">
        <v>1.0</v>
      </c>
      <c r="I48" s="52">
        <v>1.0</v>
      </c>
      <c r="J48" s="52">
        <v>1.0</v>
      </c>
      <c r="K48" s="52">
        <v>1.0</v>
      </c>
      <c r="L48" s="54"/>
      <c r="M48" s="54">
        <v>1.0</v>
      </c>
      <c r="N48" s="52"/>
      <c r="Z48" s="10"/>
      <c r="AA48" s="10"/>
    </row>
    <row r="49">
      <c r="A49" s="61">
        <v>45398.0</v>
      </c>
      <c r="B49" s="51" t="s">
        <v>46</v>
      </c>
      <c r="C49" s="51" t="s">
        <v>11</v>
      </c>
      <c r="D49" s="51">
        <v>20.98</v>
      </c>
      <c r="E49" s="51" t="s">
        <v>14</v>
      </c>
      <c r="F49" s="67">
        <f t="shared" si="3"/>
        <v>5.245</v>
      </c>
      <c r="G49" s="10">
        <f t="shared" si="4"/>
        <v>5.245</v>
      </c>
      <c r="H49" s="52">
        <v>1.0</v>
      </c>
      <c r="I49" s="52">
        <v>1.0</v>
      </c>
      <c r="J49" s="52">
        <v>1.0</v>
      </c>
      <c r="K49" s="52">
        <v>1.0</v>
      </c>
      <c r="L49" s="53"/>
      <c r="M49" s="53"/>
      <c r="N49" s="52"/>
      <c r="P49" s="1"/>
      <c r="Z49" s="10"/>
      <c r="AA49" s="10"/>
    </row>
    <row r="50">
      <c r="A50" s="59">
        <v>45398.0</v>
      </c>
      <c r="B50" s="12" t="s">
        <v>423</v>
      </c>
      <c r="C50" s="12" t="s">
        <v>139</v>
      </c>
      <c r="D50" s="12">
        <f>19.99*1.13</f>
        <v>22.5887</v>
      </c>
      <c r="E50" s="12" t="s">
        <v>13</v>
      </c>
      <c r="F50" s="67">
        <f t="shared" si="3"/>
        <v>22.5887</v>
      </c>
      <c r="G50" s="10">
        <f t="shared" si="4"/>
        <v>22.5887</v>
      </c>
      <c r="I50" s="1">
        <v>1.0</v>
      </c>
      <c r="Z50" s="10"/>
      <c r="AA50" s="10"/>
    </row>
    <row r="51">
      <c r="A51" s="55">
        <v>45398.0</v>
      </c>
      <c r="B51" s="12" t="s">
        <v>424</v>
      </c>
      <c r="C51" s="12" t="s">
        <v>23</v>
      </c>
      <c r="D51" s="12">
        <f>34.95*1.13</f>
        <v>39.4935</v>
      </c>
      <c r="E51" s="12" t="s">
        <v>13</v>
      </c>
      <c r="F51" s="67">
        <f t="shared" si="3"/>
        <v>19.74675</v>
      </c>
      <c r="G51" s="10">
        <f t="shared" si="4"/>
        <v>19.74675</v>
      </c>
      <c r="H51" s="1">
        <v>1.0</v>
      </c>
      <c r="I51" s="1">
        <v>1.0</v>
      </c>
      <c r="Z51" s="10"/>
      <c r="AA51" s="10"/>
    </row>
    <row r="52">
      <c r="A52" s="55">
        <v>45398.0</v>
      </c>
      <c r="B52" s="12" t="s">
        <v>425</v>
      </c>
      <c r="C52" s="12" t="s">
        <v>23</v>
      </c>
      <c r="D52" s="12">
        <f>32.99*1.13</f>
        <v>37.2787</v>
      </c>
      <c r="E52" s="12" t="s">
        <v>13</v>
      </c>
      <c r="F52" s="67">
        <f t="shared" si="3"/>
        <v>18.63935</v>
      </c>
      <c r="G52" s="10">
        <f t="shared" si="4"/>
        <v>18.63935</v>
      </c>
      <c r="H52" s="1">
        <v>1.0</v>
      </c>
      <c r="I52" s="1">
        <v>1.0</v>
      </c>
      <c r="Z52" s="10"/>
      <c r="AA52" s="10"/>
    </row>
    <row r="53">
      <c r="A53" s="59">
        <v>45398.0</v>
      </c>
      <c r="B53" s="12" t="s">
        <v>280</v>
      </c>
      <c r="C53" s="12" t="s">
        <v>23</v>
      </c>
      <c r="D53" s="12">
        <v>48.12</v>
      </c>
      <c r="E53" s="12" t="s">
        <v>13</v>
      </c>
      <c r="F53" s="67">
        <f t="shared" si="3"/>
        <v>24.06</v>
      </c>
      <c r="G53" s="10">
        <f t="shared" si="4"/>
        <v>24.06</v>
      </c>
      <c r="J53" s="1">
        <v>1.0</v>
      </c>
      <c r="K53" s="1">
        <v>1.0</v>
      </c>
      <c r="Z53" s="10"/>
      <c r="AA53" s="10"/>
    </row>
    <row r="54">
      <c r="A54" s="61">
        <v>45399.0</v>
      </c>
      <c r="B54" s="51" t="s">
        <v>46</v>
      </c>
      <c r="C54" s="51" t="s">
        <v>11</v>
      </c>
      <c r="D54" s="51">
        <v>34.29</v>
      </c>
      <c r="E54" s="51" t="s">
        <v>14</v>
      </c>
      <c r="F54" s="67">
        <f t="shared" si="3"/>
        <v>8.5725</v>
      </c>
      <c r="G54" s="10">
        <f t="shared" si="4"/>
        <v>8.5725</v>
      </c>
      <c r="H54" s="52">
        <v>1.0</v>
      </c>
      <c r="I54" s="54">
        <v>1.0</v>
      </c>
      <c r="J54" s="52">
        <v>1.0</v>
      </c>
      <c r="K54" s="54">
        <v>1.0</v>
      </c>
      <c r="L54" s="53"/>
      <c r="M54" s="53"/>
      <c r="N54" s="54"/>
      <c r="Z54" s="10"/>
      <c r="AA54" s="10"/>
    </row>
    <row r="55">
      <c r="A55" s="61">
        <v>45400.0</v>
      </c>
      <c r="B55" s="51" t="s">
        <v>426</v>
      </c>
      <c r="C55" s="51" t="s">
        <v>11</v>
      </c>
      <c r="D55" s="63">
        <v>12.83</v>
      </c>
      <c r="E55" s="51" t="s">
        <v>4</v>
      </c>
      <c r="F55" s="67">
        <f t="shared" si="3"/>
        <v>2.566</v>
      </c>
      <c r="G55" s="10">
        <f t="shared" si="4"/>
        <v>2.566</v>
      </c>
      <c r="H55" s="52">
        <v>1.0</v>
      </c>
      <c r="I55" s="52">
        <v>1.0</v>
      </c>
      <c r="J55" s="52">
        <v>1.0</v>
      </c>
      <c r="K55" s="52">
        <v>1.0</v>
      </c>
      <c r="L55" s="53"/>
      <c r="M55" s="53"/>
      <c r="N55" s="52">
        <v>1.0</v>
      </c>
      <c r="Q55" s="145"/>
      <c r="Z55" s="10"/>
      <c r="AA55" s="10"/>
    </row>
    <row r="56">
      <c r="A56" s="61">
        <v>45400.0</v>
      </c>
      <c r="B56" s="51" t="s">
        <v>427</v>
      </c>
      <c r="C56" s="51" t="s">
        <v>11</v>
      </c>
      <c r="D56" s="51">
        <f>6.69*1.13+5.99</f>
        <v>13.5497</v>
      </c>
      <c r="E56" s="51" t="s">
        <v>14</v>
      </c>
      <c r="F56" s="67">
        <f t="shared" si="3"/>
        <v>6.77485</v>
      </c>
      <c r="G56" s="10">
        <f t="shared" si="4"/>
        <v>6.77485</v>
      </c>
      <c r="H56" s="52"/>
      <c r="I56" s="52"/>
      <c r="J56" s="52">
        <v>1.0</v>
      </c>
      <c r="K56" s="52">
        <v>1.0</v>
      </c>
      <c r="L56" s="53"/>
      <c r="M56" s="53"/>
      <c r="N56" s="52"/>
      <c r="Z56" s="10"/>
      <c r="AA56" s="10"/>
    </row>
    <row r="57">
      <c r="A57" s="61">
        <v>45400.0</v>
      </c>
      <c r="B57" s="51" t="s">
        <v>405</v>
      </c>
      <c r="C57" s="51" t="s">
        <v>11</v>
      </c>
      <c r="D57" s="51">
        <f>60.38-D56</f>
        <v>46.8303</v>
      </c>
      <c r="E57" s="51" t="s">
        <v>14</v>
      </c>
      <c r="F57" s="67">
        <f t="shared" si="3"/>
        <v>7.80505</v>
      </c>
      <c r="G57" s="10">
        <f t="shared" si="4"/>
        <v>7.80505</v>
      </c>
      <c r="H57" s="52">
        <v>1.0</v>
      </c>
      <c r="I57" s="52">
        <v>1.0</v>
      </c>
      <c r="J57" s="52">
        <v>1.0</v>
      </c>
      <c r="K57" s="52">
        <v>1.0</v>
      </c>
      <c r="L57" s="53"/>
      <c r="M57" s="54">
        <v>1.0</v>
      </c>
      <c r="N57" s="52">
        <v>1.0</v>
      </c>
      <c r="Z57" s="10"/>
      <c r="AA57" s="10"/>
    </row>
    <row r="58">
      <c r="A58" s="61">
        <v>45401.0</v>
      </c>
      <c r="B58" s="12" t="s">
        <v>428</v>
      </c>
      <c r="C58" s="12" t="s">
        <v>11</v>
      </c>
      <c r="D58" s="12">
        <v>9.99</v>
      </c>
      <c r="E58" s="12" t="s">
        <v>13</v>
      </c>
      <c r="F58" s="67">
        <f t="shared" si="3"/>
        <v>9.99</v>
      </c>
      <c r="G58" s="10">
        <f t="shared" si="4"/>
        <v>9.99</v>
      </c>
      <c r="H58" s="1"/>
      <c r="I58" s="1"/>
      <c r="J58" s="1">
        <v>1.0</v>
      </c>
      <c r="K58" s="1"/>
      <c r="L58" s="1"/>
      <c r="M58" s="1"/>
      <c r="N58" s="1"/>
      <c r="P58" s="1"/>
      <c r="Q58" s="1"/>
      <c r="Z58" s="10"/>
      <c r="AA58" s="10"/>
    </row>
    <row r="59">
      <c r="A59" s="59">
        <v>45402.0</v>
      </c>
      <c r="B59" s="12" t="s">
        <v>429</v>
      </c>
      <c r="C59" s="12" t="s">
        <v>11</v>
      </c>
      <c r="D59" s="12">
        <v>21.36</v>
      </c>
      <c r="E59" s="12" t="s">
        <v>7</v>
      </c>
      <c r="F59" s="67">
        <f t="shared" si="3"/>
        <v>7.12</v>
      </c>
      <c r="G59" s="10">
        <f t="shared" si="4"/>
        <v>7.12</v>
      </c>
      <c r="I59" s="1">
        <v>1.0</v>
      </c>
      <c r="K59" s="1">
        <v>1.0</v>
      </c>
      <c r="N59" s="1">
        <v>1.0</v>
      </c>
      <c r="Z59" s="10"/>
      <c r="AA59" s="10"/>
    </row>
    <row r="60">
      <c r="A60" s="59">
        <v>45402.0</v>
      </c>
      <c r="B60" s="12" t="s">
        <v>190</v>
      </c>
      <c r="C60" s="12" t="s">
        <v>11</v>
      </c>
      <c r="D60" s="12">
        <v>175.0</v>
      </c>
      <c r="E60" s="12" t="s">
        <v>8</v>
      </c>
      <c r="F60" s="67">
        <f t="shared" si="3"/>
        <v>25</v>
      </c>
      <c r="G60" s="10">
        <f t="shared" si="4"/>
        <v>25</v>
      </c>
      <c r="H60" s="1">
        <v>1.0</v>
      </c>
      <c r="I60" s="1">
        <v>1.0</v>
      </c>
      <c r="J60" s="1">
        <v>1.0</v>
      </c>
      <c r="K60" s="1">
        <v>1.0</v>
      </c>
      <c r="L60" s="1">
        <v>1.0</v>
      </c>
      <c r="M60" s="1">
        <v>1.0</v>
      </c>
      <c r="N60" s="1">
        <v>1.0</v>
      </c>
      <c r="Z60" s="10"/>
      <c r="AA60" s="10"/>
    </row>
    <row r="61">
      <c r="A61" s="59">
        <v>45403.0</v>
      </c>
      <c r="B61" s="12" t="s">
        <v>422</v>
      </c>
      <c r="C61" s="12" t="s">
        <v>11</v>
      </c>
      <c r="D61" s="12">
        <v>27.84</v>
      </c>
      <c r="E61" s="12" t="s">
        <v>4</v>
      </c>
      <c r="F61" s="67">
        <f t="shared" si="3"/>
        <v>6.96</v>
      </c>
      <c r="G61" s="10">
        <f t="shared" si="4"/>
        <v>6.96</v>
      </c>
      <c r="H61" s="1">
        <v>1.0</v>
      </c>
      <c r="I61" s="1">
        <v>1.0</v>
      </c>
      <c r="J61" s="1">
        <v>1.0</v>
      </c>
      <c r="K61" s="1">
        <v>1.0</v>
      </c>
      <c r="Q61" s="18"/>
      <c r="R61" s="18"/>
      <c r="S61" s="18"/>
      <c r="T61" s="18"/>
      <c r="U61" s="18"/>
      <c r="V61" s="18"/>
      <c r="W61" s="18"/>
      <c r="Z61" s="10"/>
      <c r="AA61" s="10"/>
    </row>
    <row r="62">
      <c r="A62" s="55">
        <v>45404.0</v>
      </c>
      <c r="B62" s="12" t="s">
        <v>402</v>
      </c>
      <c r="C62" s="12" t="s">
        <v>23</v>
      </c>
      <c r="D62" s="12">
        <f>5.99*1.13</f>
        <v>6.7687</v>
      </c>
      <c r="E62" s="12" t="s">
        <v>14</v>
      </c>
      <c r="F62" s="67">
        <f t="shared" si="3"/>
        <v>1.35374</v>
      </c>
      <c r="G62" s="10">
        <f t="shared" si="4"/>
        <v>1.35374</v>
      </c>
      <c r="H62" s="1">
        <v>1.0</v>
      </c>
      <c r="I62" s="1">
        <v>1.0</v>
      </c>
      <c r="J62" s="1">
        <v>1.0</v>
      </c>
      <c r="K62" s="1">
        <v>1.0</v>
      </c>
      <c r="N62" s="1">
        <v>1.0</v>
      </c>
      <c r="Z62" s="10"/>
      <c r="AA62" s="10"/>
    </row>
    <row r="63">
      <c r="A63" s="55">
        <v>45404.0</v>
      </c>
      <c r="B63" s="12" t="s">
        <v>402</v>
      </c>
      <c r="C63" s="12" t="s">
        <v>11</v>
      </c>
      <c r="D63" s="12">
        <f>2.29*1.13</f>
        <v>2.5877</v>
      </c>
      <c r="E63" s="12" t="s">
        <v>14</v>
      </c>
      <c r="F63" s="67">
        <f t="shared" si="3"/>
        <v>2.5877</v>
      </c>
      <c r="G63" s="10">
        <f t="shared" si="4"/>
        <v>2.5877</v>
      </c>
      <c r="I63" s="1">
        <v>1.0</v>
      </c>
      <c r="Z63" s="10"/>
      <c r="AA63" s="10"/>
    </row>
    <row r="64">
      <c r="A64" s="55">
        <v>45404.0</v>
      </c>
      <c r="B64" s="12" t="s">
        <v>430</v>
      </c>
      <c r="C64" s="12" t="s">
        <v>23</v>
      </c>
      <c r="D64" s="12">
        <f>11.99*1.13</f>
        <v>13.5487</v>
      </c>
      <c r="E64" s="12" t="s">
        <v>13</v>
      </c>
      <c r="F64" s="67">
        <f t="shared" si="3"/>
        <v>2.70974</v>
      </c>
      <c r="G64" s="10">
        <f t="shared" si="4"/>
        <v>2.70974</v>
      </c>
      <c r="H64" s="1">
        <v>1.0</v>
      </c>
      <c r="I64" s="1">
        <v>1.0</v>
      </c>
      <c r="J64" s="1">
        <v>1.0</v>
      </c>
      <c r="K64" s="1">
        <v>1.0</v>
      </c>
      <c r="N64" s="1">
        <v>1.0</v>
      </c>
      <c r="Z64" s="10"/>
      <c r="AA64" s="10"/>
    </row>
    <row r="65">
      <c r="A65" s="55">
        <v>45404.0</v>
      </c>
      <c r="B65" s="12" t="s">
        <v>431</v>
      </c>
      <c r="C65" s="12" t="s">
        <v>25</v>
      </c>
      <c r="D65" s="12">
        <v>11.05</v>
      </c>
      <c r="E65" s="12" t="s">
        <v>13</v>
      </c>
      <c r="F65" s="67">
        <f t="shared" si="3"/>
        <v>2.21</v>
      </c>
      <c r="G65" s="10">
        <f t="shared" si="4"/>
        <v>2.21</v>
      </c>
      <c r="H65" s="1">
        <v>1.0</v>
      </c>
      <c r="I65" s="1">
        <v>1.0</v>
      </c>
      <c r="J65" s="1">
        <v>1.0</v>
      </c>
      <c r="K65" s="1">
        <v>1.0</v>
      </c>
      <c r="N65" s="1">
        <v>1.0</v>
      </c>
      <c r="Z65" s="10"/>
      <c r="AA65" s="10"/>
    </row>
    <row r="66">
      <c r="A66" s="59">
        <v>45404.0</v>
      </c>
      <c r="B66" s="12" t="s">
        <v>181</v>
      </c>
      <c r="C66" s="12" t="s">
        <v>11</v>
      </c>
      <c r="D66" s="12">
        <v>75.62</v>
      </c>
      <c r="E66" s="12" t="s">
        <v>13</v>
      </c>
      <c r="F66" s="67">
        <f t="shared" si="3"/>
        <v>18.905</v>
      </c>
      <c r="G66" s="10">
        <f t="shared" si="4"/>
        <v>18.905</v>
      </c>
      <c r="H66" s="1">
        <v>1.0</v>
      </c>
      <c r="I66" s="1">
        <v>1.0</v>
      </c>
      <c r="J66" s="1">
        <v>1.0</v>
      </c>
      <c r="K66" s="1">
        <v>1.0</v>
      </c>
      <c r="Z66" s="10"/>
      <c r="AA66" s="10"/>
    </row>
    <row r="67">
      <c r="A67" s="59">
        <v>45404.0</v>
      </c>
      <c r="B67" s="12" t="s">
        <v>181</v>
      </c>
      <c r="C67" s="12" t="s">
        <v>23</v>
      </c>
      <c r="D67" s="12">
        <v>27.64</v>
      </c>
      <c r="E67" s="12" t="s">
        <v>13</v>
      </c>
      <c r="F67" s="67">
        <f t="shared" si="3"/>
        <v>5.528</v>
      </c>
      <c r="G67" s="10">
        <f t="shared" si="4"/>
        <v>5.528</v>
      </c>
      <c r="H67" s="1">
        <v>1.0</v>
      </c>
      <c r="I67" s="1">
        <v>1.0</v>
      </c>
      <c r="J67" s="1">
        <v>1.0</v>
      </c>
      <c r="K67" s="1">
        <v>1.0</v>
      </c>
      <c r="N67" s="1">
        <v>1.0</v>
      </c>
      <c r="S67" s="18"/>
      <c r="Z67" s="10"/>
      <c r="AA67" s="10"/>
    </row>
    <row r="68">
      <c r="A68" s="59">
        <v>45404.0</v>
      </c>
      <c r="B68" s="12" t="s">
        <v>432</v>
      </c>
      <c r="C68" s="12" t="s">
        <v>23</v>
      </c>
      <c r="D68" s="12">
        <v>7.9</v>
      </c>
      <c r="E68" s="12" t="s">
        <v>13</v>
      </c>
      <c r="F68" s="67">
        <f t="shared" si="3"/>
        <v>1.58</v>
      </c>
      <c r="G68" s="10">
        <f t="shared" si="4"/>
        <v>1.58</v>
      </c>
      <c r="H68" s="1">
        <v>1.0</v>
      </c>
      <c r="I68" s="1">
        <v>1.0</v>
      </c>
      <c r="J68" s="1">
        <v>1.0</v>
      </c>
      <c r="K68" s="1">
        <v>1.0</v>
      </c>
      <c r="N68" s="1">
        <v>1.0</v>
      </c>
      <c r="Z68" s="10"/>
      <c r="AA68" s="10"/>
    </row>
    <row r="69">
      <c r="A69" s="59">
        <v>45404.0</v>
      </c>
      <c r="B69" s="12" t="s">
        <v>53</v>
      </c>
      <c r="C69" s="12" t="s">
        <v>29</v>
      </c>
      <c r="D69" s="12">
        <v>15.99</v>
      </c>
      <c r="E69" s="12" t="s">
        <v>14</v>
      </c>
      <c r="F69" s="67">
        <f t="shared" si="3"/>
        <v>3.9975</v>
      </c>
      <c r="G69" s="10">
        <f t="shared" si="4"/>
        <v>3.9975</v>
      </c>
      <c r="H69" s="1">
        <v>1.0</v>
      </c>
      <c r="I69" s="1">
        <v>1.0</v>
      </c>
      <c r="J69" s="1">
        <v>1.0</v>
      </c>
      <c r="K69" s="1">
        <v>1.0</v>
      </c>
      <c r="Z69" s="10"/>
      <c r="AA69" s="10"/>
    </row>
    <row r="70">
      <c r="A70" s="146">
        <v>45405.0</v>
      </c>
      <c r="B70" s="47" t="s">
        <v>47</v>
      </c>
      <c r="C70" s="47" t="s">
        <v>11</v>
      </c>
      <c r="D70" s="47">
        <v>9.98</v>
      </c>
      <c r="E70" s="47" t="s">
        <v>14</v>
      </c>
      <c r="F70" s="147">
        <f t="shared" si="3"/>
        <v>1.425714286</v>
      </c>
      <c r="G70" s="147">
        <f t="shared" si="4"/>
        <v>1.425714286</v>
      </c>
      <c r="H70" s="150">
        <v>1.0</v>
      </c>
      <c r="I70" s="150">
        <v>1.0</v>
      </c>
      <c r="J70" s="150">
        <v>1.0</v>
      </c>
      <c r="K70" s="150">
        <v>1.0</v>
      </c>
      <c r="L70" s="149"/>
      <c r="M70" s="150">
        <v>1.0</v>
      </c>
      <c r="N70" s="149"/>
      <c r="O70" s="149"/>
      <c r="P70" s="162">
        <v>1.0</v>
      </c>
      <c r="Q70" s="159">
        <v>1.0</v>
      </c>
      <c r="R70" s="149"/>
      <c r="S70" s="149"/>
      <c r="T70" s="149"/>
      <c r="U70" s="149"/>
      <c r="V70" s="149"/>
      <c r="W70" s="149"/>
      <c r="X70" s="149"/>
      <c r="Y70" s="149"/>
      <c r="Z70" s="147"/>
      <c r="AA70" s="147"/>
    </row>
    <row r="71">
      <c r="A71" s="55">
        <v>45405.0</v>
      </c>
      <c r="B71" s="12" t="s">
        <v>396</v>
      </c>
      <c r="C71" s="12" t="s">
        <v>11</v>
      </c>
      <c r="D71" s="12">
        <v>17.35</v>
      </c>
      <c r="E71" s="12" t="s">
        <v>13</v>
      </c>
      <c r="F71" s="67">
        <f t="shared" si="3"/>
        <v>3.47</v>
      </c>
      <c r="G71" s="10">
        <f t="shared" si="4"/>
        <v>3.47</v>
      </c>
      <c r="H71" s="1">
        <v>1.0</v>
      </c>
      <c r="I71" s="1">
        <v>1.0</v>
      </c>
      <c r="J71" s="1">
        <v>1.0</v>
      </c>
      <c r="K71" s="1">
        <v>1.0</v>
      </c>
      <c r="M71" s="1">
        <v>1.0</v>
      </c>
      <c r="P71" s="163"/>
      <c r="Q71" s="145"/>
      <c r="Z71" s="10"/>
      <c r="AA71" s="10"/>
    </row>
    <row r="72">
      <c r="A72" s="152">
        <v>45406.0</v>
      </c>
      <c r="B72" s="47" t="s">
        <v>433</v>
      </c>
      <c r="C72" s="47" t="s">
        <v>11</v>
      </c>
      <c r="D72" s="47">
        <v>13.55</v>
      </c>
      <c r="E72" s="47" t="s">
        <v>4</v>
      </c>
      <c r="F72" s="147">
        <f t="shared" si="3"/>
        <v>3.3875</v>
      </c>
      <c r="G72" s="147">
        <f t="shared" si="4"/>
        <v>3.3875</v>
      </c>
      <c r="H72" s="149"/>
      <c r="I72" s="150">
        <v>1.0</v>
      </c>
      <c r="J72" s="149"/>
      <c r="K72" s="150">
        <v>1.0</v>
      </c>
      <c r="L72" s="149"/>
      <c r="M72" s="149"/>
      <c r="N72" s="150">
        <v>1.0</v>
      </c>
      <c r="O72" s="149"/>
      <c r="P72" s="162">
        <v>1.0</v>
      </c>
      <c r="Q72" s="149"/>
      <c r="R72" s="149"/>
      <c r="S72" s="149"/>
      <c r="T72" s="149"/>
      <c r="U72" s="149"/>
      <c r="V72" s="149"/>
      <c r="W72" s="149"/>
      <c r="X72" s="149"/>
      <c r="Y72" s="149"/>
      <c r="Z72" s="147"/>
      <c r="AA72" s="147"/>
    </row>
    <row r="73">
      <c r="A73" s="55">
        <v>45406.0</v>
      </c>
      <c r="B73" s="12" t="s">
        <v>285</v>
      </c>
      <c r="C73" s="12" t="s">
        <v>11</v>
      </c>
      <c r="D73" s="12">
        <v>29.98</v>
      </c>
      <c r="E73" s="12" t="s">
        <v>14</v>
      </c>
      <c r="F73" s="67">
        <f t="shared" si="3"/>
        <v>5.996</v>
      </c>
      <c r="G73" s="10">
        <f t="shared" si="4"/>
        <v>5.996</v>
      </c>
      <c r="H73" s="1">
        <v>1.0</v>
      </c>
      <c r="I73" s="1">
        <v>1.0</v>
      </c>
      <c r="J73" s="1">
        <v>1.0</v>
      </c>
      <c r="K73" s="1">
        <v>1.0</v>
      </c>
      <c r="N73" s="1">
        <v>1.0</v>
      </c>
      <c r="P73" s="162"/>
      <c r="Q73" s="145"/>
      <c r="Z73" s="10"/>
      <c r="AA73" s="10"/>
    </row>
    <row r="74">
      <c r="A74" s="146">
        <v>45406.0</v>
      </c>
      <c r="B74" s="47" t="s">
        <v>415</v>
      </c>
      <c r="C74" s="47" t="s">
        <v>11</v>
      </c>
      <c r="D74" s="47">
        <f>137.13-29.98</f>
        <v>107.15</v>
      </c>
      <c r="E74" s="47" t="s">
        <v>14</v>
      </c>
      <c r="F74" s="147">
        <f t="shared" si="3"/>
        <v>15.30714286</v>
      </c>
      <c r="G74" s="147">
        <f t="shared" si="4"/>
        <v>15.30714286</v>
      </c>
      <c r="H74" s="150">
        <v>1.0</v>
      </c>
      <c r="I74" s="150">
        <v>1.0</v>
      </c>
      <c r="J74" s="150">
        <v>1.0</v>
      </c>
      <c r="K74" s="150">
        <v>1.0</v>
      </c>
      <c r="L74" s="149"/>
      <c r="M74" s="150">
        <v>1.0</v>
      </c>
      <c r="N74" s="149"/>
      <c r="O74" s="149"/>
      <c r="P74" s="162">
        <v>1.0</v>
      </c>
      <c r="Q74" s="159">
        <v>1.0</v>
      </c>
      <c r="R74" s="149"/>
      <c r="S74" s="149"/>
      <c r="T74" s="149"/>
      <c r="U74" s="149"/>
      <c r="V74" s="149"/>
      <c r="W74" s="149"/>
      <c r="X74" s="149"/>
      <c r="Y74" s="149"/>
      <c r="Z74" s="147"/>
      <c r="AA74" s="147"/>
    </row>
    <row r="75">
      <c r="A75" s="55">
        <v>45407.0</v>
      </c>
      <c r="B75" s="12" t="s">
        <v>434</v>
      </c>
      <c r="C75" s="12" t="s">
        <v>11</v>
      </c>
      <c r="D75" s="12">
        <v>15.49</v>
      </c>
      <c r="E75" s="12" t="s">
        <v>14</v>
      </c>
      <c r="F75" s="67">
        <f t="shared" si="3"/>
        <v>3.098</v>
      </c>
      <c r="G75" s="10">
        <f t="shared" si="4"/>
        <v>3.098</v>
      </c>
      <c r="H75" s="1">
        <v>1.0</v>
      </c>
      <c r="I75" s="1">
        <v>1.0</v>
      </c>
      <c r="J75" s="1">
        <v>1.0</v>
      </c>
      <c r="K75" s="1">
        <v>1.0</v>
      </c>
      <c r="N75" s="1">
        <v>1.0</v>
      </c>
      <c r="P75" s="162" t="s">
        <v>157</v>
      </c>
      <c r="Z75" s="10"/>
      <c r="AA75" s="10"/>
    </row>
    <row r="76">
      <c r="A76" s="55">
        <v>45407.0</v>
      </c>
      <c r="B76" s="12" t="s">
        <v>435</v>
      </c>
      <c r="C76" s="12" t="s">
        <v>11</v>
      </c>
      <c r="D76" s="12">
        <v>3.38</v>
      </c>
      <c r="E76" s="12" t="s">
        <v>14</v>
      </c>
      <c r="F76" s="67">
        <f t="shared" si="3"/>
        <v>0.676</v>
      </c>
      <c r="G76" s="10">
        <f t="shared" si="4"/>
        <v>0.676</v>
      </c>
      <c r="H76" s="1">
        <v>1.0</v>
      </c>
      <c r="I76" s="1">
        <v>1.0</v>
      </c>
      <c r="J76" s="1">
        <v>1.0</v>
      </c>
      <c r="K76" s="1">
        <v>1.0</v>
      </c>
      <c r="N76" s="1">
        <v>1.0</v>
      </c>
      <c r="P76" s="1"/>
      <c r="Z76" s="10"/>
      <c r="AA76" s="10"/>
    </row>
    <row r="77">
      <c r="A77" s="55">
        <v>45408.0</v>
      </c>
      <c r="B77" s="12" t="s">
        <v>405</v>
      </c>
      <c r="C77" s="12" t="s">
        <v>11</v>
      </c>
      <c r="D77" s="12">
        <v>24.75</v>
      </c>
      <c r="E77" s="12" t="s">
        <v>13</v>
      </c>
      <c r="F77" s="67">
        <f t="shared" si="3"/>
        <v>6.1875</v>
      </c>
      <c r="G77" s="10">
        <f t="shared" si="4"/>
        <v>6.1875</v>
      </c>
      <c r="H77" s="1">
        <v>1.0</v>
      </c>
      <c r="I77" s="1">
        <v>1.0</v>
      </c>
      <c r="J77" s="1">
        <v>1.0</v>
      </c>
      <c r="K77" s="1">
        <v>1.0</v>
      </c>
      <c r="P77" s="163"/>
      <c r="Q77" s="159" t="s">
        <v>436</v>
      </c>
      <c r="Z77" s="10"/>
      <c r="AA77" s="10"/>
    </row>
    <row r="78">
      <c r="A78" s="59">
        <v>45409.0</v>
      </c>
      <c r="B78" s="12" t="s">
        <v>130</v>
      </c>
      <c r="C78" s="12" t="s">
        <v>11</v>
      </c>
      <c r="D78" s="12">
        <v>98.17</v>
      </c>
      <c r="E78" s="12" t="s">
        <v>13</v>
      </c>
      <c r="F78" s="67">
        <f t="shared" si="3"/>
        <v>19.634</v>
      </c>
      <c r="G78" s="10">
        <f t="shared" si="4"/>
        <v>19.634</v>
      </c>
      <c r="H78" s="1">
        <v>1.0</v>
      </c>
      <c r="I78" s="1">
        <v>1.0</v>
      </c>
      <c r="J78" s="1">
        <v>1.0</v>
      </c>
      <c r="K78" s="1">
        <v>1.0</v>
      </c>
      <c r="M78" s="1">
        <v>1.0</v>
      </c>
      <c r="Z78" s="10"/>
      <c r="AA78" s="10"/>
    </row>
    <row r="79">
      <c r="A79" s="55">
        <v>45410.0</v>
      </c>
      <c r="B79" s="12" t="s">
        <v>46</v>
      </c>
      <c r="C79" s="12" t="s">
        <v>11</v>
      </c>
      <c r="D79" s="12">
        <v>15.28</v>
      </c>
      <c r="E79" s="12" t="s">
        <v>14</v>
      </c>
      <c r="F79" s="67">
        <f t="shared" si="3"/>
        <v>2.182857143</v>
      </c>
      <c r="G79" s="10">
        <f t="shared" si="4"/>
        <v>2.182857143</v>
      </c>
      <c r="H79" s="1">
        <v>1.0</v>
      </c>
      <c r="I79" s="1">
        <v>1.0</v>
      </c>
      <c r="J79" s="1">
        <v>1.0</v>
      </c>
      <c r="K79" s="1">
        <v>1.0</v>
      </c>
      <c r="L79" s="1">
        <v>1.0</v>
      </c>
      <c r="M79" s="1">
        <v>1.0</v>
      </c>
      <c r="N79" s="1">
        <v>1.0</v>
      </c>
      <c r="P79" s="163"/>
      <c r="Q79" s="145"/>
      <c r="Z79" s="10"/>
      <c r="AA79" s="10"/>
    </row>
    <row r="80">
      <c r="A80" s="55">
        <v>45410.0</v>
      </c>
      <c r="B80" s="12" t="s">
        <v>120</v>
      </c>
      <c r="C80" s="12" t="s">
        <v>11</v>
      </c>
      <c r="D80" s="12">
        <v>23.49</v>
      </c>
      <c r="E80" s="12" t="s">
        <v>4</v>
      </c>
      <c r="F80" s="67">
        <f t="shared" si="3"/>
        <v>3.355714286</v>
      </c>
      <c r="G80" s="10">
        <f t="shared" si="4"/>
        <v>3.355714286</v>
      </c>
      <c r="H80" s="1">
        <v>1.0</v>
      </c>
      <c r="I80" s="1">
        <v>1.0</v>
      </c>
      <c r="J80" s="1">
        <v>1.0</v>
      </c>
      <c r="K80" s="1">
        <v>1.0</v>
      </c>
      <c r="L80" s="1">
        <v>1.0</v>
      </c>
      <c r="M80" s="1">
        <v>1.0</v>
      </c>
      <c r="N80" s="1">
        <v>1.0</v>
      </c>
      <c r="Z80" s="10"/>
      <c r="AA80" s="10"/>
    </row>
    <row r="81">
      <c r="A81" s="59">
        <v>45411.0</v>
      </c>
      <c r="B81" s="12" t="s">
        <v>437</v>
      </c>
      <c r="C81" s="12" t="s">
        <v>23</v>
      </c>
      <c r="D81" s="12">
        <v>10.49</v>
      </c>
      <c r="E81" s="12" t="s">
        <v>13</v>
      </c>
      <c r="F81" s="67">
        <f t="shared" si="3"/>
        <v>5.245</v>
      </c>
      <c r="G81" s="10">
        <f t="shared" si="4"/>
        <v>5.245</v>
      </c>
      <c r="J81" s="1">
        <v>1.0</v>
      </c>
      <c r="K81" s="1">
        <v>1.0</v>
      </c>
      <c r="Q81" s="18"/>
      <c r="R81" s="18"/>
      <c r="S81" s="18"/>
      <c r="Z81" s="10"/>
      <c r="AA81" s="10"/>
    </row>
    <row r="82">
      <c r="A82" s="55">
        <v>45411.0</v>
      </c>
      <c r="B82" s="12" t="s">
        <v>46</v>
      </c>
      <c r="C82" s="12" t="s">
        <v>11</v>
      </c>
      <c r="D82" s="12">
        <v>28.2</v>
      </c>
      <c r="E82" s="12" t="s">
        <v>4</v>
      </c>
      <c r="F82" s="67">
        <f t="shared" si="3"/>
        <v>5.64</v>
      </c>
      <c r="G82" s="10">
        <f t="shared" si="4"/>
        <v>5.64</v>
      </c>
      <c r="H82" s="1">
        <v>1.0</v>
      </c>
      <c r="I82" s="1">
        <v>1.0</v>
      </c>
      <c r="J82" s="1">
        <v>1.0</v>
      </c>
      <c r="K82" s="1">
        <v>1.0</v>
      </c>
      <c r="N82" s="1">
        <v>1.0</v>
      </c>
      <c r="P82" s="163"/>
      <c r="Q82" s="145"/>
      <c r="Z82" s="10"/>
      <c r="AA82" s="10"/>
    </row>
    <row r="83">
      <c r="A83" s="164">
        <v>45411.0</v>
      </c>
      <c r="B83" s="51" t="s">
        <v>192</v>
      </c>
      <c r="C83" s="51" t="s">
        <v>25</v>
      </c>
      <c r="D83" s="51">
        <v>92.93</v>
      </c>
      <c r="E83" s="51" t="s">
        <v>13</v>
      </c>
      <c r="F83" s="67">
        <f t="shared" si="3"/>
        <v>18.586</v>
      </c>
      <c r="G83" s="10">
        <f t="shared" si="4"/>
        <v>18.586</v>
      </c>
      <c r="H83" s="52">
        <v>1.0</v>
      </c>
      <c r="I83" s="52">
        <v>1.0</v>
      </c>
      <c r="J83" s="52">
        <v>1.0</v>
      </c>
      <c r="K83" s="52">
        <v>1.0</v>
      </c>
      <c r="L83" s="53"/>
      <c r="M83" s="54"/>
      <c r="N83" s="52">
        <v>1.0</v>
      </c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</row>
    <row r="84">
      <c r="A84" s="55">
        <v>45412.0</v>
      </c>
      <c r="B84" s="12" t="s">
        <v>405</v>
      </c>
      <c r="C84" s="12" t="s">
        <v>11</v>
      </c>
      <c r="D84" s="12">
        <v>31.57</v>
      </c>
      <c r="E84" s="12" t="s">
        <v>14</v>
      </c>
      <c r="F84" s="67">
        <f t="shared" si="3"/>
        <v>5.261666667</v>
      </c>
      <c r="G84" s="10">
        <f t="shared" si="4"/>
        <v>5.261666667</v>
      </c>
      <c r="H84" s="1">
        <v>1.0</v>
      </c>
      <c r="I84" s="1">
        <v>1.0</v>
      </c>
      <c r="J84" s="1">
        <v>1.0</v>
      </c>
      <c r="K84" s="1">
        <v>1.0</v>
      </c>
      <c r="L84" s="1">
        <v>1.0</v>
      </c>
      <c r="M84" s="1">
        <v>1.0</v>
      </c>
      <c r="Z84" s="10"/>
      <c r="AA84" s="10"/>
    </row>
    <row r="85">
      <c r="A85" s="61"/>
      <c r="B85" s="12" t="s">
        <v>438</v>
      </c>
      <c r="C85" s="12" t="s">
        <v>11</v>
      </c>
      <c r="D85" s="12">
        <f>6.99*1.13</f>
        <v>7.8987</v>
      </c>
      <c r="E85" s="12" t="s">
        <v>13</v>
      </c>
      <c r="F85" s="67">
        <f t="shared" si="3"/>
        <v>1.57974</v>
      </c>
      <c r="G85" s="10">
        <f t="shared" si="4"/>
        <v>1.57974</v>
      </c>
      <c r="H85" s="1">
        <v>1.0</v>
      </c>
      <c r="I85" s="1">
        <v>1.0</v>
      </c>
      <c r="J85" s="1">
        <v>1.0</v>
      </c>
      <c r="K85" s="1">
        <v>1.0</v>
      </c>
      <c r="N85" s="1">
        <v>1.0</v>
      </c>
      <c r="Z85" s="10"/>
      <c r="AA85" s="10"/>
    </row>
    <row r="86">
      <c r="A86" s="61"/>
      <c r="B86" s="12" t="s">
        <v>439</v>
      </c>
      <c r="C86" s="12" t="s">
        <v>23</v>
      </c>
      <c r="D86" s="12">
        <f>15.99*1.13</f>
        <v>18.0687</v>
      </c>
      <c r="E86" s="12" t="s">
        <v>13</v>
      </c>
      <c r="F86" s="67">
        <f t="shared" si="3"/>
        <v>3.61374</v>
      </c>
      <c r="G86" s="10">
        <f t="shared" si="4"/>
        <v>3.61374</v>
      </c>
      <c r="H86" s="1">
        <v>1.0</v>
      </c>
      <c r="I86" s="1">
        <v>1.0</v>
      </c>
      <c r="J86" s="1">
        <v>1.0</v>
      </c>
      <c r="K86" s="1">
        <v>1.0</v>
      </c>
      <c r="N86" s="1">
        <v>1.0</v>
      </c>
      <c r="Z86" s="10"/>
      <c r="AA86" s="10"/>
    </row>
    <row r="87">
      <c r="A87" s="61"/>
      <c r="B87" s="12" t="s">
        <v>440</v>
      </c>
      <c r="C87" s="12" t="s">
        <v>23</v>
      </c>
      <c r="D87" s="12">
        <f>69.99*1.13</f>
        <v>79.0887</v>
      </c>
      <c r="E87" s="12" t="s">
        <v>13</v>
      </c>
      <c r="F87" s="67">
        <f t="shared" si="3"/>
        <v>79.0887</v>
      </c>
      <c r="G87" s="10">
        <f t="shared" si="4"/>
        <v>79.0887</v>
      </c>
      <c r="J87" s="1">
        <v>1.0</v>
      </c>
      <c r="Z87" s="10"/>
      <c r="AA87" s="10"/>
    </row>
    <row r="88">
      <c r="A88" s="61"/>
      <c r="B88" s="12" t="s">
        <v>333</v>
      </c>
      <c r="C88" s="12" t="s">
        <v>19</v>
      </c>
      <c r="D88" s="12">
        <f>11.79*1.13</f>
        <v>13.3227</v>
      </c>
      <c r="E88" s="12" t="s">
        <v>13</v>
      </c>
      <c r="F88" s="67">
        <f t="shared" si="3"/>
        <v>2.66454</v>
      </c>
      <c r="G88" s="10">
        <f t="shared" si="4"/>
        <v>2.66454</v>
      </c>
      <c r="H88" s="1">
        <v>1.0</v>
      </c>
      <c r="I88" s="1">
        <v>1.0</v>
      </c>
      <c r="J88" s="1">
        <v>1.0</v>
      </c>
      <c r="K88" s="1">
        <v>1.0</v>
      </c>
      <c r="N88" s="1">
        <v>1.0</v>
      </c>
      <c r="Z88" s="10"/>
      <c r="AA88" s="10"/>
    </row>
    <row r="89">
      <c r="A89" s="55"/>
      <c r="B89" s="12" t="s">
        <v>441</v>
      </c>
      <c r="C89" s="12" t="s">
        <v>11</v>
      </c>
      <c r="D89" s="12">
        <f>24.15*1.13</f>
        <v>27.2895</v>
      </c>
      <c r="E89" s="12" t="s">
        <v>13</v>
      </c>
      <c r="F89" s="67">
        <f t="shared" si="3"/>
        <v>9.0965</v>
      </c>
      <c r="G89" s="10">
        <f t="shared" si="4"/>
        <v>9.0965</v>
      </c>
      <c r="I89" s="1">
        <v>1.0</v>
      </c>
      <c r="K89" s="1">
        <v>1.0</v>
      </c>
      <c r="N89" s="1">
        <v>1.0</v>
      </c>
      <c r="Z89" s="10"/>
      <c r="AA89" s="10"/>
    </row>
    <row r="90">
      <c r="A90" s="55"/>
      <c r="B90" s="12" t="s">
        <v>124</v>
      </c>
      <c r="C90" s="12" t="s">
        <v>19</v>
      </c>
      <c r="D90" s="12">
        <v>5.99</v>
      </c>
      <c r="E90" s="12" t="s">
        <v>13</v>
      </c>
      <c r="F90" s="67">
        <f t="shared" si="3"/>
        <v>1.198</v>
      </c>
      <c r="G90" s="10">
        <f t="shared" si="4"/>
        <v>1.198</v>
      </c>
      <c r="H90" s="1">
        <v>1.0</v>
      </c>
      <c r="I90" s="1">
        <v>1.0</v>
      </c>
      <c r="J90" s="1">
        <v>1.0</v>
      </c>
      <c r="K90" s="1">
        <v>1.0</v>
      </c>
      <c r="N90" s="1">
        <v>1.0</v>
      </c>
      <c r="Z90" s="10"/>
      <c r="AA90" s="10"/>
    </row>
    <row r="91">
      <c r="A91" s="55"/>
      <c r="B91" s="12" t="s">
        <v>114</v>
      </c>
      <c r="C91" s="12" t="s">
        <v>11</v>
      </c>
      <c r="D91" s="12">
        <v>8.89</v>
      </c>
      <c r="E91" s="12" t="s">
        <v>13</v>
      </c>
      <c r="F91" s="67">
        <f t="shared" si="3"/>
        <v>1.778</v>
      </c>
      <c r="G91" s="10">
        <f t="shared" si="4"/>
        <v>1.778</v>
      </c>
      <c r="H91" s="1">
        <v>1.0</v>
      </c>
      <c r="I91" s="1">
        <v>1.0</v>
      </c>
      <c r="J91" s="1">
        <v>1.0</v>
      </c>
      <c r="K91" s="1">
        <v>1.0</v>
      </c>
      <c r="N91" s="1">
        <v>1.0</v>
      </c>
      <c r="Z91" s="10"/>
      <c r="AA91" s="10"/>
    </row>
    <row r="92">
      <c r="A92" s="59"/>
      <c r="B92" s="12" t="s">
        <v>442</v>
      </c>
      <c r="C92" s="12" t="s">
        <v>11</v>
      </c>
      <c r="D92" s="12">
        <v>30.37</v>
      </c>
      <c r="E92" s="12" t="s">
        <v>13</v>
      </c>
      <c r="F92" s="67">
        <f t="shared" si="3"/>
        <v>30.37</v>
      </c>
      <c r="G92" s="10">
        <f t="shared" si="4"/>
        <v>30.37</v>
      </c>
      <c r="N92" s="1">
        <v>1.0</v>
      </c>
      <c r="Z92" s="10"/>
      <c r="AA92" s="10"/>
    </row>
    <row r="93">
      <c r="A93" s="55"/>
      <c r="B93" s="12" t="s">
        <v>443</v>
      </c>
      <c r="C93" s="12" t="s">
        <v>11</v>
      </c>
      <c r="D93" s="12">
        <f>7.99*1.13</f>
        <v>9.0287</v>
      </c>
      <c r="E93" s="12" t="s">
        <v>13</v>
      </c>
      <c r="F93" s="67">
        <f t="shared" si="3"/>
        <v>3.009566667</v>
      </c>
      <c r="G93" s="10">
        <f t="shared" si="4"/>
        <v>3.009566667</v>
      </c>
      <c r="I93" s="1">
        <v>1.0</v>
      </c>
      <c r="K93" s="1">
        <v>1.0</v>
      </c>
      <c r="N93" s="1">
        <v>1.0</v>
      </c>
      <c r="Z93" s="10"/>
      <c r="AA93" s="10"/>
    </row>
    <row r="94">
      <c r="A94" s="59"/>
      <c r="B94" s="12"/>
      <c r="C94" s="12"/>
      <c r="D94" s="12"/>
      <c r="E94" s="12"/>
      <c r="F94" s="67" t="str">
        <f t="shared" si="3"/>
        <v>#DIV/0!</v>
      </c>
      <c r="G94" s="10" t="str">
        <f t="shared" si="4"/>
        <v>#DIV/0!</v>
      </c>
      <c r="Z94" s="10"/>
      <c r="AA94" s="10"/>
    </row>
    <row r="95">
      <c r="A95" s="59"/>
      <c r="B95" s="12"/>
      <c r="C95" s="12"/>
      <c r="D95" s="12"/>
      <c r="E95" s="12"/>
      <c r="F95" s="67" t="str">
        <f t="shared" si="3"/>
        <v>#DIV/0!</v>
      </c>
      <c r="G95" s="10" t="str">
        <f t="shared" si="4"/>
        <v>#DIV/0!</v>
      </c>
      <c r="Z95" s="10"/>
      <c r="AA95" s="10"/>
    </row>
    <row r="96">
      <c r="A96" s="59"/>
      <c r="B96" s="12"/>
      <c r="C96" s="12"/>
      <c r="D96" s="12"/>
      <c r="E96" s="12"/>
      <c r="F96" s="67" t="str">
        <f t="shared" si="3"/>
        <v>#DIV/0!</v>
      </c>
      <c r="G96" s="10" t="str">
        <f t="shared" si="4"/>
        <v>#DIV/0!</v>
      </c>
      <c r="Z96" s="10"/>
      <c r="AA96" s="10"/>
    </row>
    <row r="97">
      <c r="A97" s="59"/>
      <c r="B97" s="12"/>
      <c r="C97" s="12"/>
      <c r="D97" s="12"/>
      <c r="E97" s="12"/>
      <c r="F97" s="67" t="str">
        <f t="shared" si="3"/>
        <v>#DIV/0!</v>
      </c>
      <c r="G97" s="10" t="str">
        <f t="shared" si="4"/>
        <v>#DIV/0!</v>
      </c>
      <c r="Z97" s="10"/>
      <c r="AA97" s="10"/>
    </row>
    <row r="98">
      <c r="A98" s="59"/>
      <c r="B98" s="12"/>
      <c r="C98" s="51"/>
      <c r="D98" s="12"/>
      <c r="E98" s="12"/>
      <c r="F98" s="67" t="str">
        <f t="shared" si="3"/>
        <v>#DIV/0!</v>
      </c>
      <c r="G98" s="10" t="str">
        <f t="shared" si="4"/>
        <v>#DIV/0!</v>
      </c>
      <c r="Z98" s="64"/>
      <c r="AA98" s="64"/>
    </row>
    <row r="99">
      <c r="A99" s="59"/>
      <c r="B99" s="12"/>
      <c r="C99" s="51"/>
      <c r="D99" s="12"/>
      <c r="E99" s="12"/>
      <c r="F99" s="67" t="str">
        <f t="shared" si="3"/>
        <v>#DIV/0!</v>
      </c>
      <c r="G99" s="10" t="str">
        <f t="shared" si="4"/>
        <v>#DIV/0!</v>
      </c>
      <c r="Z99" s="64"/>
      <c r="AA99" s="64"/>
    </row>
    <row r="100">
      <c r="A100" s="59"/>
      <c r="B100" s="12"/>
      <c r="C100" s="51"/>
      <c r="D100" s="12"/>
      <c r="E100" s="12"/>
      <c r="F100" s="67" t="str">
        <f t="shared" si="3"/>
        <v>#DIV/0!</v>
      </c>
      <c r="G100" s="10" t="str">
        <f t="shared" si="4"/>
        <v>#DIV/0!</v>
      </c>
      <c r="Z100" s="64"/>
      <c r="AA100" s="64"/>
    </row>
    <row r="101">
      <c r="A101" s="59"/>
      <c r="B101" s="12"/>
      <c r="C101" s="51"/>
      <c r="D101" s="12"/>
      <c r="E101" s="12"/>
      <c r="F101" s="67" t="str">
        <f t="shared" si="3"/>
        <v>#DIV/0!</v>
      </c>
      <c r="G101" s="10" t="str">
        <f t="shared" si="4"/>
        <v>#DIV/0!</v>
      </c>
      <c r="Z101" s="64"/>
      <c r="AA101" s="64"/>
    </row>
    <row r="102">
      <c r="A102" s="59"/>
      <c r="B102" s="12"/>
      <c r="C102" s="51"/>
      <c r="D102" s="12"/>
      <c r="E102" s="12"/>
      <c r="F102" s="67" t="str">
        <f t="shared" si="3"/>
        <v>#DIV/0!</v>
      </c>
      <c r="G102" s="10" t="str">
        <f t="shared" si="4"/>
        <v>#DIV/0!</v>
      </c>
      <c r="Z102" s="57"/>
      <c r="AA102" s="57"/>
    </row>
    <row r="103">
      <c r="A103" s="59"/>
      <c r="B103" s="12"/>
      <c r="C103" s="12"/>
      <c r="D103" s="12"/>
      <c r="E103" s="12"/>
      <c r="F103" s="67"/>
      <c r="G103" s="10"/>
      <c r="Z103" s="10"/>
      <c r="AA103" s="10"/>
    </row>
    <row r="104">
      <c r="A104" s="59"/>
      <c r="B104" s="12"/>
      <c r="C104" s="12"/>
      <c r="D104" s="12"/>
      <c r="E104" s="12"/>
      <c r="F104" s="67"/>
      <c r="G104" s="10"/>
      <c r="Z104" s="10"/>
      <c r="AA104" s="10"/>
    </row>
    <row r="105">
      <c r="A105" s="59"/>
      <c r="B105" s="12"/>
      <c r="C105" s="12"/>
      <c r="D105" s="12"/>
      <c r="E105" s="12"/>
      <c r="F105" s="67"/>
      <c r="G105" s="10"/>
      <c r="Z105" s="10"/>
      <c r="AA105" s="10"/>
    </row>
    <row r="106">
      <c r="A106" s="59"/>
      <c r="B106" s="12"/>
      <c r="C106" s="12"/>
      <c r="D106" s="12"/>
      <c r="E106" s="12"/>
      <c r="F106" s="67"/>
      <c r="G106" s="10"/>
      <c r="Z106" s="10"/>
      <c r="AA106" s="10"/>
    </row>
    <row r="107">
      <c r="A107" s="59"/>
      <c r="B107" s="12"/>
      <c r="C107" s="12"/>
      <c r="D107" s="12"/>
      <c r="E107" s="12"/>
      <c r="F107" s="67"/>
      <c r="G107" s="10"/>
      <c r="Z107" s="10"/>
      <c r="AA107" s="10"/>
    </row>
    <row r="108">
      <c r="A108" s="59"/>
      <c r="B108" s="12"/>
      <c r="C108" s="12"/>
      <c r="D108" s="12"/>
      <c r="E108" s="12"/>
      <c r="F108" s="67"/>
      <c r="G108" s="10"/>
      <c r="Z108" s="10"/>
      <c r="AA108" s="10"/>
    </row>
    <row r="109">
      <c r="A109" s="59"/>
      <c r="B109" s="12"/>
      <c r="C109" s="12"/>
      <c r="D109" s="12"/>
      <c r="E109" s="12"/>
      <c r="F109" s="67"/>
      <c r="G109" s="10"/>
      <c r="Z109" s="10"/>
      <c r="AA109" s="10"/>
    </row>
    <row r="110">
      <c r="A110" s="59"/>
      <c r="B110" s="12"/>
      <c r="C110" s="12"/>
      <c r="D110" s="12"/>
      <c r="E110" s="12"/>
      <c r="F110" s="67"/>
      <c r="G110" s="10"/>
      <c r="Z110" s="10"/>
      <c r="AA110" s="10"/>
    </row>
    <row r="111">
      <c r="A111" s="59"/>
      <c r="B111" s="12"/>
      <c r="C111" s="12"/>
      <c r="D111" s="12"/>
      <c r="E111" s="12"/>
      <c r="F111" s="67"/>
      <c r="G111" s="10"/>
      <c r="Z111" s="10"/>
      <c r="AA111" s="10"/>
    </row>
    <row r="112">
      <c r="A112" s="59"/>
      <c r="B112" s="12"/>
      <c r="C112" s="12"/>
      <c r="D112" s="12"/>
      <c r="E112" s="12"/>
      <c r="F112" s="67"/>
      <c r="G112" s="10"/>
      <c r="Z112" s="10"/>
      <c r="AA112" s="10"/>
    </row>
    <row r="113">
      <c r="A113" s="59"/>
      <c r="B113" s="12"/>
      <c r="C113" s="12"/>
      <c r="D113" s="12"/>
      <c r="E113" s="12"/>
      <c r="F113" s="67"/>
      <c r="G113" s="10"/>
      <c r="Z113" s="10"/>
      <c r="AA113" s="10"/>
    </row>
    <row r="114">
      <c r="A114" s="59"/>
      <c r="B114" s="12"/>
      <c r="C114" s="12"/>
      <c r="D114" s="12"/>
      <c r="E114" s="12"/>
      <c r="F114" s="67"/>
      <c r="G114" s="10"/>
      <c r="Z114" s="10"/>
      <c r="AA114" s="10"/>
    </row>
    <row r="115">
      <c r="A115" s="59"/>
      <c r="B115" s="12"/>
      <c r="C115" s="12"/>
      <c r="D115" s="12"/>
      <c r="E115" s="12"/>
      <c r="F115" s="67"/>
      <c r="G115" s="10"/>
      <c r="Z115" s="10"/>
      <c r="AA115" s="10"/>
    </row>
    <row r="116">
      <c r="A116" s="59"/>
      <c r="B116" s="12"/>
      <c r="C116" s="12"/>
      <c r="D116" s="12"/>
      <c r="E116" s="12"/>
      <c r="F116" s="67"/>
      <c r="G116" s="10"/>
      <c r="Z116" s="10"/>
      <c r="AA116" s="10"/>
    </row>
    <row r="117">
      <c r="A117" s="10"/>
      <c r="B117" s="10"/>
      <c r="C117" s="10"/>
      <c r="D117" s="10"/>
      <c r="E117" s="10"/>
      <c r="F117" s="67"/>
      <c r="G117" s="10"/>
      <c r="Z117" s="10"/>
      <c r="AA117" s="10"/>
    </row>
    <row r="118">
      <c r="A118" s="10"/>
      <c r="B118" s="10"/>
      <c r="C118" s="10"/>
      <c r="D118" s="10"/>
      <c r="E118" s="10"/>
      <c r="F118" s="67"/>
      <c r="G118" s="10"/>
      <c r="Z118" s="10"/>
      <c r="AA118" s="10"/>
    </row>
    <row r="119">
      <c r="A119" s="10"/>
      <c r="B119" s="10"/>
      <c r="C119" s="10"/>
      <c r="D119" s="10"/>
      <c r="E119" s="10"/>
      <c r="F119" s="67"/>
      <c r="G119" s="10"/>
      <c r="Z119" s="10"/>
      <c r="AA119" s="10"/>
    </row>
    <row r="120">
      <c r="A120" s="10"/>
      <c r="B120" s="10"/>
      <c r="C120" s="10"/>
      <c r="D120" s="10"/>
      <c r="E120" s="10"/>
      <c r="F120" s="67"/>
      <c r="G120" s="10"/>
      <c r="Z120" s="10"/>
      <c r="AA120" s="10"/>
    </row>
    <row r="121">
      <c r="A121" s="10"/>
      <c r="B121" s="10"/>
      <c r="C121" s="10"/>
      <c r="D121" s="10"/>
      <c r="E121" s="10"/>
      <c r="F121" s="67"/>
      <c r="G121" s="10"/>
      <c r="Z121" s="10"/>
      <c r="AA121" s="10"/>
    </row>
    <row r="122">
      <c r="A122" s="10"/>
      <c r="B122" s="10"/>
      <c r="C122" s="10"/>
      <c r="D122" s="10"/>
      <c r="E122" s="10"/>
      <c r="F122" s="67"/>
      <c r="G122" s="10"/>
      <c r="Z122" s="10"/>
      <c r="AA122" s="10"/>
    </row>
    <row r="123">
      <c r="A123" s="10"/>
      <c r="B123" s="10"/>
      <c r="C123" s="10"/>
      <c r="D123" s="10"/>
      <c r="E123" s="10"/>
      <c r="F123" s="67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>
      <c r="A124" s="10"/>
      <c r="B124" s="10"/>
      <c r="C124" s="10"/>
      <c r="D124" s="10"/>
      <c r="E124" s="10"/>
      <c r="F124" s="67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>
      <c r="A125" s="10"/>
      <c r="B125" s="10"/>
      <c r="C125" s="10"/>
      <c r="D125" s="10"/>
      <c r="E125" s="10"/>
      <c r="F125" s="67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>
      <c r="A126" s="10"/>
      <c r="B126" s="10"/>
      <c r="C126" s="10"/>
      <c r="D126" s="10"/>
      <c r="E126" s="10"/>
      <c r="F126" s="67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>
      <c r="A127" s="10"/>
      <c r="B127" s="10"/>
      <c r="C127" s="10"/>
      <c r="D127" s="10"/>
      <c r="E127" s="10"/>
      <c r="F127" s="67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>
      <c r="A128" s="10"/>
      <c r="B128" s="10"/>
      <c r="C128" s="10"/>
      <c r="D128" s="10"/>
      <c r="E128" s="10"/>
      <c r="F128" s="67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10"/>
      <c r="B129" s="10"/>
      <c r="C129" s="10"/>
      <c r="D129" s="10"/>
      <c r="E129" s="10"/>
      <c r="F129" s="67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0"/>
      <c r="B130" s="10"/>
      <c r="C130" s="10"/>
      <c r="D130" s="10"/>
      <c r="E130" s="10"/>
      <c r="F130" s="67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0"/>
      <c r="B131" s="10"/>
      <c r="C131" s="10"/>
      <c r="D131" s="10"/>
      <c r="E131" s="10"/>
      <c r="F131" s="67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0"/>
      <c r="B132" s="10"/>
      <c r="C132" s="10"/>
      <c r="D132" s="10"/>
      <c r="E132" s="10"/>
      <c r="F132" s="67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 t="str">
        <f t="shared" ref="F142:F145" si="5">D142/sum(H142:O142)</f>
        <v>#DIV/0!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 t="str">
        <f t="shared" si="5"/>
        <v>#DIV/0!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 t="str">
        <f t="shared" si="5"/>
        <v>#DIV/0!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 t="str">
        <f t="shared" si="5"/>
        <v>#DIV/0!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59"/>
      <c r="B147" s="12"/>
      <c r="C147" s="12"/>
      <c r="D147" s="12"/>
      <c r="E147" s="12"/>
      <c r="F147" s="67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59"/>
      <c r="B148" s="12"/>
      <c r="C148" s="10"/>
      <c r="D148" s="12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59"/>
      <c r="B149" s="12"/>
      <c r="C149" s="10"/>
      <c r="D149" s="12"/>
      <c r="E149" s="10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B158" s="10"/>
      <c r="C158" s="10"/>
      <c r="D158" s="10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55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</sheetData>
  <autoFilter ref="$A$12:$AA$93">
    <sortState ref="A12:AA93">
      <sortCondition ref="A12:A93"/>
    </sortState>
  </autoFilter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20">
      <formula1>"食物,飲品,衣服,居家,電子產品,娛樂,醫藥,交通,其他"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19" t="s">
        <v>444</v>
      </c>
      <c r="B1" s="4"/>
      <c r="C1" s="4"/>
      <c r="D1" s="4"/>
      <c r="E1" s="4"/>
      <c r="F1" s="5"/>
    </row>
    <row r="2">
      <c r="A2" s="120" t="s">
        <v>326</v>
      </c>
      <c r="B2" s="121" t="s">
        <v>2</v>
      </c>
      <c r="C2" s="122" t="s">
        <v>4</v>
      </c>
      <c r="D2" s="123" t="s">
        <v>43</v>
      </c>
      <c r="E2" s="124" t="s">
        <v>14</v>
      </c>
      <c r="F2" s="125" t="s">
        <v>7</v>
      </c>
      <c r="G2" s="18"/>
    </row>
    <row r="3">
      <c r="A3" s="126" t="s">
        <v>11</v>
      </c>
      <c r="B3" s="6">
        <f>SUMIFS($F$26:$F1517,$C$26:$C1517,"食物",$H$26:$H1517,"1")</f>
        <v>449.2186309</v>
      </c>
      <c r="C3" s="6">
        <f>SUMIFS($F$26:$F1517,$C$26:$C1517,"食物",$I$26:$I1517,"1")</f>
        <v>432.5748976</v>
      </c>
      <c r="D3" s="6">
        <f>SUMIFS($F$26:$F1517,$C$26:$C1517,"食物",$J$26:$J1517,"1")</f>
        <v>499.4718142</v>
      </c>
      <c r="E3" s="6">
        <f>SUMIFS($F$26:$F1517,$C$26:$C1517,"食物",$K$26:$K1517,"1")</f>
        <v>458.2570476</v>
      </c>
      <c r="F3" s="127">
        <f>SUMIFS($F$26:$F1517,$C$26:$C1517,"食物",$N$26:$N1517,"1")</f>
        <v>330.5185785</v>
      </c>
    </row>
    <row r="4">
      <c r="A4" s="126" t="s">
        <v>19</v>
      </c>
      <c r="B4" s="6">
        <f>SUMIFS($F$26:$F1517,$C$26:$C1517,"飲品",$H$26:$H1517,"1")</f>
        <v>3.86254</v>
      </c>
      <c r="C4" s="6">
        <f>SUMIFS($F$26:$F1517,$C$26:$C1517,"飲品",$I$26:$I1517,"1")</f>
        <v>3.86254</v>
      </c>
      <c r="D4" s="6">
        <f>SUMIFS($F$26:$F1517,$C$26:$C1517,"飲品",$J$26:$J1517,"1")</f>
        <v>3.86254</v>
      </c>
      <c r="E4" s="6">
        <f>SUMIFS($F$26:$F1517,$C$26:$C1517,"飲品",$K$26:$K1517,"1")</f>
        <v>3.86254</v>
      </c>
      <c r="F4" s="127">
        <f>SUMIFS($F$26:$F1517,$C$26:$C1517,"飲品",$N$26:$N1517,"1")</f>
        <v>3.86254</v>
      </c>
    </row>
    <row r="5">
      <c r="A5" s="126" t="s">
        <v>21</v>
      </c>
      <c r="B5" s="6">
        <f>SUMIFS($F$26:$F1517,$C$26:$C1517,"衣物",$H$26:$H1517,"1")</f>
        <v>0</v>
      </c>
      <c r="C5" s="6">
        <f>SUMIFS($F$26:$F1517,$C$26:$C1517,"衣物",$I$26:$I1517,"1")</f>
        <v>0</v>
      </c>
      <c r="D5" s="6">
        <f>SUMIFS($F$26:$F1517,$C$26:$C1517,"衣物",$J$26:$J1517,"1")</f>
        <v>0</v>
      </c>
      <c r="E5" s="6">
        <f>SUMIFS($F$26:$F1517,$C$26:$C1517,"衣物",$K$26:$K1517,"1")</f>
        <v>0</v>
      </c>
      <c r="F5" s="127">
        <f>SUMIFS($F$26:$F1517,$C$26:$C1517,"衣物",$N$26:$N1517,"1")</f>
        <v>0</v>
      </c>
    </row>
    <row r="6">
      <c r="A6" s="126" t="s">
        <v>327</v>
      </c>
      <c r="B6" s="6">
        <f>SUMIFS($F$26:$F1517,$C$26:$C1517,"居家",$H$26:$H1517,"1")+T69</f>
        <v>844.72732</v>
      </c>
      <c r="C6" s="6">
        <f>SUMIFS($F$26:$F1517,$C$26:$C1517,"居家",$I$26:$I1517,"1")+T69</f>
        <v>844.72732</v>
      </c>
      <c r="D6" s="6">
        <f>SUMIFS($F$26:$F1517,$C$26:$C1517,"居家",$J$26:$J1517,"1")+T69</f>
        <v>914.73492</v>
      </c>
      <c r="E6" s="6">
        <f>SUMIFS($F$26:$F1517,$C$26:$C1517,"居家",$K$26:$K1517,"1")+T69</f>
        <v>835.64622</v>
      </c>
      <c r="F6" s="127">
        <f>SUMIFS($F$26:$F1517,$C$26:$C1517,"居家",$N$26:$N1517,"1")+T69</f>
        <v>806.34122</v>
      </c>
    </row>
    <row r="7">
      <c r="A7" s="126" t="s">
        <v>25</v>
      </c>
      <c r="B7" s="6">
        <f>SUMIFS($F$26:$F1517,$C$26:$C1517,"電子產品",$H$26:$H1517,"1")</f>
        <v>20.796</v>
      </c>
      <c r="C7" s="6">
        <f>SUMIFS($F$26:$F1517,$C$26:$C1517,"電子產品",$I$26:$I1517,"1")</f>
        <v>20.796</v>
      </c>
      <c r="D7" s="6">
        <f>SUMIFS($F$26:$F1517,$C$26:$C1517,"電子產品",$J$26:$J1517,"1")</f>
        <v>20.796</v>
      </c>
      <c r="E7" s="6">
        <f>SUMIFS($F$26:$F1517,$C$26:$C1517,"電子產品",$K$26:$K1517,"1")</f>
        <v>20.796</v>
      </c>
      <c r="F7" s="127">
        <f>SUMIFS($F$26:$F1517,$C$26:$C1517,"電子產品",$N$26:$N1517,"1")</f>
        <v>20.796</v>
      </c>
    </row>
    <row r="8">
      <c r="A8" s="126" t="s">
        <v>27</v>
      </c>
      <c r="B8" s="6">
        <f>SUMIFS($F$26:$F1517,$C$26:$C1517,"娛樂",$H$26:$H1517,"1")</f>
        <v>5</v>
      </c>
      <c r="C8" s="6">
        <f>SUMIFS($F$26:$F1517,$C$26:$C1517,"娛樂",$I$26:$I1517,"1")</f>
        <v>0</v>
      </c>
      <c r="D8" s="6">
        <f>SUMIFS($F$26:$F1517,$C$26:$C1517,"娛樂",$J$26:$J1517,"1")</f>
        <v>135.96</v>
      </c>
      <c r="E8" s="6">
        <f>SUMIFS($F$26:$F1517,$C$26:$C1517,"娛樂",$K$26:$K1517,"1")</f>
        <v>0</v>
      </c>
      <c r="F8" s="127">
        <f>SUMIFS($F$26:$F1517,$C$26:$C1517,"娛樂",$N$26:$N1517,"1")</f>
        <v>0</v>
      </c>
    </row>
    <row r="9">
      <c r="A9" s="126" t="s">
        <v>29</v>
      </c>
      <c r="B9" s="6">
        <f>SUMIFS($F$26:$F1517,$C$26:$C1517,"交通",$H$26:$H1517,"1")</f>
        <v>12.6575</v>
      </c>
      <c r="C9" s="6">
        <f>SUMIFS($F$26:$F1517,$C$26:$C1517,"交通",$I$26:$I1517,"1")</f>
        <v>7.6575</v>
      </c>
      <c r="D9" s="6">
        <f>SUMIFS($F$26:$F1517,$C$26:$C1517,"交通",$J$26:$J1517,"1")</f>
        <v>29.6425</v>
      </c>
      <c r="E9" s="6">
        <f>SUMIFS($F$26:$F1517,$C$26:$C1517,"交通",$K$26:$K1517,"1")</f>
        <v>7.6575</v>
      </c>
      <c r="F9" s="127">
        <f>SUMIFS($F$26:$F1517,$C$26:$C1517,"交通",$N$26:$N1517,"1")</f>
        <v>20.645</v>
      </c>
    </row>
    <row r="10">
      <c r="A10" s="126" t="s">
        <v>31</v>
      </c>
      <c r="B10" s="6">
        <f>SUMIFS($F$26:$F1517,$C$26:$C1517,"醫藥",$H$26:$H1517,"1")</f>
        <v>2.998</v>
      </c>
      <c r="C10" s="6">
        <f>SUMIFS($F$26:$F1517,$C$26:$C1517,"醫藥",$I$26:$I1517,"1")</f>
        <v>2.998</v>
      </c>
      <c r="D10" s="6">
        <f>SUMIFS($F$26:$F1517,$C$26:$C1517,"醫藥",$J$26:$J1517,"1")</f>
        <v>2.998</v>
      </c>
      <c r="E10" s="6">
        <f>SUMIFS($F$26:$F1517,$C$26:$C1517,"醫藥",$K$26:$K1517,"1")</f>
        <v>2.998</v>
      </c>
      <c r="F10" s="127">
        <f>SUMIFS($F$26:$F1517,$C$26:$C1517,"醫藥",$N$26:$N1517,"1")</f>
        <v>2.998</v>
      </c>
    </row>
    <row r="11">
      <c r="A11" s="128" t="s">
        <v>33</v>
      </c>
      <c r="B11" s="129">
        <f>SUMIFS($F$26:$F1517,$C$26:$C1517,"其他",$H$26:$H1517,"1")</f>
        <v>4.52</v>
      </c>
      <c r="C11" s="129">
        <f>SUMIFS($F$26:$F1517,$C$26:$C1517,"其他",$I$26:$I1517,"1")</f>
        <v>0</v>
      </c>
      <c r="D11" s="129">
        <f>SUMIFS($F$26:$F1517,$C$26:$C1517,"其他",$J$26:$J1517,"1")</f>
        <v>0</v>
      </c>
      <c r="E11" s="129">
        <f>SUMIFS($F$26:$F1517,$C$26:$C1517,"其他",$K$26:$K1517,"1")</f>
        <v>0</v>
      </c>
      <c r="F11" s="130">
        <f>SUMIFS($F$26:$F1517,$C$26:$C1517,"其他",$N$26:$N1517,"1")</f>
        <v>20.33</v>
      </c>
    </row>
    <row r="12">
      <c r="A12" s="131" t="s">
        <v>328</v>
      </c>
      <c r="B12" s="6">
        <f t="shared" ref="B12:F12" si="1">SUM(B2:B11)</f>
        <v>1343.779991</v>
      </c>
      <c r="C12" s="6">
        <f t="shared" si="1"/>
        <v>1312.616258</v>
      </c>
      <c r="D12" s="6">
        <f t="shared" si="1"/>
        <v>1607.465774</v>
      </c>
      <c r="E12" s="6">
        <f t="shared" si="1"/>
        <v>1329.217308</v>
      </c>
      <c r="F12" s="6">
        <f t="shared" si="1"/>
        <v>1205.491339</v>
      </c>
    </row>
    <row r="25">
      <c r="A25" s="132" t="str">
        <f>IFERROR(__xludf.DUMMYFUNCTION("IMPORTRANGE(""https://docs.google.com/spreadsheets/d/1dZpkWD3REnvVALQwbfOZZpKYnujFN1S_8pHjXVTirOc/edit#gid=1977712179"", ""Daily Expense_Apr!A12:N"")
"),"Date")</f>
        <v>Date</v>
      </c>
      <c r="B25" s="132" t="str">
        <f>IFERROR(__xludf.DUMMYFUNCTION("""COMPUTED_VALUE"""),"Item")</f>
        <v>Item</v>
      </c>
      <c r="C25" s="132" t="str">
        <f>IFERROR(__xludf.DUMMYFUNCTION("""COMPUTED_VALUE"""),"Type")</f>
        <v>Type</v>
      </c>
      <c r="D25" s="132" t="str">
        <f>IFERROR(__xludf.DUMMYFUNCTION("""COMPUTED_VALUE"""),"Price")</f>
        <v>Price</v>
      </c>
      <c r="E25" s="132" t="str">
        <f>IFERROR(__xludf.DUMMYFUNCTION("""COMPUTED_VALUE"""),"Paid by")</f>
        <v>Paid by</v>
      </c>
      <c r="F25" s="132" t="str">
        <f>IFERROR(__xludf.DUMMYFUNCTION("""COMPUTED_VALUE"""),"For Record 請勿清除")</f>
        <v>For Record 請勿清除</v>
      </c>
      <c r="G25" s="132" t="str">
        <f>IFERROR(__xludf.DUMMYFUNCTION("""COMPUTED_VALUE"""),"Average 清算後可清除")</f>
        <v>Average 清算後可清除</v>
      </c>
      <c r="H25" s="132" t="str">
        <f>IFERROR(__xludf.DUMMYFUNCTION("""COMPUTED_VALUE"""),"Timothy")</f>
        <v>Timothy</v>
      </c>
      <c r="I25" s="132" t="str">
        <f>IFERROR(__xludf.DUMMYFUNCTION("""COMPUTED_VALUE"""),"Rachel")</f>
        <v>Rachel</v>
      </c>
      <c r="J25" s="132" t="str">
        <f>IFERROR(__xludf.DUMMYFUNCTION("""COMPUTED_VALUE"""),"Bryan")</f>
        <v>Bryan</v>
      </c>
      <c r="K25" s="132" t="str">
        <f>IFERROR(__xludf.DUMMYFUNCTION("""COMPUTED_VALUE"""),"Pigskin")</f>
        <v>Pigskin</v>
      </c>
      <c r="L25" s="132" t="str">
        <f>IFERROR(__xludf.DUMMYFUNCTION("""COMPUTED_VALUE"""),"Angel")</f>
        <v>Angel</v>
      </c>
      <c r="M25" s="132" t="str">
        <f>IFERROR(__xludf.DUMMYFUNCTION("""COMPUTED_VALUE"""),"Ivan")</f>
        <v>Ivan</v>
      </c>
      <c r="N25" s="132" t="str">
        <f>IFERROR(__xludf.DUMMYFUNCTION("""COMPUTED_VALUE"""),"Esther")</f>
        <v>Esther</v>
      </c>
      <c r="O25" s="132"/>
      <c r="P25" s="132"/>
      <c r="Q25" s="132" t="str">
        <f>IFERROR(__xludf.DUMMYFUNCTION("IMPORTRANGE(""https://docs.google.com/spreadsheets/d/1dZpkWD3REnvVALQwbfOZZpKYnujFN1S_8pHjXVTirOc/edit#gid=1388060777"", ""Monthly Constant Expense!A:I"")"),"Month")</f>
        <v>Month</v>
      </c>
      <c r="R25" s="132" t="str">
        <f>IFERROR(__xludf.DUMMYFUNCTION("""COMPUTED_VALUE"""),"Item")</f>
        <v>Item</v>
      </c>
      <c r="S25" s="132" t="str">
        <f>IFERROR(__xludf.DUMMYFUNCTION("""COMPUTED_VALUE"""),"Total Price")</f>
        <v>Total Price</v>
      </c>
      <c r="T25" s="132" t="str">
        <f>IFERROR(__xludf.DUMMYFUNCTION("""COMPUTED_VALUE"""),"Per person")</f>
        <v>Per person</v>
      </c>
      <c r="U25" s="132" t="str">
        <f>IFERROR(__xludf.DUMMYFUNCTION("""COMPUTED_VALUE"""),"Timothy")</f>
        <v>Timothy</v>
      </c>
      <c r="V25" s="132" t="str">
        <f>IFERROR(__xludf.DUMMYFUNCTION("""COMPUTED_VALUE"""),"Rachel")</f>
        <v>Rachel</v>
      </c>
      <c r="W25" s="132" t="str">
        <f>IFERROR(__xludf.DUMMYFUNCTION("""COMPUTED_VALUE"""),"Bryan")</f>
        <v>Bryan</v>
      </c>
      <c r="X25" s="132" t="str">
        <f>IFERROR(__xludf.DUMMYFUNCTION("""COMPUTED_VALUE"""),"Pigskin")</f>
        <v>Pigskin</v>
      </c>
      <c r="Y25" s="132" t="str">
        <f>IFERROR(__xludf.DUMMYFUNCTION("""COMPUTED_VALUE"""),"Apple")</f>
        <v>Apple</v>
      </c>
      <c r="Z25" s="132"/>
    </row>
    <row r="26">
      <c r="A26" s="133">
        <f>IFERROR(__xludf.DUMMYFUNCTION("""COMPUTED_VALUE"""),45353.0)</f>
        <v>45353</v>
      </c>
      <c r="B26" s="132" t="str">
        <f>IFERROR(__xludf.DUMMYFUNCTION("""COMPUTED_VALUE"""),"Tnt sukiyaki")</f>
        <v>Tnt sukiyaki</v>
      </c>
      <c r="C26" s="132" t="str">
        <f>IFERROR(__xludf.DUMMYFUNCTION("""COMPUTED_VALUE"""),"食物")</f>
        <v>食物</v>
      </c>
      <c r="D26" s="135">
        <f>IFERROR(__xludf.DUMMYFUNCTION("""COMPUTED_VALUE"""),77.83)</f>
        <v>77.83</v>
      </c>
      <c r="E26" s="132" t="str">
        <f>IFERROR(__xludf.DUMMYFUNCTION("""COMPUTED_VALUE"""),"Pigskin")</f>
        <v>Pigskin</v>
      </c>
      <c r="F26" s="132">
        <f>IFERROR(__xludf.DUMMYFUNCTION("""COMPUTED_VALUE"""),12.971666666666666)</f>
        <v>12.97166667</v>
      </c>
      <c r="G26" s="132">
        <f>IFERROR(__xludf.DUMMYFUNCTION("""COMPUTED_VALUE"""),12.971666666666666)</f>
        <v>12.97166667</v>
      </c>
      <c r="H26" s="132">
        <f>IFERROR(__xludf.DUMMYFUNCTION("""COMPUTED_VALUE"""),1.0)</f>
        <v>1</v>
      </c>
      <c r="I26" s="132">
        <f>IFERROR(__xludf.DUMMYFUNCTION("""COMPUTED_VALUE"""),1.0)</f>
        <v>1</v>
      </c>
      <c r="J26" s="132">
        <f>IFERROR(__xludf.DUMMYFUNCTION("""COMPUTED_VALUE"""),1.0)</f>
        <v>1</v>
      </c>
      <c r="K26" s="132">
        <f>IFERROR(__xludf.DUMMYFUNCTION("""COMPUTED_VALUE"""),1.0)</f>
        <v>1</v>
      </c>
      <c r="L26" s="132">
        <f>IFERROR(__xludf.DUMMYFUNCTION("""COMPUTED_VALUE"""),1.0)</f>
        <v>1</v>
      </c>
      <c r="M26" s="132"/>
      <c r="N26" s="132">
        <f>IFERROR(__xludf.DUMMYFUNCTION("""COMPUTED_VALUE"""),1.0)</f>
        <v>1</v>
      </c>
      <c r="O26" s="132"/>
      <c r="P26" s="132"/>
      <c r="Q26" s="134">
        <f>IFERROR(__xludf.DUMMYFUNCTION("""COMPUTED_VALUE"""),45200.0)</f>
        <v>45200</v>
      </c>
      <c r="R26" s="132" t="str">
        <f>IFERROR(__xludf.DUMMYFUNCTION("""COMPUTED_VALUE"""),"2 months rent")</f>
        <v>2 months rent</v>
      </c>
      <c r="S26" s="132">
        <f>IFERROR(__xludf.DUMMYFUNCTION("""COMPUTED_VALUE"""),7200.0)</f>
        <v>7200</v>
      </c>
      <c r="T26" s="132">
        <f>IFERROR(__xludf.DUMMYFUNCTION("""COMPUTED_VALUE"""),1440.0)</f>
        <v>1440</v>
      </c>
      <c r="U26" s="132" t="str">
        <f>IFERROR(__xludf.DUMMYFUNCTION("""COMPUTED_VALUE"""),"Paid")</f>
        <v>Paid</v>
      </c>
      <c r="V26" s="132" t="str">
        <f>IFERROR(__xludf.DUMMYFUNCTION("""COMPUTED_VALUE"""),"Paid")</f>
        <v>Paid</v>
      </c>
      <c r="W26" s="132" t="str">
        <f>IFERROR(__xludf.DUMMYFUNCTION("""COMPUTED_VALUE"""),"Paid")</f>
        <v>Paid</v>
      </c>
      <c r="X26" s="132" t="str">
        <f>IFERROR(__xludf.DUMMYFUNCTION("""COMPUTED_VALUE"""),"Paid")</f>
        <v>Paid</v>
      </c>
      <c r="Y26" s="132" t="str">
        <f>IFERROR(__xludf.DUMMYFUNCTION("""COMPUTED_VALUE"""),"Paid")</f>
        <v>Paid</v>
      </c>
      <c r="Z26" s="132"/>
    </row>
    <row r="27">
      <c r="A27" s="133">
        <f>IFERROR(__xludf.DUMMYFUNCTION("""COMPUTED_VALUE"""),45353.0)</f>
        <v>45353</v>
      </c>
      <c r="B27" s="132" t="str">
        <f>IFERROR(__xludf.DUMMYFUNCTION("""COMPUTED_VALUE"""),"Pei pa koa")</f>
        <v>Pei pa koa</v>
      </c>
      <c r="C27" s="132" t="str">
        <f>IFERROR(__xludf.DUMMYFUNCTION("""COMPUTED_VALUE"""),"醫藥")</f>
        <v>醫藥</v>
      </c>
      <c r="D27" s="135">
        <f>IFERROR(__xludf.DUMMYFUNCTION("""COMPUTED_VALUE"""),14.99)</f>
        <v>14.99</v>
      </c>
      <c r="E27" s="132" t="str">
        <f>IFERROR(__xludf.DUMMYFUNCTION("""COMPUTED_VALUE"""),"Pigskin")</f>
        <v>Pigskin</v>
      </c>
      <c r="F27" s="132">
        <f>IFERROR(__xludf.DUMMYFUNCTION("""COMPUTED_VALUE"""),2.998)</f>
        <v>2.998</v>
      </c>
      <c r="G27" s="132">
        <f>IFERROR(__xludf.DUMMYFUNCTION("""COMPUTED_VALUE"""),2.998)</f>
        <v>2.998</v>
      </c>
      <c r="H27" s="132">
        <f>IFERROR(__xludf.DUMMYFUNCTION("""COMPUTED_VALUE"""),1.0)</f>
        <v>1</v>
      </c>
      <c r="I27" s="132">
        <f>IFERROR(__xludf.DUMMYFUNCTION("""COMPUTED_VALUE"""),1.0)</f>
        <v>1</v>
      </c>
      <c r="J27" s="132">
        <f>IFERROR(__xludf.DUMMYFUNCTION("""COMPUTED_VALUE"""),1.0)</f>
        <v>1</v>
      </c>
      <c r="K27" s="132">
        <f>IFERROR(__xludf.DUMMYFUNCTION("""COMPUTED_VALUE"""),1.0)</f>
        <v>1</v>
      </c>
      <c r="L27" s="132"/>
      <c r="M27" s="132"/>
      <c r="N27" s="132">
        <f>IFERROR(__xludf.DUMMYFUNCTION("""COMPUTED_VALUE"""),1.0)</f>
        <v>1</v>
      </c>
      <c r="O27" s="132"/>
      <c r="P27" s="132"/>
      <c r="Q27" s="132"/>
      <c r="R27" s="132" t="str">
        <f>IFERROR(__xludf.DUMMYFUNCTION("""COMPUTED_VALUE"""),"Housing Insurance")</f>
        <v>Housing Insurance</v>
      </c>
      <c r="S27" s="132">
        <f>IFERROR(__xludf.DUMMYFUNCTION("""COMPUTED_VALUE"""),676.3)</f>
        <v>676.3</v>
      </c>
      <c r="T27" s="132">
        <f>IFERROR(__xludf.DUMMYFUNCTION("""COMPUTED_VALUE"""),135.26)</f>
        <v>135.26</v>
      </c>
      <c r="U27" s="132" t="str">
        <f>IFERROR(__xludf.DUMMYFUNCTION("""COMPUTED_VALUE"""),"Paid")</f>
        <v>Paid</v>
      </c>
      <c r="V27" s="132" t="str">
        <f>IFERROR(__xludf.DUMMYFUNCTION("""COMPUTED_VALUE"""),"Paid")</f>
        <v>Paid</v>
      </c>
      <c r="W27" s="132" t="str">
        <f>IFERROR(__xludf.DUMMYFUNCTION("""COMPUTED_VALUE"""),"Paid")</f>
        <v>Paid</v>
      </c>
      <c r="X27" s="132" t="str">
        <f>IFERROR(__xludf.DUMMYFUNCTION("""COMPUTED_VALUE"""),"Paid")</f>
        <v>Paid</v>
      </c>
      <c r="Y27" s="132"/>
      <c r="Z27" s="132"/>
    </row>
    <row r="28">
      <c r="A28" s="133">
        <f>IFERROR(__xludf.DUMMYFUNCTION("""COMPUTED_VALUE"""),45378.0)</f>
        <v>45378</v>
      </c>
      <c r="B28" s="132" t="str">
        <f>IFERROR(__xludf.DUMMYFUNCTION("""COMPUTED_VALUE"""),"Foody ")</f>
        <v>Foody </v>
      </c>
      <c r="C28" s="132" t="str">
        <f>IFERROR(__xludf.DUMMYFUNCTION("""COMPUTED_VALUE"""),"食物")</f>
        <v>食物</v>
      </c>
      <c r="D28" s="135">
        <f>IFERROR(__xludf.DUMMYFUNCTION("""COMPUTED_VALUE"""),5.98)</f>
        <v>5.98</v>
      </c>
      <c r="E28" s="132" t="str">
        <f>IFERROR(__xludf.DUMMYFUNCTION("""COMPUTED_VALUE"""),"BL")</f>
        <v>BL</v>
      </c>
      <c r="F28" s="132">
        <f>IFERROR(__xludf.DUMMYFUNCTION("""COMPUTED_VALUE"""),1.1960000000000002)</f>
        <v>1.196</v>
      </c>
      <c r="G28" s="132">
        <f>IFERROR(__xludf.DUMMYFUNCTION("""COMPUTED_VALUE"""),1.1960000000000002)</f>
        <v>1.196</v>
      </c>
      <c r="H28" s="132">
        <f>IFERROR(__xludf.DUMMYFUNCTION("""COMPUTED_VALUE"""),1.0)</f>
        <v>1</v>
      </c>
      <c r="I28" s="132">
        <f>IFERROR(__xludf.DUMMYFUNCTION("""COMPUTED_VALUE"""),1.0)</f>
        <v>1</v>
      </c>
      <c r="J28" s="132">
        <f>IFERROR(__xludf.DUMMYFUNCTION("""COMPUTED_VALUE"""),1.0)</f>
        <v>1</v>
      </c>
      <c r="K28" s="132">
        <f>IFERROR(__xludf.DUMMYFUNCTION("""COMPUTED_VALUE"""),1.0)</f>
        <v>1</v>
      </c>
      <c r="L28" s="132"/>
      <c r="M28" s="132">
        <f>IFERROR(__xludf.DUMMYFUNCTION("""COMPUTED_VALUE"""),1.0)</f>
        <v>1</v>
      </c>
      <c r="N28" s="132"/>
      <c r="O28" s="132"/>
      <c r="P28" s="132"/>
      <c r="Q28" s="132"/>
      <c r="R28" s="132" t="str">
        <f>IFERROR(__xludf.DUMMYFUNCTION("""COMPUTED_VALUE"""),"Rent (up-front)")</f>
        <v>Rent (up-front)</v>
      </c>
      <c r="S28" s="132">
        <f>IFERROR(__xludf.DUMMYFUNCTION("""COMPUTED_VALUE"""),14400.0)</f>
        <v>14400</v>
      </c>
      <c r="T28" s="132">
        <f>IFERROR(__xludf.DUMMYFUNCTION("""COMPUTED_VALUE"""),2880.0)</f>
        <v>2880</v>
      </c>
      <c r="U28" s="132" t="str">
        <f>IFERROR(__xludf.DUMMYFUNCTION("""COMPUTED_VALUE"""),"Paid")</f>
        <v>Paid</v>
      </c>
      <c r="V28" s="132" t="str">
        <f>IFERROR(__xludf.DUMMYFUNCTION("""COMPUTED_VALUE"""),"Paid")</f>
        <v>Paid</v>
      </c>
      <c r="W28" s="132" t="str">
        <f>IFERROR(__xludf.DUMMYFUNCTION("""COMPUTED_VALUE"""),"Paid")</f>
        <v>Paid</v>
      </c>
      <c r="X28" s="132" t="str">
        <f>IFERROR(__xludf.DUMMYFUNCTION("""COMPUTED_VALUE"""),"Paid")</f>
        <v>Paid</v>
      </c>
      <c r="Y28" s="132" t="str">
        <f>IFERROR(__xludf.DUMMYFUNCTION("""COMPUTED_VALUE"""),"Paid")</f>
        <v>Paid</v>
      </c>
      <c r="Z28" s="132"/>
    </row>
    <row r="29">
      <c r="A29" s="133">
        <f>IFERROR(__xludf.DUMMYFUNCTION("""COMPUTED_VALUE"""),45378.0)</f>
        <v>45378</v>
      </c>
      <c r="B29" s="132" t="str">
        <f>IFERROR(__xludf.DUMMYFUNCTION("""COMPUTED_VALUE"""),"Foody")</f>
        <v>Foody</v>
      </c>
      <c r="C29" s="132" t="str">
        <f>IFERROR(__xludf.DUMMYFUNCTION("""COMPUTED_VALUE"""),"食物")</f>
        <v>食物</v>
      </c>
      <c r="D29" s="132">
        <f>IFERROR(__xludf.DUMMYFUNCTION("""COMPUTED_VALUE"""),9.870000000000001)</f>
        <v>9.87</v>
      </c>
      <c r="E29" s="132" t="str">
        <f>IFERROR(__xludf.DUMMYFUNCTION("""COMPUTED_VALUE"""),"BL")</f>
        <v>BL</v>
      </c>
      <c r="F29" s="132">
        <f>IFERROR(__xludf.DUMMYFUNCTION("""COMPUTED_VALUE"""),1.9740000000000002)</f>
        <v>1.974</v>
      </c>
      <c r="G29" s="132">
        <f>IFERROR(__xludf.DUMMYFUNCTION("""COMPUTED_VALUE"""),1.9740000000000002)</f>
        <v>1.974</v>
      </c>
      <c r="H29" s="132">
        <f>IFERROR(__xludf.DUMMYFUNCTION("""COMPUTED_VALUE"""),1.0)</f>
        <v>1</v>
      </c>
      <c r="I29" s="132">
        <f>IFERROR(__xludf.DUMMYFUNCTION("""COMPUTED_VALUE"""),1.0)</f>
        <v>1</v>
      </c>
      <c r="J29" s="132">
        <f>IFERROR(__xludf.DUMMYFUNCTION("""COMPUTED_VALUE"""),1.0)</f>
        <v>1</v>
      </c>
      <c r="K29" s="132">
        <f>IFERROR(__xludf.DUMMYFUNCTION("""COMPUTED_VALUE"""),1.0)</f>
        <v>1</v>
      </c>
      <c r="L29" s="132"/>
      <c r="M29" s="132"/>
      <c r="N29" s="132">
        <f>IFERROR(__xludf.DUMMYFUNCTION("""COMPUTED_VALUE"""),1.0)</f>
        <v>1</v>
      </c>
      <c r="O29" s="132"/>
      <c r="P29" s="132"/>
      <c r="Q29" s="132"/>
      <c r="R29" s="132" t="str">
        <f>IFERROR(__xludf.DUMMYFUNCTION("""COMPUTED_VALUE"""),"Key Deposit")</f>
        <v>Key Deposit</v>
      </c>
      <c r="S29" s="132">
        <f>IFERROR(__xludf.DUMMYFUNCTION("""COMPUTED_VALUE"""),200.0)</f>
        <v>200</v>
      </c>
      <c r="T29" s="132">
        <f>IFERROR(__xludf.DUMMYFUNCTION("""COMPUTED_VALUE"""),40.0)</f>
        <v>40</v>
      </c>
      <c r="U29" s="132" t="str">
        <f>IFERROR(__xludf.DUMMYFUNCTION("""COMPUTED_VALUE"""),"Paid")</f>
        <v>Paid</v>
      </c>
      <c r="V29" s="132" t="str">
        <f>IFERROR(__xludf.DUMMYFUNCTION("""COMPUTED_VALUE"""),"Paid")</f>
        <v>Paid</v>
      </c>
      <c r="W29" s="132" t="str">
        <f>IFERROR(__xludf.DUMMYFUNCTION("""COMPUTED_VALUE"""),"Paid")</f>
        <v>Paid</v>
      </c>
      <c r="X29" s="132" t="str">
        <f>IFERROR(__xludf.DUMMYFUNCTION("""COMPUTED_VALUE"""),"Paid")</f>
        <v>Paid</v>
      </c>
      <c r="Y29" s="132" t="str">
        <f>IFERROR(__xludf.DUMMYFUNCTION("""COMPUTED_VALUE"""),"Paid")</f>
        <v>Paid</v>
      </c>
      <c r="Z29" s="132"/>
    </row>
    <row r="30">
      <c r="A30" s="133">
        <f>IFERROR(__xludf.DUMMYFUNCTION("""COMPUTED_VALUE"""),45381.0)</f>
        <v>45381</v>
      </c>
      <c r="B30" s="132" t="str">
        <f>IFERROR(__xludf.DUMMYFUNCTION("""COMPUTED_VALUE"""),"tamjai")</f>
        <v>tamjai</v>
      </c>
      <c r="C30" s="132" t="str">
        <f>IFERROR(__xludf.DUMMYFUNCTION("""COMPUTED_VALUE"""),"食物")</f>
        <v>食物</v>
      </c>
      <c r="D30" s="132">
        <f>IFERROR(__xludf.DUMMYFUNCTION("""COMPUTED_VALUE"""),16.09)</f>
        <v>16.09</v>
      </c>
      <c r="E30" s="132" t="str">
        <f>IFERROR(__xludf.DUMMYFUNCTION("""COMPUTED_VALUE"""),"BL")</f>
        <v>BL</v>
      </c>
      <c r="F30" s="132">
        <f>IFERROR(__xludf.DUMMYFUNCTION("""COMPUTED_VALUE"""),2.2985714285714285)</f>
        <v>2.298571429</v>
      </c>
      <c r="G30" s="132">
        <f>IFERROR(__xludf.DUMMYFUNCTION("""COMPUTED_VALUE"""),2.2985714285714285)</f>
        <v>2.298571429</v>
      </c>
      <c r="H30" s="132">
        <f>IFERROR(__xludf.DUMMYFUNCTION("""COMPUTED_VALUE"""),1.0)</f>
        <v>1</v>
      </c>
      <c r="I30" s="132">
        <f>IFERROR(__xludf.DUMMYFUNCTION("""COMPUTED_VALUE"""),1.0)</f>
        <v>1</v>
      </c>
      <c r="J30" s="132">
        <f>IFERROR(__xludf.DUMMYFUNCTION("""COMPUTED_VALUE"""),1.0)</f>
        <v>1</v>
      </c>
      <c r="K30" s="132">
        <f>IFERROR(__xludf.DUMMYFUNCTION("""COMPUTED_VALUE"""),1.0)</f>
        <v>1</v>
      </c>
      <c r="L30" s="132">
        <f>IFERROR(__xludf.DUMMYFUNCTION("""COMPUTED_VALUE"""),1.0)</f>
        <v>1</v>
      </c>
      <c r="M30" s="132">
        <f>IFERROR(__xludf.DUMMYFUNCTION("""COMPUTED_VALUE"""),1.0)</f>
        <v>1</v>
      </c>
      <c r="N30" s="132">
        <f>IFERROR(__xludf.DUMMYFUNCTION("""COMPUTED_VALUE"""),1.0)</f>
        <v>1</v>
      </c>
      <c r="O30" s="132"/>
      <c r="P30" s="132"/>
      <c r="Q30" s="132"/>
      <c r="R30" s="132" t="str">
        <f>IFERROR(__xludf.DUMMYFUNCTION("""COMPUTED_VALUE"""),"Furniture Deposit")</f>
        <v>Furniture Deposit</v>
      </c>
      <c r="S30" s="132">
        <f>IFERROR(__xludf.DUMMYFUNCTION("""COMPUTED_VALUE"""),800.0)</f>
        <v>800</v>
      </c>
      <c r="T30" s="132">
        <f>IFERROR(__xludf.DUMMYFUNCTION("""COMPUTED_VALUE"""),160.0)</f>
        <v>160</v>
      </c>
      <c r="U30" s="132" t="str">
        <f>IFERROR(__xludf.DUMMYFUNCTION("""COMPUTED_VALUE"""),"Paid")</f>
        <v>Paid</v>
      </c>
      <c r="V30" s="132" t="str">
        <f>IFERROR(__xludf.DUMMYFUNCTION("""COMPUTED_VALUE"""),"Paid")</f>
        <v>Paid</v>
      </c>
      <c r="W30" s="132" t="str">
        <f>IFERROR(__xludf.DUMMYFUNCTION("""COMPUTED_VALUE"""),"Paid")</f>
        <v>Paid</v>
      </c>
      <c r="X30" s="132" t="str">
        <f>IFERROR(__xludf.DUMMYFUNCTION("""COMPUTED_VALUE"""),"Paid")</f>
        <v>Paid</v>
      </c>
      <c r="Y30" s="132" t="str">
        <f>IFERROR(__xludf.DUMMYFUNCTION("""COMPUTED_VALUE"""),"Paid")</f>
        <v>Paid</v>
      </c>
      <c r="Z30" s="132"/>
    </row>
    <row r="31">
      <c r="A31" s="133">
        <f>IFERROR(__xludf.DUMMYFUNCTION("""COMPUTED_VALUE"""),45382.0)</f>
        <v>45382</v>
      </c>
      <c r="B31" s="132" t="str">
        <f>IFERROR(__xludf.DUMMYFUNCTION("""COMPUTED_VALUE"""),"Phoenix")</f>
        <v>Phoenix</v>
      </c>
      <c r="C31" s="132" t="str">
        <f>IFERROR(__xludf.DUMMYFUNCTION("""COMPUTED_VALUE"""),"食物")</f>
        <v>食物</v>
      </c>
      <c r="D31" s="132">
        <f>IFERROR(__xludf.DUMMYFUNCTION("""COMPUTED_VALUE"""),65.0)</f>
        <v>65</v>
      </c>
      <c r="E31" s="132" t="str">
        <f>IFERROR(__xludf.DUMMYFUNCTION("""COMPUTED_VALUE"""),"Pigskin")</f>
        <v>Pigskin</v>
      </c>
      <c r="F31" s="132">
        <f>IFERROR(__xludf.DUMMYFUNCTION("""COMPUTED_VALUE"""),16.25)</f>
        <v>16.25</v>
      </c>
      <c r="G31" s="132">
        <f>IFERROR(__xludf.DUMMYFUNCTION("""COMPUTED_VALUE"""),16.25)</f>
        <v>16.25</v>
      </c>
      <c r="H31" s="132">
        <f>IFERROR(__xludf.DUMMYFUNCTION("""COMPUTED_VALUE"""),1.0)</f>
        <v>1</v>
      </c>
      <c r="I31" s="132">
        <f>IFERROR(__xludf.DUMMYFUNCTION("""COMPUTED_VALUE"""),1.0)</f>
        <v>1</v>
      </c>
      <c r="J31" s="132">
        <f>IFERROR(__xludf.DUMMYFUNCTION("""COMPUTED_VALUE"""),1.0)</f>
        <v>1</v>
      </c>
      <c r="K31" s="132">
        <f>IFERROR(__xludf.DUMMYFUNCTION("""COMPUTED_VALUE"""),1.0)</f>
        <v>1</v>
      </c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>
      <c r="A32" s="133">
        <f>IFERROR(__xludf.DUMMYFUNCTION("""COMPUTED_VALUE"""),45383.0)</f>
        <v>45383</v>
      </c>
      <c r="B32" s="132" t="str">
        <f>IFERROR(__xludf.DUMMYFUNCTION("""COMPUTED_VALUE"""),"Foody")</f>
        <v>Foody</v>
      </c>
      <c r="C32" s="132" t="str">
        <f>IFERROR(__xludf.DUMMYFUNCTION("""COMPUTED_VALUE"""),"食物")</f>
        <v>食物</v>
      </c>
      <c r="D32" s="132">
        <f>IFERROR(__xludf.DUMMYFUNCTION("""COMPUTED_VALUE"""),18.01)</f>
        <v>18.01</v>
      </c>
      <c r="E32" s="132" t="str">
        <f>IFERROR(__xludf.DUMMYFUNCTION("""COMPUTED_VALUE"""),"BL")</f>
        <v>BL</v>
      </c>
      <c r="F32" s="132">
        <f>IFERROR(__xludf.DUMMYFUNCTION("""COMPUTED_VALUE"""),3.6020000000000003)</f>
        <v>3.602</v>
      </c>
      <c r="G32" s="132">
        <f>IFERROR(__xludf.DUMMYFUNCTION("""COMPUTED_VALUE"""),3.6020000000000003)</f>
        <v>3.602</v>
      </c>
      <c r="H32" s="132">
        <f>IFERROR(__xludf.DUMMYFUNCTION("""COMPUTED_VALUE"""),1.0)</f>
        <v>1</v>
      </c>
      <c r="I32" s="132">
        <f>IFERROR(__xludf.DUMMYFUNCTION("""COMPUTED_VALUE"""),1.0)</f>
        <v>1</v>
      </c>
      <c r="J32" s="132">
        <f>IFERROR(__xludf.DUMMYFUNCTION("""COMPUTED_VALUE"""),1.0)</f>
        <v>1</v>
      </c>
      <c r="K32" s="132">
        <f>IFERROR(__xludf.DUMMYFUNCTION("""COMPUTED_VALUE"""),1.0)</f>
        <v>1</v>
      </c>
      <c r="L32" s="132"/>
      <c r="M32" s="132"/>
      <c r="N32" s="132">
        <f>IFERROR(__xludf.DUMMYFUNCTION("""COMPUTED_VALUE"""),1.0)</f>
        <v>1</v>
      </c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>
      <c r="A33" s="133">
        <f>IFERROR(__xludf.DUMMYFUNCTION("""COMPUTED_VALUE"""),45383.0)</f>
        <v>45383</v>
      </c>
      <c r="B33" s="132" t="str">
        <f>IFERROR(__xludf.DUMMYFUNCTION("""COMPUTED_VALUE"""),"Sewing kit")</f>
        <v>Sewing kit</v>
      </c>
      <c r="C33" s="132" t="str">
        <f>IFERROR(__xludf.DUMMYFUNCTION("""COMPUTED_VALUE"""),"其他")</f>
        <v>其他</v>
      </c>
      <c r="D33" s="132">
        <f>IFERROR(__xludf.DUMMYFUNCTION("""COMPUTED_VALUE"""),20.33)</f>
        <v>20.33</v>
      </c>
      <c r="E33" s="132" t="str">
        <f>IFERROR(__xludf.DUMMYFUNCTION("""COMPUTED_VALUE"""),"BL")</f>
        <v>BL</v>
      </c>
      <c r="F33" s="132">
        <f>IFERROR(__xludf.DUMMYFUNCTION("""COMPUTED_VALUE"""),20.33)</f>
        <v>20.33</v>
      </c>
      <c r="G33" s="132">
        <f>IFERROR(__xludf.DUMMYFUNCTION("""COMPUTED_VALUE"""),20.33)</f>
        <v>20.33</v>
      </c>
      <c r="H33" s="132"/>
      <c r="I33" s="132"/>
      <c r="J33" s="132"/>
      <c r="K33" s="132"/>
      <c r="L33" s="132"/>
      <c r="M33" s="132"/>
      <c r="N33" s="132">
        <f>IFERROR(__xludf.DUMMYFUNCTION("""COMPUTED_VALUE"""),1.0)</f>
        <v>1</v>
      </c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>
      <c r="A34" s="133">
        <f>IFERROR(__xludf.DUMMYFUNCTION("""COMPUTED_VALUE"""),45383.0)</f>
        <v>45383</v>
      </c>
      <c r="B34" s="132" t="str">
        <f>IFERROR(__xludf.DUMMYFUNCTION("""COMPUTED_VALUE"""),"Uber")</f>
        <v>Uber</v>
      </c>
      <c r="C34" s="132" t="str">
        <f>IFERROR(__xludf.DUMMYFUNCTION("""COMPUTED_VALUE"""),"交通")</f>
        <v>交通</v>
      </c>
      <c r="D34" s="132">
        <f>IFERROR(__xludf.DUMMYFUNCTION("""COMPUTED_VALUE"""),18.2)</f>
        <v>18.2</v>
      </c>
      <c r="E34" s="132" t="str">
        <f>IFERROR(__xludf.DUMMYFUNCTION("""COMPUTED_VALUE"""),"Bl")</f>
        <v>Bl</v>
      </c>
      <c r="F34" s="132">
        <f>IFERROR(__xludf.DUMMYFUNCTION("""COMPUTED_VALUE"""),9.1)</f>
        <v>9.1</v>
      </c>
      <c r="G34" s="132">
        <f>IFERROR(__xludf.DUMMYFUNCTION("""COMPUTED_VALUE"""),9.1)</f>
        <v>9.1</v>
      </c>
      <c r="H34" s="132"/>
      <c r="I34" s="132"/>
      <c r="J34" s="132">
        <f>IFERROR(__xludf.DUMMYFUNCTION("""COMPUTED_VALUE"""),1.0)</f>
        <v>1</v>
      </c>
      <c r="K34" s="132"/>
      <c r="L34" s="132"/>
      <c r="M34" s="132"/>
      <c r="N34" s="132">
        <f>IFERROR(__xludf.DUMMYFUNCTION("""COMPUTED_VALUE"""),1.0)</f>
        <v>1</v>
      </c>
      <c r="O34" s="132"/>
      <c r="P34" s="132"/>
      <c r="Q34" s="132"/>
      <c r="R34" s="132"/>
      <c r="S34" s="132">
        <f>IFERROR(__xludf.DUMMYFUNCTION("""COMPUTED_VALUE"""),23276.3)</f>
        <v>23276.3</v>
      </c>
      <c r="T34" s="132">
        <f>IFERROR(__xludf.DUMMYFUNCTION("""COMPUTED_VALUE"""),4655.26)</f>
        <v>4655.26</v>
      </c>
      <c r="U34" s="132"/>
      <c r="V34" s="132"/>
      <c r="W34" s="132"/>
      <c r="X34" s="132"/>
      <c r="Y34" s="132"/>
      <c r="Z34" s="132"/>
    </row>
    <row r="35">
      <c r="A35" s="136">
        <f>IFERROR(__xludf.DUMMYFUNCTION("""COMPUTED_VALUE"""),45383.0)</f>
        <v>45383</v>
      </c>
      <c r="B35" s="132" t="str">
        <f>IFERROR(__xludf.DUMMYFUNCTION("""COMPUTED_VALUE"""),"Lyft")</f>
        <v>Lyft</v>
      </c>
      <c r="C35" s="132" t="str">
        <f>IFERROR(__xludf.DUMMYFUNCTION("""COMPUTED_VALUE"""),"交通")</f>
        <v>交通</v>
      </c>
      <c r="D35" s="132">
        <f>IFERROR(__xludf.DUMMYFUNCTION("""COMPUTED_VALUE"""),15.77)</f>
        <v>15.77</v>
      </c>
      <c r="E35" s="132" t="str">
        <f>IFERROR(__xludf.DUMMYFUNCTION("""COMPUTED_VALUE"""),"BL")</f>
        <v>BL</v>
      </c>
      <c r="F35" s="132">
        <f>IFERROR(__xludf.DUMMYFUNCTION("""COMPUTED_VALUE"""),7.885)</f>
        <v>7.885</v>
      </c>
      <c r="G35" s="132">
        <f>IFERROR(__xludf.DUMMYFUNCTION("""COMPUTED_VALUE"""),7.885)</f>
        <v>7.885</v>
      </c>
      <c r="H35" s="132"/>
      <c r="I35" s="132"/>
      <c r="J35" s="132">
        <f>IFERROR(__xludf.DUMMYFUNCTION("""COMPUTED_VALUE"""),1.0)</f>
        <v>1</v>
      </c>
      <c r="K35" s="132"/>
      <c r="L35" s="132"/>
      <c r="M35" s="132"/>
      <c r="N35" s="132">
        <f>IFERROR(__xludf.DUMMYFUNCTION("""COMPUTED_VALUE"""),1.0)</f>
        <v>1</v>
      </c>
      <c r="O35" s="132"/>
      <c r="P35" s="132"/>
      <c r="Q35" s="134"/>
      <c r="R35" s="132"/>
      <c r="S35" s="132"/>
      <c r="T35" s="132"/>
      <c r="U35" s="132"/>
      <c r="V35" s="132"/>
      <c r="W35" s="132"/>
      <c r="X35" s="132"/>
      <c r="Y35" s="132"/>
      <c r="Z35" s="132"/>
    </row>
    <row r="36">
      <c r="A36" s="133">
        <f>IFERROR(__xludf.DUMMYFUNCTION("""COMPUTED_VALUE"""),45384.0)</f>
        <v>45384</v>
      </c>
      <c r="B36" s="132" t="str">
        <f>IFERROR(__xludf.DUMMYFUNCTION("""COMPUTED_VALUE"""),"Cantire")</f>
        <v>Cantire</v>
      </c>
      <c r="C36" s="132" t="str">
        <f>IFERROR(__xludf.DUMMYFUNCTION("""COMPUTED_VALUE"""),"居家")</f>
        <v>居家</v>
      </c>
      <c r="D36" s="132">
        <f>IFERROR(__xludf.DUMMYFUNCTION("""COMPUTED_VALUE"""),30.24)</f>
        <v>30.24</v>
      </c>
      <c r="E36" s="132" t="str">
        <f>IFERROR(__xludf.DUMMYFUNCTION("""COMPUTED_VALUE"""),"Pigskin")</f>
        <v>Pigskin</v>
      </c>
      <c r="F36" s="132">
        <f>IFERROR(__xludf.DUMMYFUNCTION("""COMPUTED_VALUE"""),6.048)</f>
        <v>6.048</v>
      </c>
      <c r="G36" s="132">
        <f>IFERROR(__xludf.DUMMYFUNCTION("""COMPUTED_VALUE"""),6.048)</f>
        <v>6.048</v>
      </c>
      <c r="H36" s="132">
        <f>IFERROR(__xludf.DUMMYFUNCTION("""COMPUTED_VALUE"""),1.0)</f>
        <v>1</v>
      </c>
      <c r="I36" s="132">
        <f>IFERROR(__xludf.DUMMYFUNCTION("""COMPUTED_VALUE"""),1.0)</f>
        <v>1</v>
      </c>
      <c r="J36" s="132">
        <f>IFERROR(__xludf.DUMMYFUNCTION("""COMPUTED_VALUE"""),1.0)</f>
        <v>1</v>
      </c>
      <c r="K36" s="132">
        <f>IFERROR(__xludf.DUMMYFUNCTION("""COMPUTED_VALUE"""),1.0)</f>
        <v>1</v>
      </c>
      <c r="L36" s="132"/>
      <c r="M36" s="132"/>
      <c r="N36" s="132">
        <f>IFERROR(__xludf.DUMMYFUNCTION("""COMPUTED_VALUE"""),1.0)</f>
        <v>1</v>
      </c>
      <c r="O36" s="132"/>
      <c r="P36" s="132"/>
      <c r="Q36" s="134">
        <f>IFERROR(__xludf.DUMMYFUNCTION("""COMPUTED_VALUE"""),45231.0)</f>
        <v>45231</v>
      </c>
      <c r="R36" s="132" t="str">
        <f>IFERROR(__xludf.DUMMYFUNCTION("""COMPUTED_VALUE"""),"Rent")</f>
        <v>Rent</v>
      </c>
      <c r="S36" s="132">
        <f>IFERROR(__xludf.DUMMYFUNCTION("""COMPUTED_VALUE"""),3600.0)</f>
        <v>3600</v>
      </c>
      <c r="T36" s="132">
        <f>IFERROR(__xludf.DUMMYFUNCTION("""COMPUTED_VALUE"""),720.0)</f>
        <v>720</v>
      </c>
      <c r="U36" s="132" t="str">
        <f>IFERROR(__xludf.DUMMYFUNCTION("""COMPUTED_VALUE"""),"Paid")</f>
        <v>Paid</v>
      </c>
      <c r="V36" s="132" t="str">
        <f>IFERROR(__xludf.DUMMYFUNCTION("""COMPUTED_VALUE"""),"Paid")</f>
        <v>Paid</v>
      </c>
      <c r="W36" s="132" t="str">
        <f>IFERROR(__xludf.DUMMYFUNCTION("""COMPUTED_VALUE"""),"Paid")</f>
        <v>Paid</v>
      </c>
      <c r="X36" s="132" t="str">
        <f>IFERROR(__xludf.DUMMYFUNCTION("""COMPUTED_VALUE"""),"Paid")</f>
        <v>Paid</v>
      </c>
      <c r="Y36" s="132" t="str">
        <f>IFERROR(__xludf.DUMMYFUNCTION("""COMPUTED_VALUE"""),"Paid")</f>
        <v>Paid</v>
      </c>
      <c r="Z36" s="132"/>
    </row>
    <row r="37">
      <c r="A37" s="136">
        <f>IFERROR(__xludf.DUMMYFUNCTION("""COMPUTED_VALUE"""),45384.0)</f>
        <v>45384</v>
      </c>
      <c r="B37" s="132" t="str">
        <f>IFERROR(__xludf.DUMMYFUNCTION("""COMPUTED_VALUE"""),"Lyft")</f>
        <v>Lyft</v>
      </c>
      <c r="C37" s="132" t="str">
        <f>IFERROR(__xludf.DUMMYFUNCTION("""COMPUTED_VALUE"""),"交通")</f>
        <v>交通</v>
      </c>
      <c r="D37" s="132">
        <f>IFERROR(__xludf.DUMMYFUNCTION("""COMPUTED_VALUE"""),10.98)</f>
        <v>10.98</v>
      </c>
      <c r="E37" s="132" t="str">
        <f>IFERROR(__xludf.DUMMYFUNCTION("""COMPUTED_VALUE"""),"Pigskin")</f>
        <v>Pigskin</v>
      </c>
      <c r="F37" s="132">
        <f>IFERROR(__xludf.DUMMYFUNCTION("""COMPUTED_VALUE"""),3.66)</f>
        <v>3.66</v>
      </c>
      <c r="G37" s="132">
        <f>IFERROR(__xludf.DUMMYFUNCTION("""COMPUTED_VALUE"""),3.66)</f>
        <v>3.66</v>
      </c>
      <c r="H37" s="132"/>
      <c r="I37" s="132">
        <f>IFERROR(__xludf.DUMMYFUNCTION("""COMPUTED_VALUE"""),1.0)</f>
        <v>1</v>
      </c>
      <c r="J37" s="132"/>
      <c r="K37" s="132">
        <f>IFERROR(__xludf.DUMMYFUNCTION("""COMPUTED_VALUE"""),1.0)</f>
        <v>1</v>
      </c>
      <c r="L37" s="132"/>
      <c r="M37" s="132"/>
      <c r="N37" s="132">
        <f>IFERROR(__xludf.DUMMYFUNCTION("""COMPUTED_VALUE"""),1.0)</f>
        <v>1</v>
      </c>
      <c r="O37" s="132"/>
      <c r="P37" s="132"/>
      <c r="Q37" s="132"/>
      <c r="R37" s="132" t="str">
        <f>IFERROR(__xludf.DUMMYFUNCTION("""COMPUTED_VALUE"""),"Water")</f>
        <v>Water</v>
      </c>
      <c r="S37" s="132"/>
      <c r="T37" s="132"/>
      <c r="U37" s="132"/>
      <c r="V37" s="132"/>
      <c r="W37" s="132"/>
      <c r="X37" s="132"/>
      <c r="Y37" s="132"/>
      <c r="Z37" s="132"/>
    </row>
    <row r="38">
      <c r="A38" s="133">
        <f>IFERROR(__xludf.DUMMYFUNCTION("""COMPUTED_VALUE"""),45384.0)</f>
        <v>45384</v>
      </c>
      <c r="B38" s="132" t="str">
        <f>IFERROR(__xludf.DUMMYFUNCTION("""COMPUTED_VALUE"""),"松田")</f>
        <v>松田</v>
      </c>
      <c r="C38" s="132" t="str">
        <f>IFERROR(__xludf.DUMMYFUNCTION("""COMPUTED_VALUE"""),"食物")</f>
        <v>食物</v>
      </c>
      <c r="D38" s="132">
        <f>IFERROR(__xludf.DUMMYFUNCTION("""COMPUTED_VALUE"""),360.0)</f>
        <v>360</v>
      </c>
      <c r="E38" s="132" t="str">
        <f>IFERROR(__xludf.DUMMYFUNCTION("""COMPUTED_VALUE"""),"BL")</f>
        <v>BL</v>
      </c>
      <c r="F38" s="132">
        <f>IFERROR(__xludf.DUMMYFUNCTION("""COMPUTED_VALUE"""),51.42857142857143)</f>
        <v>51.42857143</v>
      </c>
      <c r="G38" s="132">
        <f>IFERROR(__xludf.DUMMYFUNCTION("""COMPUTED_VALUE"""),51.42857142857143)</f>
        <v>51.42857143</v>
      </c>
      <c r="H38" s="132">
        <f>IFERROR(__xludf.DUMMYFUNCTION("""COMPUTED_VALUE"""),1.0)</f>
        <v>1</v>
      </c>
      <c r="I38" s="132">
        <f>IFERROR(__xludf.DUMMYFUNCTION("""COMPUTED_VALUE"""),1.0)</f>
        <v>1</v>
      </c>
      <c r="J38" s="132">
        <f>IFERROR(__xludf.DUMMYFUNCTION("""COMPUTED_VALUE"""),1.0)</f>
        <v>1</v>
      </c>
      <c r="K38" s="132">
        <f>IFERROR(__xludf.DUMMYFUNCTION("""COMPUTED_VALUE"""),1.0)</f>
        <v>1</v>
      </c>
      <c r="L38" s="132">
        <f>IFERROR(__xludf.DUMMYFUNCTION("""COMPUTED_VALUE"""),1.0)</f>
        <v>1</v>
      </c>
      <c r="M38" s="132">
        <f>IFERROR(__xludf.DUMMYFUNCTION("""COMPUTED_VALUE"""),1.0)</f>
        <v>1</v>
      </c>
      <c r="N38" s="132">
        <f>IFERROR(__xludf.DUMMYFUNCTION("""COMPUTED_VALUE"""),1.0)</f>
        <v>1</v>
      </c>
      <c r="O38" s="132"/>
      <c r="P38" s="132"/>
      <c r="Q38" s="132"/>
      <c r="R38" s="132" t="str">
        <f>IFERROR(__xludf.DUMMYFUNCTION("""COMPUTED_VALUE"""),"Heat (19/10-16/11)")</f>
        <v>Heat (19/10-16/11)</v>
      </c>
      <c r="S38" s="132">
        <f>IFERROR(__xludf.DUMMYFUNCTION("""COMPUTED_VALUE"""),136.95000000000002)</f>
        <v>136.95</v>
      </c>
      <c r="T38" s="132"/>
      <c r="U38" s="132">
        <f>IFERROR(__xludf.DUMMYFUNCTION("""COMPUTED_VALUE"""),40.53)</f>
        <v>40.53</v>
      </c>
      <c r="V38" s="132">
        <f>IFERROR(__xludf.DUMMYFUNCTION("""COMPUTED_VALUE"""),40.53)</f>
        <v>40.53</v>
      </c>
      <c r="W38" s="132">
        <f>IFERROR(__xludf.DUMMYFUNCTION("""COMPUTED_VALUE"""),25.15)</f>
        <v>25.15</v>
      </c>
      <c r="X38" s="132">
        <f>IFERROR(__xludf.DUMMYFUNCTION("""COMPUTED_VALUE"""),25.15)</f>
        <v>25.15</v>
      </c>
      <c r="Y38" s="132">
        <f>IFERROR(__xludf.DUMMYFUNCTION("""COMPUTED_VALUE"""),5.59)</f>
        <v>5.59</v>
      </c>
      <c r="Z38" s="132"/>
    </row>
    <row r="39">
      <c r="A39" s="133">
        <f>IFERROR(__xludf.DUMMYFUNCTION("""COMPUTED_VALUE"""),45386.0)</f>
        <v>45386</v>
      </c>
      <c r="B39" s="132" t="str">
        <f>IFERROR(__xludf.DUMMYFUNCTION("""COMPUTED_VALUE"""),"foody dinner")</f>
        <v>foody dinner</v>
      </c>
      <c r="C39" s="132" t="str">
        <f>IFERROR(__xludf.DUMMYFUNCTION("""COMPUTED_VALUE"""),"食物")</f>
        <v>食物</v>
      </c>
      <c r="D39" s="135">
        <f>IFERROR(__xludf.DUMMYFUNCTION("""COMPUTED_VALUE"""),23.24)</f>
        <v>23.24</v>
      </c>
      <c r="E39" s="132" t="str">
        <f>IFERROR(__xludf.DUMMYFUNCTION("""COMPUTED_VALUE"""),"Pigskin")</f>
        <v>Pigskin</v>
      </c>
      <c r="F39" s="132">
        <f>IFERROR(__xludf.DUMMYFUNCTION("""COMPUTED_VALUE"""),7.746666666666666)</f>
        <v>7.746666667</v>
      </c>
      <c r="G39" s="132">
        <f>IFERROR(__xludf.DUMMYFUNCTION("""COMPUTED_VALUE"""),7.746666666666666)</f>
        <v>7.746666667</v>
      </c>
      <c r="H39" s="132">
        <f>IFERROR(__xludf.DUMMYFUNCTION("""COMPUTED_VALUE"""),1.0)</f>
        <v>1</v>
      </c>
      <c r="I39" s="132">
        <f>IFERROR(__xludf.DUMMYFUNCTION("""COMPUTED_VALUE"""),1.0)</f>
        <v>1</v>
      </c>
      <c r="J39" s="132"/>
      <c r="K39" s="132">
        <f>IFERROR(__xludf.DUMMYFUNCTION("""COMPUTED_VALUE"""),1.0)</f>
        <v>1</v>
      </c>
      <c r="L39" s="132"/>
      <c r="M39" s="132"/>
      <c r="N39" s="132"/>
      <c r="O39" s="132"/>
      <c r="P39" s="132"/>
      <c r="Q39" s="132"/>
      <c r="R39" s="132" t="str">
        <f>IFERROR(__xludf.DUMMYFUNCTION("""COMPUTED_VALUE"""),"Electricity")</f>
        <v>Electricity</v>
      </c>
      <c r="S39" s="132"/>
      <c r="T39" s="132"/>
      <c r="U39" s="132" t="str">
        <f>IFERROR(__xludf.DUMMYFUNCTION("""COMPUTED_VALUE"""),"Paid")</f>
        <v>Paid</v>
      </c>
      <c r="V39" s="132" t="str">
        <f>IFERROR(__xludf.DUMMYFUNCTION("""COMPUTED_VALUE"""),"Paid")</f>
        <v>Paid</v>
      </c>
      <c r="W39" s="132" t="str">
        <f>IFERROR(__xludf.DUMMYFUNCTION("""COMPUTED_VALUE"""),"Paid")</f>
        <v>Paid</v>
      </c>
      <c r="X39" s="132" t="str">
        <f>IFERROR(__xludf.DUMMYFUNCTION("""COMPUTED_VALUE"""),"Paid")</f>
        <v>Paid</v>
      </c>
      <c r="Y39" s="132" t="str">
        <f>IFERROR(__xludf.DUMMYFUNCTION("""COMPUTED_VALUE"""),"Paid")</f>
        <v>Paid</v>
      </c>
      <c r="Z39" s="132"/>
    </row>
    <row r="40">
      <c r="A40" s="136">
        <f>IFERROR(__xludf.DUMMYFUNCTION("""COMPUTED_VALUE"""),45386.0)</f>
        <v>45386</v>
      </c>
      <c r="B40" s="132" t="str">
        <f>IFERROR(__xludf.DUMMYFUNCTION("""COMPUTED_VALUE"""),"Korean BBQ")</f>
        <v>Korean BBQ</v>
      </c>
      <c r="C40" s="132" t="str">
        <f>IFERROR(__xludf.DUMMYFUNCTION("""COMPUTED_VALUE"""),"食物")</f>
        <v>食物</v>
      </c>
      <c r="D40" s="132">
        <f>IFERROR(__xludf.DUMMYFUNCTION("""COMPUTED_VALUE"""),164.94)</f>
        <v>164.94</v>
      </c>
      <c r="E40" s="132" t="str">
        <f>IFERROR(__xludf.DUMMYFUNCTION("""COMPUTED_VALUE"""),"BL")</f>
        <v>BL</v>
      </c>
      <c r="F40" s="132">
        <f>IFERROR(__xludf.DUMMYFUNCTION("""COMPUTED_VALUE"""),41.235)</f>
        <v>41.235</v>
      </c>
      <c r="G40" s="132">
        <f>IFERROR(__xludf.DUMMYFUNCTION("""COMPUTED_VALUE"""),41.235)</f>
        <v>41.235</v>
      </c>
      <c r="H40" s="132"/>
      <c r="I40" s="132"/>
      <c r="J40" s="132">
        <f>IFERROR(__xludf.DUMMYFUNCTION("""COMPUTED_VALUE"""),1.0)</f>
        <v>1</v>
      </c>
      <c r="K40" s="132"/>
      <c r="L40" s="132"/>
      <c r="M40" s="132">
        <f>IFERROR(__xludf.DUMMYFUNCTION("""COMPUTED_VALUE"""),1.0)</f>
        <v>1</v>
      </c>
      <c r="N40" s="132"/>
      <c r="O40" s="132"/>
      <c r="P40" s="132"/>
      <c r="Q40" s="132"/>
      <c r="R40" s="132" t="str">
        <f>IFERROR(__xludf.DUMMYFUNCTION("""COMPUTED_VALUE"""),"Internet")</f>
        <v>Internet</v>
      </c>
      <c r="S40" s="132">
        <f>IFERROR(__xludf.DUMMYFUNCTION("""COMPUTED_VALUE"""),56.5)</f>
        <v>56.5</v>
      </c>
      <c r="T40" s="132"/>
      <c r="U40" s="132" t="str">
        <f>IFERROR(__xludf.DUMMYFUNCTION("""COMPUTED_VALUE"""),"Paid")</f>
        <v>Paid</v>
      </c>
      <c r="V40" s="132" t="str">
        <f>IFERROR(__xludf.DUMMYFUNCTION("""COMPUTED_VALUE"""),"Paid")</f>
        <v>Paid</v>
      </c>
      <c r="W40" s="132" t="str">
        <f>IFERROR(__xludf.DUMMYFUNCTION("""COMPUTED_VALUE"""),"Paid")</f>
        <v>Paid</v>
      </c>
      <c r="X40" s="132" t="str">
        <f>IFERROR(__xludf.DUMMYFUNCTION("""COMPUTED_VALUE"""),"Paid")</f>
        <v>Paid</v>
      </c>
      <c r="Y40" s="132" t="str">
        <f>IFERROR(__xludf.DUMMYFUNCTION("""COMPUTED_VALUE"""),"Paid")</f>
        <v>Paid</v>
      </c>
      <c r="Z40" s="132"/>
    </row>
    <row r="41">
      <c r="A41" s="133">
        <f>IFERROR(__xludf.DUMMYFUNCTION("""COMPUTED_VALUE"""),45387.0)</f>
        <v>45387</v>
      </c>
      <c r="B41" s="132" t="str">
        <f>IFERROR(__xludf.DUMMYFUNCTION("""COMPUTED_VALUE"""),"Fisherman")</f>
        <v>Fisherman</v>
      </c>
      <c r="C41" s="132" t="str">
        <f>IFERROR(__xludf.DUMMYFUNCTION("""COMPUTED_VALUE"""),"食物")</f>
        <v>食物</v>
      </c>
      <c r="D41" s="132">
        <f>IFERROR(__xludf.DUMMYFUNCTION("""COMPUTED_VALUE"""),1150.7)</f>
        <v>1150.7</v>
      </c>
      <c r="E41" s="132" t="str">
        <f>IFERROR(__xludf.DUMMYFUNCTION("""COMPUTED_VALUE"""),"BL")</f>
        <v>BL</v>
      </c>
      <c r="F41" s="132">
        <f>IFERROR(__xludf.DUMMYFUNCTION("""COMPUTED_VALUE"""),104.60909090909091)</f>
        <v>104.6090909</v>
      </c>
      <c r="G41" s="132">
        <f>IFERROR(__xludf.DUMMYFUNCTION("""COMPUTED_VALUE"""),104.60909090909091)</f>
        <v>104.6090909</v>
      </c>
      <c r="H41" s="132">
        <f>IFERROR(__xludf.DUMMYFUNCTION("""COMPUTED_VALUE"""),1.0)</f>
        <v>1</v>
      </c>
      <c r="I41" s="132">
        <f>IFERROR(__xludf.DUMMYFUNCTION("""COMPUTED_VALUE"""),1.0)</f>
        <v>1</v>
      </c>
      <c r="J41" s="132">
        <f>IFERROR(__xludf.DUMMYFUNCTION("""COMPUTED_VALUE"""),1.0)</f>
        <v>1</v>
      </c>
      <c r="K41" s="132">
        <f>IFERROR(__xludf.DUMMYFUNCTION("""COMPUTED_VALUE"""),1.0)</f>
        <v>1</v>
      </c>
      <c r="L41" s="132">
        <f>IFERROR(__xludf.DUMMYFUNCTION("""COMPUTED_VALUE"""),1.0)</f>
        <v>1</v>
      </c>
      <c r="M41" s="132">
        <f>IFERROR(__xludf.DUMMYFUNCTION("""COMPUTED_VALUE"""),1.0)</f>
        <v>1</v>
      </c>
      <c r="N41" s="132">
        <f>IFERROR(__xludf.DUMMYFUNCTION("""COMPUTED_VALUE"""),1.0)</f>
        <v>1</v>
      </c>
      <c r="O41" s="132"/>
      <c r="P41" s="132"/>
      <c r="Q41" s="132"/>
      <c r="R41" s="132"/>
      <c r="S41" s="132">
        <f>IFERROR(__xludf.DUMMYFUNCTION("""COMPUTED_VALUE"""),3793.45)</f>
        <v>3793.45</v>
      </c>
      <c r="T41" s="132">
        <f>IFERROR(__xludf.DUMMYFUNCTION("""COMPUTED_VALUE"""),720.0)</f>
        <v>720</v>
      </c>
      <c r="U41" s="132"/>
      <c r="V41" s="132"/>
      <c r="W41" s="132"/>
      <c r="X41" s="132"/>
      <c r="Y41" s="132"/>
      <c r="Z41" s="132"/>
    </row>
    <row r="42">
      <c r="A42" s="133">
        <f>IFERROR(__xludf.DUMMYFUNCTION("""COMPUTED_VALUE"""),45388.0)</f>
        <v>45388</v>
      </c>
      <c r="B42" s="132" t="str">
        <f>IFERROR(__xludf.DUMMYFUNCTION("""COMPUTED_VALUE"""),"Uber")</f>
        <v>Uber</v>
      </c>
      <c r="C42" s="132" t="str">
        <f>IFERROR(__xludf.DUMMYFUNCTION("""COMPUTED_VALUE"""),"交通")</f>
        <v>交通</v>
      </c>
      <c r="D42" s="132">
        <f>IFERROR(__xludf.DUMMYFUNCTION("""COMPUTED_VALUE"""),17.32)</f>
        <v>17.32</v>
      </c>
      <c r="E42" s="132" t="str">
        <f>IFERROR(__xludf.DUMMYFUNCTION("""COMPUTED_VALUE"""),"Timothy")</f>
        <v>Timothy</v>
      </c>
      <c r="F42" s="132">
        <f>IFERROR(__xludf.DUMMYFUNCTION("""COMPUTED_VALUE"""),8.66)</f>
        <v>8.66</v>
      </c>
      <c r="G42" s="132">
        <f>IFERROR(__xludf.DUMMYFUNCTION("""COMPUTED_VALUE"""),8.66)</f>
        <v>8.66</v>
      </c>
      <c r="H42" s="132">
        <f>IFERROR(__xludf.DUMMYFUNCTION("""COMPUTED_VALUE"""),1.0)</f>
        <v>1</v>
      </c>
      <c r="I42" s="132"/>
      <c r="J42" s="132">
        <f>IFERROR(__xludf.DUMMYFUNCTION("""COMPUTED_VALUE"""),1.0)</f>
        <v>1</v>
      </c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3">
        <f>IFERROR(__xludf.DUMMYFUNCTION("""COMPUTED_VALUE"""),45388.0)</f>
        <v>45388</v>
      </c>
      <c r="B43" s="132" t="str">
        <f>IFERROR(__xludf.DUMMYFUNCTION("""COMPUTED_VALUE"""),"T&amp;T")</f>
        <v>T&amp;T</v>
      </c>
      <c r="C43" s="132" t="str">
        <f>IFERROR(__xludf.DUMMYFUNCTION("""COMPUTED_VALUE"""),"食物")</f>
        <v>食物</v>
      </c>
      <c r="D43" s="132">
        <f>IFERROR(__xludf.DUMMYFUNCTION("""COMPUTED_VALUE"""),70.52)</f>
        <v>70.52</v>
      </c>
      <c r="E43" s="132" t="str">
        <f>IFERROR(__xludf.DUMMYFUNCTION("""COMPUTED_VALUE"""),"Timothy")</f>
        <v>Timothy</v>
      </c>
      <c r="F43" s="132">
        <f>IFERROR(__xludf.DUMMYFUNCTION("""COMPUTED_VALUE"""),10.074285714285713)</f>
        <v>10.07428571</v>
      </c>
      <c r="G43" s="132">
        <f>IFERROR(__xludf.DUMMYFUNCTION("""COMPUTED_VALUE"""),10.074285714285713)</f>
        <v>10.07428571</v>
      </c>
      <c r="H43" s="132">
        <f>IFERROR(__xludf.DUMMYFUNCTION("""COMPUTED_VALUE"""),1.0)</f>
        <v>1</v>
      </c>
      <c r="I43" s="132">
        <f>IFERROR(__xludf.DUMMYFUNCTION("""COMPUTED_VALUE"""),1.0)</f>
        <v>1</v>
      </c>
      <c r="J43" s="132">
        <f>IFERROR(__xludf.DUMMYFUNCTION("""COMPUTED_VALUE"""),1.0)</f>
        <v>1</v>
      </c>
      <c r="K43" s="132">
        <f>IFERROR(__xludf.DUMMYFUNCTION("""COMPUTED_VALUE"""),1.0)</f>
        <v>1</v>
      </c>
      <c r="L43" s="132"/>
      <c r="M43" s="132">
        <f>IFERROR(__xludf.DUMMYFUNCTION("""COMPUTED_VALUE"""),1.0)</f>
        <v>1</v>
      </c>
      <c r="N43" s="132">
        <f>IFERROR(__xludf.DUMMYFUNCTION("""COMPUTED_VALUE"""),1.0)</f>
        <v>1</v>
      </c>
      <c r="O43" s="132"/>
      <c r="P43" s="132"/>
      <c r="Q43" s="134">
        <f>IFERROR(__xludf.DUMMYFUNCTION("""COMPUTED_VALUE"""),45261.0)</f>
        <v>45261</v>
      </c>
      <c r="R43" s="132" t="str">
        <f>IFERROR(__xludf.DUMMYFUNCTION("""COMPUTED_VALUE"""),"Rent")</f>
        <v>Rent</v>
      </c>
      <c r="S43" s="132">
        <f>IFERROR(__xludf.DUMMYFUNCTION("""COMPUTED_VALUE"""),3600.0)</f>
        <v>3600</v>
      </c>
      <c r="T43" s="132">
        <f>IFERROR(__xludf.DUMMYFUNCTION("""COMPUTED_VALUE"""),720.0)</f>
        <v>720</v>
      </c>
      <c r="U43" s="132" t="str">
        <f>IFERROR(__xludf.DUMMYFUNCTION("""COMPUTED_VALUE"""),"Paid")</f>
        <v>Paid</v>
      </c>
      <c r="V43" s="132" t="str">
        <f>IFERROR(__xludf.DUMMYFUNCTION("""COMPUTED_VALUE"""),"Paid")</f>
        <v>Paid</v>
      </c>
      <c r="W43" s="132" t="str">
        <f>IFERROR(__xludf.DUMMYFUNCTION("""COMPUTED_VALUE"""),"Paid")</f>
        <v>Paid</v>
      </c>
      <c r="X43" s="132" t="str">
        <f>IFERROR(__xludf.DUMMYFUNCTION("""COMPUTED_VALUE"""),"Paid")</f>
        <v>Paid</v>
      </c>
      <c r="Y43" s="132" t="str">
        <f>IFERROR(__xludf.DUMMYFUNCTION("""COMPUTED_VALUE"""),"Paid")</f>
        <v>Paid</v>
      </c>
      <c r="Z43" s="132"/>
    </row>
    <row r="44">
      <c r="A44" s="133">
        <f>IFERROR(__xludf.DUMMYFUNCTION("""COMPUTED_VALUE"""),45388.0)</f>
        <v>45388</v>
      </c>
      <c r="B44" s="132" t="str">
        <f>IFERROR(__xludf.DUMMYFUNCTION("""COMPUTED_VALUE"""),"Dollarama")</f>
        <v>Dollarama</v>
      </c>
      <c r="C44" s="132" t="str">
        <f>IFERROR(__xludf.DUMMYFUNCTION("""COMPUTED_VALUE"""),"其他")</f>
        <v>其他</v>
      </c>
      <c r="D44" s="132">
        <f>IFERROR(__xludf.DUMMYFUNCTION("""COMPUTED_VALUE"""),4.52)</f>
        <v>4.52</v>
      </c>
      <c r="E44" s="132" t="str">
        <f>IFERROR(__xludf.DUMMYFUNCTION("""COMPUTED_VALUE"""),"Arthur")</f>
        <v>Arthur</v>
      </c>
      <c r="F44" s="132">
        <f>IFERROR(__xludf.DUMMYFUNCTION("""COMPUTED_VALUE"""),4.52)</f>
        <v>4.52</v>
      </c>
      <c r="G44" s="132">
        <f>IFERROR(__xludf.DUMMYFUNCTION("""COMPUTED_VALUE"""),4.52)</f>
        <v>4.52</v>
      </c>
      <c r="H44" s="132">
        <f>IFERROR(__xludf.DUMMYFUNCTION("""COMPUTED_VALUE"""),1.0)</f>
        <v>1</v>
      </c>
      <c r="I44" s="132"/>
      <c r="J44" s="132"/>
      <c r="K44" s="132"/>
      <c r="L44" s="132"/>
      <c r="M44" s="132"/>
      <c r="N44" s="132"/>
      <c r="O44" s="132"/>
      <c r="P44" s="132"/>
      <c r="Q44" s="132"/>
      <c r="R44" s="132" t="str">
        <f>IFERROR(__xludf.DUMMYFUNCTION("""COMPUTED_VALUE"""),"Water")</f>
        <v>Water</v>
      </c>
      <c r="S44" s="132">
        <f>IFERROR(__xludf.DUMMYFUNCTION("""COMPUTED_VALUE"""),284.24)</f>
        <v>284.24</v>
      </c>
      <c r="T44" s="132">
        <f>IFERROR(__xludf.DUMMYFUNCTION("""COMPUTED_VALUE"""),56.848)</f>
        <v>56.848</v>
      </c>
      <c r="U44" s="132" t="str">
        <f>IFERROR(__xludf.DUMMYFUNCTION("""COMPUTED_VALUE"""),"Paid")</f>
        <v>Paid</v>
      </c>
      <c r="V44" s="132" t="str">
        <f>IFERROR(__xludf.DUMMYFUNCTION("""COMPUTED_VALUE"""),"Paid")</f>
        <v>Paid</v>
      </c>
      <c r="W44" s="132" t="str">
        <f>IFERROR(__xludf.DUMMYFUNCTION("""COMPUTED_VALUE"""),"Paid")</f>
        <v>Paid</v>
      </c>
      <c r="X44" s="132" t="str">
        <f>IFERROR(__xludf.DUMMYFUNCTION("""COMPUTED_VALUE"""),"Paid")</f>
        <v>Paid</v>
      </c>
      <c r="Y44" s="132" t="str">
        <f>IFERROR(__xludf.DUMMYFUNCTION("""COMPUTED_VALUE"""),"Paid")</f>
        <v>Paid</v>
      </c>
      <c r="Z44" s="132"/>
    </row>
    <row r="45">
      <c r="A45" s="133">
        <f>IFERROR(__xludf.DUMMYFUNCTION("""COMPUTED_VALUE"""),45388.0)</f>
        <v>45388</v>
      </c>
      <c r="B45" s="132" t="str">
        <f>IFERROR(__xludf.DUMMYFUNCTION("""COMPUTED_VALUE"""),"Boardgame")</f>
        <v>Boardgame</v>
      </c>
      <c r="C45" s="132" t="str">
        <f>IFERROR(__xludf.DUMMYFUNCTION("""COMPUTED_VALUE"""),"娛樂")</f>
        <v>娛樂</v>
      </c>
      <c r="D45" s="132">
        <f>IFERROR(__xludf.DUMMYFUNCTION("""COMPUTED_VALUE"""),130.96)</f>
        <v>130.96</v>
      </c>
      <c r="E45" s="132" t="str">
        <f>IFERROR(__xludf.DUMMYFUNCTION("""COMPUTED_VALUE"""),"BL")</f>
        <v>BL</v>
      </c>
      <c r="F45" s="132">
        <f>IFERROR(__xludf.DUMMYFUNCTION("""COMPUTED_VALUE"""),130.96)</f>
        <v>130.96</v>
      </c>
      <c r="G45" s="132">
        <f>IFERROR(__xludf.DUMMYFUNCTION("""COMPUTED_VALUE"""),130.96)</f>
        <v>130.96</v>
      </c>
      <c r="H45" s="132"/>
      <c r="I45" s="132"/>
      <c r="J45" s="132">
        <f>IFERROR(__xludf.DUMMYFUNCTION("""COMPUTED_VALUE"""),1.0)</f>
        <v>1</v>
      </c>
      <c r="K45" s="132"/>
      <c r="L45" s="132"/>
      <c r="M45" s="132"/>
      <c r="N45" s="132"/>
      <c r="O45" s="132"/>
      <c r="P45" s="132"/>
      <c r="Q45" s="132"/>
      <c r="R45" s="132" t="str">
        <f>IFERROR(__xludf.DUMMYFUNCTION("""COMPUTED_VALUE"""),"Heat(17/11-14/12)")</f>
        <v>Heat(17/11-14/12)</v>
      </c>
      <c r="S45" s="132">
        <f>IFERROR(__xludf.DUMMYFUNCTION("""COMPUTED_VALUE"""),149.7)</f>
        <v>149.7</v>
      </c>
      <c r="T45" s="132">
        <f>IFERROR(__xludf.DUMMYFUNCTION("""COMPUTED_VALUE"""),29.939999999999998)</f>
        <v>29.94</v>
      </c>
      <c r="U45" s="132" t="str">
        <f>IFERROR(__xludf.DUMMYFUNCTION("""COMPUTED_VALUE"""),"Paid")</f>
        <v>Paid</v>
      </c>
      <c r="V45" s="132" t="str">
        <f>IFERROR(__xludf.DUMMYFUNCTION("""COMPUTED_VALUE"""),"Paid")</f>
        <v>Paid</v>
      </c>
      <c r="W45" s="132" t="str">
        <f>IFERROR(__xludf.DUMMYFUNCTION("""COMPUTED_VALUE"""),"Paid")</f>
        <v>Paid</v>
      </c>
      <c r="X45" s="132" t="str">
        <f>IFERROR(__xludf.DUMMYFUNCTION("""COMPUTED_VALUE"""),"Paid")</f>
        <v>Paid</v>
      </c>
      <c r="Y45" s="132" t="str">
        <f>IFERROR(__xludf.DUMMYFUNCTION("""COMPUTED_VALUE"""),"Paid")</f>
        <v>Paid</v>
      </c>
      <c r="Z45" s="132"/>
    </row>
    <row r="46">
      <c r="A46" s="133">
        <f>IFERROR(__xludf.DUMMYFUNCTION("""COMPUTED_VALUE"""),45389.0)</f>
        <v>45389</v>
      </c>
      <c r="B46" s="132" t="str">
        <f>IFERROR(__xludf.DUMMYFUNCTION("""COMPUTED_VALUE"""),"Dominos")</f>
        <v>Dominos</v>
      </c>
      <c r="C46" s="132" t="str">
        <f>IFERROR(__xludf.DUMMYFUNCTION("""COMPUTED_VALUE"""),"食物")</f>
        <v>食物</v>
      </c>
      <c r="D46" s="132">
        <f>IFERROR(__xludf.DUMMYFUNCTION("""COMPUTED_VALUE"""),42.92)</f>
        <v>42.92</v>
      </c>
      <c r="E46" s="132" t="str">
        <f>IFERROR(__xludf.DUMMYFUNCTION("""COMPUTED_VALUE"""),"BL")</f>
        <v>BL</v>
      </c>
      <c r="F46" s="132">
        <f>IFERROR(__xludf.DUMMYFUNCTION("""COMPUTED_VALUE"""),6.131428571428572)</f>
        <v>6.131428571</v>
      </c>
      <c r="G46" s="132">
        <f>IFERROR(__xludf.DUMMYFUNCTION("""COMPUTED_VALUE"""),6.131428571428572)</f>
        <v>6.131428571</v>
      </c>
      <c r="H46" s="132">
        <f>IFERROR(__xludf.DUMMYFUNCTION("""COMPUTED_VALUE"""),1.0)</f>
        <v>1</v>
      </c>
      <c r="I46" s="132">
        <f>IFERROR(__xludf.DUMMYFUNCTION("""COMPUTED_VALUE"""),1.0)</f>
        <v>1</v>
      </c>
      <c r="J46" s="132">
        <f>IFERROR(__xludf.DUMMYFUNCTION("""COMPUTED_VALUE"""),1.0)</f>
        <v>1</v>
      </c>
      <c r="K46" s="132">
        <f>IFERROR(__xludf.DUMMYFUNCTION("""COMPUTED_VALUE"""),1.0)</f>
        <v>1</v>
      </c>
      <c r="L46" s="132"/>
      <c r="M46" s="132">
        <f>IFERROR(__xludf.DUMMYFUNCTION("""COMPUTED_VALUE"""),1.0)</f>
        <v>1</v>
      </c>
      <c r="N46" s="132">
        <f>IFERROR(__xludf.DUMMYFUNCTION("""COMPUTED_VALUE"""),1.0)</f>
        <v>1</v>
      </c>
      <c r="O46" s="132"/>
      <c r="P46" s="132"/>
      <c r="Q46" s="132"/>
      <c r="R46" s="132" t="str">
        <f>IFERROR(__xludf.DUMMYFUNCTION("""COMPUTED_VALUE"""),"Electricity")</f>
        <v>Electricity</v>
      </c>
      <c r="S46" s="132">
        <f>IFERROR(__xludf.DUMMYFUNCTION("""COMPUTED_VALUE"""),107.46)</f>
        <v>107.46</v>
      </c>
      <c r="T46" s="132">
        <f>IFERROR(__xludf.DUMMYFUNCTION("""COMPUTED_VALUE"""),21.491999999999997)</f>
        <v>21.492</v>
      </c>
      <c r="U46" s="132" t="str">
        <f>IFERROR(__xludf.DUMMYFUNCTION("""COMPUTED_VALUE"""),"Paid")</f>
        <v>Paid</v>
      </c>
      <c r="V46" s="132" t="str">
        <f>IFERROR(__xludf.DUMMYFUNCTION("""COMPUTED_VALUE"""),"Paid")</f>
        <v>Paid</v>
      </c>
      <c r="W46" s="132" t="str">
        <f>IFERROR(__xludf.DUMMYFUNCTION("""COMPUTED_VALUE"""),"Paid")</f>
        <v>Paid</v>
      </c>
      <c r="X46" s="132" t="str">
        <f>IFERROR(__xludf.DUMMYFUNCTION("""COMPUTED_VALUE"""),"Paid")</f>
        <v>Paid</v>
      </c>
      <c r="Y46" s="132" t="str">
        <f>IFERROR(__xludf.DUMMYFUNCTION("""COMPUTED_VALUE"""),"Paid")</f>
        <v>Paid</v>
      </c>
      <c r="Z46" s="132"/>
    </row>
    <row r="47">
      <c r="A47" s="133">
        <f>IFERROR(__xludf.DUMMYFUNCTION("""COMPUTED_VALUE"""),45390.0)</f>
        <v>45390</v>
      </c>
      <c r="B47" s="132" t="str">
        <f>IFERROR(__xludf.DUMMYFUNCTION("""COMPUTED_VALUE"""),"Foody PHO")</f>
        <v>Foody PHO</v>
      </c>
      <c r="C47" s="132" t="str">
        <f>IFERROR(__xludf.DUMMYFUNCTION("""COMPUTED_VALUE"""),"食物")</f>
        <v>食物</v>
      </c>
      <c r="D47" s="135">
        <f>IFERROR(__xludf.DUMMYFUNCTION("""COMPUTED_VALUE"""),42.17)</f>
        <v>42.17</v>
      </c>
      <c r="E47" s="132" t="str">
        <f>IFERROR(__xludf.DUMMYFUNCTION("""COMPUTED_VALUE"""),"Timothy")</f>
        <v>Timothy</v>
      </c>
      <c r="F47" s="132">
        <f>IFERROR(__xludf.DUMMYFUNCTION("""COMPUTED_VALUE"""),6.024285714285715)</f>
        <v>6.024285714</v>
      </c>
      <c r="G47" s="132">
        <f>IFERROR(__xludf.DUMMYFUNCTION("""COMPUTED_VALUE"""),6.024285714285715)</f>
        <v>6.024285714</v>
      </c>
      <c r="H47" s="132">
        <f>IFERROR(__xludf.DUMMYFUNCTION("""COMPUTED_VALUE"""),1.0)</f>
        <v>1</v>
      </c>
      <c r="I47" s="132">
        <f>IFERROR(__xludf.DUMMYFUNCTION("""COMPUTED_VALUE"""),1.0)</f>
        <v>1</v>
      </c>
      <c r="J47" s="132">
        <f>IFERROR(__xludf.DUMMYFUNCTION("""COMPUTED_VALUE"""),1.0)</f>
        <v>1</v>
      </c>
      <c r="K47" s="132">
        <f>IFERROR(__xludf.DUMMYFUNCTION("""COMPUTED_VALUE"""),1.0)</f>
        <v>1</v>
      </c>
      <c r="L47" s="132"/>
      <c r="M47" s="132">
        <f>IFERROR(__xludf.DUMMYFUNCTION("""COMPUTED_VALUE"""),1.0)</f>
        <v>1</v>
      </c>
      <c r="N47" s="132">
        <f>IFERROR(__xludf.DUMMYFUNCTION("""COMPUTED_VALUE"""),1.0)</f>
        <v>1</v>
      </c>
      <c r="O47" s="132"/>
      <c r="P47" s="132"/>
      <c r="Q47" s="132"/>
      <c r="R47" s="132" t="str">
        <f>IFERROR(__xludf.DUMMYFUNCTION("""COMPUTED_VALUE"""),"Internet")</f>
        <v>Internet</v>
      </c>
      <c r="S47" s="132">
        <f>IFERROR(__xludf.DUMMYFUNCTION("""COMPUTED_VALUE"""),56.5)</f>
        <v>56.5</v>
      </c>
      <c r="T47" s="132">
        <f>IFERROR(__xludf.DUMMYFUNCTION("""COMPUTED_VALUE"""),11.3)</f>
        <v>11.3</v>
      </c>
      <c r="U47" s="132" t="str">
        <f>IFERROR(__xludf.DUMMYFUNCTION("""COMPUTED_VALUE"""),"Paid")</f>
        <v>Paid</v>
      </c>
      <c r="V47" s="132" t="str">
        <f>IFERROR(__xludf.DUMMYFUNCTION("""COMPUTED_VALUE"""),"Paid")</f>
        <v>Paid</v>
      </c>
      <c r="W47" s="132" t="str">
        <f>IFERROR(__xludf.DUMMYFUNCTION("""COMPUTED_VALUE"""),"Paid")</f>
        <v>Paid</v>
      </c>
      <c r="X47" s="132" t="str">
        <f>IFERROR(__xludf.DUMMYFUNCTION("""COMPUTED_VALUE"""),"Paid")</f>
        <v>Paid</v>
      </c>
      <c r="Y47" s="132" t="str">
        <f>IFERROR(__xludf.DUMMYFUNCTION("""COMPUTED_VALUE"""),"Paid")</f>
        <v>Paid</v>
      </c>
      <c r="Z47" s="132"/>
    </row>
    <row r="48">
      <c r="A48" s="133">
        <f>IFERROR(__xludf.DUMMYFUNCTION("""COMPUTED_VALUE"""),45390.0)</f>
        <v>45390</v>
      </c>
      <c r="B48" s="132" t="str">
        <f>IFERROR(__xludf.DUMMYFUNCTION("""COMPUTED_VALUE"""),"Foody pho")</f>
        <v>Foody pho</v>
      </c>
      <c r="C48" s="132" t="str">
        <f>IFERROR(__xludf.DUMMYFUNCTION("""COMPUTED_VALUE"""),"食物")</f>
        <v>食物</v>
      </c>
      <c r="D48" s="132">
        <f>IFERROR(__xludf.DUMMYFUNCTION("""COMPUTED_VALUE"""),6.98)</f>
        <v>6.98</v>
      </c>
      <c r="E48" s="132" t="str">
        <f>IFERROR(__xludf.DUMMYFUNCTION("""COMPUTED_VALUE"""),"Pigskin")</f>
        <v>Pigskin</v>
      </c>
      <c r="F48" s="132">
        <f>IFERROR(__xludf.DUMMYFUNCTION("""COMPUTED_VALUE"""),0.9971428571428572)</f>
        <v>0.9971428571</v>
      </c>
      <c r="G48" s="132">
        <f>IFERROR(__xludf.DUMMYFUNCTION("""COMPUTED_VALUE"""),0.9971428571428572)</f>
        <v>0.9971428571</v>
      </c>
      <c r="H48" s="132">
        <f>IFERROR(__xludf.DUMMYFUNCTION("""COMPUTED_VALUE"""),1.0)</f>
        <v>1</v>
      </c>
      <c r="I48" s="132">
        <f>IFERROR(__xludf.DUMMYFUNCTION("""COMPUTED_VALUE"""),1.0)</f>
        <v>1</v>
      </c>
      <c r="J48" s="132">
        <f>IFERROR(__xludf.DUMMYFUNCTION("""COMPUTED_VALUE"""),1.0)</f>
        <v>1</v>
      </c>
      <c r="K48" s="132">
        <f>IFERROR(__xludf.DUMMYFUNCTION("""COMPUTED_VALUE"""),1.0)</f>
        <v>1</v>
      </c>
      <c r="L48" s="132">
        <f>IFERROR(__xludf.DUMMYFUNCTION("""COMPUTED_VALUE"""),1.0)</f>
        <v>1</v>
      </c>
      <c r="M48" s="132">
        <f>IFERROR(__xludf.DUMMYFUNCTION("""COMPUTED_VALUE"""),1.0)</f>
        <v>1</v>
      </c>
      <c r="N48" s="132"/>
      <c r="O48" s="132"/>
      <c r="P48" s="132"/>
      <c r="Q48" s="132"/>
      <c r="R48" s="132"/>
      <c r="S48" s="132">
        <f>IFERROR(__xludf.DUMMYFUNCTION("""COMPUTED_VALUE"""),4197.9)</f>
        <v>4197.9</v>
      </c>
      <c r="T48" s="132">
        <f>IFERROR(__xludf.DUMMYFUNCTION("""COMPUTED_VALUE"""),839.5799999999999)</f>
        <v>839.58</v>
      </c>
      <c r="U48" s="132"/>
      <c r="V48" s="132"/>
      <c r="W48" s="132"/>
      <c r="X48" s="132"/>
      <c r="Y48" s="132"/>
      <c r="Z48" s="132"/>
    </row>
    <row r="49">
      <c r="A49" s="133">
        <f>IFERROR(__xludf.DUMMYFUNCTION("""COMPUTED_VALUE"""),45390.0)</f>
        <v>45390</v>
      </c>
      <c r="B49" s="132" t="str">
        <f>IFERROR(__xludf.DUMMYFUNCTION("""COMPUTED_VALUE"""),"Foody pho")</f>
        <v>Foody pho</v>
      </c>
      <c r="C49" s="132" t="str">
        <f>IFERROR(__xludf.DUMMYFUNCTION("""COMPUTED_VALUE"""),"食物")</f>
        <v>食物</v>
      </c>
      <c r="D49" s="132">
        <f>IFERROR(__xludf.DUMMYFUNCTION("""COMPUTED_VALUE"""),42.17)</f>
        <v>42.17</v>
      </c>
      <c r="E49" s="132" t="str">
        <f>IFERROR(__xludf.DUMMYFUNCTION("""COMPUTED_VALUE"""),"Timothy")</f>
        <v>Timothy</v>
      </c>
      <c r="F49" s="132">
        <f>IFERROR(__xludf.DUMMYFUNCTION("""COMPUTED_VALUE"""),6.024285714285715)</f>
        <v>6.024285714</v>
      </c>
      <c r="G49" s="132">
        <f>IFERROR(__xludf.DUMMYFUNCTION("""COMPUTED_VALUE"""),6.024285714285715)</f>
        <v>6.024285714</v>
      </c>
      <c r="H49" s="132">
        <f>IFERROR(__xludf.DUMMYFUNCTION("""COMPUTED_VALUE"""),1.0)</f>
        <v>1</v>
      </c>
      <c r="I49" s="132">
        <f>IFERROR(__xludf.DUMMYFUNCTION("""COMPUTED_VALUE"""),1.0)</f>
        <v>1</v>
      </c>
      <c r="J49" s="132">
        <f>IFERROR(__xludf.DUMMYFUNCTION("""COMPUTED_VALUE"""),1.0)</f>
        <v>1</v>
      </c>
      <c r="K49" s="132">
        <f>IFERROR(__xludf.DUMMYFUNCTION("""COMPUTED_VALUE"""),1.0)</f>
        <v>1</v>
      </c>
      <c r="L49" s="132">
        <f>IFERROR(__xludf.DUMMYFUNCTION("""COMPUTED_VALUE"""),1.0)</f>
        <v>1</v>
      </c>
      <c r="M49" s="132">
        <f>IFERROR(__xludf.DUMMYFUNCTION("""COMPUTED_VALUE"""),1.0)</f>
        <v>1</v>
      </c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>
      <c r="A50" s="133">
        <f>IFERROR(__xludf.DUMMYFUNCTION("""COMPUTED_VALUE"""),45390.0)</f>
        <v>45390</v>
      </c>
      <c r="B50" s="132" t="str">
        <f>IFERROR(__xludf.DUMMYFUNCTION("""COMPUTED_VALUE"""),"Food basic")</f>
        <v>Food basic</v>
      </c>
      <c r="C50" s="132" t="str">
        <f>IFERROR(__xludf.DUMMYFUNCTION("""COMPUTED_VALUE"""),"食物")</f>
        <v>食物</v>
      </c>
      <c r="D50" s="132">
        <f>IFERROR(__xludf.DUMMYFUNCTION("""COMPUTED_VALUE"""),1.49)</f>
        <v>1.49</v>
      </c>
      <c r="E50" s="132" t="str">
        <f>IFERROR(__xludf.DUMMYFUNCTION("""COMPUTED_VALUE"""),"Pigskin")</f>
        <v>Pigskin</v>
      </c>
      <c r="F50" s="132">
        <f>IFERROR(__xludf.DUMMYFUNCTION("""COMPUTED_VALUE"""),0.298)</f>
        <v>0.298</v>
      </c>
      <c r="G50" s="132">
        <f>IFERROR(__xludf.DUMMYFUNCTION("""COMPUTED_VALUE"""),0.298)</f>
        <v>0.298</v>
      </c>
      <c r="H50" s="132">
        <f>IFERROR(__xludf.DUMMYFUNCTION("""COMPUTED_VALUE"""),1.0)</f>
        <v>1</v>
      </c>
      <c r="I50" s="132">
        <f>IFERROR(__xludf.DUMMYFUNCTION("""COMPUTED_VALUE"""),1.0)</f>
        <v>1</v>
      </c>
      <c r="J50" s="132">
        <f>IFERROR(__xludf.DUMMYFUNCTION("""COMPUTED_VALUE"""),1.0)</f>
        <v>1</v>
      </c>
      <c r="K50" s="132">
        <f>IFERROR(__xludf.DUMMYFUNCTION("""COMPUTED_VALUE"""),1.0)</f>
        <v>1</v>
      </c>
      <c r="L50" s="132"/>
      <c r="M50" s="132"/>
      <c r="N50" s="132">
        <f>IFERROR(__xludf.DUMMYFUNCTION("""COMPUTED_VALUE"""),1.0)</f>
        <v>1</v>
      </c>
      <c r="O50" s="132"/>
      <c r="P50" s="132"/>
      <c r="Q50" s="134">
        <f>IFERROR(__xludf.DUMMYFUNCTION("""COMPUTED_VALUE"""),45292.0)</f>
        <v>45292</v>
      </c>
      <c r="R50" s="132" t="str">
        <f>IFERROR(__xludf.DUMMYFUNCTION("""COMPUTED_VALUE"""),"Rent")</f>
        <v>Rent</v>
      </c>
      <c r="S50" s="132">
        <f>IFERROR(__xludf.DUMMYFUNCTION("""COMPUTED_VALUE"""),3600.0)</f>
        <v>3600</v>
      </c>
      <c r="T50" s="132">
        <f>IFERROR(__xludf.DUMMYFUNCTION("""COMPUTED_VALUE"""),720.0)</f>
        <v>720</v>
      </c>
      <c r="U50" s="132" t="str">
        <f>IFERROR(__xludf.DUMMYFUNCTION("""COMPUTED_VALUE"""),"Paid")</f>
        <v>Paid</v>
      </c>
      <c r="V50" s="132" t="str">
        <f>IFERROR(__xludf.DUMMYFUNCTION("""COMPUTED_VALUE"""),"Paid")</f>
        <v>Paid</v>
      </c>
      <c r="W50" s="132" t="str">
        <f>IFERROR(__xludf.DUMMYFUNCTION("""COMPUTED_VALUE"""),"Paid")</f>
        <v>Paid</v>
      </c>
      <c r="X50" s="132" t="str">
        <f>IFERROR(__xludf.DUMMYFUNCTION("""COMPUTED_VALUE"""),"Paid")</f>
        <v>Paid</v>
      </c>
      <c r="Y50" s="132" t="str">
        <f>IFERROR(__xludf.DUMMYFUNCTION("""COMPUTED_VALUE"""),"Paid")</f>
        <v>Paid</v>
      </c>
      <c r="Z50" s="132"/>
    </row>
    <row r="51">
      <c r="A51" s="133">
        <f>IFERROR(__xludf.DUMMYFUNCTION("""COMPUTED_VALUE"""),45390.0)</f>
        <v>45390</v>
      </c>
      <c r="B51" s="132" t="str">
        <f>IFERROR(__xludf.DUMMYFUNCTION("""COMPUTED_VALUE"""),"鹿園")</f>
        <v>鹿園</v>
      </c>
      <c r="C51" s="132" t="str">
        <f>IFERROR(__xludf.DUMMYFUNCTION("""COMPUTED_VALUE"""),"食物")</f>
        <v>食物</v>
      </c>
      <c r="D51" s="132">
        <f>IFERROR(__xludf.DUMMYFUNCTION("""COMPUTED_VALUE"""),81.4)</f>
        <v>81.4</v>
      </c>
      <c r="E51" s="132" t="str">
        <f>IFERROR(__xludf.DUMMYFUNCTION("""COMPUTED_VALUE"""),"BL")</f>
        <v>BL</v>
      </c>
      <c r="F51" s="132">
        <f>IFERROR(__xludf.DUMMYFUNCTION("""COMPUTED_VALUE"""),20.35)</f>
        <v>20.35</v>
      </c>
      <c r="G51" s="132">
        <f>IFERROR(__xludf.DUMMYFUNCTION("""COMPUTED_VALUE"""),20.35)</f>
        <v>20.35</v>
      </c>
      <c r="H51" s="132">
        <f>IFERROR(__xludf.DUMMYFUNCTION("""COMPUTED_VALUE"""),1.0)</f>
        <v>1</v>
      </c>
      <c r="I51" s="132"/>
      <c r="J51" s="132">
        <f>IFERROR(__xludf.DUMMYFUNCTION("""COMPUTED_VALUE"""),1.0)</f>
        <v>1</v>
      </c>
      <c r="K51" s="132"/>
      <c r="L51" s="132"/>
      <c r="M51" s="132">
        <f>IFERROR(__xludf.DUMMYFUNCTION("""COMPUTED_VALUE"""),1.0)</f>
        <v>1</v>
      </c>
      <c r="N51" s="132"/>
      <c r="O51" s="132"/>
      <c r="P51" s="132"/>
      <c r="Q51" s="132"/>
      <c r="R51" s="132" t="str">
        <f>IFERROR(__xludf.DUMMYFUNCTION("""COMPUTED_VALUE"""),"Water")</f>
        <v>Water</v>
      </c>
      <c r="S51" s="132"/>
      <c r="T51" s="132"/>
      <c r="U51" s="132"/>
      <c r="V51" s="132"/>
      <c r="W51" s="132"/>
      <c r="X51" s="132"/>
      <c r="Y51" s="132"/>
      <c r="Z51" s="132"/>
    </row>
    <row r="52">
      <c r="A52" s="133">
        <f>IFERROR(__xludf.DUMMYFUNCTION("""COMPUTED_VALUE"""),45391.0)</f>
        <v>45391</v>
      </c>
      <c r="B52" s="132" t="str">
        <f>IFERROR(__xludf.DUMMYFUNCTION("""COMPUTED_VALUE"""),"Binno")</f>
        <v>Binno</v>
      </c>
      <c r="C52" s="132" t="str">
        <f>IFERROR(__xludf.DUMMYFUNCTION("""COMPUTED_VALUE"""),"食物")</f>
        <v>食物</v>
      </c>
      <c r="D52" s="135">
        <f>IFERROR(__xludf.DUMMYFUNCTION("""COMPUTED_VALUE"""),54.66)</f>
        <v>54.66</v>
      </c>
      <c r="E52" s="132" t="str">
        <f>IFERROR(__xludf.DUMMYFUNCTION("""COMPUTED_VALUE"""),"Timothy")</f>
        <v>Timothy</v>
      </c>
      <c r="F52" s="132">
        <f>IFERROR(__xludf.DUMMYFUNCTION("""COMPUTED_VALUE"""),9.11)</f>
        <v>9.11</v>
      </c>
      <c r="G52" s="132">
        <f>IFERROR(__xludf.DUMMYFUNCTION("""COMPUTED_VALUE"""),9.11)</f>
        <v>9.11</v>
      </c>
      <c r="H52" s="132">
        <f>IFERROR(__xludf.DUMMYFUNCTION("""COMPUTED_VALUE"""),1.0)</f>
        <v>1</v>
      </c>
      <c r="I52" s="132"/>
      <c r="J52" s="132">
        <f>IFERROR(__xludf.DUMMYFUNCTION("""COMPUTED_VALUE"""),1.0)</f>
        <v>1</v>
      </c>
      <c r="K52" s="132">
        <f>IFERROR(__xludf.DUMMYFUNCTION("""COMPUTED_VALUE"""),1.0)</f>
        <v>1</v>
      </c>
      <c r="L52" s="132"/>
      <c r="M52" s="132">
        <f>IFERROR(__xludf.DUMMYFUNCTION("""COMPUTED_VALUE"""),1.0)</f>
        <v>1</v>
      </c>
      <c r="N52" s="132"/>
      <c r="O52" s="132"/>
      <c r="P52" s="132"/>
      <c r="Q52" s="132"/>
      <c r="R52" s="132" t="str">
        <f>IFERROR(__xludf.DUMMYFUNCTION("""COMPUTED_VALUE"""),"Heat")</f>
        <v>Heat</v>
      </c>
      <c r="S52" s="132">
        <f>IFERROR(__xludf.DUMMYFUNCTION("""COMPUTED_VALUE"""),210.09)</f>
        <v>210.09</v>
      </c>
      <c r="T52" s="132">
        <f>IFERROR(__xludf.DUMMYFUNCTION("""COMPUTED_VALUE"""),42.018)</f>
        <v>42.018</v>
      </c>
      <c r="U52" s="132" t="str">
        <f>IFERROR(__xludf.DUMMYFUNCTION("""COMPUTED_VALUE"""),"Paid")</f>
        <v>Paid</v>
      </c>
      <c r="V52" s="132" t="str">
        <f>IFERROR(__xludf.DUMMYFUNCTION("""COMPUTED_VALUE"""),"Paid")</f>
        <v>Paid</v>
      </c>
      <c r="W52" s="132" t="str">
        <f>IFERROR(__xludf.DUMMYFUNCTION("""COMPUTED_VALUE"""),"Paid")</f>
        <v>Paid</v>
      </c>
      <c r="X52" s="132" t="str">
        <f>IFERROR(__xludf.DUMMYFUNCTION("""COMPUTED_VALUE"""),"Paid")</f>
        <v>Paid</v>
      </c>
      <c r="Y52" s="132" t="str">
        <f>IFERROR(__xludf.DUMMYFUNCTION("""COMPUTED_VALUE"""),"Paid")</f>
        <v>Paid</v>
      </c>
      <c r="Z52" s="132"/>
    </row>
    <row r="53">
      <c r="A53" s="133">
        <f>IFERROR(__xludf.DUMMYFUNCTION("""COMPUTED_VALUE"""),45391.0)</f>
        <v>45391</v>
      </c>
      <c r="B53" s="132" t="str">
        <f>IFERROR(__xludf.DUMMYFUNCTION("""COMPUTED_VALUE"""),"Tnt binlo")</f>
        <v>Tnt binlo</v>
      </c>
      <c r="C53" s="132" t="str">
        <f>IFERROR(__xludf.DUMMYFUNCTION("""COMPUTED_VALUE"""),"食物")</f>
        <v>食物</v>
      </c>
      <c r="D53" s="132">
        <f>IFERROR(__xludf.DUMMYFUNCTION("""COMPUTED_VALUE"""),74.31)</f>
        <v>74.31</v>
      </c>
      <c r="E53" s="132" t="str">
        <f>IFERROR(__xludf.DUMMYFUNCTION("""COMPUTED_VALUE"""),"BL")</f>
        <v>BL</v>
      </c>
      <c r="F53" s="132">
        <f>IFERROR(__xludf.DUMMYFUNCTION("""COMPUTED_VALUE"""),12.385)</f>
        <v>12.385</v>
      </c>
      <c r="G53" s="132">
        <f>IFERROR(__xludf.DUMMYFUNCTION("""COMPUTED_VALUE"""),12.385)</f>
        <v>12.385</v>
      </c>
      <c r="H53" s="132">
        <f>IFERROR(__xludf.DUMMYFUNCTION("""COMPUTED_VALUE"""),1.0)</f>
        <v>1</v>
      </c>
      <c r="I53" s="132"/>
      <c r="J53" s="132">
        <f>IFERROR(__xludf.DUMMYFUNCTION("""COMPUTED_VALUE"""),1.0)</f>
        <v>1</v>
      </c>
      <c r="K53" s="132">
        <f>IFERROR(__xludf.DUMMYFUNCTION("""COMPUTED_VALUE"""),1.0)</f>
        <v>1</v>
      </c>
      <c r="L53" s="132"/>
      <c r="M53" s="132">
        <f>IFERROR(__xludf.DUMMYFUNCTION("""COMPUTED_VALUE"""),1.0)</f>
        <v>1</v>
      </c>
      <c r="N53" s="132"/>
      <c r="O53" s="132"/>
      <c r="P53" s="132"/>
      <c r="Q53" s="132"/>
      <c r="R53" s="132" t="str">
        <f>IFERROR(__xludf.DUMMYFUNCTION("""COMPUTED_VALUE"""),"Electricity")</f>
        <v>Electricity</v>
      </c>
      <c r="S53" s="132">
        <f>IFERROR(__xludf.DUMMYFUNCTION("""COMPUTED_VALUE"""),111.7)</f>
        <v>111.7</v>
      </c>
      <c r="T53" s="132">
        <f>IFERROR(__xludf.DUMMYFUNCTION("""COMPUTED_VALUE"""),22.34)</f>
        <v>22.34</v>
      </c>
      <c r="U53" s="132" t="str">
        <f>IFERROR(__xludf.DUMMYFUNCTION("""COMPUTED_VALUE"""),"Paid")</f>
        <v>Paid</v>
      </c>
      <c r="V53" s="132" t="str">
        <f>IFERROR(__xludf.DUMMYFUNCTION("""COMPUTED_VALUE"""),"Paid")</f>
        <v>Paid</v>
      </c>
      <c r="W53" s="132" t="str">
        <f>IFERROR(__xludf.DUMMYFUNCTION("""COMPUTED_VALUE"""),"Paid")</f>
        <v>Paid</v>
      </c>
      <c r="X53" s="132" t="str">
        <f>IFERROR(__xludf.DUMMYFUNCTION("""COMPUTED_VALUE"""),"Paid")</f>
        <v>Paid</v>
      </c>
      <c r="Y53" s="132" t="str">
        <f>IFERROR(__xludf.DUMMYFUNCTION("""COMPUTED_VALUE"""),"Paid")</f>
        <v>Paid</v>
      </c>
      <c r="Z53" s="132"/>
    </row>
    <row r="54">
      <c r="A54" s="133">
        <f>IFERROR(__xludf.DUMMYFUNCTION("""COMPUTED_VALUE"""),45392.0)</f>
        <v>45392</v>
      </c>
      <c r="B54" s="132" t="str">
        <f>IFERROR(__xludf.DUMMYFUNCTION("""COMPUTED_VALUE"""),"Activate")</f>
        <v>Activate</v>
      </c>
      <c r="C54" s="132" t="str">
        <f>IFERROR(__xludf.DUMMYFUNCTION("""COMPUTED_VALUE"""),"娛樂")</f>
        <v>娛樂</v>
      </c>
      <c r="D54" s="132">
        <f>IFERROR(__xludf.DUMMYFUNCTION("""COMPUTED_VALUE"""),20.0)</f>
        <v>20</v>
      </c>
      <c r="E54" s="132" t="str">
        <f>IFERROR(__xludf.DUMMYFUNCTION("""COMPUTED_VALUE"""),"BL")</f>
        <v>BL</v>
      </c>
      <c r="F54" s="132">
        <f>IFERROR(__xludf.DUMMYFUNCTION("""COMPUTED_VALUE"""),5.0)</f>
        <v>5</v>
      </c>
      <c r="G54" s="132">
        <f>IFERROR(__xludf.DUMMYFUNCTION("""COMPUTED_VALUE"""),5.0)</f>
        <v>5</v>
      </c>
      <c r="H54" s="132">
        <f>IFERROR(__xludf.DUMMYFUNCTION("""COMPUTED_VALUE"""),1.0)</f>
        <v>1</v>
      </c>
      <c r="I54" s="132"/>
      <c r="J54" s="132">
        <f>IFERROR(__xludf.DUMMYFUNCTION("""COMPUTED_VALUE"""),1.0)</f>
        <v>1</v>
      </c>
      <c r="K54" s="132"/>
      <c r="L54" s="132"/>
      <c r="M54" s="132">
        <f>IFERROR(__xludf.DUMMYFUNCTION("""COMPUTED_VALUE"""),1.0)</f>
        <v>1</v>
      </c>
      <c r="N54" s="132"/>
      <c r="O54" s="132"/>
      <c r="P54" s="132"/>
      <c r="Q54" s="132"/>
      <c r="R54" s="132" t="str">
        <f>IFERROR(__xludf.DUMMYFUNCTION("""COMPUTED_VALUE"""),"Internet")</f>
        <v>Internet</v>
      </c>
      <c r="S54" s="132">
        <f>IFERROR(__xludf.DUMMYFUNCTION("""COMPUTED_VALUE"""),56.5)</f>
        <v>56.5</v>
      </c>
      <c r="T54" s="132">
        <f>IFERROR(__xludf.DUMMYFUNCTION("""COMPUTED_VALUE"""),11.3)</f>
        <v>11.3</v>
      </c>
      <c r="U54" s="132" t="str">
        <f>IFERROR(__xludf.DUMMYFUNCTION("""COMPUTED_VALUE"""),"Paid")</f>
        <v>Paid</v>
      </c>
      <c r="V54" s="132" t="str">
        <f>IFERROR(__xludf.DUMMYFUNCTION("""COMPUTED_VALUE"""),"Paid")</f>
        <v>Paid</v>
      </c>
      <c r="W54" s="132" t="str">
        <f>IFERROR(__xludf.DUMMYFUNCTION("""COMPUTED_VALUE"""),"Paid")</f>
        <v>Paid</v>
      </c>
      <c r="X54" s="132" t="str">
        <f>IFERROR(__xludf.DUMMYFUNCTION("""COMPUTED_VALUE"""),"Paid")</f>
        <v>Paid</v>
      </c>
      <c r="Y54" s="132" t="str">
        <f>IFERROR(__xludf.DUMMYFUNCTION("""COMPUTED_VALUE"""),"Paid")</f>
        <v>Paid</v>
      </c>
      <c r="Z54" s="132"/>
    </row>
    <row r="55">
      <c r="A55" s="133">
        <f>IFERROR(__xludf.DUMMYFUNCTION("""COMPUTED_VALUE"""),45393.0)</f>
        <v>45393</v>
      </c>
      <c r="B55" s="132" t="str">
        <f>IFERROR(__xludf.DUMMYFUNCTION("""COMPUTED_VALUE"""),"Tnt dinner")</f>
        <v>Tnt dinner</v>
      </c>
      <c r="C55" s="132" t="str">
        <f>IFERROR(__xludf.DUMMYFUNCTION("""COMPUTED_VALUE"""),"食物")</f>
        <v>食物</v>
      </c>
      <c r="D55" s="132">
        <f>IFERROR(__xludf.DUMMYFUNCTION("""COMPUTED_VALUE"""),11.47)</f>
        <v>11.47</v>
      </c>
      <c r="E55" s="132" t="str">
        <f>IFERROR(__xludf.DUMMYFUNCTION("""COMPUTED_VALUE"""),"BL")</f>
        <v>BL</v>
      </c>
      <c r="F55" s="132">
        <f>IFERROR(__xludf.DUMMYFUNCTION("""COMPUTED_VALUE"""),1.9116666666666668)</f>
        <v>1.911666667</v>
      </c>
      <c r="G55" s="132">
        <f>IFERROR(__xludf.DUMMYFUNCTION("""COMPUTED_VALUE"""),1.9116666666666668)</f>
        <v>1.911666667</v>
      </c>
      <c r="H55" s="132">
        <f>IFERROR(__xludf.DUMMYFUNCTION("""COMPUTED_VALUE"""),1.0)</f>
        <v>1</v>
      </c>
      <c r="I55" s="132">
        <f>IFERROR(__xludf.DUMMYFUNCTION("""COMPUTED_VALUE"""),1.0)</f>
        <v>1</v>
      </c>
      <c r="J55" s="132">
        <f>IFERROR(__xludf.DUMMYFUNCTION("""COMPUTED_VALUE"""),1.0)</f>
        <v>1</v>
      </c>
      <c r="K55" s="132">
        <f>IFERROR(__xludf.DUMMYFUNCTION("""COMPUTED_VALUE"""),1.0)</f>
        <v>1</v>
      </c>
      <c r="L55" s="132"/>
      <c r="M55" s="132">
        <f>IFERROR(__xludf.DUMMYFUNCTION("""COMPUTED_VALUE"""),1.0)</f>
        <v>1</v>
      </c>
      <c r="N55" s="132">
        <f>IFERROR(__xludf.DUMMYFUNCTION("""COMPUTED_VALUE"""),1.0)</f>
        <v>1</v>
      </c>
      <c r="O55" s="132"/>
      <c r="P55" s="132"/>
      <c r="Q55" s="132"/>
      <c r="R55" s="132"/>
      <c r="S55" s="132">
        <f>IFERROR(__xludf.DUMMYFUNCTION("""COMPUTED_VALUE"""),3978.29)</f>
        <v>3978.29</v>
      </c>
      <c r="T55" s="132">
        <f>IFERROR(__xludf.DUMMYFUNCTION("""COMPUTED_VALUE"""),795.658)</f>
        <v>795.658</v>
      </c>
      <c r="U55" s="132"/>
      <c r="V55" s="132"/>
      <c r="W55" s="132"/>
      <c r="X55" s="132"/>
      <c r="Y55" s="132"/>
      <c r="Z55" s="132"/>
    </row>
    <row r="56">
      <c r="A56" s="133">
        <f>IFERROR(__xludf.DUMMYFUNCTION("""COMPUTED_VALUE"""),45394.0)</f>
        <v>45394</v>
      </c>
      <c r="B56" s="132" t="str">
        <f>IFERROR(__xludf.DUMMYFUNCTION("""COMPUTED_VALUE"""),"Curry udon")</f>
        <v>Curry udon</v>
      </c>
      <c r="C56" s="132" t="str">
        <f>IFERROR(__xludf.DUMMYFUNCTION("""COMPUTED_VALUE"""),"食物")</f>
        <v>食物</v>
      </c>
      <c r="D56" s="132">
        <f>IFERROR(__xludf.DUMMYFUNCTION("""COMPUTED_VALUE"""),36.19)</f>
        <v>36.19</v>
      </c>
      <c r="E56" s="132" t="str">
        <f>IFERROR(__xludf.DUMMYFUNCTION("""COMPUTED_VALUE"""),"Pigskin")</f>
        <v>Pigskin</v>
      </c>
      <c r="F56" s="132">
        <f>IFERROR(__xludf.DUMMYFUNCTION("""COMPUTED_VALUE"""),4.52375)</f>
        <v>4.52375</v>
      </c>
      <c r="G56" s="132">
        <f>IFERROR(__xludf.DUMMYFUNCTION("""COMPUTED_VALUE"""),4.52375)</f>
        <v>4.52375</v>
      </c>
      <c r="H56" s="132">
        <f>IFERROR(__xludf.DUMMYFUNCTION("""COMPUTED_VALUE"""),1.0)</f>
        <v>1</v>
      </c>
      <c r="I56" s="132">
        <f>IFERROR(__xludf.DUMMYFUNCTION("""COMPUTED_VALUE"""),1.0)</f>
        <v>1</v>
      </c>
      <c r="J56" s="132">
        <f>IFERROR(__xludf.DUMMYFUNCTION("""COMPUTED_VALUE"""),1.0)</f>
        <v>1</v>
      </c>
      <c r="K56" s="132">
        <f>IFERROR(__xludf.DUMMYFUNCTION("""COMPUTED_VALUE"""),1.0)</f>
        <v>1</v>
      </c>
      <c r="L56" s="132">
        <f>IFERROR(__xludf.DUMMYFUNCTION("""COMPUTED_VALUE"""),1.0)</f>
        <v>1</v>
      </c>
      <c r="M56" s="132">
        <f>IFERROR(__xludf.DUMMYFUNCTION("""COMPUTED_VALUE"""),1.0)</f>
        <v>1</v>
      </c>
      <c r="N56" s="132">
        <f>IFERROR(__xludf.DUMMYFUNCTION("""COMPUTED_VALUE"""),1.0)</f>
        <v>1</v>
      </c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3">
        <f>IFERROR(__xludf.DUMMYFUNCTION("""COMPUTED_VALUE"""),45394.0)</f>
        <v>45394</v>
      </c>
      <c r="B57" s="132" t="str">
        <f>IFERROR(__xludf.DUMMYFUNCTION("""COMPUTED_VALUE"""),"3A")</f>
        <v>3A</v>
      </c>
      <c r="C57" s="132" t="str">
        <f>IFERROR(__xludf.DUMMYFUNCTION("""COMPUTED_VALUE"""),"食物")</f>
        <v>食物</v>
      </c>
      <c r="D57" s="132">
        <f>IFERROR(__xludf.DUMMYFUNCTION("""COMPUTED_VALUE"""),7.0)</f>
        <v>7</v>
      </c>
      <c r="E57" s="132"/>
      <c r="F57" s="132" t="str">
        <f>IFERROR(__xludf.DUMMYFUNCTION("""COMPUTED_VALUE"""),"#DIV/0!")</f>
        <v>#DIV/0!</v>
      </c>
      <c r="G57" s="132" t="str">
        <f>IFERROR(__xludf.DUMMYFUNCTION("""COMPUTED_VALUE"""),"#DIV/0!")</f>
        <v>#DIV/0!</v>
      </c>
      <c r="H57" s="132"/>
      <c r="I57" s="132"/>
      <c r="J57" s="132"/>
      <c r="K57" s="132"/>
      <c r="L57" s="132"/>
      <c r="M57" s="132"/>
      <c r="N57" s="132"/>
      <c r="O57" s="132"/>
      <c r="P57" s="132"/>
      <c r="Q57" s="134">
        <f>IFERROR(__xludf.DUMMYFUNCTION("""COMPUTED_VALUE"""),45323.0)</f>
        <v>45323</v>
      </c>
      <c r="R57" s="132" t="str">
        <f>IFERROR(__xludf.DUMMYFUNCTION("""COMPUTED_VALUE"""),"Rent")</f>
        <v>Rent</v>
      </c>
      <c r="S57" s="132">
        <f>IFERROR(__xludf.DUMMYFUNCTION("""COMPUTED_VALUE"""),3600.0)</f>
        <v>3600</v>
      </c>
      <c r="T57" s="132">
        <f>IFERROR(__xludf.DUMMYFUNCTION("""COMPUTED_VALUE"""),720.0)</f>
        <v>720</v>
      </c>
      <c r="U57" s="132" t="str">
        <f>IFERROR(__xludf.DUMMYFUNCTION("""COMPUTED_VALUE"""),"Paid")</f>
        <v>Paid</v>
      </c>
      <c r="V57" s="132" t="str">
        <f>IFERROR(__xludf.DUMMYFUNCTION("""COMPUTED_VALUE"""),"Paid")</f>
        <v>Paid</v>
      </c>
      <c r="W57" s="132" t="str">
        <f>IFERROR(__xludf.DUMMYFUNCTION("""COMPUTED_VALUE"""),"Paid")</f>
        <v>Paid</v>
      </c>
      <c r="X57" s="132" t="str">
        <f>IFERROR(__xludf.DUMMYFUNCTION("""COMPUTED_VALUE"""),"Paid")</f>
        <v>Paid</v>
      </c>
      <c r="Y57" s="132" t="str">
        <f>IFERROR(__xludf.DUMMYFUNCTION("""COMPUTED_VALUE"""),"Paid")</f>
        <v>Paid</v>
      </c>
      <c r="Z57" s="132"/>
    </row>
    <row r="58">
      <c r="A58" s="133">
        <f>IFERROR(__xludf.DUMMYFUNCTION("""COMPUTED_VALUE"""),45395.0)</f>
        <v>45395</v>
      </c>
      <c r="B58" s="132" t="str">
        <f>IFERROR(__xludf.DUMMYFUNCTION("""COMPUTED_VALUE"""),"Foody carrot")</f>
        <v>Foody carrot</v>
      </c>
      <c r="C58" s="132" t="str">
        <f>IFERROR(__xludf.DUMMYFUNCTION("""COMPUTED_VALUE"""),"食物")</f>
        <v>食物</v>
      </c>
      <c r="D58" s="135">
        <f>IFERROR(__xludf.DUMMYFUNCTION("""COMPUTED_VALUE"""),1.36)</f>
        <v>1.36</v>
      </c>
      <c r="E58" s="132" t="str">
        <f>IFERROR(__xludf.DUMMYFUNCTION("""COMPUTED_VALUE"""),"Rachel")</f>
        <v>Rachel</v>
      </c>
      <c r="F58" s="132">
        <f>IFERROR(__xludf.DUMMYFUNCTION("""COMPUTED_VALUE"""),0.22666666666666668)</f>
        <v>0.2266666667</v>
      </c>
      <c r="G58" s="132">
        <f>IFERROR(__xludf.DUMMYFUNCTION("""COMPUTED_VALUE"""),0.22666666666666668)</f>
        <v>0.2266666667</v>
      </c>
      <c r="H58" s="132">
        <f>IFERROR(__xludf.DUMMYFUNCTION("""COMPUTED_VALUE"""),1.0)</f>
        <v>1</v>
      </c>
      <c r="I58" s="132">
        <f>IFERROR(__xludf.DUMMYFUNCTION("""COMPUTED_VALUE"""),1.0)</f>
        <v>1</v>
      </c>
      <c r="J58" s="132">
        <f>IFERROR(__xludf.DUMMYFUNCTION("""COMPUTED_VALUE"""),1.0)</f>
        <v>1</v>
      </c>
      <c r="K58" s="132">
        <f>IFERROR(__xludf.DUMMYFUNCTION("""COMPUTED_VALUE"""),1.0)</f>
        <v>1</v>
      </c>
      <c r="L58" s="132"/>
      <c r="M58" s="132">
        <f>IFERROR(__xludf.DUMMYFUNCTION("""COMPUTED_VALUE"""),1.0)</f>
        <v>1</v>
      </c>
      <c r="N58" s="132">
        <f>IFERROR(__xludf.DUMMYFUNCTION("""COMPUTED_VALUE"""),1.0)</f>
        <v>1</v>
      </c>
      <c r="O58" s="132"/>
      <c r="P58" s="132"/>
      <c r="Q58" s="132"/>
      <c r="R58" s="132" t="str">
        <f>IFERROR(__xludf.DUMMYFUNCTION("""COMPUTED_VALUE"""),"Water")</f>
        <v>Water</v>
      </c>
      <c r="S58" s="132"/>
      <c r="T58" s="132"/>
      <c r="U58" s="132"/>
      <c r="V58" s="132"/>
      <c r="W58" s="132"/>
      <c r="X58" s="132"/>
      <c r="Y58" s="132"/>
      <c r="Z58" s="132"/>
    </row>
    <row r="59">
      <c r="A59" s="133">
        <f>IFERROR(__xludf.DUMMYFUNCTION("""COMPUTED_VALUE"""),45395.0)</f>
        <v>45395</v>
      </c>
      <c r="B59" s="132" t="str">
        <f>IFERROR(__xludf.DUMMYFUNCTION("""COMPUTED_VALUE"""),"Foody ")</f>
        <v>Foody </v>
      </c>
      <c r="C59" s="132" t="str">
        <f>IFERROR(__xludf.DUMMYFUNCTION("""COMPUTED_VALUE"""),"食物")</f>
        <v>食物</v>
      </c>
      <c r="D59" s="132">
        <f>IFERROR(__xludf.DUMMYFUNCTION("""COMPUTED_VALUE"""),39.37)</f>
        <v>39.37</v>
      </c>
      <c r="E59" s="132" t="str">
        <f>IFERROR(__xludf.DUMMYFUNCTION("""COMPUTED_VALUE"""),"Pigskin")</f>
        <v>Pigskin</v>
      </c>
      <c r="F59" s="132">
        <f>IFERROR(__xludf.DUMMYFUNCTION("""COMPUTED_VALUE"""),6.5616666666666665)</f>
        <v>6.561666667</v>
      </c>
      <c r="G59" s="132">
        <f>IFERROR(__xludf.DUMMYFUNCTION("""COMPUTED_VALUE"""),6.5616666666666665)</f>
        <v>6.561666667</v>
      </c>
      <c r="H59" s="132">
        <f>IFERROR(__xludf.DUMMYFUNCTION("""COMPUTED_VALUE"""),1.0)</f>
        <v>1</v>
      </c>
      <c r="I59" s="132">
        <f>IFERROR(__xludf.DUMMYFUNCTION("""COMPUTED_VALUE"""),1.0)</f>
        <v>1</v>
      </c>
      <c r="J59" s="132">
        <f>IFERROR(__xludf.DUMMYFUNCTION("""COMPUTED_VALUE"""),1.0)</f>
        <v>1</v>
      </c>
      <c r="K59" s="132">
        <f>IFERROR(__xludf.DUMMYFUNCTION("""COMPUTED_VALUE"""),1.0)</f>
        <v>1</v>
      </c>
      <c r="L59" s="132"/>
      <c r="M59" s="132">
        <f>IFERROR(__xludf.DUMMYFUNCTION("""COMPUTED_VALUE"""),1.0)</f>
        <v>1</v>
      </c>
      <c r="N59" s="132">
        <f>IFERROR(__xludf.DUMMYFUNCTION("""COMPUTED_VALUE"""),1.0)</f>
        <v>1</v>
      </c>
      <c r="O59" s="132"/>
      <c r="P59" s="132"/>
      <c r="Q59" s="132"/>
      <c r="R59" s="132" t="str">
        <f>IFERROR(__xludf.DUMMYFUNCTION("""COMPUTED_VALUE"""),"Heat")</f>
        <v>Heat</v>
      </c>
      <c r="S59" s="132">
        <f>IFERROR(__xludf.DUMMYFUNCTION("""COMPUTED_VALUE"""),198.76)</f>
        <v>198.76</v>
      </c>
      <c r="T59" s="135">
        <f>IFERROR(__xludf.DUMMYFUNCTION("""COMPUTED_VALUE"""),33.126666666666665)</f>
        <v>33.12666667</v>
      </c>
      <c r="U59" s="132" t="str">
        <f>IFERROR(__xludf.DUMMYFUNCTION("""COMPUTED_VALUE"""),"Paid")</f>
        <v>Paid</v>
      </c>
      <c r="V59" s="132" t="str">
        <f>IFERROR(__xludf.DUMMYFUNCTION("""COMPUTED_VALUE"""),"Paid")</f>
        <v>Paid</v>
      </c>
      <c r="W59" s="132" t="str">
        <f>IFERROR(__xludf.DUMMYFUNCTION("""COMPUTED_VALUE"""),"Paid")</f>
        <v>Paid</v>
      </c>
      <c r="X59" s="132" t="str">
        <f>IFERROR(__xludf.DUMMYFUNCTION("""COMPUTED_VALUE"""),"Paid")</f>
        <v>Paid</v>
      </c>
      <c r="Y59" s="132" t="str">
        <f>IFERROR(__xludf.DUMMYFUNCTION("""COMPUTED_VALUE"""),"Paid")</f>
        <v>Paid</v>
      </c>
      <c r="Z59" s="132"/>
    </row>
    <row r="60">
      <c r="A60" s="133">
        <f>IFERROR(__xludf.DUMMYFUNCTION("""COMPUTED_VALUE"""),45396.0)</f>
        <v>45396</v>
      </c>
      <c r="B60" s="132" t="str">
        <f>IFERROR(__xludf.DUMMYFUNCTION("""COMPUTED_VALUE"""),"tnt dinner")</f>
        <v>tnt dinner</v>
      </c>
      <c r="C60" s="132" t="str">
        <f>IFERROR(__xludf.DUMMYFUNCTION("""COMPUTED_VALUE"""),"食物")</f>
        <v>食物</v>
      </c>
      <c r="D60" s="135">
        <f>IFERROR(__xludf.DUMMYFUNCTION("""COMPUTED_VALUE"""),26.11)</f>
        <v>26.11</v>
      </c>
      <c r="E60" s="132" t="str">
        <f>IFERROR(__xludf.DUMMYFUNCTION("""COMPUTED_VALUE"""),"Timothy")</f>
        <v>Timothy</v>
      </c>
      <c r="F60" s="132">
        <f>IFERROR(__xludf.DUMMYFUNCTION("""COMPUTED_VALUE"""),5.2219999999999995)</f>
        <v>5.222</v>
      </c>
      <c r="G60" s="132">
        <f>IFERROR(__xludf.DUMMYFUNCTION("""COMPUTED_VALUE"""),5.2219999999999995)</f>
        <v>5.222</v>
      </c>
      <c r="H60" s="132">
        <f>IFERROR(__xludf.DUMMYFUNCTION("""COMPUTED_VALUE"""),1.0)</f>
        <v>1</v>
      </c>
      <c r="I60" s="132">
        <f>IFERROR(__xludf.DUMMYFUNCTION("""COMPUTED_VALUE"""),1.0)</f>
        <v>1</v>
      </c>
      <c r="J60" s="132">
        <f>IFERROR(__xludf.DUMMYFUNCTION("""COMPUTED_VALUE"""),1.0)</f>
        <v>1</v>
      </c>
      <c r="K60" s="132">
        <f>IFERROR(__xludf.DUMMYFUNCTION("""COMPUTED_VALUE"""),1.0)</f>
        <v>1</v>
      </c>
      <c r="L60" s="132"/>
      <c r="M60" s="132"/>
      <c r="N60" s="132">
        <f>IFERROR(__xludf.DUMMYFUNCTION("""COMPUTED_VALUE"""),1.0)</f>
        <v>1</v>
      </c>
      <c r="O60" s="132"/>
      <c r="P60" s="132"/>
      <c r="Q60" s="132"/>
      <c r="R60" s="132" t="str">
        <f>IFERROR(__xludf.DUMMYFUNCTION("""COMPUTED_VALUE"""),"Electricity")</f>
        <v>Electricity</v>
      </c>
      <c r="S60" s="132">
        <f>IFERROR(__xludf.DUMMYFUNCTION("""COMPUTED_VALUE"""),117.83)</f>
        <v>117.83</v>
      </c>
      <c r="T60" s="135">
        <f>IFERROR(__xludf.DUMMYFUNCTION("""COMPUTED_VALUE"""),19.638333333333332)</f>
        <v>19.63833333</v>
      </c>
      <c r="U60" s="132" t="str">
        <f>IFERROR(__xludf.DUMMYFUNCTION("""COMPUTED_VALUE"""),"Paid")</f>
        <v>Paid</v>
      </c>
      <c r="V60" s="132" t="str">
        <f>IFERROR(__xludf.DUMMYFUNCTION("""COMPUTED_VALUE"""),"Paid")</f>
        <v>Paid</v>
      </c>
      <c r="W60" s="132" t="str">
        <f>IFERROR(__xludf.DUMMYFUNCTION("""COMPUTED_VALUE"""),"Paid")</f>
        <v>Paid</v>
      </c>
      <c r="X60" s="132" t="str">
        <f>IFERROR(__xludf.DUMMYFUNCTION("""COMPUTED_VALUE"""),"Paid")</f>
        <v>Paid</v>
      </c>
      <c r="Y60" s="132" t="str">
        <f>IFERROR(__xludf.DUMMYFUNCTION("""COMPUTED_VALUE"""),"Paid")</f>
        <v>Paid</v>
      </c>
      <c r="Z60" s="132"/>
    </row>
    <row r="61">
      <c r="A61" s="133">
        <f>IFERROR(__xludf.DUMMYFUNCTION("""COMPUTED_VALUE"""),45397.0)</f>
        <v>45397</v>
      </c>
      <c r="B61" s="132" t="str">
        <f>IFERROR(__xludf.DUMMYFUNCTION("""COMPUTED_VALUE"""),"Foody dinner")</f>
        <v>Foody dinner</v>
      </c>
      <c r="C61" s="132" t="str">
        <f>IFERROR(__xludf.DUMMYFUNCTION("""COMPUTED_VALUE"""),"食物")</f>
        <v>食物</v>
      </c>
      <c r="D61" s="132">
        <f>IFERROR(__xludf.DUMMYFUNCTION("""COMPUTED_VALUE"""),33.28)</f>
        <v>33.28</v>
      </c>
      <c r="E61" s="132" t="str">
        <f>IFERROR(__xludf.DUMMYFUNCTION("""COMPUTED_VALUE"""),"Rachel")</f>
        <v>Rachel</v>
      </c>
      <c r="F61" s="132">
        <f>IFERROR(__xludf.DUMMYFUNCTION("""COMPUTED_VALUE"""),6.656000000000001)</f>
        <v>6.656</v>
      </c>
      <c r="G61" s="132">
        <f>IFERROR(__xludf.DUMMYFUNCTION("""COMPUTED_VALUE"""),6.656000000000001)</f>
        <v>6.656</v>
      </c>
      <c r="H61" s="132">
        <f>IFERROR(__xludf.DUMMYFUNCTION("""COMPUTED_VALUE"""),1.0)</f>
        <v>1</v>
      </c>
      <c r="I61" s="132">
        <f>IFERROR(__xludf.DUMMYFUNCTION("""COMPUTED_VALUE"""),1.0)</f>
        <v>1</v>
      </c>
      <c r="J61" s="132">
        <f>IFERROR(__xludf.DUMMYFUNCTION("""COMPUTED_VALUE"""),1.0)</f>
        <v>1</v>
      </c>
      <c r="K61" s="132">
        <f>IFERROR(__xludf.DUMMYFUNCTION("""COMPUTED_VALUE"""),1.0)</f>
        <v>1</v>
      </c>
      <c r="L61" s="132"/>
      <c r="M61" s="132">
        <f>IFERROR(__xludf.DUMMYFUNCTION("""COMPUTED_VALUE"""),1.0)</f>
        <v>1</v>
      </c>
      <c r="N61" s="132"/>
      <c r="O61" s="132"/>
      <c r="P61" s="132"/>
      <c r="Q61" s="132"/>
      <c r="R61" s="132" t="str">
        <f>IFERROR(__xludf.DUMMYFUNCTION("""COMPUTED_VALUE"""),"Internet")</f>
        <v>Internet</v>
      </c>
      <c r="S61" s="132">
        <f>IFERROR(__xludf.DUMMYFUNCTION("""COMPUTED_VALUE"""),56.5)</f>
        <v>56.5</v>
      </c>
      <c r="T61" s="135">
        <f>IFERROR(__xludf.DUMMYFUNCTION("""COMPUTED_VALUE"""),9.416666666666666)</f>
        <v>9.416666667</v>
      </c>
      <c r="U61" s="132" t="str">
        <f>IFERROR(__xludf.DUMMYFUNCTION("""COMPUTED_VALUE"""),"Paid")</f>
        <v>Paid</v>
      </c>
      <c r="V61" s="132" t="str">
        <f>IFERROR(__xludf.DUMMYFUNCTION("""COMPUTED_VALUE"""),"Paid")</f>
        <v>Paid</v>
      </c>
      <c r="W61" s="132" t="str">
        <f>IFERROR(__xludf.DUMMYFUNCTION("""COMPUTED_VALUE"""),"Paid")</f>
        <v>Paid</v>
      </c>
      <c r="X61" s="132" t="str">
        <f>IFERROR(__xludf.DUMMYFUNCTION("""COMPUTED_VALUE"""),"Paid")</f>
        <v>Paid</v>
      </c>
      <c r="Y61" s="132" t="str">
        <f>IFERROR(__xludf.DUMMYFUNCTION("""COMPUTED_VALUE"""),"Paid")</f>
        <v>Paid</v>
      </c>
      <c r="Z61" s="132"/>
    </row>
    <row r="62">
      <c r="A62" s="133">
        <f>IFERROR(__xludf.DUMMYFUNCTION("""COMPUTED_VALUE"""),45398.0)</f>
        <v>45398</v>
      </c>
      <c r="B62" s="132" t="str">
        <f>IFERROR(__xludf.DUMMYFUNCTION("""COMPUTED_VALUE"""),"Foody")</f>
        <v>Foody</v>
      </c>
      <c r="C62" s="132" t="str">
        <f>IFERROR(__xludf.DUMMYFUNCTION("""COMPUTED_VALUE"""),"食物")</f>
        <v>食物</v>
      </c>
      <c r="D62" s="132">
        <f>IFERROR(__xludf.DUMMYFUNCTION("""COMPUTED_VALUE"""),20.98)</f>
        <v>20.98</v>
      </c>
      <c r="E62" s="132" t="str">
        <f>IFERROR(__xludf.DUMMYFUNCTION("""COMPUTED_VALUE"""),"Pigskin")</f>
        <v>Pigskin</v>
      </c>
      <c r="F62" s="132">
        <f>IFERROR(__xludf.DUMMYFUNCTION("""COMPUTED_VALUE"""),5.245)</f>
        <v>5.245</v>
      </c>
      <c r="G62" s="132">
        <f>IFERROR(__xludf.DUMMYFUNCTION("""COMPUTED_VALUE"""),5.245)</f>
        <v>5.245</v>
      </c>
      <c r="H62" s="132">
        <f>IFERROR(__xludf.DUMMYFUNCTION("""COMPUTED_VALUE"""),1.0)</f>
        <v>1</v>
      </c>
      <c r="I62" s="132">
        <f>IFERROR(__xludf.DUMMYFUNCTION("""COMPUTED_VALUE"""),1.0)</f>
        <v>1</v>
      </c>
      <c r="J62" s="132">
        <f>IFERROR(__xludf.DUMMYFUNCTION("""COMPUTED_VALUE"""),1.0)</f>
        <v>1</v>
      </c>
      <c r="K62" s="132">
        <f>IFERROR(__xludf.DUMMYFUNCTION("""COMPUTED_VALUE"""),1.0)</f>
        <v>1</v>
      </c>
      <c r="L62" s="132"/>
      <c r="M62" s="132"/>
      <c r="N62" s="132"/>
      <c r="O62" s="132"/>
      <c r="P62" s="132"/>
      <c r="Q62" s="132"/>
      <c r="R62" s="132"/>
      <c r="S62" s="132">
        <f>IFERROR(__xludf.DUMMYFUNCTION("""COMPUTED_VALUE"""),3973.09)</f>
        <v>3973.09</v>
      </c>
      <c r="T62" s="132">
        <f>IFERROR(__xludf.DUMMYFUNCTION("""COMPUTED_VALUE"""),782.1816666666666)</f>
        <v>782.1816667</v>
      </c>
      <c r="U62" s="132"/>
      <c r="V62" s="132"/>
      <c r="W62" s="132"/>
      <c r="X62" s="132"/>
      <c r="Y62" s="132"/>
      <c r="Z62" s="132"/>
    </row>
    <row r="63">
      <c r="A63" s="133">
        <f>IFERROR(__xludf.DUMMYFUNCTION("""COMPUTED_VALUE"""),45398.0)</f>
        <v>45398</v>
      </c>
      <c r="B63" s="132" t="str">
        <f>IFERROR(__xludf.DUMMYFUNCTION("""COMPUTED_VALUE"""),"black socks")</f>
        <v>black socks</v>
      </c>
      <c r="C63" s="132" t="str">
        <f>IFERROR(__xludf.DUMMYFUNCTION("""COMPUTED_VALUE"""),"衣服")</f>
        <v>衣服</v>
      </c>
      <c r="D63" s="132">
        <f>IFERROR(__xludf.DUMMYFUNCTION("""COMPUTED_VALUE"""),22.588699999999996)</f>
        <v>22.5887</v>
      </c>
      <c r="E63" s="132" t="str">
        <f>IFERROR(__xludf.DUMMYFUNCTION("""COMPUTED_VALUE"""),"BL")</f>
        <v>BL</v>
      </c>
      <c r="F63" s="132">
        <f>IFERROR(__xludf.DUMMYFUNCTION("""COMPUTED_VALUE"""),22.588699999999996)</f>
        <v>22.5887</v>
      </c>
      <c r="G63" s="132">
        <f>IFERROR(__xludf.DUMMYFUNCTION("""COMPUTED_VALUE"""),22.588699999999996)</f>
        <v>22.5887</v>
      </c>
      <c r="H63" s="132"/>
      <c r="I63" s="132">
        <f>IFERROR(__xludf.DUMMYFUNCTION("""COMPUTED_VALUE"""),1.0)</f>
        <v>1</v>
      </c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6">
        <f>IFERROR(__xludf.DUMMYFUNCTION("""COMPUTED_VALUE"""),45398.0)</f>
        <v>45398</v>
      </c>
      <c r="B64" s="132" t="str">
        <f>IFERROR(__xludf.DUMMYFUNCTION("""COMPUTED_VALUE"""),"Shower filter")</f>
        <v>Shower filter</v>
      </c>
      <c r="C64" s="132" t="str">
        <f>IFERROR(__xludf.DUMMYFUNCTION("""COMPUTED_VALUE"""),"居家")</f>
        <v>居家</v>
      </c>
      <c r="D64" s="132">
        <f>IFERROR(__xludf.DUMMYFUNCTION("""COMPUTED_VALUE"""),39.4935)</f>
        <v>39.4935</v>
      </c>
      <c r="E64" s="132" t="str">
        <f>IFERROR(__xludf.DUMMYFUNCTION("""COMPUTED_VALUE"""),"BL")</f>
        <v>BL</v>
      </c>
      <c r="F64" s="132">
        <f>IFERROR(__xludf.DUMMYFUNCTION("""COMPUTED_VALUE"""),19.74675)</f>
        <v>19.74675</v>
      </c>
      <c r="G64" s="132">
        <f>IFERROR(__xludf.DUMMYFUNCTION("""COMPUTED_VALUE"""),19.74675)</f>
        <v>19.74675</v>
      </c>
      <c r="H64" s="132">
        <f>IFERROR(__xludf.DUMMYFUNCTION("""COMPUTED_VALUE"""),1.0)</f>
        <v>1</v>
      </c>
      <c r="I64" s="132">
        <f>IFERROR(__xludf.DUMMYFUNCTION("""COMPUTED_VALUE"""),1.0)</f>
        <v>1</v>
      </c>
      <c r="J64" s="132"/>
      <c r="K64" s="132"/>
      <c r="L64" s="132"/>
      <c r="M64" s="132"/>
      <c r="N64" s="132"/>
      <c r="O64" s="132"/>
      <c r="P64" s="132"/>
      <c r="Q64" s="134">
        <f>IFERROR(__xludf.DUMMYFUNCTION("""COMPUTED_VALUE"""),45352.0)</f>
        <v>45352</v>
      </c>
      <c r="R64" s="132" t="str">
        <f>IFERROR(__xludf.DUMMYFUNCTION("""COMPUTED_VALUE"""),"Rent")</f>
        <v>Rent</v>
      </c>
      <c r="S64" s="132">
        <f>IFERROR(__xludf.DUMMYFUNCTION("""COMPUTED_VALUE"""),3600.0)</f>
        <v>3600</v>
      </c>
      <c r="T64" s="132">
        <f>IFERROR(__xludf.DUMMYFUNCTION("""COMPUTED_VALUE"""),720.0)</f>
        <v>720</v>
      </c>
      <c r="U64" s="132" t="str">
        <f>IFERROR(__xludf.DUMMYFUNCTION("""COMPUTED_VALUE"""),"Paid")</f>
        <v>Paid</v>
      </c>
      <c r="V64" s="132" t="str">
        <f>IFERROR(__xludf.DUMMYFUNCTION("""COMPUTED_VALUE"""),"Paid")</f>
        <v>Paid</v>
      </c>
      <c r="W64" s="132" t="str">
        <f>IFERROR(__xludf.DUMMYFUNCTION("""COMPUTED_VALUE"""),"Paid")</f>
        <v>Paid</v>
      </c>
      <c r="X64" s="132" t="str">
        <f>IFERROR(__xludf.DUMMYFUNCTION("""COMPUTED_VALUE"""),"Paid")</f>
        <v>Paid</v>
      </c>
      <c r="Y64" s="132" t="str">
        <f>IFERROR(__xludf.DUMMYFUNCTION("""COMPUTED_VALUE"""),"Paid")</f>
        <v>Paid</v>
      </c>
      <c r="Z64" s="132"/>
    </row>
    <row r="65">
      <c r="A65" s="136">
        <f>IFERROR(__xludf.DUMMYFUNCTION("""COMPUTED_VALUE"""),45398.0)</f>
        <v>45398</v>
      </c>
      <c r="B65" s="132" t="str">
        <f>IFERROR(__xludf.DUMMYFUNCTION("""COMPUTED_VALUE"""),"Hair dryer")</f>
        <v>Hair dryer</v>
      </c>
      <c r="C65" s="132" t="str">
        <f>IFERROR(__xludf.DUMMYFUNCTION("""COMPUTED_VALUE"""),"居家")</f>
        <v>居家</v>
      </c>
      <c r="D65" s="132">
        <f>IFERROR(__xludf.DUMMYFUNCTION("""COMPUTED_VALUE"""),37.2787)</f>
        <v>37.2787</v>
      </c>
      <c r="E65" s="132" t="str">
        <f>IFERROR(__xludf.DUMMYFUNCTION("""COMPUTED_VALUE"""),"BL")</f>
        <v>BL</v>
      </c>
      <c r="F65" s="132">
        <f>IFERROR(__xludf.DUMMYFUNCTION("""COMPUTED_VALUE"""),18.63935)</f>
        <v>18.63935</v>
      </c>
      <c r="G65" s="132">
        <f>IFERROR(__xludf.DUMMYFUNCTION("""COMPUTED_VALUE"""),18.63935)</f>
        <v>18.63935</v>
      </c>
      <c r="H65" s="132">
        <f>IFERROR(__xludf.DUMMYFUNCTION("""COMPUTED_VALUE"""),1.0)</f>
        <v>1</v>
      </c>
      <c r="I65" s="132">
        <f>IFERROR(__xludf.DUMMYFUNCTION("""COMPUTED_VALUE"""),1.0)</f>
        <v>1</v>
      </c>
      <c r="J65" s="132"/>
      <c r="K65" s="132"/>
      <c r="L65" s="132"/>
      <c r="M65" s="132"/>
      <c r="N65" s="132"/>
      <c r="O65" s="132"/>
      <c r="P65" s="132"/>
      <c r="Q65" s="132"/>
      <c r="R65" s="132" t="str">
        <f>IFERROR(__xludf.DUMMYFUNCTION("""COMPUTED_VALUE"""),"Water")</f>
        <v>Water</v>
      </c>
      <c r="S65" s="132"/>
      <c r="T65" s="132">
        <f>IFERROR(__xludf.DUMMYFUNCTION("""COMPUTED_VALUE"""),0.0)</f>
        <v>0</v>
      </c>
      <c r="U65" s="132"/>
      <c r="V65" s="132"/>
      <c r="W65" s="132"/>
      <c r="X65" s="132"/>
      <c r="Y65" s="132"/>
      <c r="Z65" s="132"/>
    </row>
    <row r="66">
      <c r="A66" s="133">
        <f>IFERROR(__xludf.DUMMYFUNCTION("""COMPUTED_VALUE"""),45398.0)</f>
        <v>45398</v>
      </c>
      <c r="B66" s="132" t="str">
        <f>IFERROR(__xludf.DUMMYFUNCTION("""COMPUTED_VALUE"""),"Temu")</f>
        <v>Temu</v>
      </c>
      <c r="C66" s="132" t="str">
        <f>IFERROR(__xludf.DUMMYFUNCTION("""COMPUTED_VALUE"""),"居家")</f>
        <v>居家</v>
      </c>
      <c r="D66" s="132">
        <f>IFERROR(__xludf.DUMMYFUNCTION("""COMPUTED_VALUE"""),48.12)</f>
        <v>48.12</v>
      </c>
      <c r="E66" s="132" t="str">
        <f>IFERROR(__xludf.DUMMYFUNCTION("""COMPUTED_VALUE"""),"BL")</f>
        <v>BL</v>
      </c>
      <c r="F66" s="132">
        <f>IFERROR(__xludf.DUMMYFUNCTION("""COMPUTED_VALUE"""),24.06)</f>
        <v>24.06</v>
      </c>
      <c r="G66" s="132">
        <f>IFERROR(__xludf.DUMMYFUNCTION("""COMPUTED_VALUE"""),24.06)</f>
        <v>24.06</v>
      </c>
      <c r="H66" s="132"/>
      <c r="I66" s="132"/>
      <c r="J66" s="132">
        <f>IFERROR(__xludf.DUMMYFUNCTION("""COMPUTED_VALUE"""),1.0)</f>
        <v>1</v>
      </c>
      <c r="K66" s="132">
        <f>IFERROR(__xludf.DUMMYFUNCTION("""COMPUTED_VALUE"""),1.0)</f>
        <v>1</v>
      </c>
      <c r="L66" s="132"/>
      <c r="M66" s="132"/>
      <c r="N66" s="132"/>
      <c r="O66" s="132"/>
      <c r="P66" s="132"/>
      <c r="Q66" s="132"/>
      <c r="R66" s="132" t="str">
        <f>IFERROR(__xludf.DUMMYFUNCTION("""COMPUTED_VALUE"""),"Heat")</f>
        <v>Heat</v>
      </c>
      <c r="S66" s="132">
        <f>IFERROR(__xludf.DUMMYFUNCTION("""COMPUTED_VALUE"""),173.22)</f>
        <v>173.22</v>
      </c>
      <c r="T66" s="132">
        <f>IFERROR(__xludf.DUMMYFUNCTION("""COMPUTED_VALUE"""),34.644)</f>
        <v>34.644</v>
      </c>
      <c r="U66" s="132" t="str">
        <f>IFERROR(__xludf.DUMMYFUNCTION("""COMPUTED_VALUE"""),"Paid")</f>
        <v>Paid</v>
      </c>
      <c r="V66" s="132" t="str">
        <f>IFERROR(__xludf.DUMMYFUNCTION("""COMPUTED_VALUE"""),"Paid")</f>
        <v>Paid</v>
      </c>
      <c r="W66" s="132" t="str">
        <f>IFERROR(__xludf.DUMMYFUNCTION("""COMPUTED_VALUE"""),"Paid")</f>
        <v>Paid</v>
      </c>
      <c r="X66" s="132" t="str">
        <f>IFERROR(__xludf.DUMMYFUNCTION("""COMPUTED_VALUE"""),"Paid")</f>
        <v>Paid</v>
      </c>
      <c r="Y66" s="132" t="str">
        <f>IFERROR(__xludf.DUMMYFUNCTION("""COMPUTED_VALUE"""),"Paid")</f>
        <v>Paid</v>
      </c>
      <c r="Z66" s="132"/>
    </row>
    <row r="67">
      <c r="A67" s="133">
        <f>IFERROR(__xludf.DUMMYFUNCTION("""COMPUTED_VALUE"""),45399.0)</f>
        <v>45399</v>
      </c>
      <c r="B67" s="132" t="str">
        <f>IFERROR(__xludf.DUMMYFUNCTION("""COMPUTED_VALUE"""),"Foody")</f>
        <v>Foody</v>
      </c>
      <c r="C67" s="132" t="str">
        <f>IFERROR(__xludf.DUMMYFUNCTION("""COMPUTED_VALUE"""),"食物")</f>
        <v>食物</v>
      </c>
      <c r="D67" s="132">
        <f>IFERROR(__xludf.DUMMYFUNCTION("""COMPUTED_VALUE"""),34.29)</f>
        <v>34.29</v>
      </c>
      <c r="E67" s="132" t="str">
        <f>IFERROR(__xludf.DUMMYFUNCTION("""COMPUTED_VALUE"""),"Pigskin")</f>
        <v>Pigskin</v>
      </c>
      <c r="F67" s="132">
        <f>IFERROR(__xludf.DUMMYFUNCTION("""COMPUTED_VALUE"""),8.5725)</f>
        <v>8.5725</v>
      </c>
      <c r="G67" s="132">
        <f>IFERROR(__xludf.DUMMYFUNCTION("""COMPUTED_VALUE"""),8.5725)</f>
        <v>8.5725</v>
      </c>
      <c r="H67" s="132">
        <f>IFERROR(__xludf.DUMMYFUNCTION("""COMPUTED_VALUE"""),1.0)</f>
        <v>1</v>
      </c>
      <c r="I67" s="132">
        <f>IFERROR(__xludf.DUMMYFUNCTION("""COMPUTED_VALUE"""),1.0)</f>
        <v>1</v>
      </c>
      <c r="J67" s="132">
        <f>IFERROR(__xludf.DUMMYFUNCTION("""COMPUTED_VALUE"""),1.0)</f>
        <v>1</v>
      </c>
      <c r="K67" s="132">
        <f>IFERROR(__xludf.DUMMYFUNCTION("""COMPUTED_VALUE"""),1.0)</f>
        <v>1</v>
      </c>
      <c r="L67" s="132"/>
      <c r="M67" s="132"/>
      <c r="N67" s="132"/>
      <c r="O67" s="132"/>
      <c r="P67" s="132"/>
      <c r="Q67" s="132"/>
      <c r="R67" s="132" t="str">
        <f>IFERROR(__xludf.DUMMYFUNCTION("""COMPUTED_VALUE"""),"Electricity")</f>
        <v>Electricity</v>
      </c>
      <c r="S67" s="132">
        <f>IFERROR(__xludf.DUMMYFUNCTION("""COMPUTED_VALUE"""),97.82)</f>
        <v>97.82</v>
      </c>
      <c r="T67" s="132">
        <f>IFERROR(__xludf.DUMMYFUNCTION("""COMPUTED_VALUE"""),19.564)</f>
        <v>19.564</v>
      </c>
      <c r="U67" s="132" t="str">
        <f>IFERROR(__xludf.DUMMYFUNCTION("""COMPUTED_VALUE"""),"Paid")</f>
        <v>Paid</v>
      </c>
      <c r="V67" s="132" t="str">
        <f>IFERROR(__xludf.DUMMYFUNCTION("""COMPUTED_VALUE"""),"Paid")</f>
        <v>Paid</v>
      </c>
      <c r="W67" s="132" t="str">
        <f>IFERROR(__xludf.DUMMYFUNCTION("""COMPUTED_VALUE"""),"Paid")</f>
        <v>Paid</v>
      </c>
      <c r="X67" s="132" t="str">
        <f>IFERROR(__xludf.DUMMYFUNCTION("""COMPUTED_VALUE"""),"Paid")</f>
        <v>Paid</v>
      </c>
      <c r="Y67" s="132" t="str">
        <f>IFERROR(__xludf.DUMMYFUNCTION("""COMPUTED_VALUE"""),"Paid")</f>
        <v>Paid</v>
      </c>
      <c r="Z67" s="132"/>
    </row>
    <row r="68">
      <c r="A68" s="133">
        <f>IFERROR(__xludf.DUMMYFUNCTION("""COMPUTED_VALUE"""),45400.0)</f>
        <v>45400</v>
      </c>
      <c r="B68" s="132" t="str">
        <f>IFERROR(__xludf.DUMMYFUNCTION("""COMPUTED_VALUE"""),"metro ")</f>
        <v>metro </v>
      </c>
      <c r="C68" s="132" t="str">
        <f>IFERROR(__xludf.DUMMYFUNCTION("""COMPUTED_VALUE"""),"食物")</f>
        <v>食物</v>
      </c>
      <c r="D68" s="135">
        <f>IFERROR(__xludf.DUMMYFUNCTION("""COMPUTED_VALUE"""),12.83)</f>
        <v>12.83</v>
      </c>
      <c r="E68" s="132" t="str">
        <f>IFERROR(__xludf.DUMMYFUNCTION("""COMPUTED_VALUE"""),"Rachel")</f>
        <v>Rachel</v>
      </c>
      <c r="F68" s="132">
        <f>IFERROR(__xludf.DUMMYFUNCTION("""COMPUTED_VALUE"""),2.566)</f>
        <v>2.566</v>
      </c>
      <c r="G68" s="132">
        <f>IFERROR(__xludf.DUMMYFUNCTION("""COMPUTED_VALUE"""),2.566)</f>
        <v>2.566</v>
      </c>
      <c r="H68" s="132">
        <f>IFERROR(__xludf.DUMMYFUNCTION("""COMPUTED_VALUE"""),1.0)</f>
        <v>1</v>
      </c>
      <c r="I68" s="132">
        <f>IFERROR(__xludf.DUMMYFUNCTION("""COMPUTED_VALUE"""),1.0)</f>
        <v>1</v>
      </c>
      <c r="J68" s="132">
        <f>IFERROR(__xludf.DUMMYFUNCTION("""COMPUTED_VALUE"""),1.0)</f>
        <v>1</v>
      </c>
      <c r="K68" s="132">
        <f>IFERROR(__xludf.DUMMYFUNCTION("""COMPUTED_VALUE"""),1.0)</f>
        <v>1</v>
      </c>
      <c r="L68" s="132"/>
      <c r="M68" s="132"/>
      <c r="N68" s="132">
        <f>IFERROR(__xludf.DUMMYFUNCTION("""COMPUTED_VALUE"""),1.0)</f>
        <v>1</v>
      </c>
      <c r="O68" s="132"/>
      <c r="P68" s="132"/>
      <c r="Q68" s="132"/>
      <c r="R68" s="132" t="str">
        <f>IFERROR(__xludf.DUMMYFUNCTION("""COMPUTED_VALUE"""),"Internet")</f>
        <v>Internet</v>
      </c>
      <c r="S68" s="132">
        <f>IFERROR(__xludf.DUMMYFUNCTION("""COMPUTED_VALUE"""),56.5)</f>
        <v>56.5</v>
      </c>
      <c r="T68" s="132">
        <f>IFERROR(__xludf.DUMMYFUNCTION("""COMPUTED_VALUE"""),11.3)</f>
        <v>11.3</v>
      </c>
      <c r="U68" s="132" t="str">
        <f>IFERROR(__xludf.DUMMYFUNCTION("""COMPUTED_VALUE"""),"Paid")</f>
        <v>Paid</v>
      </c>
      <c r="V68" s="132" t="str">
        <f>IFERROR(__xludf.DUMMYFUNCTION("""COMPUTED_VALUE"""),"Paid")</f>
        <v>Paid</v>
      </c>
      <c r="W68" s="132" t="str">
        <f>IFERROR(__xludf.DUMMYFUNCTION("""COMPUTED_VALUE"""),"Paid")</f>
        <v>Paid</v>
      </c>
      <c r="X68" s="132" t="str">
        <f>IFERROR(__xludf.DUMMYFUNCTION("""COMPUTED_VALUE"""),"Paid")</f>
        <v>Paid</v>
      </c>
      <c r="Y68" s="132" t="str">
        <f>IFERROR(__xludf.DUMMYFUNCTION("""COMPUTED_VALUE"""),"Paid")</f>
        <v>Paid</v>
      </c>
      <c r="Z68" s="132"/>
    </row>
    <row r="69">
      <c r="A69" s="133">
        <f>IFERROR(__xludf.DUMMYFUNCTION("""COMPUTED_VALUE"""),45400.0)</f>
        <v>45400</v>
      </c>
      <c r="B69" s="132" t="str">
        <f>IFERROR(__xludf.DUMMYFUNCTION("""COMPUTED_VALUE"""),"lunch")</f>
        <v>lunch</v>
      </c>
      <c r="C69" s="132" t="str">
        <f>IFERROR(__xludf.DUMMYFUNCTION("""COMPUTED_VALUE"""),"食物")</f>
        <v>食物</v>
      </c>
      <c r="D69" s="132">
        <f>IFERROR(__xludf.DUMMYFUNCTION("""COMPUTED_VALUE"""),13.5497)</f>
        <v>13.5497</v>
      </c>
      <c r="E69" s="132" t="str">
        <f>IFERROR(__xludf.DUMMYFUNCTION("""COMPUTED_VALUE"""),"Pigskin")</f>
        <v>Pigskin</v>
      </c>
      <c r="F69" s="132">
        <f>IFERROR(__xludf.DUMMYFUNCTION("""COMPUTED_VALUE"""),6.77485)</f>
        <v>6.77485</v>
      </c>
      <c r="G69" s="132">
        <f>IFERROR(__xludf.DUMMYFUNCTION("""COMPUTED_VALUE"""),6.77485)</f>
        <v>6.77485</v>
      </c>
      <c r="H69" s="132"/>
      <c r="I69" s="132"/>
      <c r="J69" s="132">
        <f>IFERROR(__xludf.DUMMYFUNCTION("""COMPUTED_VALUE"""),1.0)</f>
        <v>1</v>
      </c>
      <c r="K69" s="132">
        <f>IFERROR(__xludf.DUMMYFUNCTION("""COMPUTED_VALUE"""),1.0)</f>
        <v>1</v>
      </c>
      <c r="L69" s="132"/>
      <c r="M69" s="132"/>
      <c r="N69" s="132"/>
      <c r="O69" s="132"/>
      <c r="P69" s="132"/>
      <c r="Q69" s="132"/>
      <c r="R69" s="132"/>
      <c r="S69" s="132">
        <f>IFERROR(__xludf.DUMMYFUNCTION("""COMPUTED_VALUE"""),3927.54)</f>
        <v>3927.54</v>
      </c>
      <c r="T69" s="132">
        <f>IFERROR(__xludf.DUMMYFUNCTION("""COMPUTED_VALUE"""),785.5079999999999)</f>
        <v>785.508</v>
      </c>
      <c r="U69" s="132"/>
      <c r="V69" s="132"/>
      <c r="W69" s="132"/>
      <c r="X69" s="132"/>
      <c r="Y69" s="132"/>
      <c r="Z69" s="132"/>
    </row>
    <row r="70">
      <c r="A70" s="133">
        <f>IFERROR(__xludf.DUMMYFUNCTION("""COMPUTED_VALUE"""),45400.0)</f>
        <v>45400</v>
      </c>
      <c r="B70" s="132" t="str">
        <f>IFERROR(__xludf.DUMMYFUNCTION("""COMPUTED_VALUE"""),"foody dinner")</f>
        <v>foody dinner</v>
      </c>
      <c r="C70" s="132" t="str">
        <f>IFERROR(__xludf.DUMMYFUNCTION("""COMPUTED_VALUE"""),"食物")</f>
        <v>食物</v>
      </c>
      <c r="D70" s="132">
        <f>IFERROR(__xludf.DUMMYFUNCTION("""COMPUTED_VALUE"""),46.8303)</f>
        <v>46.8303</v>
      </c>
      <c r="E70" s="132" t="str">
        <f>IFERROR(__xludf.DUMMYFUNCTION("""COMPUTED_VALUE"""),"Pigskin")</f>
        <v>Pigskin</v>
      </c>
      <c r="F70" s="132">
        <f>IFERROR(__xludf.DUMMYFUNCTION("""COMPUTED_VALUE"""),7.8050500000000005)</f>
        <v>7.80505</v>
      </c>
      <c r="G70" s="132">
        <f>IFERROR(__xludf.DUMMYFUNCTION("""COMPUTED_VALUE"""),7.8050500000000005)</f>
        <v>7.80505</v>
      </c>
      <c r="H70" s="132">
        <f>IFERROR(__xludf.DUMMYFUNCTION("""COMPUTED_VALUE"""),1.0)</f>
        <v>1</v>
      </c>
      <c r="I70" s="132">
        <f>IFERROR(__xludf.DUMMYFUNCTION("""COMPUTED_VALUE"""),1.0)</f>
        <v>1</v>
      </c>
      <c r="J70" s="132">
        <f>IFERROR(__xludf.DUMMYFUNCTION("""COMPUTED_VALUE"""),1.0)</f>
        <v>1</v>
      </c>
      <c r="K70" s="132">
        <f>IFERROR(__xludf.DUMMYFUNCTION("""COMPUTED_VALUE"""),1.0)</f>
        <v>1</v>
      </c>
      <c r="L70" s="132"/>
      <c r="M70" s="132">
        <f>IFERROR(__xludf.DUMMYFUNCTION("""COMPUTED_VALUE"""),1.0)</f>
        <v>1</v>
      </c>
      <c r="N70" s="132">
        <f>IFERROR(__xludf.DUMMYFUNCTION("""COMPUTED_VALUE"""),1.0)</f>
        <v>1</v>
      </c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3">
        <f>IFERROR(__xludf.DUMMYFUNCTION("""COMPUTED_VALUE"""),45401.0)</f>
        <v>45401</v>
      </c>
      <c r="B71" s="132" t="str">
        <f>IFERROR(__xludf.DUMMYFUNCTION("""COMPUTED_VALUE"""),"Costco cannelloni")</f>
        <v>Costco cannelloni</v>
      </c>
      <c r="C71" s="132" t="str">
        <f>IFERROR(__xludf.DUMMYFUNCTION("""COMPUTED_VALUE"""),"食物")</f>
        <v>食物</v>
      </c>
      <c r="D71" s="132">
        <f>IFERROR(__xludf.DUMMYFUNCTION("""COMPUTED_VALUE"""),9.99)</f>
        <v>9.99</v>
      </c>
      <c r="E71" s="132" t="str">
        <f>IFERROR(__xludf.DUMMYFUNCTION("""COMPUTED_VALUE"""),"BL")</f>
        <v>BL</v>
      </c>
      <c r="F71" s="132">
        <f>IFERROR(__xludf.DUMMYFUNCTION("""COMPUTED_VALUE"""),9.99)</f>
        <v>9.99</v>
      </c>
      <c r="G71" s="132">
        <f>IFERROR(__xludf.DUMMYFUNCTION("""COMPUTED_VALUE"""),9.99)</f>
        <v>9.99</v>
      </c>
      <c r="H71" s="132"/>
      <c r="I71" s="132"/>
      <c r="J71" s="132">
        <f>IFERROR(__xludf.DUMMYFUNCTION("""COMPUTED_VALUE"""),1.0)</f>
        <v>1</v>
      </c>
      <c r="K71" s="132"/>
      <c r="L71" s="132"/>
      <c r="M71" s="132"/>
      <c r="N71" s="132"/>
      <c r="O71" s="132"/>
      <c r="P71" s="132"/>
      <c r="Q71" s="134">
        <f>IFERROR(__xludf.DUMMYFUNCTION("""COMPUTED_VALUE"""),45383.0)</f>
        <v>45383</v>
      </c>
      <c r="R71" s="132" t="str">
        <f>IFERROR(__xludf.DUMMYFUNCTION("""COMPUTED_VALUE"""),"Rent")</f>
        <v>Rent</v>
      </c>
      <c r="S71" s="132">
        <f>IFERROR(__xludf.DUMMYFUNCTION("""COMPUTED_VALUE"""),3600.0)</f>
        <v>3600</v>
      </c>
      <c r="T71" s="132">
        <f>IFERROR(__xludf.DUMMYFUNCTION("""COMPUTED_VALUE"""),720.0)</f>
        <v>720</v>
      </c>
      <c r="U71" s="132" t="str">
        <f>IFERROR(__xludf.DUMMYFUNCTION("""COMPUTED_VALUE"""),"Paid")</f>
        <v>Paid</v>
      </c>
      <c r="V71" s="132" t="str">
        <f>IFERROR(__xludf.DUMMYFUNCTION("""COMPUTED_VALUE"""),"Paid")</f>
        <v>Paid</v>
      </c>
      <c r="W71" s="132" t="str">
        <f>IFERROR(__xludf.DUMMYFUNCTION("""COMPUTED_VALUE"""),"Paid")</f>
        <v>Paid</v>
      </c>
      <c r="X71" s="132" t="str">
        <f>IFERROR(__xludf.DUMMYFUNCTION("""COMPUTED_VALUE"""),"Paid")</f>
        <v>Paid</v>
      </c>
      <c r="Y71" s="132" t="str">
        <f>IFERROR(__xludf.DUMMYFUNCTION("""COMPUTED_VALUE"""),"Paid")</f>
        <v>Paid</v>
      </c>
      <c r="Z71" s="132"/>
    </row>
    <row r="72">
      <c r="A72" s="133">
        <f>IFERROR(__xludf.DUMMYFUNCTION("""COMPUTED_VALUE"""),45402.0)</f>
        <v>45402</v>
      </c>
      <c r="B72" s="132" t="str">
        <f>IFERROR(__xludf.DUMMYFUNCTION("""COMPUTED_VALUE"""),"Tiramisu ")</f>
        <v>Tiramisu </v>
      </c>
      <c r="C72" s="132" t="str">
        <f>IFERROR(__xludf.DUMMYFUNCTION("""COMPUTED_VALUE"""),"食物")</f>
        <v>食物</v>
      </c>
      <c r="D72" s="132">
        <f>IFERROR(__xludf.DUMMYFUNCTION("""COMPUTED_VALUE"""),21.36)</f>
        <v>21.36</v>
      </c>
      <c r="E72" s="132" t="str">
        <f>IFERROR(__xludf.DUMMYFUNCTION("""COMPUTED_VALUE"""),"Esther")</f>
        <v>Esther</v>
      </c>
      <c r="F72" s="132">
        <f>IFERROR(__xludf.DUMMYFUNCTION("""COMPUTED_VALUE"""),7.12)</f>
        <v>7.12</v>
      </c>
      <c r="G72" s="132">
        <f>IFERROR(__xludf.DUMMYFUNCTION("""COMPUTED_VALUE"""),7.12)</f>
        <v>7.12</v>
      </c>
      <c r="H72" s="132"/>
      <c r="I72" s="132">
        <f>IFERROR(__xludf.DUMMYFUNCTION("""COMPUTED_VALUE"""),1.0)</f>
        <v>1</v>
      </c>
      <c r="J72" s="132"/>
      <c r="K72" s="132">
        <f>IFERROR(__xludf.DUMMYFUNCTION("""COMPUTED_VALUE"""),1.0)</f>
        <v>1</v>
      </c>
      <c r="L72" s="132"/>
      <c r="M72" s="132"/>
      <c r="N72" s="132">
        <f>IFERROR(__xludf.DUMMYFUNCTION("""COMPUTED_VALUE"""),1.0)</f>
        <v>1</v>
      </c>
      <c r="O72" s="132"/>
      <c r="P72" s="132"/>
      <c r="Q72" s="132"/>
      <c r="R72" s="132" t="str">
        <f>IFERROR(__xludf.DUMMYFUNCTION("""COMPUTED_VALUE"""),"o")</f>
        <v>o</v>
      </c>
      <c r="S72" s="132"/>
      <c r="T72" s="132"/>
      <c r="U72" s="132"/>
      <c r="V72" s="132"/>
      <c r="W72" s="132"/>
      <c r="X72" s="132"/>
      <c r="Y72" s="132"/>
      <c r="Z72" s="132"/>
    </row>
    <row r="73">
      <c r="A73" s="133">
        <f>IFERROR(__xludf.DUMMYFUNCTION("""COMPUTED_VALUE"""),45402.0)</f>
        <v>45402</v>
      </c>
      <c r="B73" s="132" t="str">
        <f>IFERROR(__xludf.DUMMYFUNCTION("""COMPUTED_VALUE"""),"Phoenix")</f>
        <v>Phoenix</v>
      </c>
      <c r="C73" s="132" t="str">
        <f>IFERROR(__xludf.DUMMYFUNCTION("""COMPUTED_VALUE"""),"食物")</f>
        <v>食物</v>
      </c>
      <c r="D73" s="132">
        <f>IFERROR(__xludf.DUMMYFUNCTION("""COMPUTED_VALUE"""),175.0)</f>
        <v>175</v>
      </c>
      <c r="E73" s="132" t="str">
        <f>IFERROR(__xludf.DUMMYFUNCTION("""COMPUTED_VALUE"""),"Ivan")</f>
        <v>Ivan</v>
      </c>
      <c r="F73" s="132">
        <f>IFERROR(__xludf.DUMMYFUNCTION("""COMPUTED_VALUE"""),25.0)</f>
        <v>25</v>
      </c>
      <c r="G73" s="132">
        <f>IFERROR(__xludf.DUMMYFUNCTION("""COMPUTED_VALUE"""),25.0)</f>
        <v>25</v>
      </c>
      <c r="H73" s="132">
        <f>IFERROR(__xludf.DUMMYFUNCTION("""COMPUTED_VALUE"""),1.0)</f>
        <v>1</v>
      </c>
      <c r="I73" s="132">
        <f>IFERROR(__xludf.DUMMYFUNCTION("""COMPUTED_VALUE"""),1.0)</f>
        <v>1</v>
      </c>
      <c r="J73" s="132">
        <f>IFERROR(__xludf.DUMMYFUNCTION("""COMPUTED_VALUE"""),1.0)</f>
        <v>1</v>
      </c>
      <c r="K73" s="132">
        <f>IFERROR(__xludf.DUMMYFUNCTION("""COMPUTED_VALUE"""),1.0)</f>
        <v>1</v>
      </c>
      <c r="L73" s="132">
        <f>IFERROR(__xludf.DUMMYFUNCTION("""COMPUTED_VALUE"""),1.0)</f>
        <v>1</v>
      </c>
      <c r="M73" s="132">
        <f>IFERROR(__xludf.DUMMYFUNCTION("""COMPUTED_VALUE"""),1.0)</f>
        <v>1</v>
      </c>
      <c r="N73" s="132">
        <f>IFERROR(__xludf.DUMMYFUNCTION("""COMPUTED_VALUE"""),1.0)</f>
        <v>1</v>
      </c>
      <c r="O73" s="132"/>
      <c r="P73" s="132"/>
      <c r="Q73" s="132"/>
      <c r="R73" s="132" t="str">
        <f>IFERROR(__xludf.DUMMYFUNCTION("""COMPUTED_VALUE"""),"Heat")</f>
        <v>Heat</v>
      </c>
      <c r="S73" s="132">
        <f>IFERROR(__xludf.DUMMYFUNCTION("""COMPUTED_VALUE"""),169.33)</f>
        <v>169.33</v>
      </c>
      <c r="T73" s="132">
        <f>IFERROR(__xludf.DUMMYFUNCTION("""COMPUTED_VALUE"""),33.866)</f>
        <v>33.866</v>
      </c>
      <c r="U73" s="132" t="str">
        <f>IFERROR(__xludf.DUMMYFUNCTION("""COMPUTED_VALUE"""),"Paid")</f>
        <v>Paid</v>
      </c>
      <c r="V73" s="132" t="str">
        <f>IFERROR(__xludf.DUMMYFUNCTION("""COMPUTED_VALUE"""),"Paid")</f>
        <v>Paid</v>
      </c>
      <c r="W73" s="132" t="str">
        <f>IFERROR(__xludf.DUMMYFUNCTION("""COMPUTED_VALUE"""),"Paid")</f>
        <v>Paid</v>
      </c>
      <c r="X73" s="132" t="str">
        <f>IFERROR(__xludf.DUMMYFUNCTION("""COMPUTED_VALUE"""),"Paid")</f>
        <v>Paid</v>
      </c>
      <c r="Y73" s="132" t="str">
        <f>IFERROR(__xludf.DUMMYFUNCTION("""COMPUTED_VALUE"""),"Paid")</f>
        <v>Paid</v>
      </c>
      <c r="Z73" s="132"/>
    </row>
    <row r="74">
      <c r="A74" s="133">
        <f>IFERROR(__xludf.DUMMYFUNCTION("""COMPUTED_VALUE"""),45403.0)</f>
        <v>45403</v>
      </c>
      <c r="B74" s="132" t="str">
        <f>IFERROR(__xludf.DUMMYFUNCTION("""COMPUTED_VALUE"""),"Foody dinner")</f>
        <v>Foody dinner</v>
      </c>
      <c r="C74" s="132" t="str">
        <f>IFERROR(__xludf.DUMMYFUNCTION("""COMPUTED_VALUE"""),"食物")</f>
        <v>食物</v>
      </c>
      <c r="D74" s="132">
        <f>IFERROR(__xludf.DUMMYFUNCTION("""COMPUTED_VALUE"""),27.84)</f>
        <v>27.84</v>
      </c>
      <c r="E74" s="132" t="str">
        <f>IFERROR(__xludf.DUMMYFUNCTION("""COMPUTED_VALUE"""),"Rachel")</f>
        <v>Rachel</v>
      </c>
      <c r="F74" s="132">
        <f>IFERROR(__xludf.DUMMYFUNCTION("""COMPUTED_VALUE"""),6.96)</f>
        <v>6.96</v>
      </c>
      <c r="G74" s="132">
        <f>IFERROR(__xludf.DUMMYFUNCTION("""COMPUTED_VALUE"""),6.96)</f>
        <v>6.96</v>
      </c>
      <c r="H74" s="132">
        <f>IFERROR(__xludf.DUMMYFUNCTION("""COMPUTED_VALUE"""),1.0)</f>
        <v>1</v>
      </c>
      <c r="I74" s="132">
        <f>IFERROR(__xludf.DUMMYFUNCTION("""COMPUTED_VALUE"""),1.0)</f>
        <v>1</v>
      </c>
      <c r="J74" s="132">
        <f>IFERROR(__xludf.DUMMYFUNCTION("""COMPUTED_VALUE"""),1.0)</f>
        <v>1</v>
      </c>
      <c r="K74" s="132">
        <f>IFERROR(__xludf.DUMMYFUNCTION("""COMPUTED_VALUE"""),1.0)</f>
        <v>1</v>
      </c>
      <c r="L74" s="132"/>
      <c r="M74" s="132"/>
      <c r="N74" s="132"/>
      <c r="O74" s="132"/>
      <c r="P74" s="132"/>
      <c r="Q74" s="132"/>
      <c r="R74" s="132" t="str">
        <f>IFERROR(__xludf.DUMMYFUNCTION("""COMPUTED_VALUE"""),"Electricity")</f>
        <v>Electricity</v>
      </c>
      <c r="S74" s="132">
        <f>IFERROR(__xludf.DUMMYFUNCTION("""COMPUTED_VALUE"""),104.26)</f>
        <v>104.26</v>
      </c>
      <c r="T74" s="132">
        <f>IFERROR(__xludf.DUMMYFUNCTION("""COMPUTED_VALUE"""),20.852)</f>
        <v>20.852</v>
      </c>
      <c r="U74" s="132" t="str">
        <f>IFERROR(__xludf.DUMMYFUNCTION("""COMPUTED_VALUE"""),"Paid")</f>
        <v>Paid</v>
      </c>
      <c r="V74" s="132" t="str">
        <f>IFERROR(__xludf.DUMMYFUNCTION("""COMPUTED_VALUE"""),"Paid")</f>
        <v>Paid</v>
      </c>
      <c r="W74" s="132" t="str">
        <f>IFERROR(__xludf.DUMMYFUNCTION("""COMPUTED_VALUE"""),"Paid")</f>
        <v>Paid</v>
      </c>
      <c r="X74" s="132" t="str">
        <f>IFERROR(__xludf.DUMMYFUNCTION("""COMPUTED_VALUE"""),"Paid")</f>
        <v>Paid</v>
      </c>
      <c r="Y74" s="132" t="str">
        <f>IFERROR(__xludf.DUMMYFUNCTION("""COMPUTED_VALUE"""),"Paid")</f>
        <v>Paid</v>
      </c>
      <c r="Z74" s="132"/>
    </row>
    <row r="75">
      <c r="A75" s="136">
        <f>IFERROR(__xludf.DUMMYFUNCTION("""COMPUTED_VALUE"""),45404.0)</f>
        <v>45404</v>
      </c>
      <c r="B75" s="132" t="str">
        <f>IFERROR(__xludf.DUMMYFUNCTION("""COMPUTED_VALUE"""),"Cantire")</f>
        <v>Cantire</v>
      </c>
      <c r="C75" s="132" t="str">
        <f>IFERROR(__xludf.DUMMYFUNCTION("""COMPUTED_VALUE"""),"居家")</f>
        <v>居家</v>
      </c>
      <c r="D75" s="132">
        <f>IFERROR(__xludf.DUMMYFUNCTION("""COMPUTED_VALUE"""),6.7687)</f>
        <v>6.7687</v>
      </c>
      <c r="E75" s="132" t="str">
        <f>IFERROR(__xludf.DUMMYFUNCTION("""COMPUTED_VALUE"""),"Pigskin")</f>
        <v>Pigskin</v>
      </c>
      <c r="F75" s="132">
        <f>IFERROR(__xludf.DUMMYFUNCTION("""COMPUTED_VALUE"""),1.35374)</f>
        <v>1.35374</v>
      </c>
      <c r="G75" s="132">
        <f>IFERROR(__xludf.DUMMYFUNCTION("""COMPUTED_VALUE"""),1.35374)</f>
        <v>1.35374</v>
      </c>
      <c r="H75" s="132">
        <f>IFERROR(__xludf.DUMMYFUNCTION("""COMPUTED_VALUE"""),1.0)</f>
        <v>1</v>
      </c>
      <c r="I75" s="132">
        <f>IFERROR(__xludf.DUMMYFUNCTION("""COMPUTED_VALUE"""),1.0)</f>
        <v>1</v>
      </c>
      <c r="J75" s="132">
        <f>IFERROR(__xludf.DUMMYFUNCTION("""COMPUTED_VALUE"""),1.0)</f>
        <v>1</v>
      </c>
      <c r="K75" s="132">
        <f>IFERROR(__xludf.DUMMYFUNCTION("""COMPUTED_VALUE"""),1.0)</f>
        <v>1</v>
      </c>
      <c r="L75" s="132"/>
      <c r="M75" s="132"/>
      <c r="N75" s="132">
        <f>IFERROR(__xludf.DUMMYFUNCTION("""COMPUTED_VALUE"""),1.0)</f>
        <v>1</v>
      </c>
      <c r="O75" s="132"/>
      <c r="P75" s="132"/>
      <c r="Q75" s="132"/>
      <c r="R75" s="132" t="str">
        <f>IFERROR(__xludf.DUMMYFUNCTION("""COMPUTED_VALUE"""),"Internet")</f>
        <v>Internet</v>
      </c>
      <c r="S75" s="132">
        <f>IFERROR(__xludf.DUMMYFUNCTION("""COMPUTED_VALUE"""),56.5)</f>
        <v>56.5</v>
      </c>
      <c r="T75" s="132">
        <f>IFERROR(__xludf.DUMMYFUNCTION("""COMPUTED_VALUE"""),11.3)</f>
        <v>11.3</v>
      </c>
      <c r="U75" s="132" t="str">
        <f>IFERROR(__xludf.DUMMYFUNCTION("""COMPUTED_VALUE"""),"Paid")</f>
        <v>Paid</v>
      </c>
      <c r="V75" s="132" t="str">
        <f>IFERROR(__xludf.DUMMYFUNCTION("""COMPUTED_VALUE"""),"Paid")</f>
        <v>Paid</v>
      </c>
      <c r="W75" s="132" t="str">
        <f>IFERROR(__xludf.DUMMYFUNCTION("""COMPUTED_VALUE"""),"Paid")</f>
        <v>Paid</v>
      </c>
      <c r="X75" s="132" t="str">
        <f>IFERROR(__xludf.DUMMYFUNCTION("""COMPUTED_VALUE"""),"Paid")</f>
        <v>Paid</v>
      </c>
      <c r="Y75" s="132" t="str">
        <f>IFERROR(__xludf.DUMMYFUNCTION("""COMPUTED_VALUE"""),"Paid")</f>
        <v>Paid</v>
      </c>
      <c r="Z75" s="132"/>
    </row>
    <row r="76">
      <c r="A76" s="136">
        <f>IFERROR(__xludf.DUMMYFUNCTION("""COMPUTED_VALUE"""),45404.0)</f>
        <v>45404</v>
      </c>
      <c r="B76" s="132" t="str">
        <f>IFERROR(__xludf.DUMMYFUNCTION("""COMPUTED_VALUE"""),"Cantire")</f>
        <v>Cantire</v>
      </c>
      <c r="C76" s="132" t="str">
        <f>IFERROR(__xludf.DUMMYFUNCTION("""COMPUTED_VALUE"""),"食物")</f>
        <v>食物</v>
      </c>
      <c r="D76" s="132">
        <f>IFERROR(__xludf.DUMMYFUNCTION("""COMPUTED_VALUE"""),2.5877)</f>
        <v>2.5877</v>
      </c>
      <c r="E76" s="132" t="str">
        <f>IFERROR(__xludf.DUMMYFUNCTION("""COMPUTED_VALUE"""),"Pigskin")</f>
        <v>Pigskin</v>
      </c>
      <c r="F76" s="132">
        <f>IFERROR(__xludf.DUMMYFUNCTION("""COMPUTED_VALUE"""),2.5877)</f>
        <v>2.5877</v>
      </c>
      <c r="G76" s="132">
        <f>IFERROR(__xludf.DUMMYFUNCTION("""COMPUTED_VALUE"""),2.5877)</f>
        <v>2.5877</v>
      </c>
      <c r="H76" s="132"/>
      <c r="I76" s="132">
        <f>IFERROR(__xludf.DUMMYFUNCTION("""COMPUTED_VALUE"""),1.0)</f>
        <v>1</v>
      </c>
      <c r="J76" s="132"/>
      <c r="K76" s="132"/>
      <c r="L76" s="132"/>
      <c r="M76" s="132"/>
      <c r="N76" s="132"/>
      <c r="O76" s="132"/>
      <c r="P76" s="132"/>
      <c r="Q76" s="132"/>
      <c r="R76" s="132"/>
      <c r="S76" s="132">
        <f>IFERROR(__xludf.DUMMYFUNCTION("""COMPUTED_VALUE"""),3930.09)</f>
        <v>3930.09</v>
      </c>
      <c r="T76" s="132">
        <f>IFERROR(__xludf.DUMMYFUNCTION("""COMPUTED_VALUE"""),786.0179999999999)</f>
        <v>786.018</v>
      </c>
      <c r="U76" s="132"/>
      <c r="V76" s="132"/>
      <c r="W76" s="132"/>
      <c r="X76" s="132"/>
      <c r="Y76" s="132"/>
      <c r="Z76" s="132"/>
    </row>
    <row r="77">
      <c r="A77" s="136">
        <f>IFERROR(__xludf.DUMMYFUNCTION("""COMPUTED_VALUE"""),45404.0)</f>
        <v>45404</v>
      </c>
      <c r="B77" s="132" t="str">
        <f>IFERROR(__xludf.DUMMYFUNCTION("""COMPUTED_VALUE"""),"Sweeper dust mop")</f>
        <v>Sweeper dust mop</v>
      </c>
      <c r="C77" s="132" t="str">
        <f>IFERROR(__xludf.DUMMYFUNCTION("""COMPUTED_VALUE"""),"居家")</f>
        <v>居家</v>
      </c>
      <c r="D77" s="132">
        <f>IFERROR(__xludf.DUMMYFUNCTION("""COMPUTED_VALUE"""),13.548699999999998)</f>
        <v>13.5487</v>
      </c>
      <c r="E77" s="132" t="str">
        <f>IFERROR(__xludf.DUMMYFUNCTION("""COMPUTED_VALUE"""),"BL")</f>
        <v>BL</v>
      </c>
      <c r="F77" s="132">
        <f>IFERROR(__xludf.DUMMYFUNCTION("""COMPUTED_VALUE"""),2.7097399999999996)</f>
        <v>2.70974</v>
      </c>
      <c r="G77" s="132">
        <f>IFERROR(__xludf.DUMMYFUNCTION("""COMPUTED_VALUE"""),2.7097399999999996)</f>
        <v>2.70974</v>
      </c>
      <c r="H77" s="132">
        <f>IFERROR(__xludf.DUMMYFUNCTION("""COMPUTED_VALUE"""),1.0)</f>
        <v>1</v>
      </c>
      <c r="I77" s="132">
        <f>IFERROR(__xludf.DUMMYFUNCTION("""COMPUTED_VALUE"""),1.0)</f>
        <v>1</v>
      </c>
      <c r="J77" s="132">
        <f>IFERROR(__xludf.DUMMYFUNCTION("""COMPUTED_VALUE"""),1.0)</f>
        <v>1</v>
      </c>
      <c r="K77" s="132">
        <f>IFERROR(__xludf.DUMMYFUNCTION("""COMPUTED_VALUE"""),1.0)</f>
        <v>1</v>
      </c>
      <c r="L77" s="132"/>
      <c r="M77" s="132"/>
      <c r="N77" s="132">
        <f>IFERROR(__xludf.DUMMYFUNCTION("""COMPUTED_VALUE"""),1.0)</f>
        <v>1</v>
      </c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6">
        <f>IFERROR(__xludf.DUMMYFUNCTION("""COMPUTED_VALUE"""),45404.0)</f>
        <v>45404</v>
      </c>
      <c r="B78" s="132" t="str">
        <f>IFERROR(__xludf.DUMMYFUNCTION("""COMPUTED_VALUE"""),"Batteries")</f>
        <v>Batteries</v>
      </c>
      <c r="C78" s="132" t="str">
        <f>IFERROR(__xludf.DUMMYFUNCTION("""COMPUTED_VALUE"""),"電子產品")</f>
        <v>電子產品</v>
      </c>
      <c r="D78" s="132">
        <f>IFERROR(__xludf.DUMMYFUNCTION("""COMPUTED_VALUE"""),11.05)</f>
        <v>11.05</v>
      </c>
      <c r="E78" s="132" t="str">
        <f>IFERROR(__xludf.DUMMYFUNCTION("""COMPUTED_VALUE"""),"BL")</f>
        <v>BL</v>
      </c>
      <c r="F78" s="132">
        <f>IFERROR(__xludf.DUMMYFUNCTION("""COMPUTED_VALUE"""),2.21)</f>
        <v>2.21</v>
      </c>
      <c r="G78" s="132">
        <f>IFERROR(__xludf.DUMMYFUNCTION("""COMPUTED_VALUE"""),2.21)</f>
        <v>2.21</v>
      </c>
      <c r="H78" s="132">
        <f>IFERROR(__xludf.DUMMYFUNCTION("""COMPUTED_VALUE"""),1.0)</f>
        <v>1</v>
      </c>
      <c r="I78" s="132">
        <f>IFERROR(__xludf.DUMMYFUNCTION("""COMPUTED_VALUE"""),1.0)</f>
        <v>1</v>
      </c>
      <c r="J78" s="132">
        <f>IFERROR(__xludf.DUMMYFUNCTION("""COMPUTED_VALUE"""),1.0)</f>
        <v>1</v>
      </c>
      <c r="K78" s="132">
        <f>IFERROR(__xludf.DUMMYFUNCTION("""COMPUTED_VALUE"""),1.0)</f>
        <v>1</v>
      </c>
      <c r="L78" s="132"/>
      <c r="M78" s="132"/>
      <c r="N78" s="132">
        <f>IFERROR(__xludf.DUMMYFUNCTION("""COMPUTED_VALUE"""),1.0)</f>
        <v>1</v>
      </c>
      <c r="O78" s="132"/>
      <c r="P78" s="132"/>
      <c r="Q78" s="134">
        <f>IFERROR(__xludf.DUMMYFUNCTION("""COMPUTED_VALUE"""),45413.0)</f>
        <v>45413</v>
      </c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3">
        <f>IFERROR(__xludf.DUMMYFUNCTION("""COMPUTED_VALUE"""),45404.0)</f>
        <v>45404</v>
      </c>
      <c r="B79" s="132" t="str">
        <f>IFERROR(__xludf.DUMMYFUNCTION("""COMPUTED_VALUE"""),"Ikea")</f>
        <v>Ikea</v>
      </c>
      <c r="C79" s="132" t="str">
        <f>IFERROR(__xludf.DUMMYFUNCTION("""COMPUTED_VALUE"""),"食物")</f>
        <v>食物</v>
      </c>
      <c r="D79" s="132">
        <f>IFERROR(__xludf.DUMMYFUNCTION("""COMPUTED_VALUE"""),75.62)</f>
        <v>75.62</v>
      </c>
      <c r="E79" s="132" t="str">
        <f>IFERROR(__xludf.DUMMYFUNCTION("""COMPUTED_VALUE"""),"BL")</f>
        <v>BL</v>
      </c>
      <c r="F79" s="132">
        <f>IFERROR(__xludf.DUMMYFUNCTION("""COMPUTED_VALUE"""),18.905)</f>
        <v>18.905</v>
      </c>
      <c r="G79" s="132">
        <f>IFERROR(__xludf.DUMMYFUNCTION("""COMPUTED_VALUE"""),18.905)</f>
        <v>18.905</v>
      </c>
      <c r="H79" s="132">
        <f>IFERROR(__xludf.DUMMYFUNCTION("""COMPUTED_VALUE"""),1.0)</f>
        <v>1</v>
      </c>
      <c r="I79" s="132">
        <f>IFERROR(__xludf.DUMMYFUNCTION("""COMPUTED_VALUE"""),1.0)</f>
        <v>1</v>
      </c>
      <c r="J79" s="132">
        <f>IFERROR(__xludf.DUMMYFUNCTION("""COMPUTED_VALUE"""),1.0)</f>
        <v>1</v>
      </c>
      <c r="K79" s="132">
        <f>IFERROR(__xludf.DUMMYFUNCTION("""COMPUTED_VALUE"""),1.0)</f>
        <v>1</v>
      </c>
      <c r="L79" s="132"/>
      <c r="M79" s="132"/>
      <c r="N79" s="132"/>
      <c r="O79" s="132"/>
      <c r="P79" s="132"/>
      <c r="Q79" s="132"/>
      <c r="R79" s="132" t="str">
        <f>IFERROR(__xludf.DUMMYFUNCTION("""COMPUTED_VALUE"""),"Water")</f>
        <v>Water</v>
      </c>
      <c r="S79" s="132">
        <f>IFERROR(__xludf.DUMMYFUNCTION("""COMPUTED_VALUE"""),428.7)</f>
        <v>428.7</v>
      </c>
      <c r="T79" s="132">
        <f>IFERROR(__xludf.DUMMYFUNCTION("""COMPUTED_VALUE"""),85.74)</f>
        <v>85.74</v>
      </c>
      <c r="U79" s="132" t="str">
        <f>IFERROR(__xludf.DUMMYFUNCTION("""COMPUTED_VALUE"""),"Paid")</f>
        <v>Paid</v>
      </c>
      <c r="V79" s="132" t="str">
        <f>IFERROR(__xludf.DUMMYFUNCTION("""COMPUTED_VALUE"""),"Paid")</f>
        <v>Paid</v>
      </c>
      <c r="W79" s="132" t="str">
        <f>IFERROR(__xludf.DUMMYFUNCTION("""COMPUTED_VALUE"""),"Paid")</f>
        <v>Paid</v>
      </c>
      <c r="X79" s="132" t="str">
        <f>IFERROR(__xludf.DUMMYFUNCTION("""COMPUTED_VALUE"""),"Paid")</f>
        <v>Paid</v>
      </c>
      <c r="Y79" s="132" t="str">
        <f>IFERROR(__xludf.DUMMYFUNCTION("""COMPUTED_VALUE"""),"Paid")</f>
        <v>Paid</v>
      </c>
      <c r="Z79" s="132"/>
    </row>
    <row r="80">
      <c r="A80" s="133">
        <f>IFERROR(__xludf.DUMMYFUNCTION("""COMPUTED_VALUE"""),45404.0)</f>
        <v>45404</v>
      </c>
      <c r="B80" s="132" t="str">
        <f>IFERROR(__xludf.DUMMYFUNCTION("""COMPUTED_VALUE"""),"Ikea")</f>
        <v>Ikea</v>
      </c>
      <c r="C80" s="132" t="str">
        <f>IFERROR(__xludf.DUMMYFUNCTION("""COMPUTED_VALUE"""),"居家")</f>
        <v>居家</v>
      </c>
      <c r="D80" s="132">
        <f>IFERROR(__xludf.DUMMYFUNCTION("""COMPUTED_VALUE"""),27.64)</f>
        <v>27.64</v>
      </c>
      <c r="E80" s="132" t="str">
        <f>IFERROR(__xludf.DUMMYFUNCTION("""COMPUTED_VALUE"""),"BL")</f>
        <v>BL</v>
      </c>
      <c r="F80" s="132">
        <f>IFERROR(__xludf.DUMMYFUNCTION("""COMPUTED_VALUE"""),5.5280000000000005)</f>
        <v>5.528</v>
      </c>
      <c r="G80" s="132">
        <f>IFERROR(__xludf.DUMMYFUNCTION("""COMPUTED_VALUE"""),5.5280000000000005)</f>
        <v>5.528</v>
      </c>
      <c r="H80" s="132">
        <f>IFERROR(__xludf.DUMMYFUNCTION("""COMPUTED_VALUE"""),1.0)</f>
        <v>1</v>
      </c>
      <c r="I80" s="132">
        <f>IFERROR(__xludf.DUMMYFUNCTION("""COMPUTED_VALUE"""),1.0)</f>
        <v>1</v>
      </c>
      <c r="J80" s="132">
        <f>IFERROR(__xludf.DUMMYFUNCTION("""COMPUTED_VALUE"""),1.0)</f>
        <v>1</v>
      </c>
      <c r="K80" s="132">
        <f>IFERROR(__xludf.DUMMYFUNCTION("""COMPUTED_VALUE"""),1.0)</f>
        <v>1</v>
      </c>
      <c r="L80" s="132"/>
      <c r="M80" s="132"/>
      <c r="N80" s="132">
        <f>IFERROR(__xludf.DUMMYFUNCTION("""COMPUTED_VALUE"""),1.0)</f>
        <v>1</v>
      </c>
      <c r="O80" s="132"/>
      <c r="P80" s="132"/>
      <c r="Q80" s="132"/>
      <c r="R80" s="132" t="str">
        <f>IFERROR(__xludf.DUMMYFUNCTION("""COMPUTED_VALUE"""),"Heat")</f>
        <v>Heat</v>
      </c>
      <c r="S80" s="132">
        <f>IFERROR(__xludf.DUMMYFUNCTION("""COMPUTED_VALUE"""),109.38)</f>
        <v>109.38</v>
      </c>
      <c r="T80" s="132">
        <f>IFERROR(__xludf.DUMMYFUNCTION("""COMPUTED_VALUE"""),21.875999999999998)</f>
        <v>21.876</v>
      </c>
      <c r="U80" s="132" t="str">
        <f>IFERROR(__xludf.DUMMYFUNCTION("""COMPUTED_VALUE"""),"Paid")</f>
        <v>Paid</v>
      </c>
      <c r="V80" s="132" t="str">
        <f>IFERROR(__xludf.DUMMYFUNCTION("""COMPUTED_VALUE"""),"Paid")</f>
        <v>Paid</v>
      </c>
      <c r="W80" s="132" t="str">
        <f>IFERROR(__xludf.DUMMYFUNCTION("""COMPUTED_VALUE"""),"Paid")</f>
        <v>Paid</v>
      </c>
      <c r="X80" s="132" t="str">
        <f>IFERROR(__xludf.DUMMYFUNCTION("""COMPUTED_VALUE"""),"Paid")</f>
        <v>Paid</v>
      </c>
      <c r="Y80" s="132" t="str">
        <f>IFERROR(__xludf.DUMMYFUNCTION("""COMPUTED_VALUE"""),"Paid")</f>
        <v>Paid</v>
      </c>
      <c r="Z80" s="132"/>
    </row>
    <row r="81">
      <c r="A81" s="133">
        <f>IFERROR(__xludf.DUMMYFUNCTION("""COMPUTED_VALUE"""),45404.0)</f>
        <v>45404</v>
      </c>
      <c r="B81" s="132" t="str">
        <f>IFERROR(__xludf.DUMMYFUNCTION("""COMPUTED_VALUE"""),"Homesenss")</f>
        <v>Homesenss</v>
      </c>
      <c r="C81" s="132" t="str">
        <f>IFERROR(__xludf.DUMMYFUNCTION("""COMPUTED_VALUE"""),"居家")</f>
        <v>居家</v>
      </c>
      <c r="D81" s="132">
        <f>IFERROR(__xludf.DUMMYFUNCTION("""COMPUTED_VALUE"""),7.9)</f>
        <v>7.9</v>
      </c>
      <c r="E81" s="132" t="str">
        <f>IFERROR(__xludf.DUMMYFUNCTION("""COMPUTED_VALUE"""),"BL")</f>
        <v>BL</v>
      </c>
      <c r="F81" s="132">
        <f>IFERROR(__xludf.DUMMYFUNCTION("""COMPUTED_VALUE"""),1.58)</f>
        <v>1.58</v>
      </c>
      <c r="G81" s="132">
        <f>IFERROR(__xludf.DUMMYFUNCTION("""COMPUTED_VALUE"""),1.58)</f>
        <v>1.58</v>
      </c>
      <c r="H81" s="132">
        <f>IFERROR(__xludf.DUMMYFUNCTION("""COMPUTED_VALUE"""),1.0)</f>
        <v>1</v>
      </c>
      <c r="I81" s="132">
        <f>IFERROR(__xludf.DUMMYFUNCTION("""COMPUTED_VALUE"""),1.0)</f>
        <v>1</v>
      </c>
      <c r="J81" s="132">
        <f>IFERROR(__xludf.DUMMYFUNCTION("""COMPUTED_VALUE"""),1.0)</f>
        <v>1</v>
      </c>
      <c r="K81" s="132">
        <f>IFERROR(__xludf.DUMMYFUNCTION("""COMPUTED_VALUE"""),1.0)</f>
        <v>1</v>
      </c>
      <c r="L81" s="132"/>
      <c r="M81" s="132"/>
      <c r="N81" s="132">
        <f>IFERROR(__xludf.DUMMYFUNCTION("""COMPUTED_VALUE"""),1.0)</f>
        <v>1</v>
      </c>
      <c r="O81" s="132"/>
      <c r="P81" s="132"/>
      <c r="Q81" s="132"/>
      <c r="R81" s="132" t="str">
        <f>IFERROR(__xludf.DUMMYFUNCTION("""COMPUTED_VALUE"""),"Electricity")</f>
        <v>Electricity</v>
      </c>
      <c r="S81" s="132">
        <f>IFERROR(__xludf.DUMMYFUNCTION("""COMPUTED_VALUE"""),97.82)</f>
        <v>97.82</v>
      </c>
      <c r="T81" s="132">
        <f>IFERROR(__xludf.DUMMYFUNCTION("""COMPUTED_VALUE"""),19.564)</f>
        <v>19.564</v>
      </c>
      <c r="U81" s="132" t="str">
        <f>IFERROR(__xludf.DUMMYFUNCTION("""COMPUTED_VALUE"""),"Paid")</f>
        <v>Paid</v>
      </c>
      <c r="V81" s="132" t="str">
        <f>IFERROR(__xludf.DUMMYFUNCTION("""COMPUTED_VALUE"""),"Paid")</f>
        <v>Paid</v>
      </c>
      <c r="W81" s="132" t="str">
        <f>IFERROR(__xludf.DUMMYFUNCTION("""COMPUTED_VALUE"""),"Paid")</f>
        <v>Paid</v>
      </c>
      <c r="X81" s="132" t="str">
        <f>IFERROR(__xludf.DUMMYFUNCTION("""COMPUTED_VALUE"""),"Paid")</f>
        <v>Paid</v>
      </c>
      <c r="Y81" s="132" t="str">
        <f>IFERROR(__xludf.DUMMYFUNCTION("""COMPUTED_VALUE"""),"Paid")</f>
        <v>Paid</v>
      </c>
      <c r="Z81" s="132"/>
    </row>
    <row r="82">
      <c r="A82" s="133">
        <f>IFERROR(__xludf.DUMMYFUNCTION("""COMPUTED_VALUE"""),45404.0)</f>
        <v>45404</v>
      </c>
      <c r="B82" s="132" t="str">
        <f>IFERROR(__xludf.DUMMYFUNCTION("""COMPUTED_VALUE"""),"Lyft")</f>
        <v>Lyft</v>
      </c>
      <c r="C82" s="132" t="str">
        <f>IFERROR(__xludf.DUMMYFUNCTION("""COMPUTED_VALUE"""),"交通")</f>
        <v>交通</v>
      </c>
      <c r="D82" s="132">
        <f>IFERROR(__xludf.DUMMYFUNCTION("""COMPUTED_VALUE"""),15.99)</f>
        <v>15.99</v>
      </c>
      <c r="E82" s="132" t="str">
        <f>IFERROR(__xludf.DUMMYFUNCTION("""COMPUTED_VALUE"""),"Pigskin")</f>
        <v>Pigskin</v>
      </c>
      <c r="F82" s="132">
        <f>IFERROR(__xludf.DUMMYFUNCTION("""COMPUTED_VALUE"""),3.9975)</f>
        <v>3.9975</v>
      </c>
      <c r="G82" s="132">
        <f>IFERROR(__xludf.DUMMYFUNCTION("""COMPUTED_VALUE"""),3.9975)</f>
        <v>3.9975</v>
      </c>
      <c r="H82" s="132">
        <f>IFERROR(__xludf.DUMMYFUNCTION("""COMPUTED_VALUE"""),1.0)</f>
        <v>1</v>
      </c>
      <c r="I82" s="132">
        <f>IFERROR(__xludf.DUMMYFUNCTION("""COMPUTED_VALUE"""),1.0)</f>
        <v>1</v>
      </c>
      <c r="J82" s="132">
        <f>IFERROR(__xludf.DUMMYFUNCTION("""COMPUTED_VALUE"""),1.0)</f>
        <v>1</v>
      </c>
      <c r="K82" s="132">
        <f>IFERROR(__xludf.DUMMYFUNCTION("""COMPUTED_VALUE"""),1.0)</f>
        <v>1</v>
      </c>
      <c r="L82" s="132"/>
      <c r="M82" s="132"/>
      <c r="N82" s="132"/>
      <c r="O82" s="132"/>
      <c r="P82" s="132"/>
      <c r="Q82" s="132"/>
      <c r="R82" s="132" t="str">
        <f>IFERROR(__xludf.DUMMYFUNCTION("""COMPUTED_VALUE"""),"Internet")</f>
        <v>Internet</v>
      </c>
      <c r="S82" s="132">
        <f>IFERROR(__xludf.DUMMYFUNCTION("""COMPUTED_VALUE"""),56.5)</f>
        <v>56.5</v>
      </c>
      <c r="T82" s="132">
        <f>IFERROR(__xludf.DUMMYFUNCTION("""COMPUTED_VALUE"""),11.3)</f>
        <v>11.3</v>
      </c>
      <c r="U82" s="132" t="str">
        <f>IFERROR(__xludf.DUMMYFUNCTION("""COMPUTED_VALUE"""),"Paid")</f>
        <v>Paid</v>
      </c>
      <c r="V82" s="132" t="str">
        <f>IFERROR(__xludf.DUMMYFUNCTION("""COMPUTED_VALUE"""),"Paid")</f>
        <v>Paid</v>
      </c>
      <c r="W82" s="132" t="str">
        <f>IFERROR(__xludf.DUMMYFUNCTION("""COMPUTED_VALUE"""),"Paid")</f>
        <v>Paid</v>
      </c>
      <c r="X82" s="132" t="str">
        <f>IFERROR(__xludf.DUMMYFUNCTION("""COMPUTED_VALUE"""),"Paid")</f>
        <v>Paid</v>
      </c>
      <c r="Y82" s="132" t="str">
        <f>IFERROR(__xludf.DUMMYFUNCTION("""COMPUTED_VALUE"""),"Paid")</f>
        <v>Paid</v>
      </c>
      <c r="Z82" s="132"/>
    </row>
    <row r="83">
      <c r="A83" s="136">
        <f>IFERROR(__xludf.DUMMYFUNCTION("""COMPUTED_VALUE"""),45405.0)</f>
        <v>45405</v>
      </c>
      <c r="B83" s="132" t="str">
        <f>IFERROR(__xludf.DUMMYFUNCTION("""COMPUTED_VALUE"""),"tnt")</f>
        <v>tnt</v>
      </c>
      <c r="C83" s="132" t="str">
        <f>IFERROR(__xludf.DUMMYFUNCTION("""COMPUTED_VALUE"""),"食物")</f>
        <v>食物</v>
      </c>
      <c r="D83" s="132">
        <f>IFERROR(__xludf.DUMMYFUNCTION("""COMPUTED_VALUE"""),9.98)</f>
        <v>9.98</v>
      </c>
      <c r="E83" s="132" t="str">
        <f>IFERROR(__xludf.DUMMYFUNCTION("""COMPUTED_VALUE"""),"Pigskin")</f>
        <v>Pigskin</v>
      </c>
      <c r="F83" s="132">
        <f>IFERROR(__xludf.DUMMYFUNCTION("""COMPUTED_VALUE"""),1.4257142857142857)</f>
        <v>1.425714286</v>
      </c>
      <c r="G83" s="132">
        <f>IFERROR(__xludf.DUMMYFUNCTION("""COMPUTED_VALUE"""),1.4257142857142857)</f>
        <v>1.425714286</v>
      </c>
      <c r="H83" s="132">
        <f>IFERROR(__xludf.DUMMYFUNCTION("""COMPUTED_VALUE"""),1.0)</f>
        <v>1</v>
      </c>
      <c r="I83" s="132">
        <f>IFERROR(__xludf.DUMMYFUNCTION("""COMPUTED_VALUE"""),1.0)</f>
        <v>1</v>
      </c>
      <c r="J83" s="132">
        <f>IFERROR(__xludf.DUMMYFUNCTION("""COMPUTED_VALUE"""),1.0)</f>
        <v>1</v>
      </c>
      <c r="K83" s="132">
        <f>IFERROR(__xludf.DUMMYFUNCTION("""COMPUTED_VALUE"""),1.0)</f>
        <v>1</v>
      </c>
      <c r="L83" s="132"/>
      <c r="M83" s="132">
        <f>IFERROR(__xludf.DUMMYFUNCTION("""COMPUTED_VALUE"""),1.0)</f>
        <v>1</v>
      </c>
      <c r="N83" s="132"/>
      <c r="O83" s="132"/>
      <c r="P83" s="132"/>
      <c r="Q83" s="132"/>
      <c r="R83" s="132"/>
      <c r="S83" s="132">
        <f>IFERROR(__xludf.DUMMYFUNCTION("""COMPUTED_VALUE"""),692.3999999999999)</f>
        <v>692.4</v>
      </c>
      <c r="T83" s="132">
        <f>IFERROR(__xludf.DUMMYFUNCTION("""COMPUTED_VALUE"""),138.48)</f>
        <v>138.48</v>
      </c>
      <c r="U83" s="132"/>
      <c r="V83" s="132"/>
      <c r="W83" s="132"/>
      <c r="X83" s="132"/>
      <c r="Y83" s="132"/>
      <c r="Z83" s="132"/>
    </row>
    <row r="84">
      <c r="A84" s="136">
        <f>IFERROR(__xludf.DUMMYFUNCTION("""COMPUTED_VALUE"""),45405.0)</f>
        <v>45405</v>
      </c>
      <c r="B84" s="132" t="str">
        <f>IFERROR(__xludf.DUMMYFUNCTION("""COMPUTED_VALUE"""),"Foody ")</f>
        <v>Foody </v>
      </c>
      <c r="C84" s="132" t="str">
        <f>IFERROR(__xludf.DUMMYFUNCTION("""COMPUTED_VALUE"""),"食物")</f>
        <v>食物</v>
      </c>
      <c r="D84" s="132">
        <f>IFERROR(__xludf.DUMMYFUNCTION("""COMPUTED_VALUE"""),17.35)</f>
        <v>17.35</v>
      </c>
      <c r="E84" s="132" t="str">
        <f>IFERROR(__xludf.DUMMYFUNCTION("""COMPUTED_VALUE"""),"BL")</f>
        <v>BL</v>
      </c>
      <c r="F84" s="132">
        <f>IFERROR(__xludf.DUMMYFUNCTION("""COMPUTED_VALUE"""),3.47)</f>
        <v>3.47</v>
      </c>
      <c r="G84" s="132">
        <f>IFERROR(__xludf.DUMMYFUNCTION("""COMPUTED_VALUE"""),3.47)</f>
        <v>3.47</v>
      </c>
      <c r="H84" s="132">
        <f>IFERROR(__xludf.DUMMYFUNCTION("""COMPUTED_VALUE"""),1.0)</f>
        <v>1</v>
      </c>
      <c r="I84" s="132">
        <f>IFERROR(__xludf.DUMMYFUNCTION("""COMPUTED_VALUE"""),1.0)</f>
        <v>1</v>
      </c>
      <c r="J84" s="132">
        <f>IFERROR(__xludf.DUMMYFUNCTION("""COMPUTED_VALUE"""),1.0)</f>
        <v>1</v>
      </c>
      <c r="K84" s="132">
        <f>IFERROR(__xludf.DUMMYFUNCTION("""COMPUTED_VALUE"""),1.0)</f>
        <v>1</v>
      </c>
      <c r="L84" s="132"/>
      <c r="M84" s="132">
        <f>IFERROR(__xludf.DUMMYFUNCTION("""COMPUTED_VALUE"""),1.0)</f>
        <v>1</v>
      </c>
      <c r="N84" s="132"/>
      <c r="O84" s="132"/>
      <c r="P84" s="132"/>
      <c r="Q84" s="134">
        <f>IFERROR(__xludf.DUMMYFUNCTION("""COMPUTED_VALUE"""),45444.0)</f>
        <v>45444</v>
      </c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3">
        <f>IFERROR(__xludf.DUMMYFUNCTION("""COMPUTED_VALUE"""),45406.0)</f>
        <v>45406</v>
      </c>
      <c r="B85" s="132" t="str">
        <f>IFERROR(__xludf.DUMMYFUNCTION("""COMPUTED_VALUE"""),"pork ribs")</f>
        <v>pork ribs</v>
      </c>
      <c r="C85" s="132" t="str">
        <f>IFERROR(__xludf.DUMMYFUNCTION("""COMPUTED_VALUE"""),"食物")</f>
        <v>食物</v>
      </c>
      <c r="D85" s="132">
        <f>IFERROR(__xludf.DUMMYFUNCTION("""COMPUTED_VALUE"""),13.55)</f>
        <v>13.55</v>
      </c>
      <c r="E85" s="132" t="str">
        <f>IFERROR(__xludf.DUMMYFUNCTION("""COMPUTED_VALUE"""),"Rachel")</f>
        <v>Rachel</v>
      </c>
      <c r="F85" s="132">
        <f>IFERROR(__xludf.DUMMYFUNCTION("""COMPUTED_VALUE"""),3.3875)</f>
        <v>3.3875</v>
      </c>
      <c r="G85" s="132">
        <f>IFERROR(__xludf.DUMMYFUNCTION("""COMPUTED_VALUE"""),3.3875)</f>
        <v>3.3875</v>
      </c>
      <c r="H85" s="132"/>
      <c r="I85" s="132">
        <f>IFERROR(__xludf.DUMMYFUNCTION("""COMPUTED_VALUE"""),1.0)</f>
        <v>1</v>
      </c>
      <c r="J85" s="132"/>
      <c r="K85" s="132">
        <f>IFERROR(__xludf.DUMMYFUNCTION("""COMPUTED_VALUE"""),1.0)</f>
        <v>1</v>
      </c>
      <c r="L85" s="132"/>
      <c r="M85" s="132"/>
      <c r="N85" s="132">
        <f>IFERROR(__xludf.DUMMYFUNCTION("""COMPUTED_VALUE"""),1.0)</f>
        <v>1</v>
      </c>
      <c r="O85" s="132"/>
      <c r="P85" s="132"/>
      <c r="Q85" s="132"/>
      <c r="R85" s="132" t="str">
        <f>IFERROR(__xludf.DUMMYFUNCTION("""COMPUTED_VALUE"""),"Water")</f>
        <v>Water</v>
      </c>
      <c r="S85" s="132"/>
      <c r="T85" s="132">
        <f>IFERROR(__xludf.DUMMYFUNCTION("""COMPUTED_VALUE"""),0.0)</f>
        <v>0</v>
      </c>
      <c r="U85" s="132"/>
      <c r="V85" s="132"/>
      <c r="W85" s="132"/>
      <c r="X85" s="132"/>
      <c r="Y85" s="132"/>
      <c r="Z85" s="132"/>
    </row>
    <row r="86">
      <c r="A86" s="136">
        <f>IFERROR(__xludf.DUMMYFUNCTION("""COMPUTED_VALUE"""),45406.0)</f>
        <v>45406</v>
      </c>
      <c r="B86" s="132" t="str">
        <f>IFERROR(__xludf.DUMMYFUNCTION("""COMPUTED_VALUE"""),"rice")</f>
        <v>rice</v>
      </c>
      <c r="C86" s="132" t="str">
        <f>IFERROR(__xludf.DUMMYFUNCTION("""COMPUTED_VALUE"""),"食物")</f>
        <v>食物</v>
      </c>
      <c r="D86" s="132">
        <f>IFERROR(__xludf.DUMMYFUNCTION("""COMPUTED_VALUE"""),29.98)</f>
        <v>29.98</v>
      </c>
      <c r="E86" s="132" t="str">
        <f>IFERROR(__xludf.DUMMYFUNCTION("""COMPUTED_VALUE"""),"Pigskin")</f>
        <v>Pigskin</v>
      </c>
      <c r="F86" s="132">
        <f>IFERROR(__xludf.DUMMYFUNCTION("""COMPUTED_VALUE"""),5.996)</f>
        <v>5.996</v>
      </c>
      <c r="G86" s="132">
        <f>IFERROR(__xludf.DUMMYFUNCTION("""COMPUTED_VALUE"""),5.996)</f>
        <v>5.996</v>
      </c>
      <c r="H86" s="132">
        <f>IFERROR(__xludf.DUMMYFUNCTION("""COMPUTED_VALUE"""),1.0)</f>
        <v>1</v>
      </c>
      <c r="I86" s="132">
        <f>IFERROR(__xludf.DUMMYFUNCTION("""COMPUTED_VALUE"""),1.0)</f>
        <v>1</v>
      </c>
      <c r="J86" s="132">
        <f>IFERROR(__xludf.DUMMYFUNCTION("""COMPUTED_VALUE"""),1.0)</f>
        <v>1</v>
      </c>
      <c r="K86" s="132">
        <f>IFERROR(__xludf.DUMMYFUNCTION("""COMPUTED_VALUE"""),1.0)</f>
        <v>1</v>
      </c>
      <c r="L86" s="132"/>
      <c r="M86" s="132"/>
      <c r="N86" s="132">
        <f>IFERROR(__xludf.DUMMYFUNCTION("""COMPUTED_VALUE"""),1.0)</f>
        <v>1</v>
      </c>
      <c r="O86" s="132"/>
      <c r="P86" s="132"/>
      <c r="Q86" s="132"/>
      <c r="R86" s="132" t="str">
        <f>IFERROR(__xludf.DUMMYFUNCTION("""COMPUTED_VALUE"""),"Heat")</f>
        <v>Heat</v>
      </c>
      <c r="S86" s="132">
        <f>IFERROR(__xludf.DUMMYFUNCTION("""COMPUTED_VALUE"""),91.03)</f>
        <v>91.03</v>
      </c>
      <c r="T86" s="132">
        <f>IFERROR(__xludf.DUMMYFUNCTION("""COMPUTED_VALUE"""),18.206)</f>
        <v>18.206</v>
      </c>
      <c r="U86" s="132" t="str">
        <f>IFERROR(__xludf.DUMMYFUNCTION("""COMPUTED_VALUE"""),"Paid")</f>
        <v>Paid</v>
      </c>
      <c r="V86" s="132" t="str">
        <f>IFERROR(__xludf.DUMMYFUNCTION("""COMPUTED_VALUE"""),"Paid")</f>
        <v>Paid</v>
      </c>
      <c r="W86" s="132" t="str">
        <f>IFERROR(__xludf.DUMMYFUNCTION("""COMPUTED_VALUE"""),"Paid")</f>
        <v>Paid</v>
      </c>
      <c r="X86" s="132" t="str">
        <f>IFERROR(__xludf.DUMMYFUNCTION("""COMPUTED_VALUE"""),"Paid")</f>
        <v>Paid</v>
      </c>
      <c r="Y86" s="132" t="str">
        <f>IFERROR(__xludf.DUMMYFUNCTION("""COMPUTED_VALUE"""),"Paid")</f>
        <v>Paid</v>
      </c>
      <c r="Z86" s="132"/>
    </row>
    <row r="87">
      <c r="A87" s="136">
        <f>IFERROR(__xludf.DUMMYFUNCTION("""COMPUTED_VALUE"""),45406.0)</f>
        <v>45406</v>
      </c>
      <c r="B87" s="132" t="str">
        <f>IFERROR(__xludf.DUMMYFUNCTION("""COMPUTED_VALUE"""),"Tnt binlo")</f>
        <v>Tnt binlo</v>
      </c>
      <c r="C87" s="132" t="str">
        <f>IFERROR(__xludf.DUMMYFUNCTION("""COMPUTED_VALUE"""),"食物")</f>
        <v>食物</v>
      </c>
      <c r="D87" s="132">
        <f>IFERROR(__xludf.DUMMYFUNCTION("""COMPUTED_VALUE"""),107.14999999999999)</f>
        <v>107.15</v>
      </c>
      <c r="E87" s="132" t="str">
        <f>IFERROR(__xludf.DUMMYFUNCTION("""COMPUTED_VALUE"""),"Pigskin")</f>
        <v>Pigskin</v>
      </c>
      <c r="F87" s="132">
        <f>IFERROR(__xludf.DUMMYFUNCTION("""COMPUTED_VALUE"""),15.307142857142855)</f>
        <v>15.30714286</v>
      </c>
      <c r="G87" s="132">
        <f>IFERROR(__xludf.DUMMYFUNCTION("""COMPUTED_VALUE"""),15.307142857142855)</f>
        <v>15.30714286</v>
      </c>
      <c r="H87" s="132">
        <f>IFERROR(__xludf.DUMMYFUNCTION("""COMPUTED_VALUE"""),1.0)</f>
        <v>1</v>
      </c>
      <c r="I87" s="132">
        <f>IFERROR(__xludf.DUMMYFUNCTION("""COMPUTED_VALUE"""),1.0)</f>
        <v>1</v>
      </c>
      <c r="J87" s="132">
        <f>IFERROR(__xludf.DUMMYFUNCTION("""COMPUTED_VALUE"""),1.0)</f>
        <v>1</v>
      </c>
      <c r="K87" s="132">
        <f>IFERROR(__xludf.DUMMYFUNCTION("""COMPUTED_VALUE"""),1.0)</f>
        <v>1</v>
      </c>
      <c r="L87" s="132"/>
      <c r="M87" s="132">
        <f>IFERROR(__xludf.DUMMYFUNCTION("""COMPUTED_VALUE"""),1.0)</f>
        <v>1</v>
      </c>
      <c r="N87" s="132"/>
      <c r="O87" s="132"/>
      <c r="P87" s="132"/>
      <c r="Q87" s="132"/>
      <c r="R87" s="132" t="str">
        <f>IFERROR(__xludf.DUMMYFUNCTION("""COMPUTED_VALUE"""),"Electricity")</f>
        <v>Electricity</v>
      </c>
      <c r="S87" s="132">
        <f>IFERROR(__xludf.DUMMYFUNCTION("""COMPUTED_VALUE"""),122.11)</f>
        <v>122.11</v>
      </c>
      <c r="T87" s="132">
        <f>IFERROR(__xludf.DUMMYFUNCTION("""COMPUTED_VALUE"""),24.422)</f>
        <v>24.422</v>
      </c>
      <c r="U87" s="132" t="str">
        <f>IFERROR(__xludf.DUMMYFUNCTION("""COMPUTED_VALUE"""),"Paid")</f>
        <v>Paid</v>
      </c>
      <c r="V87" s="132" t="str">
        <f>IFERROR(__xludf.DUMMYFUNCTION("""COMPUTED_VALUE"""),"Paid")</f>
        <v>Paid</v>
      </c>
      <c r="W87" s="132" t="str">
        <f>IFERROR(__xludf.DUMMYFUNCTION("""COMPUTED_VALUE"""),"Paid")</f>
        <v>Paid</v>
      </c>
      <c r="X87" s="132" t="str">
        <f>IFERROR(__xludf.DUMMYFUNCTION("""COMPUTED_VALUE"""),"Paid")</f>
        <v>Paid</v>
      </c>
      <c r="Y87" s="132" t="str">
        <f>IFERROR(__xludf.DUMMYFUNCTION("""COMPUTED_VALUE"""),"Paid")</f>
        <v>Paid</v>
      </c>
      <c r="Z87" s="132"/>
    </row>
    <row r="88">
      <c r="A88" s="136">
        <f>IFERROR(__xludf.DUMMYFUNCTION("""COMPUTED_VALUE"""),45407.0)</f>
        <v>45407</v>
      </c>
      <c r="B88" s="132" t="str">
        <f>IFERROR(__xludf.DUMMYFUNCTION("""COMPUTED_VALUE"""),"Chicken soup")</f>
        <v>Chicken soup</v>
      </c>
      <c r="C88" s="132" t="str">
        <f>IFERROR(__xludf.DUMMYFUNCTION("""COMPUTED_VALUE"""),"食物")</f>
        <v>食物</v>
      </c>
      <c r="D88" s="132">
        <f>IFERROR(__xludf.DUMMYFUNCTION("""COMPUTED_VALUE"""),15.49)</f>
        <v>15.49</v>
      </c>
      <c r="E88" s="132" t="str">
        <f>IFERROR(__xludf.DUMMYFUNCTION("""COMPUTED_VALUE"""),"Pigskin")</f>
        <v>Pigskin</v>
      </c>
      <c r="F88" s="132">
        <f>IFERROR(__xludf.DUMMYFUNCTION("""COMPUTED_VALUE"""),3.098)</f>
        <v>3.098</v>
      </c>
      <c r="G88" s="132">
        <f>IFERROR(__xludf.DUMMYFUNCTION("""COMPUTED_VALUE"""),3.098)</f>
        <v>3.098</v>
      </c>
      <c r="H88" s="132">
        <f>IFERROR(__xludf.DUMMYFUNCTION("""COMPUTED_VALUE"""),1.0)</f>
        <v>1</v>
      </c>
      <c r="I88" s="132">
        <f>IFERROR(__xludf.DUMMYFUNCTION("""COMPUTED_VALUE"""),1.0)</f>
        <v>1</v>
      </c>
      <c r="J88" s="132">
        <f>IFERROR(__xludf.DUMMYFUNCTION("""COMPUTED_VALUE"""),1.0)</f>
        <v>1</v>
      </c>
      <c r="K88" s="132">
        <f>IFERROR(__xludf.DUMMYFUNCTION("""COMPUTED_VALUE"""),1.0)</f>
        <v>1</v>
      </c>
      <c r="L88" s="132"/>
      <c r="M88" s="132"/>
      <c r="N88" s="132">
        <f>IFERROR(__xludf.DUMMYFUNCTION("""COMPUTED_VALUE"""),1.0)</f>
        <v>1</v>
      </c>
      <c r="O88" s="132"/>
      <c r="P88" s="132"/>
      <c r="Q88" s="132"/>
      <c r="R88" s="132" t="str">
        <f>IFERROR(__xludf.DUMMYFUNCTION("""COMPUTED_VALUE"""),"Internet")</f>
        <v>Internet</v>
      </c>
      <c r="S88" s="132">
        <f>IFERROR(__xludf.DUMMYFUNCTION("""COMPUTED_VALUE"""),56.5)</f>
        <v>56.5</v>
      </c>
      <c r="T88" s="132">
        <f>IFERROR(__xludf.DUMMYFUNCTION("""COMPUTED_VALUE"""),11.3)</f>
        <v>11.3</v>
      </c>
      <c r="U88" s="132" t="str">
        <f>IFERROR(__xludf.DUMMYFUNCTION("""COMPUTED_VALUE"""),"Paid")</f>
        <v>Paid</v>
      </c>
      <c r="V88" s="132" t="str">
        <f>IFERROR(__xludf.DUMMYFUNCTION("""COMPUTED_VALUE"""),"Paid")</f>
        <v>Paid</v>
      </c>
      <c r="W88" s="132" t="str">
        <f>IFERROR(__xludf.DUMMYFUNCTION("""COMPUTED_VALUE"""),"Paid")</f>
        <v>Paid</v>
      </c>
      <c r="X88" s="132" t="str">
        <f>IFERROR(__xludf.DUMMYFUNCTION("""COMPUTED_VALUE"""),"Paid")</f>
        <v>Paid</v>
      </c>
      <c r="Y88" s="132" t="str">
        <f>IFERROR(__xludf.DUMMYFUNCTION("""COMPUTED_VALUE"""),"Paid")</f>
        <v>Paid</v>
      </c>
      <c r="Z88" s="132"/>
    </row>
    <row r="89">
      <c r="A89" s="136">
        <f>IFERROR(__xludf.DUMMYFUNCTION("""COMPUTED_VALUE"""),45407.0)</f>
        <v>45407</v>
      </c>
      <c r="B89" s="132" t="str">
        <f>IFERROR(__xludf.DUMMYFUNCTION("""COMPUTED_VALUE"""),"dishwash")</f>
        <v>dishwash</v>
      </c>
      <c r="C89" s="132" t="str">
        <f>IFERROR(__xludf.DUMMYFUNCTION("""COMPUTED_VALUE"""),"食物")</f>
        <v>食物</v>
      </c>
      <c r="D89" s="132">
        <f>IFERROR(__xludf.DUMMYFUNCTION("""COMPUTED_VALUE"""),3.38)</f>
        <v>3.38</v>
      </c>
      <c r="E89" s="132" t="str">
        <f>IFERROR(__xludf.DUMMYFUNCTION("""COMPUTED_VALUE"""),"Pigskin")</f>
        <v>Pigskin</v>
      </c>
      <c r="F89" s="132">
        <f>IFERROR(__xludf.DUMMYFUNCTION("""COMPUTED_VALUE"""),0.6759999999999999)</f>
        <v>0.676</v>
      </c>
      <c r="G89" s="132">
        <f>IFERROR(__xludf.DUMMYFUNCTION("""COMPUTED_VALUE"""),0.6759999999999999)</f>
        <v>0.676</v>
      </c>
      <c r="H89" s="132">
        <f>IFERROR(__xludf.DUMMYFUNCTION("""COMPUTED_VALUE"""),1.0)</f>
        <v>1</v>
      </c>
      <c r="I89" s="132">
        <f>IFERROR(__xludf.DUMMYFUNCTION("""COMPUTED_VALUE"""),1.0)</f>
        <v>1</v>
      </c>
      <c r="J89" s="132">
        <f>IFERROR(__xludf.DUMMYFUNCTION("""COMPUTED_VALUE"""),1.0)</f>
        <v>1</v>
      </c>
      <c r="K89" s="132">
        <f>IFERROR(__xludf.DUMMYFUNCTION("""COMPUTED_VALUE"""),1.0)</f>
        <v>1</v>
      </c>
      <c r="L89" s="132"/>
      <c r="M89" s="132"/>
      <c r="N89" s="132">
        <f>IFERROR(__xludf.DUMMYFUNCTION("""COMPUTED_VALUE"""),1.0)</f>
        <v>1</v>
      </c>
      <c r="O89" s="132"/>
      <c r="P89" s="132"/>
      <c r="Q89" s="132"/>
      <c r="R89" s="132"/>
      <c r="S89" s="132">
        <f>IFERROR(__xludf.DUMMYFUNCTION("""COMPUTED_VALUE"""),269.64)</f>
        <v>269.64</v>
      </c>
      <c r="T89" s="132">
        <f>IFERROR(__xludf.DUMMYFUNCTION("""COMPUTED_VALUE"""),53.928)</f>
        <v>53.928</v>
      </c>
      <c r="U89" s="132"/>
      <c r="V89" s="132"/>
      <c r="W89" s="132"/>
      <c r="X89" s="132"/>
      <c r="Y89" s="132"/>
      <c r="Z89" s="132"/>
    </row>
    <row r="90">
      <c r="A90" s="136">
        <f>IFERROR(__xludf.DUMMYFUNCTION("""COMPUTED_VALUE"""),45408.0)</f>
        <v>45408</v>
      </c>
      <c r="B90" s="132" t="str">
        <f>IFERROR(__xludf.DUMMYFUNCTION("""COMPUTED_VALUE"""),"foody dinner")</f>
        <v>foody dinner</v>
      </c>
      <c r="C90" s="132" t="str">
        <f>IFERROR(__xludf.DUMMYFUNCTION("""COMPUTED_VALUE"""),"食物")</f>
        <v>食物</v>
      </c>
      <c r="D90" s="132">
        <f>IFERROR(__xludf.DUMMYFUNCTION("""COMPUTED_VALUE"""),24.75)</f>
        <v>24.75</v>
      </c>
      <c r="E90" s="132" t="str">
        <f>IFERROR(__xludf.DUMMYFUNCTION("""COMPUTED_VALUE"""),"BL")</f>
        <v>BL</v>
      </c>
      <c r="F90" s="132">
        <f>IFERROR(__xludf.DUMMYFUNCTION("""COMPUTED_VALUE"""),6.1875)</f>
        <v>6.1875</v>
      </c>
      <c r="G90" s="132">
        <f>IFERROR(__xludf.DUMMYFUNCTION("""COMPUTED_VALUE"""),6.1875)</f>
        <v>6.1875</v>
      </c>
      <c r="H90" s="132">
        <f>IFERROR(__xludf.DUMMYFUNCTION("""COMPUTED_VALUE"""),1.0)</f>
        <v>1</v>
      </c>
      <c r="I90" s="132">
        <f>IFERROR(__xludf.DUMMYFUNCTION("""COMPUTED_VALUE"""),1.0)</f>
        <v>1</v>
      </c>
      <c r="J90" s="132">
        <f>IFERROR(__xludf.DUMMYFUNCTION("""COMPUTED_VALUE"""),1.0)</f>
        <v>1</v>
      </c>
      <c r="K90" s="132">
        <f>IFERROR(__xludf.DUMMYFUNCTION("""COMPUTED_VALUE"""),1.0)</f>
        <v>1</v>
      </c>
      <c r="L90" s="132"/>
      <c r="M90" s="132"/>
      <c r="N90" s="132"/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3">
        <f>IFERROR(__xludf.DUMMYFUNCTION("""COMPUTED_VALUE"""),45409.0)</f>
        <v>45409</v>
      </c>
      <c r="B91" s="132" t="str">
        <f>IFERROR(__xludf.DUMMYFUNCTION("""COMPUTED_VALUE"""),"Octopus")</f>
        <v>Octopus</v>
      </c>
      <c r="C91" s="132" t="str">
        <f>IFERROR(__xludf.DUMMYFUNCTION("""COMPUTED_VALUE"""),"食物")</f>
        <v>食物</v>
      </c>
      <c r="D91" s="132">
        <f>IFERROR(__xludf.DUMMYFUNCTION("""COMPUTED_VALUE"""),98.17)</f>
        <v>98.17</v>
      </c>
      <c r="E91" s="132" t="str">
        <f>IFERROR(__xludf.DUMMYFUNCTION("""COMPUTED_VALUE"""),"BL")</f>
        <v>BL</v>
      </c>
      <c r="F91" s="132">
        <f>IFERROR(__xludf.DUMMYFUNCTION("""COMPUTED_VALUE"""),19.634)</f>
        <v>19.634</v>
      </c>
      <c r="G91" s="132">
        <f>IFERROR(__xludf.DUMMYFUNCTION("""COMPUTED_VALUE"""),19.634)</f>
        <v>19.634</v>
      </c>
      <c r="H91" s="132">
        <f>IFERROR(__xludf.DUMMYFUNCTION("""COMPUTED_VALUE"""),1.0)</f>
        <v>1</v>
      </c>
      <c r="I91" s="132">
        <f>IFERROR(__xludf.DUMMYFUNCTION("""COMPUTED_VALUE"""),1.0)</f>
        <v>1</v>
      </c>
      <c r="J91" s="132">
        <f>IFERROR(__xludf.DUMMYFUNCTION("""COMPUTED_VALUE"""),1.0)</f>
        <v>1</v>
      </c>
      <c r="K91" s="132">
        <f>IFERROR(__xludf.DUMMYFUNCTION("""COMPUTED_VALUE"""),1.0)</f>
        <v>1</v>
      </c>
      <c r="L91" s="132"/>
      <c r="M91" s="132">
        <f>IFERROR(__xludf.DUMMYFUNCTION("""COMPUTED_VALUE"""),1.0)</f>
        <v>1</v>
      </c>
      <c r="N91" s="132"/>
      <c r="O91" s="132"/>
      <c r="P91" s="132"/>
      <c r="Q91" s="134">
        <f>IFERROR(__xludf.DUMMYFUNCTION("""COMPUTED_VALUE"""),45474.0)</f>
        <v>45474</v>
      </c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6">
        <f>IFERROR(__xludf.DUMMYFUNCTION("""COMPUTED_VALUE"""),45410.0)</f>
        <v>45410</v>
      </c>
      <c r="B92" s="132" t="str">
        <f>IFERROR(__xludf.DUMMYFUNCTION("""COMPUTED_VALUE"""),"Foody")</f>
        <v>Foody</v>
      </c>
      <c r="C92" s="132" t="str">
        <f>IFERROR(__xludf.DUMMYFUNCTION("""COMPUTED_VALUE"""),"食物")</f>
        <v>食物</v>
      </c>
      <c r="D92" s="132">
        <f>IFERROR(__xludf.DUMMYFUNCTION("""COMPUTED_VALUE"""),15.28)</f>
        <v>15.28</v>
      </c>
      <c r="E92" s="132" t="str">
        <f>IFERROR(__xludf.DUMMYFUNCTION("""COMPUTED_VALUE"""),"Pigskin")</f>
        <v>Pigskin</v>
      </c>
      <c r="F92" s="132">
        <f>IFERROR(__xludf.DUMMYFUNCTION("""COMPUTED_VALUE"""),2.182857142857143)</f>
        <v>2.182857143</v>
      </c>
      <c r="G92" s="132">
        <f>IFERROR(__xludf.DUMMYFUNCTION("""COMPUTED_VALUE"""),2.182857142857143)</f>
        <v>2.182857143</v>
      </c>
      <c r="H92" s="132">
        <f>IFERROR(__xludf.DUMMYFUNCTION("""COMPUTED_VALUE"""),1.0)</f>
        <v>1</v>
      </c>
      <c r="I92" s="132">
        <f>IFERROR(__xludf.DUMMYFUNCTION("""COMPUTED_VALUE"""),1.0)</f>
        <v>1</v>
      </c>
      <c r="J92" s="132">
        <f>IFERROR(__xludf.DUMMYFUNCTION("""COMPUTED_VALUE"""),1.0)</f>
        <v>1</v>
      </c>
      <c r="K92" s="132">
        <f>IFERROR(__xludf.DUMMYFUNCTION("""COMPUTED_VALUE"""),1.0)</f>
        <v>1</v>
      </c>
      <c r="L92" s="132">
        <f>IFERROR(__xludf.DUMMYFUNCTION("""COMPUTED_VALUE"""),1.0)</f>
        <v>1</v>
      </c>
      <c r="M92" s="132">
        <f>IFERROR(__xludf.DUMMYFUNCTION("""COMPUTED_VALUE"""),1.0)</f>
        <v>1</v>
      </c>
      <c r="N92" s="132">
        <f>IFERROR(__xludf.DUMMYFUNCTION("""COMPUTED_VALUE"""),1.0)</f>
        <v>1</v>
      </c>
      <c r="O92" s="132"/>
      <c r="P92" s="132"/>
      <c r="Q92" s="132"/>
      <c r="R92" s="132" t="str">
        <f>IFERROR(__xludf.DUMMYFUNCTION("""COMPUTED_VALUE"""),"Water")</f>
        <v>Water</v>
      </c>
      <c r="S92" s="132"/>
      <c r="T92" s="132">
        <f>IFERROR(__xludf.DUMMYFUNCTION("""COMPUTED_VALUE"""),0.0)</f>
        <v>0</v>
      </c>
      <c r="U92" s="132"/>
      <c r="V92" s="132"/>
      <c r="W92" s="132"/>
      <c r="X92" s="132"/>
      <c r="Y92" s="132"/>
      <c r="Z92" s="132"/>
    </row>
    <row r="93">
      <c r="A93" s="136">
        <f>IFERROR(__xludf.DUMMYFUNCTION("""COMPUTED_VALUE"""),45410.0)</f>
        <v>45410</v>
      </c>
      <c r="B93" s="132" t="str">
        <f>IFERROR(__xludf.DUMMYFUNCTION("""COMPUTED_VALUE"""),"foody")</f>
        <v>foody</v>
      </c>
      <c r="C93" s="132" t="str">
        <f>IFERROR(__xludf.DUMMYFUNCTION("""COMPUTED_VALUE"""),"食物")</f>
        <v>食物</v>
      </c>
      <c r="D93" s="132">
        <f>IFERROR(__xludf.DUMMYFUNCTION("""COMPUTED_VALUE"""),23.49)</f>
        <v>23.49</v>
      </c>
      <c r="E93" s="132" t="str">
        <f>IFERROR(__xludf.DUMMYFUNCTION("""COMPUTED_VALUE"""),"Rachel")</f>
        <v>Rachel</v>
      </c>
      <c r="F93" s="132">
        <f>IFERROR(__xludf.DUMMYFUNCTION("""COMPUTED_VALUE"""),3.3557142857142854)</f>
        <v>3.355714286</v>
      </c>
      <c r="G93" s="132">
        <f>IFERROR(__xludf.DUMMYFUNCTION("""COMPUTED_VALUE"""),3.3557142857142854)</f>
        <v>3.355714286</v>
      </c>
      <c r="H93" s="132">
        <f>IFERROR(__xludf.DUMMYFUNCTION("""COMPUTED_VALUE"""),1.0)</f>
        <v>1</v>
      </c>
      <c r="I93" s="132">
        <f>IFERROR(__xludf.DUMMYFUNCTION("""COMPUTED_VALUE"""),1.0)</f>
        <v>1</v>
      </c>
      <c r="J93" s="132">
        <f>IFERROR(__xludf.DUMMYFUNCTION("""COMPUTED_VALUE"""),1.0)</f>
        <v>1</v>
      </c>
      <c r="K93" s="132">
        <f>IFERROR(__xludf.DUMMYFUNCTION("""COMPUTED_VALUE"""),1.0)</f>
        <v>1</v>
      </c>
      <c r="L93" s="132">
        <f>IFERROR(__xludf.DUMMYFUNCTION("""COMPUTED_VALUE"""),1.0)</f>
        <v>1</v>
      </c>
      <c r="M93" s="132">
        <f>IFERROR(__xludf.DUMMYFUNCTION("""COMPUTED_VALUE"""),1.0)</f>
        <v>1</v>
      </c>
      <c r="N93" s="132">
        <f>IFERROR(__xludf.DUMMYFUNCTION("""COMPUTED_VALUE"""),1.0)</f>
        <v>1</v>
      </c>
      <c r="O93" s="132"/>
      <c r="P93" s="132"/>
      <c r="Q93" s="132"/>
      <c r="R93" s="132" t="str">
        <f>IFERROR(__xludf.DUMMYFUNCTION("""COMPUTED_VALUE"""),"Heat")</f>
        <v>Heat</v>
      </c>
      <c r="S93" s="132">
        <f>IFERROR(__xludf.DUMMYFUNCTION("""COMPUTED_VALUE"""),101.27)</f>
        <v>101.27</v>
      </c>
      <c r="T93" s="132">
        <f>IFERROR(__xludf.DUMMYFUNCTION("""COMPUTED_VALUE"""),20.253999999999998)</f>
        <v>20.254</v>
      </c>
      <c r="U93" s="132" t="str">
        <f>IFERROR(__xludf.DUMMYFUNCTION("""COMPUTED_VALUE"""),"Paid")</f>
        <v>Paid</v>
      </c>
      <c r="V93" s="132" t="str">
        <f>IFERROR(__xludf.DUMMYFUNCTION("""COMPUTED_VALUE"""),"Paid")</f>
        <v>Paid</v>
      </c>
      <c r="W93" s="132" t="str">
        <f>IFERROR(__xludf.DUMMYFUNCTION("""COMPUTED_VALUE"""),"Paid")</f>
        <v>Paid</v>
      </c>
      <c r="X93" s="132" t="str">
        <f>IFERROR(__xludf.DUMMYFUNCTION("""COMPUTED_VALUE"""),"Paid")</f>
        <v>Paid</v>
      </c>
      <c r="Y93" s="132" t="str">
        <f>IFERROR(__xludf.DUMMYFUNCTION("""COMPUTED_VALUE"""),"Paid")</f>
        <v>Paid</v>
      </c>
      <c r="Z93" s="132"/>
    </row>
    <row r="94">
      <c r="A94" s="133">
        <f>IFERROR(__xludf.DUMMYFUNCTION("""COMPUTED_VALUE"""),45411.0)</f>
        <v>45411</v>
      </c>
      <c r="B94" s="132" t="str">
        <f>IFERROR(__xludf.DUMMYFUNCTION("""COMPUTED_VALUE"""),"Ikea hanger")</f>
        <v>Ikea hanger</v>
      </c>
      <c r="C94" s="132" t="str">
        <f>IFERROR(__xludf.DUMMYFUNCTION("""COMPUTED_VALUE"""),"居家")</f>
        <v>居家</v>
      </c>
      <c r="D94" s="132">
        <f>IFERROR(__xludf.DUMMYFUNCTION("""COMPUTED_VALUE"""),10.49)</f>
        <v>10.49</v>
      </c>
      <c r="E94" s="132" t="str">
        <f>IFERROR(__xludf.DUMMYFUNCTION("""COMPUTED_VALUE"""),"BL")</f>
        <v>BL</v>
      </c>
      <c r="F94" s="132">
        <f>IFERROR(__xludf.DUMMYFUNCTION("""COMPUTED_VALUE"""),5.245)</f>
        <v>5.245</v>
      </c>
      <c r="G94" s="132">
        <f>IFERROR(__xludf.DUMMYFUNCTION("""COMPUTED_VALUE"""),5.245)</f>
        <v>5.245</v>
      </c>
      <c r="H94" s="132"/>
      <c r="I94" s="132"/>
      <c r="J94" s="132">
        <f>IFERROR(__xludf.DUMMYFUNCTION("""COMPUTED_VALUE"""),1.0)</f>
        <v>1</v>
      </c>
      <c r="K94" s="132">
        <f>IFERROR(__xludf.DUMMYFUNCTION("""COMPUTED_VALUE"""),1.0)</f>
        <v>1</v>
      </c>
      <c r="L94" s="132"/>
      <c r="M94" s="132"/>
      <c r="N94" s="132"/>
      <c r="O94" s="132"/>
      <c r="P94" s="132"/>
      <c r="Q94" s="132"/>
      <c r="R94" s="132" t="str">
        <f>IFERROR(__xludf.DUMMYFUNCTION("""COMPUTED_VALUE"""),"Electricity")</f>
        <v>Electricity</v>
      </c>
      <c r="S94" s="132">
        <f>IFERROR(__xludf.DUMMYFUNCTION("""COMPUTED_VALUE"""),170.93)</f>
        <v>170.93</v>
      </c>
      <c r="T94" s="132">
        <f>IFERROR(__xludf.DUMMYFUNCTION("""COMPUTED_VALUE"""),34.186)</f>
        <v>34.186</v>
      </c>
      <c r="U94" s="132" t="str">
        <f>IFERROR(__xludf.DUMMYFUNCTION("""COMPUTED_VALUE"""),"Paid")</f>
        <v>Paid</v>
      </c>
      <c r="V94" s="132" t="str">
        <f>IFERROR(__xludf.DUMMYFUNCTION("""COMPUTED_VALUE"""),"Paid")</f>
        <v>Paid</v>
      </c>
      <c r="W94" s="132" t="str">
        <f>IFERROR(__xludf.DUMMYFUNCTION("""COMPUTED_VALUE"""),"Paid")</f>
        <v>Paid</v>
      </c>
      <c r="X94" s="132" t="str">
        <f>IFERROR(__xludf.DUMMYFUNCTION("""COMPUTED_VALUE"""),"Paid")</f>
        <v>Paid</v>
      </c>
      <c r="Y94" s="132" t="str">
        <f>IFERROR(__xludf.DUMMYFUNCTION("""COMPUTED_VALUE"""),"Paid")</f>
        <v>Paid</v>
      </c>
      <c r="Z94" s="132"/>
    </row>
    <row r="95">
      <c r="A95" s="136">
        <f>IFERROR(__xludf.DUMMYFUNCTION("""COMPUTED_VALUE"""),45411.0)</f>
        <v>45411</v>
      </c>
      <c r="B95" s="132" t="str">
        <f>IFERROR(__xludf.DUMMYFUNCTION("""COMPUTED_VALUE"""),"Foody")</f>
        <v>Foody</v>
      </c>
      <c r="C95" s="132" t="str">
        <f>IFERROR(__xludf.DUMMYFUNCTION("""COMPUTED_VALUE"""),"食物")</f>
        <v>食物</v>
      </c>
      <c r="D95" s="132">
        <f>IFERROR(__xludf.DUMMYFUNCTION("""COMPUTED_VALUE"""),28.2)</f>
        <v>28.2</v>
      </c>
      <c r="E95" s="132" t="str">
        <f>IFERROR(__xludf.DUMMYFUNCTION("""COMPUTED_VALUE"""),"Rachel")</f>
        <v>Rachel</v>
      </c>
      <c r="F95" s="132">
        <f>IFERROR(__xludf.DUMMYFUNCTION("""COMPUTED_VALUE"""),5.64)</f>
        <v>5.64</v>
      </c>
      <c r="G95" s="132">
        <f>IFERROR(__xludf.DUMMYFUNCTION("""COMPUTED_VALUE"""),5.64)</f>
        <v>5.64</v>
      </c>
      <c r="H95" s="132">
        <f>IFERROR(__xludf.DUMMYFUNCTION("""COMPUTED_VALUE"""),1.0)</f>
        <v>1</v>
      </c>
      <c r="I95" s="132">
        <f>IFERROR(__xludf.DUMMYFUNCTION("""COMPUTED_VALUE"""),1.0)</f>
        <v>1</v>
      </c>
      <c r="J95" s="132">
        <f>IFERROR(__xludf.DUMMYFUNCTION("""COMPUTED_VALUE"""),1.0)</f>
        <v>1</v>
      </c>
      <c r="K95" s="132">
        <f>IFERROR(__xludf.DUMMYFUNCTION("""COMPUTED_VALUE"""),1.0)</f>
        <v>1</v>
      </c>
      <c r="L95" s="132"/>
      <c r="M95" s="132"/>
      <c r="N95" s="132">
        <f>IFERROR(__xludf.DUMMYFUNCTION("""COMPUTED_VALUE"""),1.0)</f>
        <v>1</v>
      </c>
      <c r="O95" s="132"/>
      <c r="P95" s="132"/>
      <c r="Q95" s="132"/>
      <c r="R95" s="132" t="str">
        <f>IFERROR(__xludf.DUMMYFUNCTION("""COMPUTED_VALUE"""),"Internet")</f>
        <v>Internet</v>
      </c>
      <c r="S95" s="132">
        <f>IFERROR(__xludf.DUMMYFUNCTION("""COMPUTED_VALUE"""),56.5)</f>
        <v>56.5</v>
      </c>
      <c r="T95" s="132">
        <f>IFERROR(__xludf.DUMMYFUNCTION("""COMPUTED_VALUE"""),11.3)</f>
        <v>11.3</v>
      </c>
      <c r="U95" s="132" t="str">
        <f>IFERROR(__xludf.DUMMYFUNCTION("""COMPUTED_VALUE"""),"Paid")</f>
        <v>Paid</v>
      </c>
      <c r="V95" s="132" t="str">
        <f>IFERROR(__xludf.DUMMYFUNCTION("""COMPUTED_VALUE"""),"Paid")</f>
        <v>Paid</v>
      </c>
      <c r="W95" s="132" t="str">
        <f>IFERROR(__xludf.DUMMYFUNCTION("""COMPUTED_VALUE"""),"Paid")</f>
        <v>Paid</v>
      </c>
      <c r="X95" s="132" t="str">
        <f>IFERROR(__xludf.DUMMYFUNCTION("""COMPUTED_VALUE"""),"Paid")</f>
        <v>Paid</v>
      </c>
      <c r="Y95" s="132" t="str">
        <f>IFERROR(__xludf.DUMMYFUNCTION("""COMPUTED_VALUE"""),"Paid")</f>
        <v>Paid</v>
      </c>
      <c r="Z95" s="132"/>
    </row>
    <row r="96">
      <c r="A96" s="133">
        <f>IFERROR(__xludf.DUMMYFUNCTION("""COMPUTED_VALUE"""),45411.0)</f>
        <v>45411</v>
      </c>
      <c r="B96" s="132" t="str">
        <f>IFERROR(__xludf.DUMMYFUNCTION("""COMPUTED_VALUE"""),"Walmart")</f>
        <v>Walmart</v>
      </c>
      <c r="C96" s="132" t="str">
        <f>IFERROR(__xludf.DUMMYFUNCTION("""COMPUTED_VALUE"""),"電子產品")</f>
        <v>電子產品</v>
      </c>
      <c r="D96" s="132">
        <f>IFERROR(__xludf.DUMMYFUNCTION("""COMPUTED_VALUE"""),92.93)</f>
        <v>92.93</v>
      </c>
      <c r="E96" s="132" t="str">
        <f>IFERROR(__xludf.DUMMYFUNCTION("""COMPUTED_VALUE"""),"BL")</f>
        <v>BL</v>
      </c>
      <c r="F96" s="132">
        <f>IFERROR(__xludf.DUMMYFUNCTION("""COMPUTED_VALUE"""),18.586000000000002)</f>
        <v>18.586</v>
      </c>
      <c r="G96" s="132">
        <f>IFERROR(__xludf.DUMMYFUNCTION("""COMPUTED_VALUE"""),18.586000000000002)</f>
        <v>18.586</v>
      </c>
      <c r="H96" s="132">
        <f>IFERROR(__xludf.DUMMYFUNCTION("""COMPUTED_VALUE"""),1.0)</f>
        <v>1</v>
      </c>
      <c r="I96" s="132">
        <f>IFERROR(__xludf.DUMMYFUNCTION("""COMPUTED_VALUE"""),1.0)</f>
        <v>1</v>
      </c>
      <c r="J96" s="132">
        <f>IFERROR(__xludf.DUMMYFUNCTION("""COMPUTED_VALUE"""),1.0)</f>
        <v>1</v>
      </c>
      <c r="K96" s="132">
        <f>IFERROR(__xludf.DUMMYFUNCTION("""COMPUTED_VALUE"""),1.0)</f>
        <v>1</v>
      </c>
      <c r="L96" s="132"/>
      <c r="M96" s="132"/>
      <c r="N96" s="132">
        <f>IFERROR(__xludf.DUMMYFUNCTION("""COMPUTED_VALUE"""),1.0)</f>
        <v>1</v>
      </c>
      <c r="O96" s="132"/>
      <c r="P96" s="132"/>
      <c r="Q96" s="132"/>
      <c r="R96" s="132"/>
      <c r="S96" s="132">
        <f>IFERROR(__xludf.DUMMYFUNCTION("""COMPUTED_VALUE"""),328.7)</f>
        <v>328.7</v>
      </c>
      <c r="T96" s="132">
        <f>IFERROR(__xludf.DUMMYFUNCTION("""COMPUTED_VALUE"""),65.74)</f>
        <v>65.74</v>
      </c>
      <c r="U96" s="132"/>
      <c r="V96" s="132"/>
      <c r="W96" s="132"/>
      <c r="X96" s="132"/>
      <c r="Y96" s="132"/>
      <c r="Z96" s="132"/>
    </row>
    <row r="97">
      <c r="A97" s="136">
        <f>IFERROR(__xludf.DUMMYFUNCTION("""COMPUTED_VALUE"""),45412.0)</f>
        <v>45412</v>
      </c>
      <c r="B97" s="132" t="str">
        <f>IFERROR(__xludf.DUMMYFUNCTION("""COMPUTED_VALUE"""),"foody dinner")</f>
        <v>foody dinner</v>
      </c>
      <c r="C97" s="132" t="str">
        <f>IFERROR(__xludf.DUMMYFUNCTION("""COMPUTED_VALUE"""),"食物")</f>
        <v>食物</v>
      </c>
      <c r="D97" s="132">
        <f>IFERROR(__xludf.DUMMYFUNCTION("""COMPUTED_VALUE"""),31.57)</f>
        <v>31.57</v>
      </c>
      <c r="E97" s="132" t="str">
        <f>IFERROR(__xludf.DUMMYFUNCTION("""COMPUTED_VALUE"""),"Pigskin")</f>
        <v>Pigskin</v>
      </c>
      <c r="F97" s="132">
        <f>IFERROR(__xludf.DUMMYFUNCTION("""COMPUTED_VALUE"""),5.261666666666667)</f>
        <v>5.261666667</v>
      </c>
      <c r="G97" s="132">
        <f>IFERROR(__xludf.DUMMYFUNCTION("""COMPUTED_VALUE"""),5.261666666666667)</f>
        <v>5.261666667</v>
      </c>
      <c r="H97" s="132">
        <f>IFERROR(__xludf.DUMMYFUNCTION("""COMPUTED_VALUE"""),1.0)</f>
        <v>1</v>
      </c>
      <c r="I97" s="132">
        <f>IFERROR(__xludf.DUMMYFUNCTION("""COMPUTED_VALUE"""),1.0)</f>
        <v>1</v>
      </c>
      <c r="J97" s="132">
        <f>IFERROR(__xludf.DUMMYFUNCTION("""COMPUTED_VALUE"""),1.0)</f>
        <v>1</v>
      </c>
      <c r="K97" s="132">
        <f>IFERROR(__xludf.DUMMYFUNCTION("""COMPUTED_VALUE"""),1.0)</f>
        <v>1</v>
      </c>
      <c r="L97" s="132">
        <f>IFERROR(__xludf.DUMMYFUNCTION("""COMPUTED_VALUE"""),1.0)</f>
        <v>1</v>
      </c>
      <c r="M97" s="132">
        <f>IFERROR(__xludf.DUMMYFUNCTION("""COMPUTED_VALUE"""),1.0)</f>
        <v>1</v>
      </c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3"/>
      <c r="B98" s="132" t="str">
        <f>IFERROR(__xludf.DUMMYFUNCTION("""COMPUTED_VALUE"""),"shiitakecrsp")</f>
        <v>shiitakecrsp</v>
      </c>
      <c r="C98" s="132" t="str">
        <f>IFERROR(__xludf.DUMMYFUNCTION("""COMPUTED_VALUE"""),"食物")</f>
        <v>食物</v>
      </c>
      <c r="D98" s="132">
        <f>IFERROR(__xludf.DUMMYFUNCTION("""COMPUTED_VALUE"""),7.8987)</f>
        <v>7.8987</v>
      </c>
      <c r="E98" s="132" t="str">
        <f>IFERROR(__xludf.DUMMYFUNCTION("""COMPUTED_VALUE"""),"BL")</f>
        <v>BL</v>
      </c>
      <c r="F98" s="132">
        <f>IFERROR(__xludf.DUMMYFUNCTION("""COMPUTED_VALUE"""),1.57974)</f>
        <v>1.57974</v>
      </c>
      <c r="G98" s="132">
        <f>IFERROR(__xludf.DUMMYFUNCTION("""COMPUTED_VALUE"""),1.57974)</f>
        <v>1.57974</v>
      </c>
      <c r="H98" s="132">
        <f>IFERROR(__xludf.DUMMYFUNCTION("""COMPUTED_VALUE"""),1.0)</f>
        <v>1</v>
      </c>
      <c r="I98" s="132">
        <f>IFERROR(__xludf.DUMMYFUNCTION("""COMPUTED_VALUE"""),1.0)</f>
        <v>1</v>
      </c>
      <c r="J98" s="132">
        <f>IFERROR(__xludf.DUMMYFUNCTION("""COMPUTED_VALUE"""),1.0)</f>
        <v>1</v>
      </c>
      <c r="K98" s="132">
        <f>IFERROR(__xludf.DUMMYFUNCTION("""COMPUTED_VALUE"""),1.0)</f>
        <v>1</v>
      </c>
      <c r="L98" s="132"/>
      <c r="M98" s="132"/>
      <c r="N98" s="132">
        <f>IFERROR(__xludf.DUMMYFUNCTION("""COMPUTED_VALUE"""),1.0)</f>
        <v>1</v>
      </c>
      <c r="O98" s="132"/>
      <c r="P98" s="132"/>
      <c r="Q98" s="134">
        <f>IFERROR(__xludf.DUMMYFUNCTION("""COMPUTED_VALUE"""),45505.0)</f>
        <v>45505</v>
      </c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3"/>
      <c r="B99" s="132" t="str">
        <f>IFERROR(__xludf.DUMMYFUNCTION("""COMPUTED_VALUE"""),"Snuggle")</f>
        <v>Snuggle</v>
      </c>
      <c r="C99" s="132" t="str">
        <f>IFERROR(__xludf.DUMMYFUNCTION("""COMPUTED_VALUE"""),"居家")</f>
        <v>居家</v>
      </c>
      <c r="D99" s="132">
        <f>IFERROR(__xludf.DUMMYFUNCTION("""COMPUTED_VALUE"""),18.0687)</f>
        <v>18.0687</v>
      </c>
      <c r="E99" s="132" t="str">
        <f>IFERROR(__xludf.DUMMYFUNCTION("""COMPUTED_VALUE"""),"BL")</f>
        <v>BL</v>
      </c>
      <c r="F99" s="132">
        <f>IFERROR(__xludf.DUMMYFUNCTION("""COMPUTED_VALUE"""),3.61374)</f>
        <v>3.61374</v>
      </c>
      <c r="G99" s="132">
        <f>IFERROR(__xludf.DUMMYFUNCTION("""COMPUTED_VALUE"""),3.61374)</f>
        <v>3.61374</v>
      </c>
      <c r="H99" s="132">
        <f>IFERROR(__xludf.DUMMYFUNCTION("""COMPUTED_VALUE"""),1.0)</f>
        <v>1</v>
      </c>
      <c r="I99" s="132">
        <f>IFERROR(__xludf.DUMMYFUNCTION("""COMPUTED_VALUE"""),1.0)</f>
        <v>1</v>
      </c>
      <c r="J99" s="132">
        <f>IFERROR(__xludf.DUMMYFUNCTION("""COMPUTED_VALUE"""),1.0)</f>
        <v>1</v>
      </c>
      <c r="K99" s="132">
        <f>IFERROR(__xludf.DUMMYFUNCTION("""COMPUTED_VALUE"""),1.0)</f>
        <v>1</v>
      </c>
      <c r="L99" s="132"/>
      <c r="M99" s="132"/>
      <c r="N99" s="132">
        <f>IFERROR(__xludf.DUMMYFUNCTION("""COMPUTED_VALUE"""),1.0)</f>
        <v>1</v>
      </c>
      <c r="O99" s="132"/>
      <c r="P99" s="132"/>
      <c r="Q99" s="132"/>
      <c r="R99" s="132" t="str">
        <f>IFERROR(__xludf.DUMMYFUNCTION("""COMPUTED_VALUE"""),"Water (Pay by Rachel)")</f>
        <v>Water (Pay by Rachel)</v>
      </c>
      <c r="S99" s="132">
        <f>IFERROR(__xludf.DUMMYFUNCTION("""COMPUTED_VALUE"""),375.27)</f>
        <v>375.27</v>
      </c>
      <c r="T99" s="132">
        <f>IFERROR(__xludf.DUMMYFUNCTION("""COMPUTED_VALUE"""),75.054)</f>
        <v>75.054</v>
      </c>
      <c r="U99" s="132" t="str">
        <f>IFERROR(__xludf.DUMMYFUNCTION("""COMPUTED_VALUE"""),"Paid")</f>
        <v>Paid</v>
      </c>
      <c r="V99" s="132" t="str">
        <f>IFERROR(__xludf.DUMMYFUNCTION("""COMPUTED_VALUE"""),"Paid")</f>
        <v>Paid</v>
      </c>
      <c r="W99" s="132" t="str">
        <f>IFERROR(__xludf.DUMMYFUNCTION("""COMPUTED_VALUE"""),"Paid")</f>
        <v>Paid</v>
      </c>
      <c r="X99" s="132" t="str">
        <f>IFERROR(__xludf.DUMMYFUNCTION("""COMPUTED_VALUE"""),"Paid")</f>
        <v>Paid</v>
      </c>
      <c r="Y99" s="132" t="str">
        <f>IFERROR(__xludf.DUMMYFUNCTION("""COMPUTED_VALUE"""),"Paid")</f>
        <v>Paid</v>
      </c>
      <c r="Z99" s="132"/>
    </row>
    <row r="100">
      <c r="A100" s="133"/>
      <c r="B100" s="132" t="str">
        <f>IFERROR(__xludf.DUMMYFUNCTION("""COMPUTED_VALUE"""),"Proglide")</f>
        <v>Proglide</v>
      </c>
      <c r="C100" s="132" t="str">
        <f>IFERROR(__xludf.DUMMYFUNCTION("""COMPUTED_VALUE"""),"居家")</f>
        <v>居家</v>
      </c>
      <c r="D100" s="132">
        <f>IFERROR(__xludf.DUMMYFUNCTION("""COMPUTED_VALUE"""),79.08869999999999)</f>
        <v>79.0887</v>
      </c>
      <c r="E100" s="132" t="str">
        <f>IFERROR(__xludf.DUMMYFUNCTION("""COMPUTED_VALUE"""),"BL")</f>
        <v>BL</v>
      </c>
      <c r="F100" s="132">
        <f>IFERROR(__xludf.DUMMYFUNCTION("""COMPUTED_VALUE"""),79.08869999999999)</f>
        <v>79.0887</v>
      </c>
      <c r="G100" s="132">
        <f>IFERROR(__xludf.DUMMYFUNCTION("""COMPUTED_VALUE"""),79.08869999999999)</f>
        <v>79.0887</v>
      </c>
      <c r="H100" s="132"/>
      <c r="I100" s="132"/>
      <c r="J100" s="132">
        <f>IFERROR(__xludf.DUMMYFUNCTION("""COMPUTED_VALUE"""),1.0)</f>
        <v>1</v>
      </c>
      <c r="K100" s="132"/>
      <c r="L100" s="132"/>
      <c r="M100" s="132"/>
      <c r="N100" s="132"/>
      <c r="O100" s="132"/>
      <c r="P100" s="132"/>
      <c r="Q100" s="132"/>
      <c r="R100" s="132" t="str">
        <f>IFERROR(__xludf.DUMMYFUNCTION("""COMPUTED_VALUE"""),"Heat")</f>
        <v>Heat</v>
      </c>
      <c r="S100" s="132">
        <f>IFERROR(__xludf.DUMMYFUNCTION("""COMPUTED_VALUE"""),47.34)</f>
        <v>47.34</v>
      </c>
      <c r="T100" s="132">
        <f>IFERROR(__xludf.DUMMYFUNCTION("""COMPUTED_VALUE"""),9.468)</f>
        <v>9.468</v>
      </c>
      <c r="U100" s="132" t="str">
        <f>IFERROR(__xludf.DUMMYFUNCTION("""COMPUTED_VALUE"""),"Paid")</f>
        <v>Paid</v>
      </c>
      <c r="V100" s="132" t="str">
        <f>IFERROR(__xludf.DUMMYFUNCTION("""COMPUTED_VALUE"""),"Paid")</f>
        <v>Paid</v>
      </c>
      <c r="W100" s="132" t="str">
        <f>IFERROR(__xludf.DUMMYFUNCTION("""COMPUTED_VALUE"""),"Paid")</f>
        <v>Paid</v>
      </c>
      <c r="X100" s="132" t="str">
        <f>IFERROR(__xludf.DUMMYFUNCTION("""COMPUTED_VALUE"""),"Paid")</f>
        <v>Paid</v>
      </c>
      <c r="Y100" s="132" t="str">
        <f>IFERROR(__xludf.DUMMYFUNCTION("""COMPUTED_VALUE"""),"Paid")</f>
        <v>Paid</v>
      </c>
      <c r="Z100" s="132"/>
    </row>
    <row r="101">
      <c r="A101" s="133"/>
      <c r="B101" s="132" t="str">
        <f>IFERROR(__xludf.DUMMYFUNCTION("""COMPUTED_VALUE"""),"Coke")</f>
        <v>Coke</v>
      </c>
      <c r="C101" s="132" t="str">
        <f>IFERROR(__xludf.DUMMYFUNCTION("""COMPUTED_VALUE"""),"飲品")</f>
        <v>飲品</v>
      </c>
      <c r="D101" s="132">
        <f>IFERROR(__xludf.DUMMYFUNCTION("""COMPUTED_VALUE"""),13.322699999999998)</f>
        <v>13.3227</v>
      </c>
      <c r="E101" s="132" t="str">
        <f>IFERROR(__xludf.DUMMYFUNCTION("""COMPUTED_VALUE"""),"BL")</f>
        <v>BL</v>
      </c>
      <c r="F101" s="132">
        <f>IFERROR(__xludf.DUMMYFUNCTION("""COMPUTED_VALUE"""),2.6645399999999997)</f>
        <v>2.66454</v>
      </c>
      <c r="G101" s="132">
        <f>IFERROR(__xludf.DUMMYFUNCTION("""COMPUTED_VALUE"""),2.6645399999999997)</f>
        <v>2.66454</v>
      </c>
      <c r="H101" s="132">
        <f>IFERROR(__xludf.DUMMYFUNCTION("""COMPUTED_VALUE"""),1.0)</f>
        <v>1</v>
      </c>
      <c r="I101" s="132">
        <f>IFERROR(__xludf.DUMMYFUNCTION("""COMPUTED_VALUE"""),1.0)</f>
        <v>1</v>
      </c>
      <c r="J101" s="132">
        <f>IFERROR(__xludf.DUMMYFUNCTION("""COMPUTED_VALUE"""),1.0)</f>
        <v>1</v>
      </c>
      <c r="K101" s="132">
        <f>IFERROR(__xludf.DUMMYFUNCTION("""COMPUTED_VALUE"""),1.0)</f>
        <v>1</v>
      </c>
      <c r="L101" s="132"/>
      <c r="M101" s="132"/>
      <c r="N101" s="132">
        <f>IFERROR(__xludf.DUMMYFUNCTION("""COMPUTED_VALUE"""),1.0)</f>
        <v>1</v>
      </c>
      <c r="O101" s="132"/>
      <c r="P101" s="132"/>
      <c r="Q101" s="132"/>
      <c r="R101" s="132" t="str">
        <f>IFERROR(__xludf.DUMMYFUNCTION("""COMPUTED_VALUE"""),"Electricity")</f>
        <v>Electricity</v>
      </c>
      <c r="S101" s="132">
        <f>IFERROR(__xludf.DUMMYFUNCTION("""COMPUTED_VALUE"""),208.04)</f>
        <v>208.04</v>
      </c>
      <c r="T101" s="132">
        <f>IFERROR(__xludf.DUMMYFUNCTION("""COMPUTED_VALUE"""),41.608)</f>
        <v>41.608</v>
      </c>
      <c r="U101" s="132" t="str">
        <f>IFERROR(__xludf.DUMMYFUNCTION("""COMPUTED_VALUE"""),"Paid")</f>
        <v>Paid</v>
      </c>
      <c r="V101" s="132" t="str">
        <f>IFERROR(__xludf.DUMMYFUNCTION("""COMPUTED_VALUE"""),"Paid")</f>
        <v>Paid</v>
      </c>
      <c r="W101" s="132" t="str">
        <f>IFERROR(__xludf.DUMMYFUNCTION("""COMPUTED_VALUE"""),"Paid")</f>
        <v>Paid</v>
      </c>
      <c r="X101" s="132" t="str">
        <f>IFERROR(__xludf.DUMMYFUNCTION("""COMPUTED_VALUE"""),"Paid")</f>
        <v>Paid</v>
      </c>
      <c r="Y101" s="132" t="str">
        <f>IFERROR(__xludf.DUMMYFUNCTION("""COMPUTED_VALUE"""),"Paid")</f>
        <v>Paid</v>
      </c>
      <c r="Z101" s="132"/>
    </row>
    <row r="102">
      <c r="A102" s="136"/>
      <c r="B102" s="132" t="str">
        <f>IFERROR(__xludf.DUMMYFUNCTION("""COMPUTED_VALUE"""),"dinner")</f>
        <v>dinner</v>
      </c>
      <c r="C102" s="132" t="str">
        <f>IFERROR(__xludf.DUMMYFUNCTION("""COMPUTED_VALUE"""),"食物")</f>
        <v>食物</v>
      </c>
      <c r="D102" s="132">
        <f>IFERROR(__xludf.DUMMYFUNCTION("""COMPUTED_VALUE"""),27.289499999999997)</f>
        <v>27.2895</v>
      </c>
      <c r="E102" s="132" t="str">
        <f>IFERROR(__xludf.DUMMYFUNCTION("""COMPUTED_VALUE"""),"BL")</f>
        <v>BL</v>
      </c>
      <c r="F102" s="132">
        <f>IFERROR(__xludf.DUMMYFUNCTION("""COMPUTED_VALUE"""),9.096499999999999)</f>
        <v>9.0965</v>
      </c>
      <c r="G102" s="132">
        <f>IFERROR(__xludf.DUMMYFUNCTION("""COMPUTED_VALUE"""),9.096499999999999)</f>
        <v>9.0965</v>
      </c>
      <c r="H102" s="132"/>
      <c r="I102" s="132">
        <f>IFERROR(__xludf.DUMMYFUNCTION("""COMPUTED_VALUE"""),1.0)</f>
        <v>1</v>
      </c>
      <c r="J102" s="132"/>
      <c r="K102" s="132">
        <f>IFERROR(__xludf.DUMMYFUNCTION("""COMPUTED_VALUE"""),1.0)</f>
        <v>1</v>
      </c>
      <c r="L102" s="132"/>
      <c r="M102" s="132"/>
      <c r="N102" s="132">
        <f>IFERROR(__xludf.DUMMYFUNCTION("""COMPUTED_VALUE"""),1.0)</f>
        <v>1</v>
      </c>
      <c r="O102" s="132"/>
      <c r="P102" s="132"/>
      <c r="Q102" s="132"/>
      <c r="R102" s="132" t="str">
        <f>IFERROR(__xludf.DUMMYFUNCTION("""COMPUTED_VALUE"""),"Internet")</f>
        <v>Internet</v>
      </c>
      <c r="S102" s="132">
        <f>IFERROR(__xludf.DUMMYFUNCTION("""COMPUTED_VALUE"""),56.5)</f>
        <v>56.5</v>
      </c>
      <c r="T102" s="132">
        <f>IFERROR(__xludf.DUMMYFUNCTION("""COMPUTED_VALUE"""),11.3)</f>
        <v>11.3</v>
      </c>
      <c r="U102" s="132" t="str">
        <f>IFERROR(__xludf.DUMMYFUNCTION("""COMPUTED_VALUE"""),"Paid")</f>
        <v>Paid</v>
      </c>
      <c r="V102" s="132" t="str">
        <f>IFERROR(__xludf.DUMMYFUNCTION("""COMPUTED_VALUE"""),"Paid")</f>
        <v>Paid</v>
      </c>
      <c r="W102" s="132" t="str">
        <f>IFERROR(__xludf.DUMMYFUNCTION("""COMPUTED_VALUE"""),"Paid")</f>
        <v>Paid</v>
      </c>
      <c r="X102" s="132" t="str">
        <f>IFERROR(__xludf.DUMMYFUNCTION("""COMPUTED_VALUE"""),"Paid")</f>
        <v>Paid</v>
      </c>
      <c r="Y102" s="132" t="str">
        <f>IFERROR(__xludf.DUMMYFUNCTION("""COMPUTED_VALUE"""),"Paid")</f>
        <v>Paid</v>
      </c>
      <c r="Z102" s="132"/>
    </row>
    <row r="103">
      <c r="A103" s="136"/>
      <c r="B103" s="132" t="str">
        <f>IFERROR(__xludf.DUMMYFUNCTION("""COMPUTED_VALUE"""),"milk")</f>
        <v>milk</v>
      </c>
      <c r="C103" s="132" t="str">
        <f>IFERROR(__xludf.DUMMYFUNCTION("""COMPUTED_VALUE"""),"飲品")</f>
        <v>飲品</v>
      </c>
      <c r="D103" s="132">
        <f>IFERROR(__xludf.DUMMYFUNCTION("""COMPUTED_VALUE"""),5.99)</f>
        <v>5.99</v>
      </c>
      <c r="E103" s="132" t="str">
        <f>IFERROR(__xludf.DUMMYFUNCTION("""COMPUTED_VALUE"""),"BL")</f>
        <v>BL</v>
      </c>
      <c r="F103" s="132">
        <f>IFERROR(__xludf.DUMMYFUNCTION("""COMPUTED_VALUE"""),1.198)</f>
        <v>1.198</v>
      </c>
      <c r="G103" s="132">
        <f>IFERROR(__xludf.DUMMYFUNCTION("""COMPUTED_VALUE"""),1.198)</f>
        <v>1.198</v>
      </c>
      <c r="H103" s="132">
        <f>IFERROR(__xludf.DUMMYFUNCTION("""COMPUTED_VALUE"""),1.0)</f>
        <v>1</v>
      </c>
      <c r="I103" s="132">
        <f>IFERROR(__xludf.DUMMYFUNCTION("""COMPUTED_VALUE"""),1.0)</f>
        <v>1</v>
      </c>
      <c r="J103" s="132">
        <f>IFERROR(__xludf.DUMMYFUNCTION("""COMPUTED_VALUE"""),1.0)</f>
        <v>1</v>
      </c>
      <c r="K103" s="132">
        <f>IFERROR(__xludf.DUMMYFUNCTION("""COMPUTED_VALUE"""),1.0)</f>
        <v>1</v>
      </c>
      <c r="L103" s="132"/>
      <c r="M103" s="132"/>
      <c r="N103" s="132">
        <f>IFERROR(__xludf.DUMMYFUNCTION("""COMPUTED_VALUE"""),1.0)</f>
        <v>1</v>
      </c>
      <c r="O103" s="132"/>
      <c r="P103" s="132"/>
      <c r="Q103" s="132"/>
      <c r="R103" s="132"/>
      <c r="S103" s="132">
        <f>IFERROR(__xludf.DUMMYFUNCTION("""COMPUTED_VALUE"""),687.15)</f>
        <v>687.15</v>
      </c>
      <c r="T103" s="132">
        <f>IFERROR(__xludf.DUMMYFUNCTION("""COMPUTED_VALUE"""),137.43)</f>
        <v>137.43</v>
      </c>
      <c r="U103" s="132"/>
      <c r="V103" s="132"/>
      <c r="W103" s="132"/>
      <c r="X103" s="132"/>
      <c r="Y103" s="132"/>
      <c r="Z103" s="132"/>
    </row>
    <row r="104">
      <c r="A104" s="136"/>
      <c r="B104" s="132" t="str">
        <f>IFERROR(__xludf.DUMMYFUNCTION("""COMPUTED_VALUE"""),"egg")</f>
        <v>egg</v>
      </c>
      <c r="C104" s="132" t="str">
        <f>IFERROR(__xludf.DUMMYFUNCTION("""COMPUTED_VALUE"""),"食物")</f>
        <v>食物</v>
      </c>
      <c r="D104" s="132">
        <f>IFERROR(__xludf.DUMMYFUNCTION("""COMPUTED_VALUE"""),8.89)</f>
        <v>8.89</v>
      </c>
      <c r="E104" s="132" t="str">
        <f>IFERROR(__xludf.DUMMYFUNCTION("""COMPUTED_VALUE"""),"BL")</f>
        <v>BL</v>
      </c>
      <c r="F104" s="132">
        <f>IFERROR(__xludf.DUMMYFUNCTION("""COMPUTED_VALUE"""),1.778)</f>
        <v>1.778</v>
      </c>
      <c r="G104" s="132">
        <f>IFERROR(__xludf.DUMMYFUNCTION("""COMPUTED_VALUE"""),1.778)</f>
        <v>1.778</v>
      </c>
      <c r="H104" s="132">
        <f>IFERROR(__xludf.DUMMYFUNCTION("""COMPUTED_VALUE"""),1.0)</f>
        <v>1</v>
      </c>
      <c r="I104" s="132">
        <f>IFERROR(__xludf.DUMMYFUNCTION("""COMPUTED_VALUE"""),1.0)</f>
        <v>1</v>
      </c>
      <c r="J104" s="132">
        <f>IFERROR(__xludf.DUMMYFUNCTION("""COMPUTED_VALUE"""),1.0)</f>
        <v>1</v>
      </c>
      <c r="K104" s="132">
        <f>IFERROR(__xludf.DUMMYFUNCTION("""COMPUTED_VALUE"""),1.0)</f>
        <v>1</v>
      </c>
      <c r="L104" s="132"/>
      <c r="M104" s="132"/>
      <c r="N104" s="132">
        <f>IFERROR(__xludf.DUMMYFUNCTION("""COMPUTED_VALUE"""),1.0)</f>
        <v>1</v>
      </c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3"/>
      <c r="B105" s="132" t="str">
        <f>IFERROR(__xludf.DUMMYFUNCTION("""COMPUTED_VALUE"""),"Chicken breast")</f>
        <v>Chicken breast</v>
      </c>
      <c r="C105" s="132" t="str">
        <f>IFERROR(__xludf.DUMMYFUNCTION("""COMPUTED_VALUE"""),"食物")</f>
        <v>食物</v>
      </c>
      <c r="D105" s="132">
        <f>IFERROR(__xludf.DUMMYFUNCTION("""COMPUTED_VALUE"""),30.37)</f>
        <v>30.37</v>
      </c>
      <c r="E105" s="132" t="str">
        <f>IFERROR(__xludf.DUMMYFUNCTION("""COMPUTED_VALUE"""),"BL")</f>
        <v>BL</v>
      </c>
      <c r="F105" s="132">
        <f>IFERROR(__xludf.DUMMYFUNCTION("""COMPUTED_VALUE"""),30.37)</f>
        <v>30.37</v>
      </c>
      <c r="G105" s="132">
        <f>IFERROR(__xludf.DUMMYFUNCTION("""COMPUTED_VALUE"""),30.37)</f>
        <v>30.37</v>
      </c>
      <c r="H105" s="132"/>
      <c r="I105" s="132"/>
      <c r="J105" s="132"/>
      <c r="K105" s="132"/>
      <c r="L105" s="132"/>
      <c r="M105" s="132"/>
      <c r="N105" s="132">
        <f>IFERROR(__xludf.DUMMYFUNCTION("""COMPUTED_VALUE"""),1.0)</f>
        <v>1</v>
      </c>
      <c r="O105" s="132"/>
      <c r="P105" s="132"/>
      <c r="Q105" s="134">
        <f>IFERROR(__xludf.DUMMYFUNCTION("""COMPUTED_VALUE"""),45536.0)</f>
        <v>45536</v>
      </c>
      <c r="R105" s="132" t="str">
        <f>IFERROR(__xludf.DUMMYFUNCTION("""COMPUTED_VALUE"""),"Water ")</f>
        <v>Water </v>
      </c>
      <c r="S105" s="132">
        <f>IFERROR(__xludf.DUMMYFUNCTION("""COMPUTED_VALUE"""),100.0)</f>
        <v>100</v>
      </c>
      <c r="T105" s="132" t="str">
        <f>IFERROR(__xludf.DUMMYFUNCTION("""COMPUTED_VALUE"""),"喺key deposit退咗")</f>
        <v>喺key deposit退咗</v>
      </c>
      <c r="U105" s="132" t="str">
        <f>IFERROR(__xludf.DUMMYFUNCTION("""COMPUTED_VALUE"""),"Paid")</f>
        <v>Paid</v>
      </c>
      <c r="V105" s="132" t="str">
        <f>IFERROR(__xludf.DUMMYFUNCTION("""COMPUTED_VALUE"""),"Paid")</f>
        <v>Paid</v>
      </c>
      <c r="W105" s="132" t="str">
        <f>IFERROR(__xludf.DUMMYFUNCTION("""COMPUTED_VALUE"""),"Paid")</f>
        <v>Paid</v>
      </c>
      <c r="X105" s="132" t="str">
        <f>IFERROR(__xludf.DUMMYFUNCTION("""COMPUTED_VALUE"""),"Paid")</f>
        <v>Paid</v>
      </c>
      <c r="Y105" s="132" t="str">
        <f>IFERROR(__xludf.DUMMYFUNCTION("""COMPUTED_VALUE"""),"Paid")</f>
        <v>Paid</v>
      </c>
      <c r="Z105" s="132"/>
    </row>
    <row r="106">
      <c r="A106" s="136"/>
      <c r="B106" s="132" t="str">
        <f>IFERROR(__xludf.DUMMYFUNCTION("""COMPUTED_VALUE"""),"Chicken")</f>
        <v>Chicken</v>
      </c>
      <c r="C106" s="132" t="str">
        <f>IFERROR(__xludf.DUMMYFUNCTION("""COMPUTED_VALUE"""),"食物")</f>
        <v>食物</v>
      </c>
      <c r="D106" s="132">
        <f>IFERROR(__xludf.DUMMYFUNCTION("""COMPUTED_VALUE"""),9.028699999999999)</f>
        <v>9.0287</v>
      </c>
      <c r="E106" s="132" t="str">
        <f>IFERROR(__xludf.DUMMYFUNCTION("""COMPUTED_VALUE"""),"BL")</f>
        <v>BL</v>
      </c>
      <c r="F106" s="132">
        <f>IFERROR(__xludf.DUMMYFUNCTION("""COMPUTED_VALUE"""),3.0095666666666663)</f>
        <v>3.009566667</v>
      </c>
      <c r="G106" s="132">
        <f>IFERROR(__xludf.DUMMYFUNCTION("""COMPUTED_VALUE"""),3.0095666666666663)</f>
        <v>3.009566667</v>
      </c>
      <c r="H106" s="132"/>
      <c r="I106" s="132">
        <f>IFERROR(__xludf.DUMMYFUNCTION("""COMPUTED_VALUE"""),1.0)</f>
        <v>1</v>
      </c>
      <c r="J106" s="132"/>
      <c r="K106" s="132">
        <f>IFERROR(__xludf.DUMMYFUNCTION("""COMPUTED_VALUE"""),1.0)</f>
        <v>1</v>
      </c>
      <c r="L106" s="132"/>
      <c r="M106" s="132"/>
      <c r="N106" s="132">
        <f>IFERROR(__xludf.DUMMYFUNCTION("""COMPUTED_VALUE"""),1.0)</f>
        <v>1</v>
      </c>
      <c r="O106" s="132"/>
      <c r="P106" s="132"/>
      <c r="Q106" s="132"/>
      <c r="R106" s="132" t="str">
        <f>IFERROR(__xludf.DUMMYFUNCTION("""COMPUTED_VALUE"""),"Key deposit (退俾大家）")</f>
        <v>Key deposit (退俾大家）</v>
      </c>
      <c r="S106" s="132">
        <f>IFERROR(__xludf.DUMMYFUNCTION("""COMPUTED_VALUE"""),-900.0)</f>
        <v>-900</v>
      </c>
      <c r="T106" s="132">
        <f>IFERROR(__xludf.DUMMYFUNCTION("""COMPUTED_VALUE"""),-180.0)</f>
        <v>-180</v>
      </c>
      <c r="U106" s="132" t="str">
        <f>IFERROR(__xludf.DUMMYFUNCTION("""COMPUTED_VALUE"""),"Paid")</f>
        <v>Paid</v>
      </c>
      <c r="V106" s="132" t="str">
        <f>IFERROR(__xludf.DUMMYFUNCTION("""COMPUTED_VALUE"""),"Paid")</f>
        <v>Paid</v>
      </c>
      <c r="W106" s="132" t="str">
        <f>IFERROR(__xludf.DUMMYFUNCTION("""COMPUTED_VALUE"""),"Paid")</f>
        <v>Paid</v>
      </c>
      <c r="X106" s="132" t="str">
        <f>IFERROR(__xludf.DUMMYFUNCTION("""COMPUTED_VALUE"""),"Paid")</f>
        <v>Paid</v>
      </c>
      <c r="Y106" s="132" t="str">
        <f>IFERROR(__xludf.DUMMYFUNCTION("""COMPUTED_VALUE"""),"Paid")</f>
        <v>Paid</v>
      </c>
      <c r="Z106" s="132"/>
    </row>
    <row r="107">
      <c r="A107" s="133"/>
      <c r="B107" s="132"/>
      <c r="C107" s="132"/>
      <c r="D107" s="132"/>
      <c r="E107" s="132"/>
      <c r="F107" s="132" t="str">
        <f>IFERROR(__xludf.DUMMYFUNCTION("""COMPUTED_VALUE"""),"#DIV/0!")</f>
        <v>#DIV/0!</v>
      </c>
      <c r="G107" s="132" t="str">
        <f>IFERROR(__xludf.DUMMYFUNCTION("""COMPUTED_VALUE"""),"#DIV/0!")</f>
        <v>#DIV/0!</v>
      </c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 t="str">
        <f>IFERROR(__xludf.DUMMYFUNCTION("""COMPUTED_VALUE"""),"Heat")</f>
        <v>Heat</v>
      </c>
      <c r="S107" s="132">
        <f>IFERROR(__xludf.DUMMYFUNCTION("""COMPUTED_VALUE"""),68.81)</f>
        <v>68.81</v>
      </c>
      <c r="T107" s="132">
        <f>IFERROR(__xludf.DUMMYFUNCTION("""COMPUTED_VALUE"""),13.762)</f>
        <v>13.762</v>
      </c>
      <c r="U107" s="132" t="str">
        <f>IFERROR(__xludf.DUMMYFUNCTION("""COMPUTED_VALUE"""),"Paid")</f>
        <v>Paid</v>
      </c>
      <c r="V107" s="132" t="str">
        <f>IFERROR(__xludf.DUMMYFUNCTION("""COMPUTED_VALUE"""),"Paid")</f>
        <v>Paid</v>
      </c>
      <c r="W107" s="132" t="str">
        <f>IFERROR(__xludf.DUMMYFUNCTION("""COMPUTED_VALUE"""),"Paid")</f>
        <v>Paid</v>
      </c>
      <c r="X107" s="132" t="str">
        <f>IFERROR(__xludf.DUMMYFUNCTION("""COMPUTED_VALUE"""),"Paid")</f>
        <v>Paid</v>
      </c>
      <c r="Y107" s="132" t="str">
        <f>IFERROR(__xludf.DUMMYFUNCTION("""COMPUTED_VALUE"""),"Paid")</f>
        <v>Paid</v>
      </c>
      <c r="Z107" s="132"/>
    </row>
    <row r="108">
      <c r="A108" s="133"/>
      <c r="B108" s="132"/>
      <c r="C108" s="132"/>
      <c r="D108" s="132"/>
      <c r="E108" s="132"/>
      <c r="F108" s="132" t="str">
        <f>IFERROR(__xludf.DUMMYFUNCTION("""COMPUTED_VALUE"""),"#DIV/0!")</f>
        <v>#DIV/0!</v>
      </c>
      <c r="G108" s="132" t="str">
        <f>IFERROR(__xludf.DUMMYFUNCTION("""COMPUTED_VALUE"""),"#DIV/0!")</f>
        <v>#DIV/0!</v>
      </c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 t="str">
        <f>IFERROR(__xludf.DUMMYFUNCTION("""COMPUTED_VALUE"""),"Electricity")</f>
        <v>Electricity</v>
      </c>
      <c r="S108" s="132">
        <f>IFERROR(__xludf.DUMMYFUNCTION("""COMPUTED_VALUE"""),185.28)</f>
        <v>185.28</v>
      </c>
      <c r="T108" s="132">
        <f>IFERROR(__xludf.DUMMYFUNCTION("""COMPUTED_VALUE"""),37.056)</f>
        <v>37.056</v>
      </c>
      <c r="U108" s="132" t="str">
        <f>IFERROR(__xludf.DUMMYFUNCTION("""COMPUTED_VALUE"""),"Paid")</f>
        <v>Paid</v>
      </c>
      <c r="V108" s="132" t="str">
        <f>IFERROR(__xludf.DUMMYFUNCTION("""COMPUTED_VALUE"""),"Paid")</f>
        <v>Paid</v>
      </c>
      <c r="W108" s="132" t="str">
        <f>IFERROR(__xludf.DUMMYFUNCTION("""COMPUTED_VALUE"""),"Paid")</f>
        <v>Paid</v>
      </c>
      <c r="X108" s="132" t="str">
        <f>IFERROR(__xludf.DUMMYFUNCTION("""COMPUTED_VALUE"""),"Paid")</f>
        <v>Paid</v>
      </c>
      <c r="Y108" s="132" t="str">
        <f>IFERROR(__xludf.DUMMYFUNCTION("""COMPUTED_VALUE"""),"Paid")</f>
        <v>Paid</v>
      </c>
      <c r="Z108" s="132"/>
    </row>
    <row r="109">
      <c r="A109" s="133"/>
      <c r="B109" s="132"/>
      <c r="C109" s="132"/>
      <c r="D109" s="132"/>
      <c r="E109" s="132"/>
      <c r="F109" s="132" t="str">
        <f>IFERROR(__xludf.DUMMYFUNCTION("""COMPUTED_VALUE"""),"#DIV/0!")</f>
        <v>#DIV/0!</v>
      </c>
      <c r="G109" s="132" t="str">
        <f>IFERROR(__xludf.DUMMYFUNCTION("""COMPUTED_VALUE"""),"#DIV/0!")</f>
        <v>#DIV/0!</v>
      </c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 t="str">
        <f>IFERROR(__xludf.DUMMYFUNCTION("""COMPUTED_VALUE"""),"Internet")</f>
        <v>Internet</v>
      </c>
      <c r="S109" s="132">
        <f>IFERROR(__xludf.DUMMYFUNCTION("""COMPUTED_VALUE"""),56.5)</f>
        <v>56.5</v>
      </c>
      <c r="T109" s="132">
        <f>IFERROR(__xludf.DUMMYFUNCTION("""COMPUTED_VALUE"""),11.3)</f>
        <v>11.3</v>
      </c>
      <c r="U109" s="132" t="str">
        <f>IFERROR(__xludf.DUMMYFUNCTION("""COMPUTED_VALUE"""),"Paid")</f>
        <v>Paid</v>
      </c>
      <c r="V109" s="132" t="str">
        <f>IFERROR(__xludf.DUMMYFUNCTION("""COMPUTED_VALUE"""),"Paid")</f>
        <v>Paid</v>
      </c>
      <c r="W109" s="132" t="str">
        <f>IFERROR(__xludf.DUMMYFUNCTION("""COMPUTED_VALUE"""),"Paid")</f>
        <v>Paid</v>
      </c>
      <c r="X109" s="132" t="str">
        <f>IFERROR(__xludf.DUMMYFUNCTION("""COMPUTED_VALUE"""),"Paid")</f>
        <v>Paid</v>
      </c>
      <c r="Y109" s="132" t="str">
        <f>IFERROR(__xludf.DUMMYFUNCTION("""COMPUTED_VALUE"""),"Paid")</f>
        <v>Paid</v>
      </c>
      <c r="Z109" s="132"/>
    </row>
    <row r="110">
      <c r="A110" s="133"/>
      <c r="B110" s="132"/>
      <c r="C110" s="132"/>
      <c r="D110" s="132"/>
      <c r="E110" s="132"/>
      <c r="F110" s="132" t="str">
        <f>IFERROR(__xludf.DUMMYFUNCTION("""COMPUTED_VALUE"""),"#DIV/0!")</f>
        <v>#DIV/0!</v>
      </c>
      <c r="G110" s="132" t="str">
        <f>IFERROR(__xludf.DUMMYFUNCTION("""COMPUTED_VALUE"""),"#DIV/0!")</f>
        <v>#DIV/0!</v>
      </c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>
        <f>IFERROR(__xludf.DUMMYFUNCTION("""COMPUTED_VALUE"""),-489.4100000000001)</f>
        <v>-489.41</v>
      </c>
      <c r="T110" s="132">
        <f>IFERROR(__xludf.DUMMYFUNCTION("""COMPUTED_VALUE"""),-117.88200000000002)</f>
        <v>-117.882</v>
      </c>
      <c r="U110" s="132"/>
      <c r="V110" s="132"/>
      <c r="W110" s="132"/>
      <c r="X110" s="132"/>
      <c r="Y110" s="132"/>
      <c r="Z110" s="132"/>
    </row>
    <row r="111">
      <c r="A111" s="133"/>
      <c r="B111" s="132"/>
      <c r="C111" s="132"/>
      <c r="D111" s="132"/>
      <c r="E111" s="132"/>
      <c r="F111" s="132" t="str">
        <f>IFERROR(__xludf.DUMMYFUNCTION("""COMPUTED_VALUE"""),"#DIV/0!")</f>
        <v>#DIV/0!</v>
      </c>
      <c r="G111" s="132" t="str">
        <f>IFERROR(__xludf.DUMMYFUNCTION("""COMPUTED_VALUE"""),"#DIV/0!")</f>
        <v>#DIV/0!</v>
      </c>
      <c r="H111" s="132"/>
      <c r="I111" s="132"/>
      <c r="J111" s="132"/>
      <c r="K111" s="132"/>
      <c r="L111" s="132"/>
      <c r="M111" s="132"/>
      <c r="N111" s="132"/>
      <c r="O111" s="132"/>
      <c r="P111" s="132"/>
      <c r="Q111" s="134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3"/>
      <c r="B112" s="132"/>
      <c r="C112" s="132"/>
      <c r="D112" s="132"/>
      <c r="E112" s="132"/>
      <c r="F112" s="132" t="str">
        <f>IFERROR(__xludf.DUMMYFUNCTION("""COMPUTED_VALUE"""),"#DIV/0!")</f>
        <v>#DIV/0!</v>
      </c>
      <c r="G112" s="132" t="str">
        <f>IFERROR(__xludf.DUMMYFUNCTION("""COMPUTED_VALUE"""),"#DIV/0!")</f>
        <v>#DIV/0!</v>
      </c>
      <c r="H112" s="132"/>
      <c r="I112" s="132"/>
      <c r="J112" s="132"/>
      <c r="K112" s="132"/>
      <c r="L112" s="132"/>
      <c r="M112" s="132"/>
      <c r="N112" s="132"/>
      <c r="O112" s="132"/>
      <c r="P112" s="132"/>
      <c r="Q112" s="134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3"/>
      <c r="B113" s="132"/>
      <c r="C113" s="132"/>
      <c r="D113" s="132"/>
      <c r="E113" s="132"/>
      <c r="F113" s="132" t="str">
        <f>IFERROR(__xludf.DUMMYFUNCTION("""COMPUTED_VALUE"""),"#DIV/0!")</f>
        <v>#DIV/0!</v>
      </c>
      <c r="G113" s="132" t="str">
        <f>IFERROR(__xludf.DUMMYFUNCTION("""COMPUTED_VALUE"""),"#DIV/0!")</f>
        <v>#DIV/0!</v>
      </c>
      <c r="H113" s="132"/>
      <c r="I113" s="132"/>
      <c r="J113" s="132"/>
      <c r="K113" s="132"/>
      <c r="L113" s="132"/>
      <c r="M113" s="132"/>
      <c r="N113" s="132"/>
      <c r="O113" s="132"/>
      <c r="P113" s="132"/>
      <c r="Q113" s="134">
        <f>IFERROR(__xludf.DUMMYFUNCTION("""COMPUTED_VALUE"""),45566.0)</f>
        <v>45566</v>
      </c>
      <c r="R113" s="132" t="str">
        <f>IFERROR(__xludf.DUMMYFUNCTION("""COMPUTED_VALUE"""),"Heat")</f>
        <v>Heat</v>
      </c>
      <c r="S113" s="132">
        <f>IFERROR(__xludf.DUMMYFUNCTION("""COMPUTED_VALUE"""),68.81)</f>
        <v>68.81</v>
      </c>
      <c r="T113" s="132">
        <f>IFERROR(__xludf.DUMMYFUNCTION("""COMPUTED_VALUE"""),11.468333333333334)</f>
        <v>11.46833333</v>
      </c>
      <c r="U113" s="132" t="str">
        <f>IFERROR(__xludf.DUMMYFUNCTION("""COMPUTED_VALUE"""),"Paid")</f>
        <v>Paid</v>
      </c>
      <c r="V113" s="132" t="str">
        <f>IFERROR(__xludf.DUMMYFUNCTION("""COMPUTED_VALUE"""),"Paid")</f>
        <v>Paid</v>
      </c>
      <c r="W113" s="132" t="str">
        <f>IFERROR(__xludf.DUMMYFUNCTION("""COMPUTED_VALUE"""),"Paid")</f>
        <v>Paid</v>
      </c>
      <c r="X113" s="132" t="str">
        <f>IFERROR(__xludf.DUMMYFUNCTION("""COMPUTED_VALUE"""),"Paid")</f>
        <v>Paid</v>
      </c>
      <c r="Y113" s="132" t="str">
        <f>IFERROR(__xludf.DUMMYFUNCTION("""COMPUTED_VALUE"""),"Paid")</f>
        <v>Paid</v>
      </c>
      <c r="Z113" s="132"/>
    </row>
    <row r="114">
      <c r="A114" s="133"/>
      <c r="B114" s="132"/>
      <c r="C114" s="132"/>
      <c r="D114" s="132"/>
      <c r="E114" s="132"/>
      <c r="F114" s="132" t="str">
        <f>IFERROR(__xludf.DUMMYFUNCTION("""COMPUTED_VALUE"""),"#DIV/0!")</f>
        <v>#DIV/0!</v>
      </c>
      <c r="G114" s="132" t="str">
        <f>IFERROR(__xludf.DUMMYFUNCTION("""COMPUTED_VALUE"""),"#DIV/0!")</f>
        <v>#DIV/0!</v>
      </c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 t="str">
        <f>IFERROR(__xludf.DUMMYFUNCTION("""COMPUTED_VALUE"""),"Electricity")</f>
        <v>Electricity</v>
      </c>
      <c r="S114" s="132">
        <f>IFERROR(__xludf.DUMMYFUNCTION("""COMPUTED_VALUE"""),128.04)</f>
        <v>128.04</v>
      </c>
      <c r="T114" s="132">
        <f>IFERROR(__xludf.DUMMYFUNCTION("""COMPUTED_VALUE"""),21.34)</f>
        <v>21.34</v>
      </c>
      <c r="U114" s="132" t="str">
        <f>IFERROR(__xludf.DUMMYFUNCTION("""COMPUTED_VALUE"""),"Paid")</f>
        <v>Paid</v>
      </c>
      <c r="V114" s="132" t="str">
        <f>IFERROR(__xludf.DUMMYFUNCTION("""COMPUTED_VALUE"""),"Paid")</f>
        <v>Paid</v>
      </c>
      <c r="W114" s="132" t="str">
        <f>IFERROR(__xludf.DUMMYFUNCTION("""COMPUTED_VALUE"""),"Paid")</f>
        <v>Paid</v>
      </c>
      <c r="X114" s="132" t="str">
        <f>IFERROR(__xludf.DUMMYFUNCTION("""COMPUTED_VALUE"""),"Paid")</f>
        <v>Paid</v>
      </c>
      <c r="Y114" s="132" t="str">
        <f>IFERROR(__xludf.DUMMYFUNCTION("""COMPUTED_VALUE"""),"Paid")</f>
        <v>Paid</v>
      </c>
      <c r="Z114" s="132"/>
    </row>
    <row r="115">
      <c r="A115" s="133"/>
      <c r="B115" s="132"/>
      <c r="C115" s="132"/>
      <c r="D115" s="132"/>
      <c r="E115" s="132"/>
      <c r="F115" s="132" t="str">
        <f>IFERROR(__xludf.DUMMYFUNCTION("""COMPUTED_VALUE"""),"#DIV/0!")</f>
        <v>#DIV/0!</v>
      </c>
      <c r="G115" s="132" t="str">
        <f>IFERROR(__xludf.DUMMYFUNCTION("""COMPUTED_VALUE"""),"#DIV/0!")</f>
        <v>#DIV/0!</v>
      </c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 t="str">
        <f>IFERROR(__xludf.DUMMYFUNCTION("""COMPUTED_VALUE"""),"Internet")</f>
        <v>Internet</v>
      </c>
      <c r="S115" s="132">
        <f>IFERROR(__xludf.DUMMYFUNCTION("""COMPUTED_VALUE"""),56.5)</f>
        <v>56.5</v>
      </c>
      <c r="T115" s="132">
        <f>IFERROR(__xludf.DUMMYFUNCTION("""COMPUTED_VALUE"""),9.416666666666666)</f>
        <v>9.416666667</v>
      </c>
      <c r="U115" s="132" t="str">
        <f>IFERROR(__xludf.DUMMYFUNCTION("""COMPUTED_VALUE"""),"Paid")</f>
        <v>Paid</v>
      </c>
      <c r="V115" s="132" t="str">
        <f>IFERROR(__xludf.DUMMYFUNCTION("""COMPUTED_VALUE"""),"Paid")</f>
        <v>Paid</v>
      </c>
      <c r="W115" s="132" t="str">
        <f>IFERROR(__xludf.DUMMYFUNCTION("""COMPUTED_VALUE"""),"Paid")</f>
        <v>Paid</v>
      </c>
      <c r="X115" s="132" t="str">
        <f>IFERROR(__xludf.DUMMYFUNCTION("""COMPUTED_VALUE"""),"Paid")</f>
        <v>Paid</v>
      </c>
      <c r="Y115" s="132" t="str">
        <f>IFERROR(__xludf.DUMMYFUNCTION("""COMPUTED_VALUE"""),"Paid")</f>
        <v>Paid</v>
      </c>
      <c r="Z115" s="132"/>
    </row>
    <row r="116">
      <c r="A116" s="133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 t="str">
        <f>IFERROR(__xludf.DUMMYFUNCTION("""COMPUTED_VALUE"""),"Rent for 2 months")</f>
        <v>Rent for 2 months</v>
      </c>
      <c r="S116" s="132">
        <f>IFERROR(__xludf.DUMMYFUNCTION("""COMPUTED_VALUE"""),7800.0)</f>
        <v>7800</v>
      </c>
      <c r="T116" s="132">
        <f>IFERROR(__xludf.DUMMYFUNCTION("""COMPUTED_VALUE"""),1300.0)</f>
        <v>1300</v>
      </c>
      <c r="U116" s="132" t="str">
        <f>IFERROR(__xludf.DUMMYFUNCTION("""COMPUTED_VALUE"""),"Paid")</f>
        <v>Paid</v>
      </c>
      <c r="V116" s="132" t="str">
        <f>IFERROR(__xludf.DUMMYFUNCTION("""COMPUTED_VALUE"""),"Paid")</f>
        <v>Paid</v>
      </c>
      <c r="W116" s="132" t="str">
        <f>IFERROR(__xludf.DUMMYFUNCTION("""COMPUTED_VALUE"""),"Paid")</f>
        <v>Paid</v>
      </c>
      <c r="X116" s="132" t="str">
        <f>IFERROR(__xludf.DUMMYFUNCTION("""COMPUTED_VALUE"""),"Paid")</f>
        <v>Paid</v>
      </c>
      <c r="Y116" s="132" t="str">
        <f>IFERROR(__xludf.DUMMYFUNCTION("""COMPUTED_VALUE"""),"Paid")</f>
        <v>Paid</v>
      </c>
      <c r="Z116" s="132"/>
    </row>
    <row r="117">
      <c r="A117" s="133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 t="str">
        <f>IFERROR(__xludf.DUMMYFUNCTION("""COMPUTED_VALUE"""),"Key deposit")</f>
        <v>Key deposit</v>
      </c>
      <c r="S117" s="132">
        <f>IFERROR(__xludf.DUMMYFUNCTION("""COMPUTED_VALUE"""),500.0)</f>
        <v>500</v>
      </c>
      <c r="T117" s="132">
        <f>IFERROR(__xludf.DUMMYFUNCTION("""COMPUTED_VALUE"""),83.33333333333333)</f>
        <v>83.33333333</v>
      </c>
      <c r="U117" s="132" t="str">
        <f>IFERROR(__xludf.DUMMYFUNCTION("""COMPUTED_VALUE"""),"Paid")</f>
        <v>Paid</v>
      </c>
      <c r="V117" s="132" t="str">
        <f>IFERROR(__xludf.DUMMYFUNCTION("""COMPUTED_VALUE"""),"Paid")</f>
        <v>Paid</v>
      </c>
      <c r="W117" s="132" t="str">
        <f>IFERROR(__xludf.DUMMYFUNCTION("""COMPUTED_VALUE"""),"Paid")</f>
        <v>Paid</v>
      </c>
      <c r="X117" s="132" t="str">
        <f>IFERROR(__xludf.DUMMYFUNCTION("""COMPUTED_VALUE"""),"Paid")</f>
        <v>Paid</v>
      </c>
      <c r="Y117" s="132" t="str">
        <f>IFERROR(__xludf.DUMMYFUNCTION("""COMPUTED_VALUE"""),"Paid")</f>
        <v>Paid</v>
      </c>
      <c r="Z117" s="132"/>
    </row>
    <row r="118">
      <c r="A118" s="133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3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3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4">
        <f>IFERROR(__xludf.DUMMYFUNCTION("""COMPUTED_VALUE"""),45597.0)</f>
        <v>45597</v>
      </c>
      <c r="R120" s="132" t="str">
        <f>IFERROR(__xludf.DUMMYFUNCTION("""COMPUTED_VALUE"""),"Rent")</f>
        <v>Rent</v>
      </c>
      <c r="S120" s="132">
        <f>IFERROR(__xludf.DUMMYFUNCTION("""COMPUTED_VALUE"""),3900.0)</f>
        <v>3900</v>
      </c>
      <c r="T120" s="132">
        <f>IFERROR(__xludf.DUMMYFUNCTION("""COMPUTED_VALUE"""),650.0)</f>
        <v>650</v>
      </c>
      <c r="U120" s="132" t="str">
        <f>IFERROR(__xludf.DUMMYFUNCTION("""COMPUTED_VALUE"""),"Paid")</f>
        <v>Paid</v>
      </c>
      <c r="V120" s="132" t="str">
        <f>IFERROR(__xludf.DUMMYFUNCTION("""COMPUTED_VALUE"""),"Paid")</f>
        <v>Paid</v>
      </c>
      <c r="W120" s="132" t="str">
        <f>IFERROR(__xludf.DUMMYFUNCTION("""COMPUTED_VALUE"""),"Paid")</f>
        <v>Paid</v>
      </c>
      <c r="X120" s="132" t="str">
        <f>IFERROR(__xludf.DUMMYFUNCTION("""COMPUTED_VALUE"""),"Paid")</f>
        <v>Paid</v>
      </c>
      <c r="Y120" s="132" t="str">
        <f>IFERROR(__xludf.DUMMYFUNCTION("""COMPUTED_VALUE"""),"Paid")</f>
        <v>Paid</v>
      </c>
      <c r="Z120" s="132"/>
    </row>
    <row r="121">
      <c r="A121" s="133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 t="str">
        <f>IFERROR(__xludf.DUMMYFUNCTION("""COMPUTED_VALUE"""),"Heat")</f>
        <v>Heat</v>
      </c>
      <c r="S121" s="132">
        <f>IFERROR(__xludf.DUMMYFUNCTION("""COMPUTED_VALUE"""),158.95)</f>
        <v>158.95</v>
      </c>
      <c r="T121" s="132">
        <f>IFERROR(__xludf.DUMMYFUNCTION("""COMPUTED_VALUE"""),26.491666666666664)</f>
        <v>26.49166667</v>
      </c>
      <c r="U121" s="132" t="str">
        <f>IFERROR(__xludf.DUMMYFUNCTION("""COMPUTED_VALUE"""),"Paid")</f>
        <v>Paid</v>
      </c>
      <c r="V121" s="132" t="str">
        <f>IFERROR(__xludf.DUMMYFUNCTION("""COMPUTED_VALUE"""),"Paid")</f>
        <v>Paid</v>
      </c>
      <c r="W121" s="132" t="str">
        <f>IFERROR(__xludf.DUMMYFUNCTION("""COMPUTED_VALUE"""),"Paid")</f>
        <v>Paid</v>
      </c>
      <c r="X121" s="132" t="str">
        <f>IFERROR(__xludf.DUMMYFUNCTION("""COMPUTED_VALUE"""),"Paid")</f>
        <v>Paid</v>
      </c>
      <c r="Y121" s="132" t="str">
        <f>IFERROR(__xludf.DUMMYFUNCTION("""COMPUTED_VALUE"""),"Paid")</f>
        <v>Paid</v>
      </c>
      <c r="Z121" s="132"/>
    </row>
    <row r="122">
      <c r="A122" s="133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 t="str">
        <f>IFERROR(__xludf.DUMMYFUNCTION("""COMPUTED_VALUE"""),"Electricity")</f>
        <v>Electricity</v>
      </c>
      <c r="S122" s="132">
        <f>IFERROR(__xludf.DUMMYFUNCTION("""COMPUTED_VALUE"""),167.9)</f>
        <v>167.9</v>
      </c>
      <c r="T122" s="132">
        <f>IFERROR(__xludf.DUMMYFUNCTION("""COMPUTED_VALUE"""),27.983333333333334)</f>
        <v>27.98333333</v>
      </c>
      <c r="U122" s="132" t="str">
        <f>IFERROR(__xludf.DUMMYFUNCTION("""COMPUTED_VALUE"""),"Paid")</f>
        <v>Paid</v>
      </c>
      <c r="V122" s="132" t="str">
        <f>IFERROR(__xludf.DUMMYFUNCTION("""COMPUTED_VALUE"""),"Paid")</f>
        <v>Paid</v>
      </c>
      <c r="W122" s="132" t="str">
        <f>IFERROR(__xludf.DUMMYFUNCTION("""COMPUTED_VALUE"""),"Paid")</f>
        <v>Paid</v>
      </c>
      <c r="X122" s="132" t="str">
        <f>IFERROR(__xludf.DUMMYFUNCTION("""COMPUTED_VALUE"""),"Paid")</f>
        <v>Paid</v>
      </c>
      <c r="Y122" s="132" t="str">
        <f>IFERROR(__xludf.DUMMYFUNCTION("""COMPUTED_VALUE"""),"Paid")</f>
        <v>Paid</v>
      </c>
      <c r="Z122" s="132"/>
    </row>
    <row r="123">
      <c r="A123" s="133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 t="str">
        <f>IFERROR(__xludf.DUMMYFUNCTION("""COMPUTED_VALUE"""),"Internet")</f>
        <v>Internet</v>
      </c>
      <c r="S123" s="132">
        <f>IFERROR(__xludf.DUMMYFUNCTION("""COMPUTED_VALUE"""),56.5)</f>
        <v>56.5</v>
      </c>
      <c r="T123" s="132">
        <f>IFERROR(__xludf.DUMMYFUNCTION("""COMPUTED_VALUE"""),9.416666666666666)</f>
        <v>9.416666667</v>
      </c>
      <c r="U123" s="132" t="str">
        <f>IFERROR(__xludf.DUMMYFUNCTION("""COMPUTED_VALUE"""),"Paid")</f>
        <v>Paid</v>
      </c>
      <c r="V123" s="132" t="str">
        <f>IFERROR(__xludf.DUMMYFUNCTION("""COMPUTED_VALUE"""),"Paid")</f>
        <v>Paid</v>
      </c>
      <c r="W123" s="132" t="str">
        <f>IFERROR(__xludf.DUMMYFUNCTION("""COMPUTED_VALUE"""),"Paid")</f>
        <v>Paid</v>
      </c>
      <c r="X123" s="132" t="str">
        <f>IFERROR(__xludf.DUMMYFUNCTION("""COMPUTED_VALUE"""),"Paid")</f>
        <v>Paid</v>
      </c>
      <c r="Y123" s="132" t="str">
        <f>IFERROR(__xludf.DUMMYFUNCTION("""COMPUTED_VALUE"""),"Paid")</f>
        <v>Paid</v>
      </c>
      <c r="Z123" s="132"/>
    </row>
    <row r="124">
      <c r="A124" s="133"/>
      <c r="B124" s="132"/>
      <c r="C124" s="132"/>
      <c r="D124" s="132"/>
      <c r="E124" s="132"/>
      <c r="F124" s="132"/>
      <c r="G124" s="132"/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3"/>
      <c r="B125" s="132"/>
      <c r="C125" s="132"/>
      <c r="D125" s="132"/>
      <c r="E125" s="132"/>
      <c r="F125" s="132"/>
      <c r="G125" s="132"/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3"/>
      <c r="B126" s="132"/>
      <c r="C126" s="132"/>
      <c r="D126" s="132"/>
      <c r="E126" s="132"/>
      <c r="F126" s="132"/>
      <c r="G126" s="132"/>
      <c r="H126" s="132"/>
      <c r="I126" s="132"/>
      <c r="J126" s="132"/>
      <c r="K126" s="132"/>
      <c r="L126" s="132"/>
      <c r="M126" s="132"/>
      <c r="N126" s="132"/>
      <c r="O126" s="132"/>
      <c r="P126" s="132"/>
      <c r="Q126" s="134">
        <f>IFERROR(__xludf.DUMMYFUNCTION("""COMPUTED_VALUE"""),45627.0)</f>
        <v>45627</v>
      </c>
      <c r="R126" s="132" t="str">
        <f>IFERROR(__xludf.DUMMYFUNCTION("""COMPUTED_VALUE"""),"Rent")</f>
        <v>Rent</v>
      </c>
      <c r="S126" s="132">
        <f>IFERROR(__xludf.DUMMYFUNCTION("""COMPUTED_VALUE"""),3900.0)</f>
        <v>3900</v>
      </c>
      <c r="T126" s="132">
        <f>IFERROR(__xludf.DUMMYFUNCTION("""COMPUTED_VALUE"""),650.0)</f>
        <v>650</v>
      </c>
      <c r="U126" s="132" t="str">
        <f>IFERROR(__xludf.DUMMYFUNCTION("""COMPUTED_VALUE"""),"Paid")</f>
        <v>Paid</v>
      </c>
      <c r="V126" s="132" t="str">
        <f>IFERROR(__xludf.DUMMYFUNCTION("""COMPUTED_VALUE"""),"Paid")</f>
        <v>Paid</v>
      </c>
      <c r="W126" s="132" t="str">
        <f>IFERROR(__xludf.DUMMYFUNCTION("""COMPUTED_VALUE"""),"Paid")</f>
        <v>Paid</v>
      </c>
      <c r="X126" s="132" t="str">
        <f>IFERROR(__xludf.DUMMYFUNCTION("""COMPUTED_VALUE"""),"Paid")</f>
        <v>Paid</v>
      </c>
      <c r="Y126" s="132" t="str">
        <f>IFERROR(__xludf.DUMMYFUNCTION("""COMPUTED_VALUE"""),"Paid")</f>
        <v>Paid</v>
      </c>
      <c r="Z126" s="132"/>
    </row>
    <row r="127">
      <c r="A127" s="133"/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 t="str">
        <f>IFERROR(__xludf.DUMMYFUNCTION("""COMPUTED_VALUE"""),"Heat")</f>
        <v>Heat</v>
      </c>
      <c r="S127" s="132">
        <f>IFERROR(__xludf.DUMMYFUNCTION("""COMPUTED_VALUE"""),182.8)</f>
        <v>182.8</v>
      </c>
      <c r="T127" s="132">
        <f>IFERROR(__xludf.DUMMYFUNCTION("""COMPUTED_VALUE"""),30.46666666666667)</f>
        <v>30.46666667</v>
      </c>
      <c r="U127" s="132" t="str">
        <f>IFERROR(__xludf.DUMMYFUNCTION("""COMPUTED_VALUE"""),"Paid")</f>
        <v>Paid</v>
      </c>
      <c r="V127" s="132" t="str">
        <f>IFERROR(__xludf.DUMMYFUNCTION("""COMPUTED_VALUE"""),"Paid")</f>
        <v>Paid</v>
      </c>
      <c r="W127" s="132" t="str">
        <f>IFERROR(__xludf.DUMMYFUNCTION("""COMPUTED_VALUE"""),"Paid")</f>
        <v>Paid</v>
      </c>
      <c r="X127" s="132" t="str">
        <f>IFERROR(__xludf.DUMMYFUNCTION("""COMPUTED_VALUE"""),"Paid")</f>
        <v>Paid</v>
      </c>
      <c r="Y127" s="132" t="str">
        <f>IFERROR(__xludf.DUMMYFUNCTION("""COMPUTED_VALUE"""),"Paid")</f>
        <v>Paid</v>
      </c>
      <c r="Z127" s="132"/>
    </row>
    <row r="128">
      <c r="A128" s="133"/>
      <c r="B128" s="132"/>
      <c r="C128" s="132"/>
      <c r="D128" s="132"/>
      <c r="E128" s="132"/>
      <c r="F128" s="132"/>
      <c r="G128" s="132"/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 t="str">
        <f>IFERROR(__xludf.DUMMYFUNCTION("""COMPUTED_VALUE"""),"Electricity")</f>
        <v>Electricity</v>
      </c>
      <c r="S128" s="132">
        <f>IFERROR(__xludf.DUMMYFUNCTION("""COMPUTED_VALUE"""),166.37)</f>
        <v>166.37</v>
      </c>
      <c r="T128" s="132">
        <f>IFERROR(__xludf.DUMMYFUNCTION("""COMPUTED_VALUE"""),27.728333333333335)</f>
        <v>27.72833333</v>
      </c>
      <c r="U128" s="132" t="str">
        <f>IFERROR(__xludf.DUMMYFUNCTION("""COMPUTED_VALUE"""),"Paid")</f>
        <v>Paid</v>
      </c>
      <c r="V128" s="132" t="str">
        <f>IFERROR(__xludf.DUMMYFUNCTION("""COMPUTED_VALUE"""),"Paid")</f>
        <v>Paid</v>
      </c>
      <c r="W128" s="132" t="str">
        <f>IFERROR(__xludf.DUMMYFUNCTION("""COMPUTED_VALUE"""),"Paid")</f>
        <v>Paid</v>
      </c>
      <c r="X128" s="132" t="str">
        <f>IFERROR(__xludf.DUMMYFUNCTION("""COMPUTED_VALUE"""),"Paid")</f>
        <v>Paid</v>
      </c>
      <c r="Y128" s="132" t="str">
        <f>IFERROR(__xludf.DUMMYFUNCTION("""COMPUTED_VALUE"""),"Paid")</f>
        <v>Paid</v>
      </c>
      <c r="Z128" s="132"/>
    </row>
    <row r="129">
      <c r="A129" s="13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Q129" s="88"/>
      <c r="R129" s="88" t="str">
        <f>IFERROR(__xludf.DUMMYFUNCTION("""COMPUTED_VALUE"""),"Internet")</f>
        <v>Internet</v>
      </c>
      <c r="S129" s="88">
        <f>IFERROR(__xludf.DUMMYFUNCTION("""COMPUTED_VALUE"""),56.5)</f>
        <v>56.5</v>
      </c>
      <c r="T129" s="88">
        <f>IFERROR(__xludf.DUMMYFUNCTION("""COMPUTED_VALUE"""),9.416666666666666)</f>
        <v>9.416666667</v>
      </c>
      <c r="U129" s="88" t="str">
        <f>IFERROR(__xludf.DUMMYFUNCTION("""COMPUTED_VALUE"""),"Paid")</f>
        <v>Paid</v>
      </c>
      <c r="V129" s="88" t="str">
        <f>IFERROR(__xludf.DUMMYFUNCTION("""COMPUTED_VALUE"""),"Paid")</f>
        <v>Paid</v>
      </c>
      <c r="W129" s="88" t="str">
        <f>IFERROR(__xludf.DUMMYFUNCTION("""COMPUTED_VALUE"""),"Paid")</f>
        <v>Paid</v>
      </c>
      <c r="X129" s="88" t="str">
        <f>IFERROR(__xludf.DUMMYFUNCTION("""COMPUTED_VALUE"""),"Paid")</f>
        <v>Paid</v>
      </c>
      <c r="Y129" s="88" t="str">
        <f>IFERROR(__xludf.DUMMYFUNCTION("""COMPUTED_VALUE"""),"Paid")</f>
        <v>Paid</v>
      </c>
    </row>
    <row r="130">
      <c r="A130" s="88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Q130" s="88"/>
      <c r="R130" s="88"/>
      <c r="S130" s="88"/>
      <c r="T130" s="88"/>
      <c r="U130" s="88"/>
      <c r="V130" s="88"/>
      <c r="W130" s="88"/>
      <c r="X130" s="88"/>
      <c r="Y130" s="88"/>
    </row>
    <row r="131">
      <c r="A131" s="88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Q131" s="138">
        <f>IFERROR(__xludf.DUMMYFUNCTION("""COMPUTED_VALUE"""),45658.0)</f>
        <v>45658</v>
      </c>
      <c r="R131" s="88" t="str">
        <f>IFERROR(__xludf.DUMMYFUNCTION("""COMPUTED_VALUE"""),"Rent")</f>
        <v>Rent</v>
      </c>
      <c r="S131" s="88">
        <f>IFERROR(__xludf.DUMMYFUNCTION("""COMPUTED_VALUE"""),3900.0)</f>
        <v>3900</v>
      </c>
      <c r="T131" s="88">
        <f>IFERROR(__xludf.DUMMYFUNCTION("""COMPUTED_VALUE"""),650.0)</f>
        <v>650</v>
      </c>
      <c r="U131" s="88" t="str">
        <f>IFERROR(__xludf.DUMMYFUNCTION("""COMPUTED_VALUE"""),"Paid")</f>
        <v>Paid</v>
      </c>
      <c r="V131" s="88" t="str">
        <f>IFERROR(__xludf.DUMMYFUNCTION("""COMPUTED_VALUE"""),"Paid")</f>
        <v>Paid</v>
      </c>
      <c r="W131" s="88" t="str">
        <f>IFERROR(__xludf.DUMMYFUNCTION("""COMPUTED_VALUE"""),"Paid")</f>
        <v>Paid</v>
      </c>
      <c r="X131" s="88" t="str">
        <f>IFERROR(__xludf.DUMMYFUNCTION("""COMPUTED_VALUE"""),"Paid")</f>
        <v>Paid</v>
      </c>
      <c r="Y131" s="88" t="str">
        <f>IFERROR(__xludf.DUMMYFUNCTION("""COMPUTED_VALUE"""),"Paid")</f>
        <v>Paid</v>
      </c>
    </row>
    <row r="132">
      <c r="A132" s="88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Q132" s="88"/>
      <c r="R132" s="88" t="str">
        <f>IFERROR(__xludf.DUMMYFUNCTION("""COMPUTED_VALUE"""),"Heat January 17, 2025 - February 18, 2025")</f>
        <v>Heat January 17, 2025 - February 18, 2025</v>
      </c>
      <c r="S132" s="88">
        <f>IFERROR(__xludf.DUMMYFUNCTION("""COMPUTED_VALUE"""),303.55)</f>
        <v>303.55</v>
      </c>
      <c r="T132" s="88">
        <f>IFERROR(__xludf.DUMMYFUNCTION("""COMPUTED_VALUE"""),60.71)</f>
        <v>60.71</v>
      </c>
      <c r="U132" s="88"/>
      <c r="V132" s="88"/>
      <c r="W132" s="88"/>
      <c r="X132" s="88"/>
      <c r="Y132" s="88"/>
    </row>
    <row r="133">
      <c r="A133" s="88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Q133" s="88"/>
      <c r="R133" s="88" t="str">
        <f>IFERROR(__xludf.DUMMYFUNCTION("""COMPUTED_VALUE"""),"Electricity")</f>
        <v>Electricity</v>
      </c>
      <c r="S133" s="88">
        <f>IFERROR(__xludf.DUMMYFUNCTION("""COMPUTED_VALUE"""),202.18)</f>
        <v>202.18</v>
      </c>
      <c r="T133" s="88">
        <f>IFERROR(__xludf.DUMMYFUNCTION("""COMPUTED_VALUE"""),33.696666666666665)</f>
        <v>33.69666667</v>
      </c>
      <c r="U133" s="88"/>
      <c r="V133" s="88"/>
      <c r="W133" s="88"/>
      <c r="X133" s="88"/>
      <c r="Y133" s="88"/>
    </row>
    <row r="134">
      <c r="A134" s="88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Q134" s="88"/>
      <c r="R134" s="88" t="str">
        <f>IFERROR(__xludf.DUMMYFUNCTION("""COMPUTED_VALUE"""),"Internet")</f>
        <v>Internet</v>
      </c>
      <c r="S134" s="88">
        <f>IFERROR(__xludf.DUMMYFUNCTION("""COMPUTED_VALUE"""),56.5)</f>
        <v>56.5</v>
      </c>
      <c r="T134" s="88">
        <f>IFERROR(__xludf.DUMMYFUNCTION("""COMPUTED_VALUE"""),9.416666666666666)</f>
        <v>9.416666667</v>
      </c>
      <c r="U134" s="88"/>
      <c r="V134" s="88"/>
      <c r="W134" s="88"/>
      <c r="X134" s="88"/>
      <c r="Y134" s="88"/>
    </row>
    <row r="135">
      <c r="A135" s="88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Q135" s="88"/>
      <c r="R135" s="88" t="str">
        <f>IFERROR(__xludf.DUMMYFUNCTION("""COMPUTED_VALUE"""),"Water")</f>
        <v>Water</v>
      </c>
      <c r="S135" s="88">
        <f>IFERROR(__xludf.DUMMYFUNCTION("""COMPUTED_VALUE"""),136.32)</f>
        <v>136.32</v>
      </c>
      <c r="T135" s="88">
        <f>IFERROR(__xludf.DUMMYFUNCTION("""COMPUTED_VALUE"""),22.72)</f>
        <v>22.72</v>
      </c>
      <c r="U135" s="88"/>
      <c r="V135" s="88"/>
      <c r="W135" s="88"/>
      <c r="X135" s="88"/>
      <c r="Y135" s="88"/>
    </row>
    <row r="136">
      <c r="A136" s="88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Q136" s="88"/>
      <c r="R136" s="88"/>
      <c r="S136" s="88"/>
      <c r="T136" s="88"/>
      <c r="U136" s="88"/>
      <c r="V136" s="88"/>
      <c r="W136" s="88"/>
      <c r="X136" s="88"/>
      <c r="Y136" s="88"/>
    </row>
    <row r="137">
      <c r="A137" s="88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Q137" s="138">
        <f>IFERROR(__xludf.DUMMYFUNCTION("""COMPUTED_VALUE"""),45689.0)</f>
        <v>45689</v>
      </c>
      <c r="R137" s="88" t="str">
        <f>IFERROR(__xludf.DUMMYFUNCTION("""COMPUTED_VALUE"""),"Rent")</f>
        <v>Rent</v>
      </c>
      <c r="S137" s="88">
        <f>IFERROR(__xludf.DUMMYFUNCTION("""COMPUTED_VALUE"""),3900.0)</f>
        <v>3900</v>
      </c>
      <c r="T137" s="88">
        <f>IFERROR(__xludf.DUMMYFUNCTION("""COMPUTED_VALUE"""),650.0)</f>
        <v>650</v>
      </c>
      <c r="U137" s="88" t="str">
        <f>IFERROR(__xludf.DUMMYFUNCTION("""COMPUTED_VALUE"""),"Paid")</f>
        <v>Paid</v>
      </c>
      <c r="V137" s="88" t="str">
        <f>IFERROR(__xludf.DUMMYFUNCTION("""COMPUTED_VALUE"""),"Paid")</f>
        <v>Paid</v>
      </c>
      <c r="W137" s="88" t="str">
        <f>IFERROR(__xludf.DUMMYFUNCTION("""COMPUTED_VALUE"""),"Paid")</f>
        <v>Paid</v>
      </c>
      <c r="X137" s="88" t="str">
        <f>IFERROR(__xludf.DUMMYFUNCTION("""COMPUTED_VALUE"""),"Paid")</f>
        <v>Paid</v>
      </c>
      <c r="Y137" s="88" t="str">
        <f>IFERROR(__xludf.DUMMYFUNCTION("""COMPUTED_VALUE"""),"Paid")</f>
        <v>Paid</v>
      </c>
    </row>
    <row r="138">
      <c r="A138" s="88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Q138" s="88"/>
      <c r="R138" s="88" t="str">
        <f>IFERROR(__xludf.DUMMYFUNCTION("""COMPUTED_VALUE"""),"Heat Feb 19 - Mar 18")</f>
        <v>Heat Feb 19 - Mar 18</v>
      </c>
      <c r="S138" s="88">
        <f>IFERROR(__xludf.DUMMYFUNCTION("""COMPUTED_VALUE"""),146.59)</f>
        <v>146.59</v>
      </c>
      <c r="T138" s="88">
        <f>IFERROR(__xludf.DUMMYFUNCTION("""COMPUTED_VALUE"""),48.86333333333334)</f>
        <v>48.86333333</v>
      </c>
      <c r="U138" s="88"/>
      <c r="V138" s="88"/>
      <c r="W138" s="88"/>
      <c r="X138" s="88"/>
      <c r="Y138" s="88"/>
    </row>
    <row r="139">
      <c r="A139" s="88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Q139" s="88"/>
      <c r="R139" s="88" t="str">
        <f>IFERROR(__xludf.DUMMYFUNCTION("""COMPUTED_VALUE"""),"Electricity")</f>
        <v>Electricity</v>
      </c>
      <c r="S139" s="88">
        <f>IFERROR(__xludf.DUMMYFUNCTION("""COMPUTED_VALUE"""),147.53)</f>
        <v>147.53</v>
      </c>
      <c r="T139" s="88"/>
      <c r="U139" s="88"/>
      <c r="V139" s="88"/>
      <c r="W139" s="88"/>
      <c r="X139" s="88"/>
      <c r="Y139" s="88"/>
    </row>
    <row r="140">
      <c r="A140" s="88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Q140" s="88"/>
      <c r="R140" s="88" t="str">
        <f>IFERROR(__xludf.DUMMYFUNCTION("""COMPUTED_VALUE"""),"Internet")</f>
        <v>Internet</v>
      </c>
      <c r="S140" s="88">
        <f>IFERROR(__xludf.DUMMYFUNCTION("""COMPUTED_VALUE"""),56.5)</f>
        <v>56.5</v>
      </c>
      <c r="T140" s="88">
        <f>IFERROR(__xludf.DUMMYFUNCTION("""COMPUTED_VALUE"""),9.416666666666666)</f>
        <v>9.416666667</v>
      </c>
      <c r="U140" s="88"/>
      <c r="V140" s="88"/>
      <c r="W140" s="88"/>
      <c r="X140" s="88"/>
      <c r="Y140" s="88"/>
    </row>
    <row r="141">
      <c r="A141" s="88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Q141" s="88"/>
      <c r="R141" s="88"/>
      <c r="S141" s="88"/>
      <c r="T141" s="88"/>
      <c r="U141" s="88"/>
      <c r="V141" s="88"/>
      <c r="W141" s="88"/>
      <c r="X141" s="88"/>
      <c r="Y141" s="88"/>
    </row>
    <row r="142">
      <c r="A142" s="88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Q142" s="88"/>
      <c r="R142" s="88"/>
      <c r="S142" s="88"/>
      <c r="T142" s="88"/>
      <c r="U142" s="88"/>
      <c r="V142" s="88"/>
      <c r="W142" s="88"/>
      <c r="X142" s="88"/>
      <c r="Y142" s="88"/>
    </row>
    <row r="143">
      <c r="A143" s="88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Q143" s="138">
        <f>IFERROR(__xludf.DUMMYFUNCTION("""COMPUTED_VALUE"""),45717.0)</f>
        <v>45717</v>
      </c>
      <c r="R143" s="88" t="str">
        <f>IFERROR(__xludf.DUMMYFUNCTION("""COMPUTED_VALUE"""),"Rent")</f>
        <v>Rent</v>
      </c>
      <c r="S143" s="88">
        <f>IFERROR(__xludf.DUMMYFUNCTION("""COMPUTED_VALUE"""),3900.0)</f>
        <v>3900</v>
      </c>
      <c r="T143" s="88">
        <f>IFERROR(__xludf.DUMMYFUNCTION("""COMPUTED_VALUE"""),650.0)</f>
        <v>650</v>
      </c>
      <c r="U143" s="88" t="str">
        <f>IFERROR(__xludf.DUMMYFUNCTION("""COMPUTED_VALUE"""),"Paid")</f>
        <v>Paid</v>
      </c>
      <c r="V143" s="88" t="str">
        <f>IFERROR(__xludf.DUMMYFUNCTION("""COMPUTED_VALUE"""),"Paid")</f>
        <v>Paid</v>
      </c>
      <c r="W143" s="88"/>
      <c r="X143" s="88" t="str">
        <f>IFERROR(__xludf.DUMMYFUNCTION("""COMPUTED_VALUE"""),"Paid")</f>
        <v>Paid</v>
      </c>
      <c r="Y143" s="88" t="str">
        <f>IFERROR(__xludf.DUMMYFUNCTION("""COMPUTED_VALUE"""),"Paid")</f>
        <v>Paid</v>
      </c>
    </row>
    <row r="144">
      <c r="A144" s="88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Q144" s="88"/>
      <c r="R144" s="88" t="str">
        <f>IFERROR(__xludf.DUMMYFUNCTION("""COMPUTED_VALUE"""),"Heat")</f>
        <v>Heat</v>
      </c>
      <c r="S144" s="88"/>
      <c r="T144" s="88"/>
      <c r="U144" s="88"/>
      <c r="V144" s="88"/>
      <c r="W144" s="88"/>
      <c r="X144" s="88"/>
      <c r="Y144" s="88"/>
    </row>
    <row r="145">
      <c r="A145" s="88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Q145" s="88"/>
      <c r="R145" s="88" t="str">
        <f>IFERROR(__xludf.DUMMYFUNCTION("""COMPUTED_VALUE"""),"Electricity")</f>
        <v>Electricity</v>
      </c>
      <c r="S145" s="88">
        <f>IFERROR(__xludf.DUMMYFUNCTION("""COMPUTED_VALUE"""),100.34)</f>
        <v>100.34</v>
      </c>
      <c r="T145" s="88"/>
      <c r="U145" s="88"/>
      <c r="V145" s="88"/>
      <c r="W145" s="88"/>
      <c r="X145" s="88"/>
      <c r="Y145" s="88"/>
    </row>
    <row r="146">
      <c r="A146" s="88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Q146" s="88"/>
      <c r="R146" s="88" t="str">
        <f>IFERROR(__xludf.DUMMYFUNCTION("""COMPUTED_VALUE"""),"Internet")</f>
        <v>Internet</v>
      </c>
      <c r="S146" s="88">
        <f>IFERROR(__xludf.DUMMYFUNCTION("""COMPUTED_VALUE"""),56.5)</f>
        <v>56.5</v>
      </c>
      <c r="T146" s="88">
        <f>IFERROR(__xludf.DUMMYFUNCTION("""COMPUTED_VALUE"""),9.416666666666666)</f>
        <v>9.416666667</v>
      </c>
      <c r="U146" s="88"/>
      <c r="V146" s="88"/>
      <c r="W146" s="88"/>
      <c r="X146" s="88"/>
      <c r="Y146" s="88"/>
    </row>
    <row r="147">
      <c r="A147" s="88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Q147" s="88"/>
      <c r="R147" s="88"/>
      <c r="S147" s="88"/>
      <c r="T147" s="88"/>
      <c r="U147" s="88"/>
      <c r="V147" s="88"/>
      <c r="W147" s="88"/>
      <c r="X147" s="88"/>
      <c r="Y147" s="88"/>
    </row>
    <row r="148">
      <c r="A148" s="88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Q148" s="88"/>
      <c r="R148" s="88"/>
      <c r="S148" s="88"/>
      <c r="T148" s="88"/>
      <c r="U148" s="88"/>
      <c r="V148" s="88"/>
      <c r="W148" s="88"/>
      <c r="X148" s="88"/>
      <c r="Y148" s="88"/>
    </row>
    <row r="149">
      <c r="A149" s="88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Q149" s="88"/>
      <c r="R149" s="88"/>
      <c r="S149" s="88"/>
      <c r="T149" s="88"/>
      <c r="U149" s="88"/>
      <c r="V149" s="88"/>
      <c r="W149" s="88"/>
      <c r="X149" s="88"/>
      <c r="Y149" s="88"/>
    </row>
    <row r="150">
      <c r="A150" s="88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Q150" s="88"/>
      <c r="R150" s="88"/>
      <c r="S150" s="88"/>
      <c r="T150" s="88"/>
      <c r="U150" s="88"/>
      <c r="V150" s="88"/>
      <c r="W150" s="88"/>
      <c r="X150" s="88"/>
      <c r="Y150" s="88"/>
    </row>
    <row r="151">
      <c r="A151" s="88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Q151" s="88"/>
      <c r="R151" s="88"/>
      <c r="S151" s="88"/>
      <c r="T151" s="88"/>
      <c r="U151" s="88"/>
      <c r="V151" s="88"/>
      <c r="W151" s="88"/>
      <c r="X151" s="88"/>
      <c r="Y151" s="88"/>
    </row>
    <row r="152">
      <c r="A152" s="88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Q152" s="88"/>
      <c r="R152" s="88"/>
      <c r="S152" s="88"/>
      <c r="T152" s="88"/>
      <c r="U152" s="88"/>
      <c r="V152" s="88"/>
      <c r="W152" s="88"/>
      <c r="X152" s="88"/>
      <c r="Y152" s="88"/>
    </row>
    <row r="153">
      <c r="A153" s="88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Q153" s="88"/>
      <c r="R153" s="88"/>
      <c r="S153" s="88"/>
      <c r="T153" s="88"/>
      <c r="U153" s="88"/>
      <c r="V153" s="88"/>
      <c r="W153" s="88"/>
      <c r="X153" s="88"/>
      <c r="Y153" s="88"/>
    </row>
    <row r="154">
      <c r="A154" s="88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Q154" s="88"/>
      <c r="R154" s="88"/>
      <c r="S154" s="88"/>
      <c r="T154" s="88"/>
      <c r="U154" s="88"/>
      <c r="V154" s="88"/>
      <c r="W154" s="88"/>
      <c r="X154" s="88"/>
      <c r="Y154" s="88"/>
    </row>
    <row r="155">
      <c r="A155" s="88"/>
      <c r="B155" s="88"/>
      <c r="C155" s="88"/>
      <c r="D155" s="88"/>
      <c r="E155" s="88"/>
      <c r="F155" s="88" t="str">
        <f>IFERROR(__xludf.DUMMYFUNCTION("""COMPUTED_VALUE"""),"#DIV/0!")</f>
        <v>#DIV/0!</v>
      </c>
      <c r="G155" s="88"/>
      <c r="H155" s="88"/>
      <c r="I155" s="88"/>
      <c r="J155" s="88"/>
      <c r="K155" s="88"/>
      <c r="L155" s="88"/>
      <c r="M155" s="88"/>
      <c r="N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>
      <c r="A156" s="88"/>
      <c r="B156" s="88"/>
      <c r="C156" s="88"/>
      <c r="D156" s="88"/>
      <c r="E156" s="88"/>
      <c r="F156" s="88" t="str">
        <f>IFERROR(__xludf.DUMMYFUNCTION("""COMPUTED_VALUE"""),"#DIV/0!")</f>
        <v>#DIV/0!</v>
      </c>
      <c r="G156" s="88"/>
      <c r="H156" s="88"/>
      <c r="I156" s="88"/>
      <c r="J156" s="88"/>
      <c r="K156" s="88"/>
      <c r="L156" s="88"/>
      <c r="M156" s="88"/>
      <c r="N156" s="88"/>
      <c r="Q156" s="88"/>
      <c r="R156" s="88"/>
      <c r="S156" s="88"/>
      <c r="T156" s="88"/>
      <c r="U156" s="88"/>
      <c r="V156" s="88"/>
      <c r="W156" s="88"/>
      <c r="X156" s="88"/>
      <c r="Y156" s="88"/>
    </row>
    <row r="157">
      <c r="A157" s="88"/>
      <c r="B157" s="88"/>
      <c r="C157" s="88"/>
      <c r="D157" s="88"/>
      <c r="E157" s="88"/>
      <c r="F157" s="88" t="str">
        <f>IFERROR(__xludf.DUMMYFUNCTION("""COMPUTED_VALUE"""),"#DIV/0!")</f>
        <v>#DIV/0!</v>
      </c>
      <c r="G157" s="88"/>
      <c r="H157" s="88"/>
      <c r="I157" s="88"/>
      <c r="J157" s="88"/>
      <c r="K157" s="88"/>
      <c r="L157" s="88"/>
      <c r="M157" s="88"/>
      <c r="N157" s="88"/>
      <c r="Q157" s="88"/>
      <c r="R157" s="88"/>
      <c r="S157" s="88"/>
      <c r="T157" s="88"/>
      <c r="U157" s="88"/>
      <c r="V157" s="88"/>
      <c r="W157" s="88"/>
      <c r="X157" s="88"/>
      <c r="Y157" s="88"/>
    </row>
    <row r="158">
      <c r="A158" s="88"/>
      <c r="B158" s="88"/>
      <c r="C158" s="88"/>
      <c r="D158" s="88"/>
      <c r="E158" s="88"/>
      <c r="F158" s="88" t="str">
        <f>IFERROR(__xludf.DUMMYFUNCTION("""COMPUTED_VALUE"""),"#DIV/0!")</f>
        <v>#DIV/0!</v>
      </c>
      <c r="G158" s="88"/>
      <c r="H158" s="88"/>
      <c r="I158" s="88"/>
      <c r="J158" s="88"/>
      <c r="K158" s="88"/>
      <c r="L158" s="88"/>
      <c r="M158" s="88"/>
      <c r="N158" s="88"/>
      <c r="Q158" s="88"/>
      <c r="R158" s="88"/>
      <c r="S158" s="88"/>
      <c r="T158" s="88"/>
      <c r="U158" s="88"/>
      <c r="V158" s="88"/>
      <c r="W158" s="88"/>
      <c r="X158" s="88"/>
      <c r="Y158" s="88"/>
    </row>
    <row r="159">
      <c r="A159" s="88"/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Q159" s="88"/>
      <c r="R159" s="88"/>
      <c r="S159" s="88"/>
      <c r="T159" s="88"/>
      <c r="U159" s="88"/>
      <c r="V159" s="88"/>
      <c r="W159" s="88"/>
      <c r="X159" s="88"/>
      <c r="Y159" s="88"/>
    </row>
    <row r="160">
      <c r="A160" s="137"/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Q160" s="88"/>
      <c r="R160" s="88"/>
      <c r="S160" s="88"/>
      <c r="T160" s="88"/>
      <c r="U160" s="88"/>
      <c r="V160" s="88"/>
      <c r="W160" s="88"/>
      <c r="X160" s="88"/>
      <c r="Y160" s="88"/>
    </row>
    <row r="161">
      <c r="A161" s="137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Q161" s="88"/>
      <c r="R161" s="88"/>
      <c r="S161" s="88"/>
      <c r="T161" s="88"/>
      <c r="U161" s="88"/>
      <c r="V161" s="88"/>
      <c r="W161" s="88"/>
      <c r="X161" s="88"/>
      <c r="Y161" s="88"/>
    </row>
    <row r="162">
      <c r="A162" s="137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Q162" s="88"/>
      <c r="R162" s="88"/>
      <c r="S162" s="88"/>
      <c r="T162" s="88"/>
      <c r="U162" s="88"/>
      <c r="V162" s="88"/>
      <c r="W162" s="88"/>
      <c r="X162" s="88"/>
      <c r="Y162" s="88"/>
    </row>
    <row r="163">
      <c r="A163" s="88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Q163" s="88"/>
      <c r="R163" s="88"/>
      <c r="S163" s="88"/>
      <c r="T163" s="88"/>
      <c r="U163" s="88"/>
      <c r="V163" s="88"/>
      <c r="W163" s="88"/>
      <c r="X163" s="88"/>
      <c r="Y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Q164" s="88"/>
      <c r="R164" s="88"/>
      <c r="S164" s="88"/>
      <c r="T164" s="88"/>
      <c r="U164" s="88"/>
      <c r="V164" s="88"/>
      <c r="W164" s="88"/>
      <c r="X164" s="88"/>
      <c r="Y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Q165" s="88"/>
      <c r="R165" s="88"/>
      <c r="S165" s="88"/>
      <c r="T165" s="88"/>
      <c r="U165" s="88"/>
      <c r="V165" s="88"/>
      <c r="W165" s="88"/>
      <c r="X165" s="88"/>
      <c r="Y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Q166" s="88"/>
      <c r="R166" s="88"/>
      <c r="S166" s="88"/>
      <c r="T166" s="88"/>
      <c r="U166" s="88"/>
      <c r="V166" s="88"/>
      <c r="W166" s="88"/>
      <c r="X166" s="88"/>
      <c r="Y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Q167" s="88"/>
      <c r="R167" s="88"/>
      <c r="S167" s="88"/>
      <c r="T167" s="88"/>
      <c r="U167" s="88"/>
      <c r="V167" s="88"/>
      <c r="W167" s="88"/>
      <c r="X167" s="88"/>
      <c r="Y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Q168" s="88"/>
      <c r="R168" s="88"/>
      <c r="S168" s="88"/>
      <c r="T168" s="88"/>
      <c r="U168" s="88"/>
      <c r="V168" s="88"/>
      <c r="W168" s="88"/>
      <c r="X168" s="88"/>
      <c r="Y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Q169" s="88"/>
      <c r="R169" s="88"/>
      <c r="S169" s="88"/>
      <c r="T169" s="88"/>
      <c r="U169" s="88"/>
      <c r="V169" s="88"/>
      <c r="W169" s="88"/>
      <c r="X169" s="88"/>
      <c r="Y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Q170" s="88"/>
      <c r="R170" s="88"/>
      <c r="S170" s="88"/>
      <c r="T170" s="88"/>
      <c r="U170" s="88"/>
      <c r="V170" s="88"/>
      <c r="W170" s="88"/>
      <c r="X170" s="88"/>
      <c r="Y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Q171" s="88"/>
      <c r="R171" s="88"/>
      <c r="S171" s="88"/>
      <c r="T171" s="88"/>
      <c r="U171" s="88"/>
      <c r="V171" s="88"/>
      <c r="W171" s="88"/>
      <c r="X171" s="88"/>
      <c r="Y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Q173" s="88"/>
      <c r="R173" s="88"/>
      <c r="S173" s="88"/>
      <c r="T173" s="88"/>
      <c r="U173" s="88"/>
      <c r="V173" s="88"/>
      <c r="W173" s="88"/>
      <c r="X173" s="88"/>
      <c r="Y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Q174" s="88"/>
      <c r="R174" s="88"/>
      <c r="S174" s="88"/>
      <c r="T174" s="88"/>
      <c r="U174" s="88"/>
      <c r="V174" s="88"/>
      <c r="W174" s="88"/>
      <c r="X174" s="88"/>
      <c r="Y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Q176" s="88"/>
      <c r="R176" s="88"/>
      <c r="S176" s="88"/>
      <c r="T176" s="88"/>
      <c r="U176" s="88"/>
      <c r="V176" s="88"/>
      <c r="W176" s="88"/>
      <c r="X176" s="88"/>
      <c r="Y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Q177" s="88"/>
      <c r="R177" s="88"/>
      <c r="S177" s="88"/>
      <c r="T177" s="88"/>
      <c r="U177" s="88"/>
      <c r="V177" s="88"/>
      <c r="W177" s="88"/>
      <c r="X177" s="88"/>
      <c r="Y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Q178" s="88"/>
      <c r="R178" s="88"/>
      <c r="S178" s="88"/>
      <c r="T178" s="88"/>
      <c r="U178" s="88"/>
      <c r="V178" s="88"/>
      <c r="W178" s="88"/>
      <c r="X178" s="88"/>
      <c r="Y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Q179" s="88"/>
      <c r="R179" s="88"/>
      <c r="S179" s="88"/>
      <c r="T179" s="88"/>
      <c r="U179" s="88"/>
      <c r="V179" s="88"/>
      <c r="W179" s="88"/>
      <c r="X179" s="88"/>
      <c r="Y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Q180" s="88"/>
      <c r="R180" s="88"/>
      <c r="S180" s="88"/>
      <c r="T180" s="88"/>
      <c r="U180" s="88"/>
      <c r="V180" s="88"/>
      <c r="W180" s="88"/>
      <c r="X180" s="88"/>
      <c r="Y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Q181" s="88"/>
      <c r="R181" s="88"/>
      <c r="S181" s="88"/>
      <c r="T181" s="88"/>
      <c r="U181" s="88"/>
      <c r="V181" s="88"/>
      <c r="W181" s="88"/>
      <c r="X181" s="88"/>
      <c r="Y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Q183" s="88"/>
      <c r="R183" s="88"/>
      <c r="S183" s="88"/>
      <c r="T183" s="88"/>
      <c r="U183" s="88"/>
      <c r="V183" s="88"/>
      <c r="W183" s="88"/>
      <c r="X183" s="88"/>
      <c r="Y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Q184" s="88"/>
      <c r="R184" s="88"/>
      <c r="S184" s="88"/>
      <c r="T184" s="88"/>
      <c r="U184" s="88"/>
      <c r="V184" s="88"/>
      <c r="W184" s="88"/>
      <c r="X184" s="88"/>
      <c r="Y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Q185" s="88"/>
      <c r="R185" s="88"/>
      <c r="S185" s="88"/>
      <c r="T185" s="88"/>
      <c r="U185" s="88"/>
      <c r="V185" s="88"/>
      <c r="W185" s="88"/>
      <c r="X185" s="88"/>
      <c r="Y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Q186" s="88"/>
      <c r="R186" s="88"/>
      <c r="S186" s="88"/>
      <c r="T186" s="88"/>
      <c r="U186" s="88"/>
      <c r="V186" s="88"/>
      <c r="W186" s="88"/>
      <c r="X186" s="88"/>
      <c r="Y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Q187" s="88"/>
      <c r="R187" s="88"/>
      <c r="S187" s="88"/>
      <c r="T187" s="88"/>
      <c r="U187" s="88"/>
      <c r="V187" s="88"/>
      <c r="W187" s="88"/>
      <c r="X187" s="88"/>
      <c r="Y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Q188" s="88"/>
      <c r="R188" s="88"/>
      <c r="S188" s="88"/>
      <c r="T188" s="88"/>
      <c r="U188" s="88"/>
      <c r="V188" s="88"/>
      <c r="W188" s="88"/>
      <c r="X188" s="88"/>
      <c r="Y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Q189" s="88"/>
      <c r="R189" s="88"/>
      <c r="S189" s="88"/>
      <c r="T189" s="88"/>
      <c r="U189" s="88"/>
      <c r="V189" s="88"/>
      <c r="W189" s="88"/>
      <c r="X189" s="88"/>
      <c r="Y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Q190" s="88"/>
      <c r="R190" s="88"/>
      <c r="S190" s="88"/>
      <c r="T190" s="88"/>
      <c r="U190" s="88"/>
      <c r="V190" s="88"/>
      <c r="W190" s="88"/>
      <c r="X190" s="139"/>
      <c r="Y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Q191" s="88"/>
      <c r="R191" s="88"/>
      <c r="S191" s="88"/>
      <c r="T191" s="88"/>
      <c r="U191" s="88"/>
      <c r="V191" s="88"/>
      <c r="W191" s="88"/>
      <c r="X191" s="139"/>
      <c r="Y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Q193" s="88"/>
      <c r="R193" s="88"/>
      <c r="S193" s="88"/>
      <c r="T193" s="88"/>
      <c r="U193" s="88"/>
      <c r="V193" s="88"/>
      <c r="W193" s="88"/>
      <c r="X193" s="139"/>
      <c r="Y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Q194" s="88"/>
      <c r="R194" s="88"/>
      <c r="S194" s="88"/>
      <c r="T194" s="88"/>
      <c r="U194" s="88"/>
      <c r="V194" s="88"/>
      <c r="W194" s="88"/>
      <c r="X194" s="139"/>
      <c r="Y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Q195" s="88"/>
      <c r="R195" s="88"/>
      <c r="S195" s="88"/>
      <c r="T195" s="88"/>
      <c r="U195" s="88"/>
      <c r="V195" s="88"/>
      <c r="W195" s="88"/>
      <c r="X195" s="139"/>
      <c r="Y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Q196" s="88"/>
      <c r="R196" s="88"/>
      <c r="S196" s="88"/>
      <c r="T196" s="88"/>
      <c r="U196" s="88"/>
      <c r="V196" s="88"/>
      <c r="W196" s="88"/>
      <c r="X196" s="139"/>
      <c r="Y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Q197" s="88"/>
      <c r="R197" s="88"/>
      <c r="S197" s="88"/>
      <c r="T197" s="88"/>
      <c r="U197" s="88"/>
      <c r="V197" s="88"/>
      <c r="W197" s="88"/>
      <c r="X197" s="139"/>
      <c r="Y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Q198" s="88"/>
      <c r="R198" s="88"/>
      <c r="S198" s="88"/>
      <c r="T198" s="88"/>
      <c r="U198" s="88"/>
      <c r="V198" s="88"/>
      <c r="W198" s="88"/>
      <c r="X198" s="139"/>
      <c r="Y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Q199" s="88"/>
      <c r="R199" s="88"/>
      <c r="S199" s="88"/>
      <c r="T199" s="88"/>
      <c r="U199" s="88"/>
      <c r="V199" s="88"/>
      <c r="W199" s="88"/>
      <c r="X199" s="88"/>
      <c r="Y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Q200" s="88"/>
      <c r="R200" s="88"/>
      <c r="S200" s="88"/>
      <c r="T200" s="88"/>
      <c r="U200" s="88"/>
      <c r="V200" s="88"/>
      <c r="W200" s="88"/>
      <c r="X200" s="139"/>
      <c r="Y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Q201" s="88"/>
      <c r="R201" s="88"/>
      <c r="S201" s="88"/>
      <c r="T201" s="88"/>
      <c r="U201" s="88"/>
      <c r="V201" s="88"/>
      <c r="W201" s="88"/>
      <c r="X201" s="88"/>
      <c r="Y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Q202" s="88"/>
      <c r="R202" s="88"/>
      <c r="S202" s="88"/>
      <c r="T202" s="88"/>
      <c r="U202" s="88"/>
      <c r="V202" s="88"/>
      <c r="W202" s="88"/>
      <c r="X202" s="88"/>
      <c r="Y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Q203" s="88"/>
      <c r="R203" s="88"/>
      <c r="S203" s="88"/>
      <c r="T203" s="88"/>
      <c r="U203" s="88"/>
      <c r="V203" s="88"/>
      <c r="W203" s="88"/>
      <c r="X203" s="139"/>
      <c r="Y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Q204" s="88"/>
      <c r="R204" s="88"/>
      <c r="S204" s="88"/>
      <c r="T204" s="88"/>
      <c r="U204" s="88"/>
      <c r="V204" s="88"/>
      <c r="W204" s="88"/>
      <c r="X204" s="88"/>
      <c r="Y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Q205" s="88"/>
      <c r="R205" s="88"/>
      <c r="S205" s="88"/>
      <c r="T205" s="88"/>
      <c r="U205" s="88"/>
      <c r="V205" s="88"/>
      <c r="W205" s="88"/>
      <c r="X205" s="88"/>
      <c r="Y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Q206" s="88"/>
      <c r="R206" s="88"/>
      <c r="S206" s="88"/>
      <c r="T206" s="88"/>
      <c r="U206" s="88"/>
      <c r="V206" s="88"/>
      <c r="W206" s="88"/>
      <c r="X206" s="88"/>
      <c r="Y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Q207" s="88"/>
      <c r="R207" s="88"/>
      <c r="S207" s="88"/>
      <c r="T207" s="88"/>
      <c r="U207" s="88"/>
      <c r="V207" s="88"/>
      <c r="W207" s="88"/>
      <c r="X207" s="88"/>
      <c r="Y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Q208" s="88"/>
      <c r="R208" s="88"/>
      <c r="S208" s="88"/>
      <c r="T208" s="88"/>
      <c r="U208" s="88"/>
      <c r="V208" s="88"/>
      <c r="W208" s="88"/>
      <c r="X208" s="88"/>
      <c r="Y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Q209" s="88"/>
      <c r="R209" s="88"/>
      <c r="S209" s="88"/>
      <c r="T209" s="88"/>
      <c r="U209" s="88"/>
      <c r="V209" s="88"/>
      <c r="W209" s="88"/>
      <c r="X209" s="88"/>
      <c r="Y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Q210" s="88"/>
      <c r="R210" s="88"/>
      <c r="S210" s="88"/>
      <c r="T210" s="88"/>
      <c r="U210" s="88"/>
      <c r="V210" s="88"/>
      <c r="W210" s="88"/>
      <c r="X210" s="88"/>
      <c r="Y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Q211" s="88"/>
      <c r="R211" s="88"/>
      <c r="S211" s="88"/>
      <c r="T211" s="88"/>
      <c r="U211" s="88"/>
      <c r="V211" s="88"/>
      <c r="W211" s="88"/>
      <c r="X211" s="88"/>
      <c r="Y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Q212" s="88"/>
      <c r="R212" s="88"/>
      <c r="S212" s="88"/>
      <c r="T212" s="88"/>
      <c r="U212" s="88"/>
      <c r="V212" s="88"/>
      <c r="W212" s="88"/>
      <c r="X212" s="88"/>
      <c r="Y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Q213" s="88"/>
      <c r="R213" s="88"/>
      <c r="S213" s="88"/>
      <c r="T213" s="88"/>
      <c r="U213" s="88"/>
      <c r="V213" s="88"/>
      <c r="W213" s="88"/>
      <c r="X213" s="88"/>
      <c r="Y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Q214" s="88"/>
      <c r="R214" s="88"/>
      <c r="S214" s="88"/>
      <c r="T214" s="88"/>
      <c r="U214" s="88"/>
      <c r="V214" s="88"/>
      <c r="W214" s="88"/>
      <c r="X214" s="88"/>
      <c r="Y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Q215" s="88"/>
      <c r="R215" s="88"/>
      <c r="S215" s="88"/>
      <c r="T215" s="88"/>
      <c r="U215" s="88"/>
      <c r="V215" s="88"/>
      <c r="W215" s="88"/>
      <c r="X215" s="88"/>
      <c r="Y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Q216" s="88"/>
      <c r="R216" s="88"/>
      <c r="S216" s="88"/>
      <c r="T216" s="88"/>
      <c r="U216" s="88"/>
      <c r="V216" s="88"/>
      <c r="W216" s="88"/>
      <c r="X216" s="88"/>
      <c r="Y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Q217" s="88"/>
      <c r="R217" s="88"/>
      <c r="S217" s="88"/>
      <c r="T217" s="88"/>
      <c r="U217" s="88"/>
      <c r="V217" s="88"/>
      <c r="W217" s="88"/>
      <c r="X217" s="88"/>
      <c r="Y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Q218" s="88"/>
      <c r="R218" s="88"/>
      <c r="S218" s="88"/>
      <c r="T218" s="88"/>
      <c r="U218" s="88"/>
      <c r="V218" s="88"/>
      <c r="W218" s="88"/>
      <c r="X218" s="88"/>
      <c r="Y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Q219" s="88"/>
      <c r="R219" s="88"/>
      <c r="S219" s="88"/>
      <c r="T219" s="88"/>
      <c r="U219" s="88"/>
      <c r="V219" s="88"/>
      <c r="W219" s="88"/>
      <c r="X219" s="88"/>
      <c r="Y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Q220" s="88"/>
      <c r="R220" s="88"/>
      <c r="S220" s="88"/>
      <c r="T220" s="88"/>
      <c r="U220" s="88"/>
      <c r="V220" s="88"/>
      <c r="W220" s="88"/>
      <c r="X220" s="88"/>
      <c r="Y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Q221" s="88"/>
      <c r="R221" s="88"/>
      <c r="S221" s="88"/>
      <c r="T221" s="88"/>
      <c r="U221" s="88"/>
      <c r="V221" s="88"/>
      <c r="W221" s="88"/>
      <c r="X221" s="88"/>
      <c r="Y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Q222" s="88"/>
      <c r="R222" s="88"/>
      <c r="S222" s="88"/>
      <c r="T222" s="88"/>
      <c r="U222" s="88"/>
      <c r="V222" s="88"/>
      <c r="W222" s="88"/>
      <c r="X222" s="88"/>
      <c r="Y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Q223" s="88"/>
      <c r="R223" s="88"/>
      <c r="S223" s="88"/>
      <c r="T223" s="88"/>
      <c r="U223" s="88"/>
      <c r="V223" s="88"/>
      <c r="W223" s="88"/>
      <c r="X223" s="88"/>
      <c r="Y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Q224" s="88"/>
      <c r="R224" s="88"/>
      <c r="S224" s="88"/>
      <c r="T224" s="88"/>
      <c r="U224" s="88"/>
      <c r="V224" s="88"/>
      <c r="W224" s="88"/>
      <c r="X224" s="88"/>
      <c r="Y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Q225" s="88"/>
      <c r="R225" s="88"/>
      <c r="S225" s="88"/>
      <c r="T225" s="88"/>
      <c r="U225" s="88"/>
      <c r="V225" s="88"/>
      <c r="W225" s="88"/>
      <c r="X225" s="88"/>
      <c r="Y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Q226" s="88"/>
      <c r="R226" s="88"/>
      <c r="S226" s="88"/>
      <c r="T226" s="88"/>
      <c r="U226" s="88"/>
      <c r="V226" s="88"/>
      <c r="W226" s="88"/>
      <c r="X226" s="88"/>
      <c r="Y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Q227" s="88"/>
      <c r="R227" s="88"/>
      <c r="S227" s="88"/>
      <c r="T227" s="88"/>
      <c r="U227" s="88"/>
      <c r="V227" s="88"/>
      <c r="W227" s="88"/>
      <c r="X227" s="88"/>
      <c r="Y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Q228" s="88"/>
      <c r="R228" s="88"/>
      <c r="S228" s="88"/>
      <c r="T228" s="88"/>
      <c r="U228" s="88"/>
      <c r="V228" s="88"/>
      <c r="W228" s="88"/>
      <c r="X228" s="88"/>
      <c r="Y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Q229" s="88"/>
      <c r="R229" s="88"/>
      <c r="S229" s="88"/>
      <c r="T229" s="88"/>
      <c r="U229" s="88"/>
      <c r="V229" s="88"/>
      <c r="W229" s="88"/>
      <c r="X229" s="88"/>
      <c r="Y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Q230" s="88"/>
      <c r="R230" s="88"/>
      <c r="S230" s="88"/>
      <c r="T230" s="88"/>
      <c r="U230" s="88"/>
      <c r="V230" s="88"/>
      <c r="W230" s="88"/>
      <c r="X230" s="88"/>
      <c r="Y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Q231" s="88"/>
      <c r="R231" s="88"/>
      <c r="S231" s="88"/>
      <c r="T231" s="88"/>
      <c r="U231" s="88"/>
      <c r="V231" s="88"/>
      <c r="W231" s="88"/>
      <c r="X231" s="88"/>
      <c r="Y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Q232" s="88"/>
      <c r="R232" s="88"/>
      <c r="S232" s="88"/>
      <c r="T232" s="88"/>
      <c r="U232" s="88"/>
      <c r="V232" s="88"/>
      <c r="W232" s="88"/>
      <c r="X232" s="88"/>
      <c r="Y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Q233" s="88"/>
      <c r="R233" s="88"/>
      <c r="S233" s="88"/>
      <c r="T233" s="88"/>
      <c r="U233" s="88"/>
      <c r="V233" s="88"/>
      <c r="W233" s="88"/>
      <c r="X233" s="88"/>
      <c r="Y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Q234" s="88"/>
      <c r="R234" s="88"/>
      <c r="S234" s="88"/>
      <c r="T234" s="88"/>
      <c r="U234" s="88"/>
      <c r="V234" s="88"/>
      <c r="W234" s="88"/>
      <c r="X234" s="88"/>
      <c r="Y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Q235" s="88"/>
      <c r="R235" s="88"/>
      <c r="S235" s="88"/>
      <c r="T235" s="88"/>
      <c r="U235" s="88"/>
      <c r="V235" s="88"/>
      <c r="W235" s="88"/>
      <c r="X235" s="88"/>
      <c r="Y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Q236" s="88"/>
      <c r="R236" s="88"/>
      <c r="S236" s="88"/>
      <c r="T236" s="88"/>
      <c r="U236" s="88"/>
      <c r="V236" s="88"/>
      <c r="W236" s="88"/>
      <c r="X236" s="88"/>
      <c r="Y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Q237" s="88"/>
      <c r="R237" s="88"/>
      <c r="S237" s="88"/>
      <c r="T237" s="88"/>
      <c r="U237" s="88"/>
      <c r="V237" s="88"/>
      <c r="W237" s="88"/>
      <c r="X237" s="88"/>
      <c r="Y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Q238" s="88"/>
      <c r="R238" s="88"/>
      <c r="S238" s="88"/>
      <c r="T238" s="88"/>
      <c r="U238" s="88"/>
      <c r="V238" s="88"/>
      <c r="W238" s="88"/>
      <c r="X238" s="88"/>
      <c r="Y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Q239" s="88"/>
      <c r="R239" s="88"/>
      <c r="S239" s="88"/>
      <c r="T239" s="88"/>
      <c r="U239" s="88"/>
      <c r="V239" s="88"/>
      <c r="W239" s="88"/>
      <c r="X239" s="88"/>
      <c r="Y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Q240" s="88"/>
      <c r="R240" s="88"/>
      <c r="S240" s="88"/>
      <c r="T240" s="88"/>
      <c r="U240" s="88"/>
      <c r="V240" s="88"/>
      <c r="W240" s="88"/>
      <c r="X240" s="88"/>
      <c r="Y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Q241" s="88"/>
      <c r="R241" s="88"/>
      <c r="S241" s="88"/>
      <c r="T241" s="88"/>
      <c r="U241" s="88"/>
      <c r="V241" s="88"/>
      <c r="W241" s="88"/>
      <c r="X241" s="88"/>
      <c r="Y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Q242" s="88"/>
      <c r="R242" s="88"/>
      <c r="S242" s="88"/>
      <c r="T242" s="88"/>
      <c r="U242" s="88"/>
      <c r="V242" s="88"/>
      <c r="W242" s="88"/>
      <c r="X242" s="88"/>
      <c r="Y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Q243" s="88"/>
      <c r="R243" s="88"/>
      <c r="S243" s="88"/>
      <c r="T243" s="88"/>
      <c r="U243" s="88"/>
      <c r="V243" s="88"/>
      <c r="W243" s="88"/>
      <c r="X243" s="88"/>
      <c r="Y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Q244" s="88"/>
      <c r="R244" s="88"/>
      <c r="S244" s="88"/>
      <c r="T244" s="88"/>
      <c r="U244" s="88"/>
      <c r="V244" s="88"/>
      <c r="W244" s="88"/>
      <c r="X244" s="88"/>
      <c r="Y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Q245" s="88"/>
      <c r="R245" s="88"/>
      <c r="S245" s="88"/>
      <c r="T245" s="88"/>
      <c r="U245" s="88"/>
      <c r="V245" s="88"/>
      <c r="W245" s="88"/>
      <c r="X245" s="88"/>
      <c r="Y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Q246" s="88"/>
      <c r="R246" s="88"/>
      <c r="S246" s="88"/>
      <c r="T246" s="88"/>
      <c r="U246" s="88"/>
      <c r="V246" s="88"/>
      <c r="W246" s="88"/>
      <c r="X246" s="88"/>
      <c r="Y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Q247" s="88"/>
      <c r="R247" s="88"/>
      <c r="S247" s="88"/>
      <c r="T247" s="88"/>
      <c r="U247" s="88"/>
      <c r="V247" s="88"/>
      <c r="W247" s="88"/>
      <c r="X247" s="88"/>
      <c r="Y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Q248" s="88"/>
      <c r="R248" s="88"/>
      <c r="S248" s="88"/>
      <c r="T248" s="88"/>
      <c r="U248" s="88"/>
      <c r="V248" s="88"/>
      <c r="W248" s="88"/>
      <c r="X248" s="88"/>
      <c r="Y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Q249" s="88"/>
      <c r="R249" s="88"/>
      <c r="S249" s="88"/>
      <c r="T249" s="88"/>
      <c r="U249" s="88"/>
      <c r="V249" s="88"/>
      <c r="W249" s="88"/>
      <c r="X249" s="88"/>
      <c r="Y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Q250" s="88"/>
      <c r="R250" s="88"/>
      <c r="S250" s="88"/>
      <c r="T250" s="88"/>
      <c r="U250" s="88"/>
      <c r="V250" s="88"/>
      <c r="W250" s="88"/>
      <c r="X250" s="88"/>
      <c r="Y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Q251" s="88"/>
      <c r="R251" s="88"/>
      <c r="S251" s="88"/>
      <c r="T251" s="88"/>
      <c r="U251" s="88"/>
      <c r="V251" s="88"/>
      <c r="W251" s="88"/>
      <c r="X251" s="88"/>
      <c r="Y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Q252" s="88"/>
      <c r="R252" s="88"/>
      <c r="S252" s="88"/>
      <c r="T252" s="88"/>
      <c r="U252" s="88"/>
      <c r="V252" s="88"/>
      <c r="W252" s="88"/>
      <c r="X252" s="88"/>
      <c r="Y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Q253" s="88"/>
      <c r="R253" s="88"/>
      <c r="S253" s="88"/>
      <c r="T253" s="88"/>
      <c r="U253" s="88"/>
      <c r="V253" s="88"/>
      <c r="W253" s="88"/>
      <c r="X253" s="88"/>
      <c r="Y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Q254" s="88"/>
      <c r="R254" s="88"/>
      <c r="S254" s="88"/>
      <c r="T254" s="88"/>
      <c r="U254" s="88"/>
      <c r="V254" s="88"/>
      <c r="W254" s="88"/>
      <c r="X254" s="88"/>
      <c r="Y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Q255" s="88"/>
      <c r="R255" s="88"/>
      <c r="S255" s="88"/>
      <c r="T255" s="88"/>
      <c r="U255" s="88"/>
      <c r="V255" s="88"/>
      <c r="W255" s="88"/>
      <c r="X255" s="88"/>
      <c r="Y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Q256" s="88"/>
      <c r="R256" s="88"/>
      <c r="S256" s="88"/>
      <c r="T256" s="88"/>
      <c r="U256" s="88"/>
      <c r="V256" s="88"/>
      <c r="W256" s="88"/>
      <c r="X256" s="88"/>
      <c r="Y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Q257" s="88"/>
      <c r="R257" s="88"/>
      <c r="S257" s="88"/>
      <c r="T257" s="88"/>
      <c r="U257" s="88"/>
      <c r="V257" s="88"/>
      <c r="W257" s="88"/>
      <c r="X257" s="88"/>
      <c r="Y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Q258" s="88"/>
      <c r="R258" s="88"/>
      <c r="S258" s="88"/>
      <c r="T258" s="88"/>
      <c r="U258" s="88"/>
      <c r="V258" s="88"/>
      <c r="W258" s="88"/>
      <c r="X258" s="88"/>
      <c r="Y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Q259" s="88"/>
      <c r="R259" s="88"/>
      <c r="S259" s="88"/>
      <c r="T259" s="88"/>
      <c r="U259" s="88"/>
      <c r="V259" s="88"/>
      <c r="W259" s="88"/>
      <c r="X259" s="88"/>
      <c r="Y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Q260" s="88"/>
      <c r="R260" s="88"/>
      <c r="S260" s="88"/>
      <c r="T260" s="88"/>
      <c r="U260" s="88"/>
      <c r="V260" s="88"/>
      <c r="W260" s="88"/>
      <c r="X260" s="88"/>
      <c r="Y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Q261" s="88"/>
      <c r="R261" s="88"/>
      <c r="S261" s="88"/>
      <c r="T261" s="88"/>
      <c r="U261" s="88"/>
      <c r="V261" s="88"/>
      <c r="W261" s="88"/>
      <c r="X261" s="88"/>
      <c r="Y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Q262" s="88"/>
      <c r="R262" s="88"/>
      <c r="S262" s="88"/>
      <c r="T262" s="88"/>
      <c r="U262" s="88"/>
      <c r="V262" s="88"/>
      <c r="W262" s="88"/>
      <c r="X262" s="88"/>
      <c r="Y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Q263" s="88"/>
      <c r="R263" s="88"/>
      <c r="S263" s="88"/>
      <c r="T263" s="88"/>
      <c r="U263" s="88"/>
      <c r="V263" s="88"/>
      <c r="W263" s="88"/>
      <c r="X263" s="88"/>
      <c r="Y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Q264" s="88"/>
      <c r="R264" s="88"/>
      <c r="S264" s="88"/>
      <c r="T264" s="88"/>
      <c r="U264" s="88"/>
      <c r="V264" s="88"/>
      <c r="W264" s="88"/>
      <c r="X264" s="88"/>
      <c r="Y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Q266" s="88"/>
      <c r="R266" s="88"/>
      <c r="S266" s="88"/>
      <c r="T266" s="88"/>
      <c r="U266" s="88"/>
      <c r="V266" s="88"/>
      <c r="W266" s="88"/>
      <c r="X266" s="88"/>
      <c r="Y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Q267" s="88"/>
      <c r="R267" s="88"/>
      <c r="S267" s="88"/>
      <c r="T267" s="88"/>
      <c r="U267" s="88"/>
      <c r="V267" s="88"/>
      <c r="W267" s="88"/>
      <c r="X267" s="88"/>
      <c r="Y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Q268" s="88"/>
      <c r="R268" s="88"/>
      <c r="S268" s="88"/>
      <c r="T268" s="88"/>
      <c r="U268" s="88"/>
      <c r="V268" s="88"/>
      <c r="W268" s="88"/>
      <c r="X268" s="88"/>
      <c r="Y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Q269" s="88"/>
      <c r="R269" s="88"/>
      <c r="S269" s="88"/>
      <c r="T269" s="88"/>
      <c r="U269" s="88"/>
      <c r="V269" s="88"/>
      <c r="W269" s="88"/>
      <c r="X269" s="88"/>
      <c r="Y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Q270" s="88"/>
      <c r="R270" s="88"/>
      <c r="S270" s="88"/>
      <c r="T270" s="88"/>
      <c r="U270" s="88"/>
      <c r="V270" s="88"/>
      <c r="W270" s="88"/>
      <c r="X270" s="88"/>
      <c r="Y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Q271" s="88"/>
      <c r="R271" s="88"/>
      <c r="S271" s="88"/>
      <c r="T271" s="88"/>
      <c r="U271" s="88"/>
      <c r="V271" s="88"/>
      <c r="W271" s="88"/>
      <c r="X271" s="88"/>
      <c r="Y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Q272" s="88"/>
      <c r="R272" s="88"/>
      <c r="S272" s="88"/>
      <c r="T272" s="88"/>
      <c r="U272" s="88"/>
      <c r="V272" s="88"/>
      <c r="W272" s="88"/>
      <c r="X272" s="88"/>
      <c r="Y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Q273" s="88"/>
      <c r="R273" s="88"/>
      <c r="S273" s="88"/>
      <c r="T273" s="88"/>
      <c r="U273" s="88"/>
      <c r="V273" s="88"/>
      <c r="W273" s="88"/>
      <c r="X273" s="88"/>
      <c r="Y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Q274" s="88"/>
      <c r="R274" s="88"/>
      <c r="S274" s="88"/>
      <c r="T274" s="88"/>
      <c r="U274" s="88"/>
      <c r="V274" s="88"/>
      <c r="W274" s="88"/>
      <c r="X274" s="88"/>
      <c r="Y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Q275" s="88"/>
      <c r="R275" s="88"/>
      <c r="S275" s="88"/>
      <c r="T275" s="88"/>
      <c r="U275" s="88"/>
      <c r="V275" s="88"/>
      <c r="W275" s="88"/>
      <c r="X275" s="88"/>
      <c r="Y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Q276" s="88"/>
      <c r="R276" s="88"/>
      <c r="S276" s="88"/>
      <c r="T276" s="88"/>
      <c r="U276" s="88"/>
      <c r="V276" s="88"/>
      <c r="W276" s="88"/>
      <c r="X276" s="88"/>
      <c r="Y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Q277" s="88"/>
      <c r="R277" s="88"/>
      <c r="S277" s="88"/>
      <c r="T277" s="88"/>
      <c r="U277" s="88"/>
      <c r="V277" s="88"/>
      <c r="W277" s="88"/>
      <c r="X277" s="88"/>
      <c r="Y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Q278" s="88"/>
      <c r="R278" s="88"/>
      <c r="S278" s="88"/>
      <c r="T278" s="88"/>
      <c r="U278" s="88"/>
      <c r="V278" s="88"/>
      <c r="W278" s="88"/>
      <c r="X278" s="88"/>
      <c r="Y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Q279" s="88"/>
      <c r="R279" s="88"/>
      <c r="S279" s="88"/>
      <c r="T279" s="88"/>
      <c r="U279" s="88"/>
      <c r="V279" s="88"/>
      <c r="W279" s="88"/>
      <c r="X279" s="88"/>
      <c r="Y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Q280" s="88"/>
      <c r="R280" s="88"/>
      <c r="S280" s="88"/>
      <c r="T280" s="88"/>
      <c r="U280" s="88"/>
      <c r="V280" s="88"/>
      <c r="W280" s="88"/>
      <c r="X280" s="88"/>
      <c r="Y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Q281" s="88"/>
      <c r="R281" s="88"/>
      <c r="S281" s="88"/>
      <c r="T281" s="88"/>
      <c r="U281" s="88"/>
      <c r="V281" s="88"/>
      <c r="W281" s="88"/>
      <c r="X281" s="88"/>
      <c r="Y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Q282" s="88"/>
      <c r="R282" s="88"/>
      <c r="S282" s="88"/>
      <c r="T282" s="88"/>
      <c r="U282" s="88"/>
      <c r="V282" s="88"/>
      <c r="W282" s="88"/>
      <c r="X282" s="88"/>
      <c r="Y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Q283" s="88"/>
      <c r="R283" s="88"/>
      <c r="S283" s="88"/>
      <c r="T283" s="88"/>
      <c r="U283" s="88"/>
      <c r="V283" s="88"/>
      <c r="W283" s="88"/>
      <c r="X283" s="88"/>
      <c r="Y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Q284" s="88"/>
      <c r="R284" s="88"/>
      <c r="S284" s="88"/>
      <c r="T284" s="88"/>
      <c r="U284" s="88"/>
      <c r="V284" s="88"/>
      <c r="W284" s="88"/>
      <c r="X284" s="88"/>
      <c r="Y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Q285" s="88"/>
      <c r="R285" s="88"/>
      <c r="S285" s="88"/>
      <c r="T285" s="88"/>
      <c r="U285" s="88"/>
      <c r="V285" s="88"/>
      <c r="W285" s="88"/>
      <c r="X285" s="88"/>
      <c r="Y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Q286" s="88"/>
      <c r="R286" s="88"/>
      <c r="S286" s="88"/>
      <c r="T286" s="88"/>
      <c r="U286" s="88"/>
      <c r="V286" s="88"/>
      <c r="W286" s="88"/>
      <c r="X286" s="88"/>
      <c r="Y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Q287" s="88"/>
      <c r="R287" s="88"/>
      <c r="S287" s="88"/>
      <c r="T287" s="88"/>
      <c r="U287" s="88"/>
      <c r="V287" s="88"/>
      <c r="W287" s="88"/>
      <c r="X287" s="88"/>
      <c r="Y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Q288" s="88"/>
      <c r="R288" s="88"/>
      <c r="S288" s="88"/>
      <c r="T288" s="88"/>
      <c r="U288" s="88"/>
      <c r="V288" s="88"/>
      <c r="W288" s="88"/>
      <c r="X288" s="88"/>
      <c r="Y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Q289" s="88"/>
      <c r="R289" s="88"/>
      <c r="S289" s="88"/>
      <c r="T289" s="88"/>
      <c r="U289" s="88"/>
      <c r="V289" s="88"/>
      <c r="W289" s="88"/>
      <c r="X289" s="88"/>
      <c r="Y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Q290" s="88"/>
      <c r="R290" s="88"/>
      <c r="S290" s="88"/>
      <c r="T290" s="88"/>
      <c r="U290" s="88"/>
      <c r="V290" s="88"/>
      <c r="W290" s="88"/>
      <c r="X290" s="88"/>
      <c r="Y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Q291" s="88"/>
      <c r="R291" s="88"/>
      <c r="S291" s="88"/>
      <c r="T291" s="88"/>
      <c r="U291" s="88"/>
      <c r="V291" s="88"/>
      <c r="W291" s="88"/>
      <c r="X291" s="88"/>
      <c r="Y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Q292" s="88"/>
      <c r="R292" s="88"/>
      <c r="S292" s="88"/>
      <c r="T292" s="88"/>
      <c r="U292" s="88"/>
      <c r="V292" s="88"/>
      <c r="W292" s="88"/>
      <c r="X292" s="88"/>
      <c r="Y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Q293" s="88"/>
      <c r="R293" s="88"/>
      <c r="S293" s="88"/>
      <c r="T293" s="88"/>
      <c r="U293" s="88"/>
      <c r="V293" s="88"/>
      <c r="W293" s="88"/>
      <c r="X293" s="88"/>
      <c r="Y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Q294" s="88"/>
      <c r="R294" s="88"/>
      <c r="S294" s="88"/>
      <c r="T294" s="88"/>
      <c r="U294" s="88"/>
      <c r="V294" s="88"/>
      <c r="W294" s="88"/>
      <c r="X294" s="88"/>
      <c r="Y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Q295" s="88"/>
      <c r="R295" s="88"/>
      <c r="S295" s="88"/>
      <c r="T295" s="88"/>
      <c r="U295" s="88"/>
      <c r="V295" s="88"/>
      <c r="W295" s="88"/>
      <c r="X295" s="88"/>
      <c r="Y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Q296" s="88"/>
      <c r="R296" s="88"/>
      <c r="S296" s="88"/>
      <c r="T296" s="88"/>
      <c r="U296" s="88"/>
      <c r="V296" s="88"/>
      <c r="W296" s="88"/>
      <c r="X296" s="88"/>
      <c r="Y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Q297" s="88"/>
      <c r="R297" s="88"/>
      <c r="S297" s="88"/>
      <c r="T297" s="88"/>
      <c r="U297" s="88"/>
      <c r="V297" s="88"/>
      <c r="W297" s="88"/>
      <c r="X297" s="88"/>
      <c r="Y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Q298" s="88"/>
      <c r="R298" s="88"/>
      <c r="S298" s="88"/>
      <c r="T298" s="88"/>
      <c r="U298" s="88"/>
      <c r="V298" s="88"/>
      <c r="W298" s="88"/>
      <c r="X298" s="88"/>
      <c r="Y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Q299" s="88"/>
      <c r="R299" s="88"/>
      <c r="S299" s="88"/>
      <c r="T299" s="88"/>
      <c r="U299" s="88"/>
      <c r="V299" s="88"/>
      <c r="W299" s="88"/>
      <c r="X299" s="88"/>
      <c r="Y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Q300" s="88"/>
      <c r="R300" s="88"/>
      <c r="S300" s="88"/>
      <c r="T300" s="88"/>
      <c r="U300" s="88"/>
      <c r="V300" s="88"/>
      <c r="W300" s="88"/>
      <c r="X300" s="88"/>
      <c r="Y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Q301" s="88"/>
      <c r="R301" s="88"/>
      <c r="S301" s="88"/>
      <c r="T301" s="88"/>
      <c r="U301" s="88"/>
      <c r="V301" s="88"/>
      <c r="W301" s="88"/>
      <c r="X301" s="88"/>
      <c r="Y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Q302" s="88"/>
      <c r="R302" s="88"/>
      <c r="S302" s="88"/>
      <c r="T302" s="88"/>
      <c r="U302" s="88"/>
      <c r="V302" s="88"/>
      <c r="W302" s="88"/>
      <c r="X302" s="88"/>
      <c r="Y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Q303" s="88"/>
      <c r="R303" s="88"/>
      <c r="S303" s="88"/>
      <c r="T303" s="88"/>
      <c r="U303" s="88"/>
      <c r="V303" s="88"/>
      <c r="W303" s="88"/>
      <c r="X303" s="88"/>
      <c r="Y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Q304" s="88"/>
      <c r="R304" s="88"/>
      <c r="S304" s="88"/>
      <c r="T304" s="88"/>
      <c r="U304" s="88"/>
      <c r="V304" s="88"/>
      <c r="W304" s="88"/>
      <c r="X304" s="88"/>
      <c r="Y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Q305" s="88"/>
      <c r="R305" s="88"/>
      <c r="S305" s="88"/>
      <c r="T305" s="88"/>
      <c r="U305" s="88"/>
      <c r="V305" s="88"/>
      <c r="W305" s="88"/>
      <c r="X305" s="88"/>
      <c r="Y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Q306" s="88"/>
      <c r="R306" s="88"/>
      <c r="S306" s="88"/>
      <c r="T306" s="88"/>
      <c r="U306" s="88"/>
      <c r="V306" s="88"/>
      <c r="W306" s="88"/>
      <c r="X306" s="88"/>
      <c r="Y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Q307" s="88"/>
      <c r="R307" s="88"/>
      <c r="S307" s="88"/>
      <c r="T307" s="88"/>
      <c r="U307" s="88"/>
      <c r="V307" s="88"/>
      <c r="W307" s="88"/>
      <c r="X307" s="88"/>
      <c r="Y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Q308" s="88"/>
      <c r="R308" s="88"/>
      <c r="S308" s="88"/>
      <c r="T308" s="88"/>
      <c r="U308" s="88"/>
      <c r="V308" s="88"/>
      <c r="W308" s="88"/>
      <c r="X308" s="88"/>
      <c r="Y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Q309" s="88"/>
      <c r="R309" s="88"/>
      <c r="S309" s="88"/>
      <c r="T309" s="88"/>
      <c r="U309" s="88"/>
      <c r="V309" s="88"/>
      <c r="W309" s="88"/>
      <c r="X309" s="88"/>
      <c r="Y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Q310" s="88"/>
      <c r="R310" s="88"/>
      <c r="S310" s="88"/>
      <c r="T310" s="88"/>
      <c r="U310" s="88"/>
      <c r="V310" s="88"/>
      <c r="W310" s="88"/>
      <c r="X310" s="88"/>
      <c r="Y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Q311" s="88"/>
      <c r="R311" s="88"/>
      <c r="S311" s="88"/>
      <c r="T311" s="88"/>
      <c r="U311" s="88"/>
      <c r="V311" s="88"/>
      <c r="W311" s="88"/>
      <c r="X311" s="88"/>
      <c r="Y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Q312" s="88"/>
      <c r="R312" s="88"/>
      <c r="S312" s="88"/>
      <c r="T312" s="88"/>
      <c r="U312" s="88"/>
      <c r="V312" s="88"/>
      <c r="W312" s="88"/>
      <c r="X312" s="88"/>
      <c r="Y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Q313" s="88"/>
      <c r="R313" s="88"/>
      <c r="S313" s="88"/>
      <c r="T313" s="88"/>
      <c r="U313" s="88"/>
      <c r="V313" s="88"/>
      <c r="W313" s="88"/>
      <c r="X313" s="88"/>
      <c r="Y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Q314" s="88"/>
      <c r="R314" s="88"/>
      <c r="S314" s="88"/>
      <c r="T314" s="88"/>
      <c r="U314" s="88"/>
      <c r="V314" s="88"/>
      <c r="W314" s="88"/>
      <c r="X314" s="88"/>
      <c r="Y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Q315" s="88"/>
      <c r="R315" s="88"/>
      <c r="S315" s="88"/>
      <c r="T315" s="88"/>
      <c r="U315" s="88"/>
      <c r="V315" s="88"/>
      <c r="W315" s="88"/>
      <c r="X315" s="88"/>
      <c r="Y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Q316" s="88"/>
      <c r="R316" s="88"/>
      <c r="S316" s="88"/>
      <c r="T316" s="88"/>
      <c r="U316" s="88"/>
      <c r="V316" s="88"/>
      <c r="W316" s="88"/>
      <c r="X316" s="88"/>
      <c r="Y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Q317" s="88"/>
      <c r="R317" s="88"/>
      <c r="S317" s="88"/>
      <c r="T317" s="88"/>
      <c r="U317" s="88"/>
      <c r="V317" s="88"/>
      <c r="W317" s="88"/>
      <c r="X317" s="88"/>
      <c r="Y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Q318" s="88"/>
      <c r="R318" s="88"/>
      <c r="S318" s="88"/>
      <c r="T318" s="88"/>
      <c r="U318" s="88"/>
      <c r="V318" s="88"/>
      <c r="W318" s="88"/>
      <c r="X318" s="88"/>
      <c r="Y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Q319" s="88"/>
      <c r="R319" s="88"/>
      <c r="S319" s="88"/>
      <c r="T319" s="88"/>
      <c r="U319" s="88"/>
      <c r="V319" s="88"/>
      <c r="W319" s="88"/>
      <c r="X319" s="88"/>
      <c r="Y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Q320" s="88"/>
      <c r="R320" s="88"/>
      <c r="S320" s="88"/>
      <c r="T320" s="88"/>
      <c r="U320" s="88"/>
      <c r="V320" s="88"/>
      <c r="W320" s="88"/>
      <c r="X320" s="88"/>
      <c r="Y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Q321" s="88"/>
      <c r="R321" s="88"/>
      <c r="S321" s="88"/>
      <c r="T321" s="88"/>
      <c r="U321" s="88"/>
      <c r="V321" s="88"/>
      <c r="W321" s="88"/>
      <c r="X321" s="88"/>
      <c r="Y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Q322" s="88"/>
      <c r="R322" s="88"/>
      <c r="S322" s="88"/>
      <c r="T322" s="88"/>
      <c r="U322" s="88"/>
      <c r="V322" s="88"/>
      <c r="W322" s="88"/>
      <c r="X322" s="88"/>
      <c r="Y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Q323" s="88"/>
      <c r="R323" s="88"/>
      <c r="S323" s="88"/>
      <c r="T323" s="88"/>
      <c r="U323" s="88"/>
      <c r="V323" s="88"/>
      <c r="W323" s="88"/>
      <c r="X323" s="88"/>
      <c r="Y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Q324" s="88"/>
      <c r="R324" s="88"/>
      <c r="S324" s="88"/>
      <c r="T324" s="88"/>
      <c r="U324" s="88"/>
      <c r="V324" s="88"/>
      <c r="W324" s="88"/>
      <c r="X324" s="88"/>
      <c r="Y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Q325" s="88"/>
      <c r="R325" s="88"/>
      <c r="S325" s="88"/>
      <c r="T325" s="88"/>
      <c r="U325" s="88"/>
      <c r="V325" s="88"/>
      <c r="W325" s="88"/>
      <c r="X325" s="88"/>
      <c r="Y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Q326" s="88"/>
      <c r="R326" s="88"/>
      <c r="S326" s="88"/>
      <c r="T326" s="88"/>
      <c r="U326" s="88"/>
      <c r="V326" s="88"/>
      <c r="W326" s="88"/>
      <c r="X326" s="88"/>
      <c r="Y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Q327" s="88"/>
      <c r="R327" s="88"/>
      <c r="S327" s="88"/>
      <c r="T327" s="88"/>
      <c r="U327" s="88"/>
      <c r="V327" s="88"/>
      <c r="W327" s="88"/>
      <c r="X327" s="88"/>
      <c r="Y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Q328" s="88"/>
      <c r="R328" s="88"/>
      <c r="S328" s="88"/>
      <c r="T328" s="88"/>
      <c r="U328" s="88"/>
      <c r="V328" s="88"/>
      <c r="W328" s="88"/>
      <c r="X328" s="88"/>
      <c r="Y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Q329" s="88"/>
      <c r="R329" s="88"/>
      <c r="S329" s="88"/>
      <c r="T329" s="88"/>
      <c r="U329" s="88"/>
      <c r="V329" s="88"/>
      <c r="W329" s="88"/>
      <c r="X329" s="88"/>
      <c r="Y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Q330" s="88"/>
      <c r="R330" s="88"/>
      <c r="S330" s="88"/>
      <c r="T330" s="88"/>
      <c r="U330" s="88"/>
      <c r="V330" s="88"/>
      <c r="W330" s="88"/>
      <c r="X330" s="88"/>
      <c r="Y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Q331" s="88"/>
      <c r="R331" s="88"/>
      <c r="S331" s="88"/>
      <c r="T331" s="88"/>
      <c r="U331" s="88"/>
      <c r="V331" s="88"/>
      <c r="W331" s="88"/>
      <c r="X331" s="88"/>
      <c r="Y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Q332" s="88"/>
      <c r="R332" s="88"/>
      <c r="S332" s="88"/>
      <c r="T332" s="88"/>
      <c r="U332" s="88"/>
      <c r="V332" s="88"/>
      <c r="W332" s="88"/>
      <c r="X332" s="88"/>
      <c r="Y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Q333" s="88"/>
      <c r="R333" s="88"/>
      <c r="S333" s="88"/>
      <c r="T333" s="88"/>
      <c r="U333" s="88"/>
      <c r="V333" s="88"/>
      <c r="W333" s="88"/>
      <c r="X333" s="88"/>
      <c r="Y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Q334" s="88"/>
      <c r="R334" s="88"/>
      <c r="S334" s="88"/>
      <c r="T334" s="88"/>
      <c r="U334" s="88"/>
      <c r="V334" s="88"/>
      <c r="W334" s="88"/>
      <c r="X334" s="88"/>
      <c r="Y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Q335" s="88"/>
      <c r="R335" s="88"/>
      <c r="S335" s="88"/>
      <c r="T335" s="88"/>
      <c r="U335" s="88"/>
      <c r="V335" s="88"/>
      <c r="W335" s="88"/>
      <c r="X335" s="88"/>
      <c r="Y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Q336" s="88"/>
      <c r="R336" s="88"/>
      <c r="S336" s="88"/>
      <c r="T336" s="88"/>
      <c r="U336" s="88"/>
      <c r="V336" s="88"/>
      <c r="W336" s="88"/>
      <c r="X336" s="88"/>
      <c r="Y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Q337" s="88"/>
      <c r="R337" s="88"/>
      <c r="S337" s="88"/>
      <c r="T337" s="88"/>
      <c r="U337" s="88"/>
      <c r="V337" s="88"/>
      <c r="W337" s="88"/>
      <c r="X337" s="88"/>
      <c r="Y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Q338" s="88"/>
      <c r="R338" s="88"/>
      <c r="S338" s="88"/>
      <c r="T338" s="88"/>
      <c r="U338" s="88"/>
      <c r="V338" s="88"/>
      <c r="W338" s="88"/>
      <c r="X338" s="88"/>
      <c r="Y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Q339" s="88"/>
      <c r="R339" s="88"/>
      <c r="S339" s="88"/>
      <c r="T339" s="88"/>
      <c r="U339" s="88"/>
      <c r="V339" s="88"/>
      <c r="W339" s="88"/>
      <c r="X339" s="88"/>
      <c r="Y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Q340" s="88"/>
      <c r="R340" s="88"/>
      <c r="S340" s="88"/>
      <c r="T340" s="88"/>
      <c r="U340" s="88"/>
      <c r="V340" s="88"/>
      <c r="W340" s="88"/>
      <c r="X340" s="88"/>
      <c r="Y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Q341" s="88"/>
      <c r="R341" s="88"/>
      <c r="S341" s="88"/>
      <c r="T341" s="88"/>
      <c r="U341" s="88"/>
      <c r="V341" s="88"/>
      <c r="W341" s="88"/>
      <c r="X341" s="88"/>
      <c r="Y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Q342" s="88"/>
      <c r="R342" s="88"/>
      <c r="S342" s="88"/>
      <c r="T342" s="88"/>
      <c r="U342" s="88"/>
      <c r="V342" s="88"/>
      <c r="W342" s="88"/>
      <c r="X342" s="88"/>
      <c r="Y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Q343" s="88"/>
      <c r="R343" s="88"/>
      <c r="S343" s="88"/>
      <c r="T343" s="88"/>
      <c r="U343" s="88"/>
      <c r="V343" s="88"/>
      <c r="W343" s="88"/>
      <c r="X343" s="88"/>
      <c r="Y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Q344" s="88"/>
      <c r="R344" s="88"/>
      <c r="S344" s="88"/>
      <c r="T344" s="88"/>
      <c r="U344" s="88"/>
      <c r="V344" s="88"/>
      <c r="W344" s="88"/>
      <c r="X344" s="88"/>
      <c r="Y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Q345" s="88"/>
      <c r="R345" s="88"/>
      <c r="S345" s="88"/>
      <c r="T345" s="88"/>
      <c r="U345" s="88"/>
      <c r="V345" s="88"/>
      <c r="W345" s="88"/>
      <c r="X345" s="88"/>
      <c r="Y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Q346" s="88"/>
      <c r="R346" s="88"/>
      <c r="S346" s="88"/>
      <c r="T346" s="88"/>
      <c r="U346" s="88"/>
      <c r="V346" s="88"/>
      <c r="W346" s="88"/>
      <c r="X346" s="88"/>
      <c r="Y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Q347" s="88"/>
      <c r="R347" s="88"/>
      <c r="S347" s="88"/>
      <c r="T347" s="88"/>
      <c r="U347" s="88"/>
      <c r="V347" s="88"/>
      <c r="W347" s="88"/>
      <c r="X347" s="88"/>
      <c r="Y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Q348" s="88"/>
      <c r="R348" s="88"/>
      <c r="S348" s="88"/>
      <c r="T348" s="88"/>
      <c r="U348" s="88"/>
      <c r="V348" s="88"/>
      <c r="W348" s="88"/>
      <c r="X348" s="88"/>
      <c r="Y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Q349" s="88"/>
      <c r="R349" s="88"/>
      <c r="S349" s="88"/>
      <c r="T349" s="88"/>
      <c r="U349" s="88"/>
      <c r="V349" s="88"/>
      <c r="W349" s="88"/>
      <c r="X349" s="88"/>
      <c r="Y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Q350" s="88"/>
      <c r="R350" s="88"/>
      <c r="S350" s="88"/>
      <c r="T350" s="88"/>
      <c r="U350" s="88"/>
      <c r="V350" s="88"/>
      <c r="W350" s="88"/>
      <c r="X350" s="88"/>
      <c r="Y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Q351" s="88"/>
      <c r="R351" s="88"/>
      <c r="S351" s="88"/>
      <c r="T351" s="88"/>
      <c r="U351" s="88"/>
      <c r="V351" s="88"/>
      <c r="W351" s="88"/>
      <c r="X351" s="88"/>
      <c r="Y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Q352" s="88"/>
      <c r="R352" s="88"/>
      <c r="S352" s="88"/>
      <c r="T352" s="88"/>
      <c r="U352" s="88"/>
      <c r="V352" s="88"/>
      <c r="W352" s="88"/>
      <c r="X352" s="88"/>
      <c r="Y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Q353" s="88"/>
      <c r="R353" s="88"/>
      <c r="S353" s="88"/>
      <c r="T353" s="88"/>
      <c r="U353" s="88"/>
      <c r="V353" s="88"/>
      <c r="W353" s="88"/>
      <c r="X353" s="88"/>
      <c r="Y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Q354" s="88"/>
      <c r="R354" s="88"/>
      <c r="S354" s="88"/>
      <c r="T354" s="88"/>
      <c r="U354" s="88"/>
      <c r="V354" s="88"/>
      <c r="W354" s="88"/>
      <c r="X354" s="88"/>
      <c r="Y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Q355" s="88"/>
      <c r="R355" s="88"/>
      <c r="S355" s="88"/>
      <c r="T355" s="88"/>
      <c r="U355" s="88"/>
      <c r="V355" s="88"/>
      <c r="W355" s="88"/>
      <c r="X355" s="88"/>
      <c r="Y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Q356" s="88"/>
      <c r="R356" s="88"/>
      <c r="S356" s="88"/>
      <c r="T356" s="88"/>
      <c r="U356" s="88"/>
      <c r="V356" s="88"/>
      <c r="W356" s="88"/>
      <c r="X356" s="88"/>
      <c r="Y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Q357" s="88"/>
      <c r="R357" s="88"/>
      <c r="S357" s="88"/>
      <c r="T357" s="88"/>
      <c r="U357" s="88"/>
      <c r="V357" s="88"/>
      <c r="W357" s="88"/>
      <c r="X357" s="88"/>
      <c r="Y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Q358" s="88"/>
      <c r="R358" s="88"/>
      <c r="S358" s="88"/>
      <c r="T358" s="88"/>
      <c r="U358" s="88"/>
      <c r="V358" s="88"/>
      <c r="W358" s="88"/>
      <c r="X358" s="88"/>
      <c r="Y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Q359" s="88"/>
      <c r="R359" s="88"/>
      <c r="S359" s="88"/>
      <c r="T359" s="88"/>
      <c r="U359" s="88"/>
      <c r="V359" s="88"/>
      <c r="W359" s="88"/>
      <c r="X359" s="88"/>
      <c r="Y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Q360" s="88"/>
      <c r="R360" s="88"/>
      <c r="S360" s="88"/>
      <c r="T360" s="88"/>
      <c r="U360" s="88"/>
      <c r="V360" s="88"/>
      <c r="W360" s="88"/>
      <c r="X360" s="88"/>
      <c r="Y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Q361" s="88"/>
      <c r="R361" s="88"/>
      <c r="S361" s="88"/>
      <c r="T361" s="88"/>
      <c r="U361" s="88"/>
      <c r="V361" s="88"/>
      <c r="W361" s="88"/>
      <c r="X361" s="88"/>
      <c r="Y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Q362" s="88"/>
      <c r="R362" s="88"/>
      <c r="S362" s="88"/>
      <c r="T362" s="88"/>
      <c r="U362" s="88"/>
      <c r="V362" s="88"/>
      <c r="W362" s="88"/>
      <c r="X362" s="88"/>
      <c r="Y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Q363" s="88"/>
      <c r="R363" s="88"/>
      <c r="S363" s="88"/>
      <c r="T363" s="88"/>
      <c r="U363" s="88"/>
      <c r="V363" s="88"/>
      <c r="W363" s="88"/>
      <c r="X363" s="88"/>
      <c r="Y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Q364" s="88"/>
      <c r="R364" s="88"/>
      <c r="S364" s="88"/>
      <c r="T364" s="88"/>
      <c r="U364" s="88"/>
      <c r="V364" s="88"/>
      <c r="W364" s="88"/>
      <c r="X364" s="88"/>
      <c r="Y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Q365" s="88"/>
      <c r="R365" s="88"/>
      <c r="S365" s="88"/>
      <c r="T365" s="88"/>
      <c r="U365" s="88"/>
      <c r="V365" s="88"/>
      <c r="W365" s="88"/>
      <c r="X365" s="88"/>
      <c r="Y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Q366" s="88"/>
      <c r="R366" s="88"/>
      <c r="S366" s="88"/>
      <c r="T366" s="88"/>
      <c r="U366" s="88"/>
      <c r="V366" s="88"/>
      <c r="W366" s="88"/>
      <c r="X366" s="88"/>
      <c r="Y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Q367" s="88"/>
      <c r="R367" s="88"/>
      <c r="S367" s="88"/>
      <c r="T367" s="88"/>
      <c r="U367" s="88"/>
      <c r="V367" s="88"/>
      <c r="W367" s="88"/>
      <c r="X367" s="88"/>
      <c r="Y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Q368" s="88"/>
      <c r="R368" s="88"/>
      <c r="S368" s="88"/>
      <c r="T368" s="88"/>
      <c r="U368" s="88"/>
      <c r="V368" s="88"/>
      <c r="W368" s="88"/>
      <c r="X368" s="88"/>
      <c r="Y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Q369" s="88"/>
      <c r="R369" s="88"/>
      <c r="S369" s="88"/>
      <c r="T369" s="88"/>
      <c r="U369" s="88"/>
      <c r="V369" s="88"/>
      <c r="W369" s="88"/>
      <c r="X369" s="88"/>
      <c r="Y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Q370" s="88"/>
      <c r="R370" s="88"/>
      <c r="S370" s="88"/>
      <c r="T370" s="88"/>
      <c r="U370" s="88"/>
      <c r="V370" s="88"/>
      <c r="W370" s="88"/>
      <c r="X370" s="88"/>
      <c r="Y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Q371" s="88"/>
      <c r="R371" s="88"/>
      <c r="S371" s="88"/>
      <c r="T371" s="88"/>
      <c r="U371" s="88"/>
      <c r="V371" s="88"/>
      <c r="W371" s="88"/>
      <c r="X371" s="88"/>
      <c r="Y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Q372" s="88"/>
      <c r="R372" s="88"/>
      <c r="S372" s="88"/>
      <c r="T372" s="88"/>
      <c r="U372" s="88"/>
      <c r="V372" s="88"/>
      <c r="W372" s="88"/>
      <c r="X372" s="88"/>
      <c r="Y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Q373" s="88"/>
      <c r="R373" s="88"/>
      <c r="S373" s="88"/>
      <c r="T373" s="88"/>
      <c r="U373" s="88"/>
      <c r="V373" s="88"/>
      <c r="W373" s="88"/>
      <c r="X373" s="88"/>
      <c r="Y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Q374" s="88"/>
      <c r="R374" s="88"/>
      <c r="S374" s="88"/>
      <c r="T374" s="88"/>
      <c r="U374" s="88"/>
      <c r="V374" s="88"/>
      <c r="W374" s="88"/>
      <c r="X374" s="88"/>
      <c r="Y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Q375" s="88"/>
      <c r="R375" s="88"/>
      <c r="S375" s="88"/>
      <c r="T375" s="88"/>
      <c r="U375" s="88"/>
      <c r="V375" s="88"/>
      <c r="W375" s="88"/>
      <c r="X375" s="88"/>
      <c r="Y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Q376" s="88"/>
      <c r="R376" s="88"/>
      <c r="S376" s="88"/>
      <c r="T376" s="88"/>
      <c r="U376" s="88"/>
      <c r="V376" s="88"/>
      <c r="W376" s="88"/>
      <c r="X376" s="88"/>
      <c r="Y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Q377" s="88"/>
      <c r="R377" s="88"/>
      <c r="S377" s="88"/>
      <c r="T377" s="88"/>
      <c r="U377" s="88"/>
      <c r="V377" s="88"/>
      <c r="W377" s="88"/>
      <c r="X377" s="88"/>
      <c r="Y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Q378" s="88"/>
      <c r="R378" s="88"/>
      <c r="S378" s="88"/>
      <c r="T378" s="88"/>
      <c r="U378" s="88"/>
      <c r="V378" s="88"/>
      <c r="W378" s="88"/>
      <c r="X378" s="88"/>
      <c r="Y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Q379" s="88"/>
      <c r="R379" s="88"/>
      <c r="S379" s="88"/>
      <c r="T379" s="88"/>
      <c r="U379" s="88"/>
      <c r="V379" s="88"/>
      <c r="W379" s="88"/>
      <c r="X379" s="88"/>
      <c r="Y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Q380" s="88"/>
      <c r="R380" s="88"/>
      <c r="S380" s="88"/>
      <c r="T380" s="88"/>
      <c r="U380" s="88"/>
      <c r="V380" s="88"/>
      <c r="W380" s="88"/>
      <c r="X380" s="88"/>
      <c r="Y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Q381" s="88"/>
      <c r="R381" s="88"/>
      <c r="S381" s="88"/>
      <c r="T381" s="88"/>
      <c r="U381" s="88"/>
      <c r="V381" s="88"/>
      <c r="W381" s="88"/>
      <c r="X381" s="88"/>
      <c r="Y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Q382" s="88"/>
      <c r="R382" s="88"/>
      <c r="S382" s="88"/>
      <c r="T382" s="88"/>
      <c r="U382" s="88"/>
      <c r="V382" s="88"/>
      <c r="W382" s="88"/>
      <c r="X382" s="88"/>
      <c r="Y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Q383" s="88"/>
      <c r="R383" s="88"/>
      <c r="S383" s="88"/>
      <c r="T383" s="88"/>
      <c r="U383" s="88"/>
      <c r="V383" s="88"/>
      <c r="W383" s="88"/>
      <c r="X383" s="88"/>
      <c r="Y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Q384" s="88"/>
      <c r="R384" s="88"/>
      <c r="S384" s="88"/>
      <c r="T384" s="88"/>
      <c r="U384" s="88"/>
      <c r="V384" s="88"/>
      <c r="W384" s="88"/>
      <c r="X384" s="88"/>
      <c r="Y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Q385" s="88"/>
      <c r="R385" s="88"/>
      <c r="S385" s="88"/>
      <c r="T385" s="88"/>
      <c r="U385" s="88"/>
      <c r="V385" s="88"/>
      <c r="W385" s="88"/>
      <c r="X385" s="88"/>
      <c r="Y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Q386" s="88"/>
      <c r="R386" s="88"/>
      <c r="S386" s="88"/>
      <c r="T386" s="88"/>
      <c r="U386" s="88"/>
      <c r="V386" s="88"/>
      <c r="W386" s="88"/>
      <c r="X386" s="88"/>
      <c r="Y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Q387" s="88"/>
      <c r="R387" s="88"/>
      <c r="S387" s="88"/>
      <c r="T387" s="88"/>
      <c r="U387" s="88"/>
      <c r="V387" s="88"/>
      <c r="W387" s="88"/>
      <c r="X387" s="88"/>
      <c r="Y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Q388" s="88"/>
      <c r="R388" s="88"/>
      <c r="S388" s="88"/>
      <c r="T388" s="88"/>
      <c r="U388" s="88"/>
      <c r="V388" s="88"/>
      <c r="W388" s="88"/>
      <c r="X388" s="88"/>
      <c r="Y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Q389" s="88"/>
      <c r="R389" s="88"/>
      <c r="S389" s="88"/>
      <c r="T389" s="88"/>
      <c r="U389" s="88"/>
      <c r="V389" s="88"/>
      <c r="W389" s="88"/>
      <c r="X389" s="88"/>
      <c r="Y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Q390" s="88"/>
      <c r="R390" s="88"/>
      <c r="S390" s="88"/>
      <c r="T390" s="88"/>
      <c r="U390" s="88"/>
      <c r="V390" s="88"/>
      <c r="W390" s="88"/>
      <c r="X390" s="88"/>
      <c r="Y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Q391" s="88"/>
      <c r="R391" s="88"/>
      <c r="S391" s="88"/>
      <c r="T391" s="88"/>
      <c r="U391" s="88"/>
      <c r="V391" s="88"/>
      <c r="W391" s="88"/>
      <c r="X391" s="88"/>
      <c r="Y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Q392" s="88"/>
      <c r="R392" s="88"/>
      <c r="S392" s="88"/>
      <c r="T392" s="88"/>
      <c r="U392" s="88"/>
      <c r="V392" s="88"/>
      <c r="W392" s="88"/>
      <c r="X392" s="88"/>
      <c r="Y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Q393" s="88"/>
      <c r="R393" s="88"/>
      <c r="S393" s="88"/>
      <c r="T393" s="88"/>
      <c r="U393" s="88"/>
      <c r="V393" s="88"/>
      <c r="W393" s="88"/>
      <c r="X393" s="88"/>
      <c r="Y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Q394" s="88"/>
      <c r="R394" s="88"/>
      <c r="S394" s="88"/>
      <c r="T394" s="88"/>
      <c r="U394" s="88"/>
      <c r="V394" s="88"/>
      <c r="W394" s="88"/>
      <c r="X394" s="88"/>
      <c r="Y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Q395" s="88"/>
      <c r="R395" s="88"/>
      <c r="S395" s="88"/>
      <c r="T395" s="88"/>
      <c r="U395" s="88"/>
      <c r="V395" s="88"/>
      <c r="W395" s="88"/>
      <c r="X395" s="88"/>
      <c r="Y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Q396" s="88"/>
      <c r="R396" s="88"/>
      <c r="S396" s="88"/>
      <c r="T396" s="88"/>
      <c r="U396" s="88"/>
      <c r="V396" s="88"/>
      <c r="W396" s="88"/>
      <c r="X396" s="88"/>
      <c r="Y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Q397" s="88"/>
      <c r="R397" s="88"/>
      <c r="S397" s="88"/>
      <c r="T397" s="88"/>
      <c r="U397" s="88"/>
      <c r="V397" s="88"/>
      <c r="W397" s="88"/>
      <c r="X397" s="88"/>
      <c r="Y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Q398" s="88"/>
      <c r="R398" s="88"/>
      <c r="S398" s="88"/>
      <c r="T398" s="88"/>
      <c r="U398" s="88"/>
      <c r="V398" s="88"/>
      <c r="W398" s="88"/>
      <c r="X398" s="88"/>
      <c r="Y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Q399" s="88"/>
      <c r="R399" s="88"/>
      <c r="S399" s="88"/>
      <c r="T399" s="88"/>
      <c r="U399" s="88"/>
      <c r="V399" s="88"/>
      <c r="W399" s="88"/>
      <c r="X399" s="88"/>
      <c r="Y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Q400" s="88"/>
      <c r="R400" s="88"/>
      <c r="S400" s="88"/>
      <c r="T400" s="88"/>
      <c r="U400" s="88"/>
      <c r="V400" s="88"/>
      <c r="W400" s="88"/>
      <c r="X400" s="88"/>
      <c r="Y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Q401" s="88"/>
      <c r="R401" s="88"/>
      <c r="S401" s="88"/>
      <c r="T401" s="88"/>
      <c r="U401" s="88"/>
      <c r="V401" s="88"/>
      <c r="W401" s="88"/>
      <c r="X401" s="88"/>
      <c r="Y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Q402" s="88"/>
      <c r="R402" s="88"/>
      <c r="S402" s="88"/>
      <c r="T402" s="88"/>
      <c r="U402" s="88"/>
      <c r="V402" s="88"/>
      <c r="W402" s="88"/>
      <c r="X402" s="88"/>
      <c r="Y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Q403" s="88"/>
      <c r="R403" s="88"/>
      <c r="S403" s="88"/>
      <c r="T403" s="88"/>
      <c r="U403" s="88"/>
      <c r="V403" s="88"/>
      <c r="W403" s="88"/>
      <c r="X403" s="88"/>
      <c r="Y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Q404" s="88"/>
      <c r="R404" s="88"/>
      <c r="S404" s="88"/>
      <c r="T404" s="88"/>
      <c r="U404" s="88"/>
      <c r="V404" s="88"/>
      <c r="W404" s="88"/>
      <c r="X404" s="88"/>
      <c r="Y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Q405" s="88"/>
      <c r="R405" s="88"/>
      <c r="S405" s="88"/>
      <c r="T405" s="88"/>
      <c r="U405" s="88"/>
      <c r="V405" s="88"/>
      <c r="W405" s="88"/>
      <c r="X405" s="88"/>
      <c r="Y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Q406" s="88"/>
      <c r="R406" s="88"/>
      <c r="S406" s="88"/>
      <c r="T406" s="88"/>
      <c r="U406" s="88"/>
      <c r="V406" s="88"/>
      <c r="W406" s="88"/>
      <c r="X406" s="88"/>
      <c r="Y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Q407" s="88"/>
      <c r="R407" s="88"/>
      <c r="S407" s="88"/>
      <c r="T407" s="88"/>
      <c r="U407" s="88"/>
      <c r="V407" s="88"/>
      <c r="W407" s="88"/>
      <c r="X407" s="88"/>
      <c r="Y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Q408" s="88"/>
      <c r="R408" s="88"/>
      <c r="S408" s="88"/>
      <c r="T408" s="88"/>
      <c r="U408" s="88"/>
      <c r="V408" s="88"/>
      <c r="W408" s="88"/>
      <c r="X408" s="88"/>
      <c r="Y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Q409" s="88"/>
      <c r="R409" s="88"/>
      <c r="S409" s="88"/>
      <c r="T409" s="88"/>
      <c r="U409" s="88"/>
      <c r="V409" s="88"/>
      <c r="W409" s="88"/>
      <c r="X409" s="88"/>
      <c r="Y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Q410" s="88"/>
      <c r="R410" s="88"/>
      <c r="S410" s="88"/>
      <c r="T410" s="88"/>
      <c r="U410" s="88"/>
      <c r="V410" s="88"/>
      <c r="W410" s="88"/>
      <c r="X410" s="88"/>
      <c r="Y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Q411" s="88"/>
      <c r="R411" s="88"/>
      <c r="S411" s="88"/>
      <c r="T411" s="88"/>
      <c r="U411" s="88"/>
      <c r="V411" s="88"/>
      <c r="W411" s="88"/>
      <c r="X411" s="88"/>
      <c r="Y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Q412" s="88"/>
      <c r="R412" s="88"/>
      <c r="S412" s="88"/>
      <c r="T412" s="88"/>
      <c r="U412" s="88"/>
      <c r="V412" s="88"/>
      <c r="W412" s="88"/>
      <c r="X412" s="88"/>
      <c r="Y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Q413" s="88"/>
      <c r="R413" s="88"/>
      <c r="S413" s="88"/>
      <c r="T413" s="88"/>
      <c r="U413" s="88"/>
      <c r="V413" s="88"/>
      <c r="W413" s="88"/>
      <c r="X413" s="88"/>
      <c r="Y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Q414" s="88"/>
      <c r="R414" s="88"/>
      <c r="S414" s="88"/>
      <c r="T414" s="88"/>
      <c r="U414" s="88"/>
      <c r="V414" s="88"/>
      <c r="W414" s="88"/>
      <c r="X414" s="88"/>
      <c r="Y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Q415" s="88"/>
      <c r="R415" s="88"/>
      <c r="S415" s="88"/>
      <c r="T415" s="88"/>
      <c r="U415" s="88"/>
      <c r="V415" s="88"/>
      <c r="W415" s="88"/>
      <c r="X415" s="88"/>
      <c r="Y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Q416" s="88"/>
      <c r="R416" s="88"/>
      <c r="S416" s="88"/>
      <c r="T416" s="88"/>
      <c r="U416" s="88"/>
      <c r="V416" s="88"/>
      <c r="W416" s="88"/>
      <c r="X416" s="88"/>
      <c r="Y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Q417" s="88"/>
      <c r="R417" s="88"/>
      <c r="S417" s="88"/>
      <c r="T417" s="88"/>
      <c r="U417" s="88"/>
      <c r="V417" s="88"/>
      <c r="W417" s="88"/>
      <c r="X417" s="88"/>
      <c r="Y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Q418" s="88"/>
      <c r="R418" s="88"/>
      <c r="S418" s="88"/>
      <c r="T418" s="88"/>
      <c r="U418" s="88"/>
      <c r="V418" s="88"/>
      <c r="W418" s="88"/>
      <c r="X418" s="88"/>
      <c r="Y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Q419" s="88"/>
      <c r="R419" s="88"/>
      <c r="S419" s="88"/>
      <c r="T419" s="88"/>
      <c r="U419" s="88"/>
      <c r="V419" s="88"/>
      <c r="W419" s="88"/>
      <c r="X419" s="88"/>
      <c r="Y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Q420" s="88"/>
      <c r="R420" s="88"/>
      <c r="S420" s="88"/>
      <c r="T420" s="88"/>
      <c r="U420" s="88"/>
      <c r="V420" s="88"/>
      <c r="W420" s="88"/>
      <c r="X420" s="88"/>
      <c r="Y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Q421" s="88"/>
      <c r="R421" s="88"/>
      <c r="S421" s="88"/>
      <c r="T421" s="88"/>
      <c r="U421" s="88"/>
      <c r="V421" s="88"/>
      <c r="W421" s="88"/>
      <c r="X421" s="88"/>
      <c r="Y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Q422" s="88"/>
      <c r="R422" s="88"/>
      <c r="S422" s="88"/>
      <c r="T422" s="88"/>
      <c r="U422" s="88"/>
      <c r="V422" s="88"/>
      <c r="W422" s="88"/>
      <c r="X422" s="88"/>
      <c r="Y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Q423" s="88"/>
      <c r="R423" s="88"/>
      <c r="S423" s="88"/>
      <c r="T423" s="88"/>
      <c r="U423" s="88"/>
      <c r="V423" s="88"/>
      <c r="W423" s="88"/>
      <c r="X423" s="88"/>
      <c r="Y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Q424" s="88"/>
      <c r="R424" s="88"/>
      <c r="S424" s="88"/>
      <c r="T424" s="88"/>
      <c r="U424" s="88"/>
      <c r="V424" s="88"/>
      <c r="W424" s="88"/>
      <c r="X424" s="88"/>
      <c r="Y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Q425" s="88"/>
      <c r="R425" s="88"/>
      <c r="S425" s="88"/>
      <c r="T425" s="88"/>
      <c r="U425" s="88"/>
      <c r="V425" s="88"/>
      <c r="W425" s="88"/>
      <c r="X425" s="88"/>
      <c r="Y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Q426" s="88"/>
      <c r="R426" s="88"/>
      <c r="S426" s="88"/>
      <c r="T426" s="88"/>
      <c r="U426" s="88"/>
      <c r="V426" s="88"/>
      <c r="W426" s="88"/>
      <c r="X426" s="88"/>
      <c r="Y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Q427" s="88"/>
      <c r="R427" s="88"/>
      <c r="S427" s="88"/>
      <c r="T427" s="88"/>
      <c r="U427" s="88"/>
      <c r="V427" s="88"/>
      <c r="W427" s="88"/>
      <c r="X427" s="88"/>
      <c r="Y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Q428" s="88"/>
      <c r="R428" s="88"/>
      <c r="S428" s="88"/>
      <c r="T428" s="88"/>
      <c r="U428" s="88"/>
      <c r="V428" s="88"/>
      <c r="W428" s="88"/>
      <c r="X428" s="88"/>
      <c r="Y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Q429" s="88"/>
      <c r="R429" s="88"/>
      <c r="S429" s="88"/>
      <c r="T429" s="88"/>
      <c r="U429" s="88"/>
      <c r="V429" s="88"/>
      <c r="W429" s="88"/>
      <c r="X429" s="88"/>
      <c r="Y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Q430" s="88"/>
      <c r="R430" s="88"/>
      <c r="S430" s="88"/>
      <c r="T430" s="88"/>
      <c r="U430" s="88"/>
      <c r="V430" s="88"/>
      <c r="W430" s="88"/>
      <c r="X430" s="88"/>
      <c r="Y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Q431" s="88"/>
      <c r="R431" s="88"/>
      <c r="S431" s="88"/>
      <c r="T431" s="88"/>
      <c r="U431" s="88"/>
      <c r="V431" s="88"/>
      <c r="W431" s="88"/>
      <c r="X431" s="88"/>
      <c r="Y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Q432" s="88"/>
      <c r="R432" s="88"/>
      <c r="S432" s="88"/>
      <c r="T432" s="88"/>
      <c r="U432" s="88"/>
      <c r="V432" s="88"/>
      <c r="W432" s="88"/>
      <c r="X432" s="88"/>
      <c r="Y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Q433" s="88"/>
      <c r="R433" s="88"/>
      <c r="S433" s="88"/>
      <c r="T433" s="88"/>
      <c r="U433" s="88"/>
      <c r="V433" s="88"/>
      <c r="W433" s="88"/>
      <c r="X433" s="88"/>
      <c r="Y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Q434" s="88"/>
      <c r="R434" s="88"/>
      <c r="S434" s="88"/>
      <c r="T434" s="88"/>
      <c r="U434" s="88"/>
      <c r="V434" s="88"/>
      <c r="W434" s="88"/>
      <c r="X434" s="88"/>
      <c r="Y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Q435" s="88"/>
      <c r="R435" s="88"/>
      <c r="S435" s="88"/>
      <c r="T435" s="88"/>
      <c r="U435" s="88"/>
      <c r="V435" s="88"/>
      <c r="W435" s="88"/>
      <c r="X435" s="88"/>
      <c r="Y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Q436" s="88"/>
      <c r="R436" s="88"/>
      <c r="S436" s="88"/>
      <c r="T436" s="88"/>
      <c r="U436" s="88"/>
      <c r="V436" s="88"/>
      <c r="W436" s="88"/>
      <c r="X436" s="88"/>
      <c r="Y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Q437" s="88"/>
      <c r="R437" s="88"/>
      <c r="S437" s="88"/>
      <c r="T437" s="88"/>
      <c r="U437" s="88"/>
      <c r="V437" s="88"/>
      <c r="W437" s="88"/>
      <c r="X437" s="88"/>
      <c r="Y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Q454" s="88"/>
      <c r="R454" s="88"/>
      <c r="S454" s="88"/>
      <c r="T454" s="88"/>
      <c r="U454" s="88"/>
      <c r="V454" s="88"/>
      <c r="W454" s="88"/>
      <c r="X454" s="88"/>
      <c r="Y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Q455" s="88"/>
      <c r="R455" s="88"/>
      <c r="S455" s="88"/>
      <c r="T455" s="88"/>
      <c r="U455" s="88"/>
      <c r="V455" s="88"/>
      <c r="W455" s="88"/>
      <c r="X455" s="88"/>
      <c r="Y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Q456" s="88"/>
      <c r="R456" s="88"/>
      <c r="S456" s="88"/>
      <c r="T456" s="88"/>
      <c r="U456" s="88"/>
      <c r="V456" s="88"/>
      <c r="W456" s="88"/>
      <c r="X456" s="88"/>
      <c r="Y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Q457" s="88"/>
      <c r="R457" s="88"/>
      <c r="S457" s="88"/>
      <c r="T457" s="88"/>
      <c r="U457" s="88"/>
      <c r="V457" s="88"/>
      <c r="W457" s="88"/>
      <c r="X457" s="88"/>
      <c r="Y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Q458" s="88"/>
      <c r="R458" s="88"/>
      <c r="S458" s="88"/>
      <c r="T458" s="88"/>
      <c r="U458" s="88"/>
      <c r="V458" s="88"/>
      <c r="W458" s="88"/>
      <c r="X458" s="88"/>
      <c r="Y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Q459" s="88"/>
      <c r="R459" s="88"/>
      <c r="S459" s="88"/>
      <c r="T459" s="88"/>
      <c r="U459" s="88"/>
      <c r="V459" s="88"/>
      <c r="W459" s="88"/>
      <c r="X459" s="88"/>
      <c r="Y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Q460" s="88"/>
      <c r="R460" s="88"/>
      <c r="S460" s="88"/>
      <c r="T460" s="88"/>
      <c r="U460" s="88"/>
      <c r="V460" s="88"/>
      <c r="W460" s="88"/>
      <c r="X460" s="88"/>
      <c r="Y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Q461" s="88"/>
      <c r="R461" s="88"/>
      <c r="S461" s="88"/>
      <c r="T461" s="88"/>
      <c r="U461" s="88"/>
      <c r="V461" s="88"/>
      <c r="W461" s="88"/>
      <c r="X461" s="88"/>
      <c r="Y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Q462" s="88"/>
      <c r="R462" s="88"/>
      <c r="S462" s="88"/>
      <c r="T462" s="88"/>
      <c r="U462" s="88"/>
      <c r="V462" s="88"/>
      <c r="W462" s="88"/>
      <c r="X462" s="88"/>
      <c r="Y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Q463" s="88"/>
      <c r="R463" s="88"/>
      <c r="S463" s="88"/>
      <c r="T463" s="88"/>
      <c r="U463" s="88"/>
      <c r="V463" s="88"/>
      <c r="W463" s="88"/>
      <c r="X463" s="88"/>
      <c r="Y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Q464" s="88"/>
      <c r="R464" s="88"/>
      <c r="S464" s="88"/>
      <c r="T464" s="88"/>
      <c r="U464" s="88"/>
      <c r="V464" s="88"/>
      <c r="W464" s="88"/>
      <c r="X464" s="88"/>
      <c r="Y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Q465" s="88"/>
      <c r="R465" s="88"/>
      <c r="S465" s="88"/>
      <c r="T465" s="88"/>
      <c r="U465" s="88"/>
      <c r="V465" s="88"/>
      <c r="W465" s="88"/>
      <c r="X465" s="88"/>
      <c r="Y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Q466" s="88"/>
      <c r="R466" s="88"/>
      <c r="S466" s="88"/>
      <c r="T466" s="88"/>
      <c r="U466" s="88"/>
      <c r="V466" s="88"/>
      <c r="W466" s="88"/>
      <c r="X466" s="88"/>
      <c r="Y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Q467" s="88"/>
      <c r="R467" s="88"/>
      <c r="S467" s="88"/>
      <c r="T467" s="88"/>
      <c r="U467" s="88"/>
      <c r="V467" s="88"/>
      <c r="W467" s="88"/>
      <c r="X467" s="88"/>
      <c r="Y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Q468" s="88"/>
      <c r="R468" s="88"/>
      <c r="S468" s="88"/>
      <c r="T468" s="88"/>
      <c r="U468" s="88"/>
      <c r="V468" s="88"/>
      <c r="W468" s="88"/>
      <c r="X468" s="88"/>
      <c r="Y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Q469" s="88"/>
      <c r="R469" s="88"/>
      <c r="S469" s="88"/>
      <c r="T469" s="88"/>
      <c r="U469" s="88"/>
      <c r="V469" s="88"/>
      <c r="W469" s="88"/>
      <c r="X469" s="88"/>
      <c r="Y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Q470" s="88"/>
      <c r="R470" s="88"/>
      <c r="S470" s="88"/>
      <c r="T470" s="88"/>
      <c r="U470" s="88"/>
      <c r="V470" s="88"/>
      <c r="W470" s="88"/>
      <c r="X470" s="88"/>
      <c r="Y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Q471" s="88"/>
      <c r="R471" s="88"/>
      <c r="S471" s="88"/>
      <c r="T471" s="88"/>
      <c r="U471" s="88"/>
      <c r="V471" s="88"/>
      <c r="W471" s="88"/>
      <c r="X471" s="88"/>
      <c r="Y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Q472" s="88"/>
      <c r="R472" s="88"/>
      <c r="S472" s="88"/>
      <c r="T472" s="88"/>
      <c r="U472" s="88"/>
      <c r="V472" s="88"/>
      <c r="W472" s="88"/>
      <c r="X472" s="88"/>
      <c r="Y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Q473" s="88"/>
      <c r="R473" s="88"/>
      <c r="S473" s="88"/>
      <c r="T473" s="88"/>
      <c r="U473" s="88"/>
      <c r="V473" s="88"/>
      <c r="W473" s="88"/>
      <c r="X473" s="88"/>
      <c r="Y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Q474" s="88"/>
      <c r="R474" s="88"/>
      <c r="S474" s="88"/>
      <c r="T474" s="88"/>
      <c r="U474" s="88"/>
      <c r="V474" s="88"/>
      <c r="W474" s="88"/>
      <c r="X474" s="88"/>
      <c r="Y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Q475" s="88"/>
      <c r="R475" s="88"/>
      <c r="S475" s="88"/>
      <c r="T475" s="88"/>
      <c r="U475" s="88"/>
      <c r="V475" s="88"/>
      <c r="W475" s="88"/>
      <c r="X475" s="88"/>
      <c r="Y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Q476" s="88"/>
      <c r="R476" s="88"/>
      <c r="S476" s="88"/>
      <c r="T476" s="88"/>
      <c r="U476" s="88"/>
      <c r="V476" s="88"/>
      <c r="W476" s="88"/>
      <c r="X476" s="88"/>
      <c r="Y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Q477" s="88"/>
      <c r="R477" s="88"/>
      <c r="S477" s="88"/>
      <c r="T477" s="88"/>
      <c r="U477" s="88"/>
      <c r="V477" s="88"/>
      <c r="W477" s="88"/>
      <c r="X477" s="88"/>
      <c r="Y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Q478" s="88"/>
      <c r="R478" s="88"/>
      <c r="S478" s="88"/>
      <c r="T478" s="88"/>
      <c r="U478" s="88"/>
      <c r="V478" s="88"/>
      <c r="W478" s="88"/>
      <c r="X478" s="88"/>
      <c r="Y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Q479" s="88"/>
      <c r="R479" s="88"/>
      <c r="S479" s="88"/>
      <c r="T479" s="88"/>
      <c r="U479" s="88"/>
      <c r="V479" s="88"/>
      <c r="W479" s="88"/>
      <c r="X479" s="88"/>
      <c r="Y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Q480" s="88"/>
      <c r="R480" s="88"/>
      <c r="S480" s="88"/>
      <c r="T480" s="88"/>
      <c r="U480" s="88"/>
      <c r="V480" s="88"/>
      <c r="W480" s="88"/>
      <c r="X480" s="88"/>
      <c r="Y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Q481" s="88"/>
      <c r="R481" s="88"/>
      <c r="S481" s="88"/>
      <c r="T481" s="88"/>
      <c r="U481" s="88"/>
      <c r="V481" s="88"/>
      <c r="W481" s="88"/>
      <c r="X481" s="88"/>
      <c r="Y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Q482" s="88"/>
      <c r="R482" s="88"/>
      <c r="S482" s="88"/>
      <c r="T482" s="88"/>
      <c r="U482" s="88"/>
      <c r="V482" s="88"/>
      <c r="W482" s="88"/>
      <c r="X482" s="88"/>
      <c r="Y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Q483" s="88"/>
      <c r="R483" s="88"/>
      <c r="S483" s="88"/>
      <c r="T483" s="88"/>
      <c r="U483" s="88"/>
      <c r="V483" s="88"/>
      <c r="W483" s="88"/>
      <c r="X483" s="88"/>
      <c r="Y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Q484" s="88"/>
      <c r="R484" s="88"/>
      <c r="S484" s="88"/>
      <c r="T484" s="88"/>
      <c r="U484" s="88"/>
      <c r="V484" s="88"/>
      <c r="W484" s="88"/>
      <c r="X484" s="88"/>
      <c r="Y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Q485" s="88"/>
      <c r="R485" s="88"/>
      <c r="S485" s="88"/>
      <c r="T485" s="88"/>
      <c r="U485" s="88"/>
      <c r="V485" s="88"/>
      <c r="W485" s="88"/>
      <c r="X485" s="88"/>
      <c r="Y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Q486" s="88"/>
      <c r="R486" s="88"/>
      <c r="S486" s="88"/>
      <c r="T486" s="88"/>
      <c r="U486" s="88"/>
      <c r="V486" s="88"/>
      <c r="W486" s="88"/>
      <c r="X486" s="88"/>
      <c r="Y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Q487" s="88"/>
      <c r="R487" s="88"/>
      <c r="S487" s="88"/>
      <c r="T487" s="88"/>
      <c r="U487" s="88"/>
      <c r="V487" s="88"/>
      <c r="W487" s="88"/>
      <c r="X487" s="88"/>
      <c r="Y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Q488" s="88"/>
      <c r="R488" s="88"/>
      <c r="S488" s="88"/>
      <c r="T488" s="88"/>
      <c r="U488" s="88"/>
      <c r="V488" s="88"/>
      <c r="W488" s="88"/>
      <c r="X488" s="88"/>
      <c r="Y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Q489" s="88"/>
      <c r="R489" s="88"/>
      <c r="S489" s="88"/>
      <c r="T489" s="88"/>
      <c r="U489" s="88"/>
      <c r="V489" s="88"/>
      <c r="W489" s="88"/>
      <c r="X489" s="88"/>
      <c r="Y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Q490" s="88"/>
      <c r="R490" s="88"/>
      <c r="S490" s="88"/>
      <c r="T490" s="88"/>
      <c r="U490" s="88"/>
      <c r="V490" s="88"/>
      <c r="W490" s="88"/>
      <c r="X490" s="88"/>
      <c r="Y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Q491" s="88"/>
      <c r="R491" s="88"/>
      <c r="S491" s="88"/>
      <c r="T491" s="88"/>
      <c r="U491" s="88"/>
      <c r="V491" s="88"/>
      <c r="W491" s="88"/>
      <c r="X491" s="88"/>
      <c r="Y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Q492" s="88"/>
      <c r="R492" s="88"/>
      <c r="S492" s="88"/>
      <c r="T492" s="88"/>
      <c r="U492" s="88"/>
      <c r="V492" s="88"/>
      <c r="W492" s="88"/>
      <c r="X492" s="88"/>
      <c r="Y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Q493" s="88"/>
      <c r="R493" s="88"/>
      <c r="S493" s="88"/>
      <c r="T493" s="88"/>
      <c r="U493" s="88"/>
      <c r="V493" s="88"/>
      <c r="W493" s="88"/>
      <c r="X493" s="88"/>
      <c r="Y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Q494" s="88"/>
      <c r="R494" s="88"/>
      <c r="S494" s="88"/>
      <c r="T494" s="88"/>
      <c r="U494" s="88"/>
      <c r="V494" s="88"/>
      <c r="W494" s="88"/>
      <c r="X494" s="88"/>
      <c r="Y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Q495" s="88"/>
      <c r="R495" s="88"/>
      <c r="S495" s="88"/>
      <c r="T495" s="88"/>
      <c r="U495" s="88"/>
      <c r="V495" s="88"/>
      <c r="W495" s="88"/>
      <c r="X495" s="88"/>
      <c r="Y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Q496" s="88"/>
      <c r="R496" s="88"/>
      <c r="S496" s="88"/>
      <c r="T496" s="88"/>
      <c r="U496" s="88"/>
      <c r="V496" s="88"/>
      <c r="W496" s="88"/>
      <c r="X496" s="88"/>
      <c r="Y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Q497" s="88"/>
      <c r="R497" s="88"/>
      <c r="S497" s="88"/>
      <c r="T497" s="88"/>
      <c r="U497" s="88"/>
      <c r="V497" s="88"/>
      <c r="W497" s="88"/>
      <c r="X497" s="88"/>
      <c r="Y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Q498" s="88"/>
      <c r="R498" s="88"/>
      <c r="S498" s="88"/>
      <c r="T498" s="88"/>
      <c r="U498" s="88"/>
      <c r="V498" s="88"/>
      <c r="W498" s="88"/>
      <c r="X498" s="88"/>
      <c r="Y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Q499" s="88"/>
      <c r="R499" s="88"/>
      <c r="S499" s="88"/>
      <c r="T499" s="88"/>
      <c r="U499" s="88"/>
      <c r="V499" s="88"/>
      <c r="W499" s="88"/>
      <c r="X499" s="88"/>
      <c r="Y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Q500" s="88"/>
      <c r="R500" s="88"/>
      <c r="S500" s="88"/>
      <c r="T500" s="88"/>
      <c r="U500" s="88"/>
      <c r="V500" s="88"/>
      <c r="W500" s="88"/>
      <c r="X500" s="88"/>
      <c r="Y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Q501" s="88"/>
      <c r="R501" s="88"/>
      <c r="S501" s="88"/>
      <c r="T501" s="88"/>
      <c r="U501" s="88"/>
      <c r="V501" s="88"/>
      <c r="W501" s="88"/>
      <c r="X501" s="88"/>
      <c r="Y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Q502" s="88"/>
      <c r="R502" s="88"/>
      <c r="S502" s="88"/>
      <c r="T502" s="88"/>
      <c r="U502" s="88"/>
      <c r="V502" s="88"/>
      <c r="W502" s="88"/>
      <c r="X502" s="88"/>
      <c r="Y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Q503" s="88"/>
      <c r="R503" s="88"/>
      <c r="S503" s="88"/>
      <c r="T503" s="88"/>
      <c r="U503" s="88"/>
      <c r="V503" s="88"/>
      <c r="W503" s="88"/>
      <c r="X503" s="88"/>
      <c r="Y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Q504" s="88"/>
      <c r="R504" s="88"/>
      <c r="S504" s="88"/>
      <c r="T504" s="88"/>
      <c r="U504" s="88"/>
      <c r="V504" s="88"/>
      <c r="W504" s="88"/>
      <c r="X504" s="88"/>
      <c r="Y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Q505" s="88"/>
      <c r="R505" s="88"/>
      <c r="S505" s="88"/>
      <c r="T505" s="88"/>
      <c r="U505" s="88"/>
      <c r="V505" s="88"/>
      <c r="W505" s="88"/>
      <c r="X505" s="88"/>
      <c r="Y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Q506" s="88"/>
      <c r="R506" s="88"/>
      <c r="S506" s="88"/>
      <c r="T506" s="88"/>
      <c r="U506" s="88"/>
      <c r="V506" s="88"/>
      <c r="W506" s="88"/>
      <c r="X506" s="88"/>
      <c r="Y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Q507" s="88"/>
      <c r="R507" s="88"/>
      <c r="S507" s="88"/>
      <c r="T507" s="88"/>
      <c r="U507" s="88"/>
      <c r="V507" s="88"/>
      <c r="W507" s="88"/>
      <c r="X507" s="88"/>
      <c r="Y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Q508" s="88"/>
      <c r="R508" s="88"/>
      <c r="S508" s="88"/>
      <c r="T508" s="88"/>
      <c r="U508" s="88"/>
      <c r="V508" s="88"/>
      <c r="W508" s="88"/>
      <c r="X508" s="88"/>
      <c r="Y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Q509" s="88"/>
      <c r="R509" s="88"/>
      <c r="S509" s="88"/>
      <c r="T509" s="88"/>
      <c r="U509" s="88"/>
      <c r="V509" s="88"/>
      <c r="W509" s="88"/>
      <c r="X509" s="88"/>
      <c r="Y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Q510" s="88"/>
      <c r="R510" s="88"/>
      <c r="S510" s="88"/>
      <c r="T510" s="88"/>
      <c r="U510" s="88"/>
      <c r="V510" s="88"/>
      <c r="W510" s="88"/>
      <c r="X510" s="88"/>
      <c r="Y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Q511" s="88"/>
      <c r="R511" s="88"/>
      <c r="S511" s="88"/>
      <c r="T511" s="88"/>
      <c r="U511" s="88"/>
      <c r="V511" s="88"/>
      <c r="W511" s="88"/>
      <c r="X511" s="88"/>
      <c r="Y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Q512" s="88"/>
      <c r="R512" s="88"/>
      <c r="S512" s="88"/>
      <c r="T512" s="88"/>
      <c r="U512" s="88"/>
      <c r="V512" s="88"/>
      <c r="W512" s="88"/>
      <c r="X512" s="88"/>
      <c r="Y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Q513" s="88"/>
      <c r="R513" s="88"/>
      <c r="S513" s="88"/>
      <c r="T513" s="88"/>
      <c r="U513" s="88"/>
      <c r="V513" s="88"/>
      <c r="W513" s="88"/>
      <c r="X513" s="88"/>
      <c r="Y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Q514" s="88"/>
      <c r="R514" s="88"/>
      <c r="S514" s="88"/>
      <c r="T514" s="88"/>
      <c r="U514" s="88"/>
      <c r="V514" s="88"/>
      <c r="W514" s="88"/>
      <c r="X514" s="88"/>
      <c r="Y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Q515" s="88"/>
      <c r="R515" s="88"/>
      <c r="S515" s="88"/>
      <c r="T515" s="88"/>
      <c r="U515" s="88"/>
      <c r="V515" s="88"/>
      <c r="W515" s="88"/>
      <c r="X515" s="88"/>
      <c r="Y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Q516" s="88"/>
      <c r="R516" s="88"/>
      <c r="S516" s="88"/>
      <c r="T516" s="88"/>
      <c r="U516" s="88"/>
      <c r="V516" s="88"/>
      <c r="W516" s="88"/>
      <c r="X516" s="88"/>
      <c r="Y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Q517" s="88"/>
      <c r="R517" s="88"/>
      <c r="S517" s="88"/>
      <c r="T517" s="88"/>
      <c r="U517" s="88"/>
      <c r="V517" s="88"/>
      <c r="W517" s="88"/>
      <c r="X517" s="88"/>
      <c r="Y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Q518" s="88"/>
      <c r="R518" s="88"/>
      <c r="S518" s="88"/>
      <c r="T518" s="88"/>
      <c r="U518" s="88"/>
      <c r="V518" s="88"/>
      <c r="W518" s="88"/>
      <c r="X518" s="88"/>
      <c r="Y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Q519" s="88"/>
      <c r="R519" s="88"/>
      <c r="S519" s="88"/>
      <c r="T519" s="88"/>
      <c r="U519" s="88"/>
      <c r="V519" s="88"/>
      <c r="W519" s="88"/>
      <c r="X519" s="88"/>
      <c r="Y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Q520" s="88"/>
      <c r="R520" s="88"/>
      <c r="S520" s="88"/>
      <c r="T520" s="88"/>
      <c r="U520" s="88"/>
      <c r="V520" s="88"/>
      <c r="W520" s="88"/>
      <c r="X520" s="88"/>
      <c r="Y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Q521" s="88"/>
      <c r="R521" s="88"/>
      <c r="S521" s="88"/>
      <c r="T521" s="88"/>
      <c r="U521" s="88"/>
      <c r="V521" s="88"/>
      <c r="W521" s="88"/>
      <c r="X521" s="88"/>
      <c r="Y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Q522" s="88"/>
      <c r="R522" s="88"/>
      <c r="S522" s="88"/>
      <c r="T522" s="88"/>
      <c r="U522" s="88"/>
      <c r="V522" s="88"/>
      <c r="W522" s="88"/>
      <c r="X522" s="88"/>
      <c r="Y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Q523" s="88"/>
      <c r="R523" s="88"/>
      <c r="S523" s="88"/>
      <c r="T523" s="88"/>
      <c r="U523" s="88"/>
      <c r="V523" s="88"/>
      <c r="W523" s="88"/>
      <c r="X523" s="88"/>
      <c r="Y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Q524" s="88"/>
      <c r="R524" s="88"/>
      <c r="S524" s="88"/>
      <c r="T524" s="88"/>
      <c r="U524" s="88"/>
      <c r="V524" s="88"/>
      <c r="W524" s="88"/>
      <c r="X524" s="88"/>
      <c r="Y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Q525" s="88"/>
      <c r="R525" s="88"/>
      <c r="S525" s="88"/>
      <c r="T525" s="88"/>
      <c r="U525" s="88"/>
      <c r="V525" s="88"/>
      <c r="W525" s="88"/>
      <c r="X525" s="88"/>
      <c r="Y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Q526" s="88"/>
      <c r="R526" s="88"/>
      <c r="S526" s="88"/>
      <c r="T526" s="88"/>
      <c r="U526" s="88"/>
      <c r="V526" s="88"/>
      <c r="W526" s="88"/>
      <c r="X526" s="88"/>
      <c r="Y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Q527" s="88"/>
      <c r="R527" s="88"/>
      <c r="S527" s="88"/>
      <c r="T527" s="88"/>
      <c r="U527" s="88"/>
      <c r="V527" s="88"/>
      <c r="W527" s="88"/>
      <c r="X527" s="88"/>
      <c r="Y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Q528" s="88"/>
      <c r="R528" s="88"/>
      <c r="S528" s="88"/>
      <c r="T528" s="88"/>
      <c r="U528" s="88"/>
      <c r="V528" s="88"/>
      <c r="W528" s="88"/>
      <c r="X528" s="88"/>
      <c r="Y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Q529" s="88"/>
      <c r="R529" s="88"/>
      <c r="S529" s="88"/>
      <c r="T529" s="88"/>
      <c r="U529" s="88"/>
      <c r="V529" s="88"/>
      <c r="W529" s="88"/>
      <c r="X529" s="88"/>
      <c r="Y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Q530" s="88"/>
      <c r="R530" s="88"/>
      <c r="S530" s="88"/>
      <c r="T530" s="88"/>
      <c r="U530" s="88"/>
      <c r="V530" s="88"/>
      <c r="W530" s="88"/>
      <c r="X530" s="88"/>
      <c r="Y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Q531" s="88"/>
      <c r="R531" s="88"/>
      <c r="S531" s="88"/>
      <c r="T531" s="88"/>
      <c r="U531" s="88"/>
      <c r="V531" s="88"/>
      <c r="W531" s="88"/>
      <c r="X531" s="88"/>
      <c r="Y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Q532" s="88"/>
      <c r="R532" s="88"/>
      <c r="S532" s="88"/>
      <c r="T532" s="88"/>
      <c r="U532" s="88"/>
      <c r="V532" s="88"/>
      <c r="W532" s="88"/>
      <c r="X532" s="88"/>
      <c r="Y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Q533" s="88"/>
      <c r="R533" s="88"/>
      <c r="S533" s="88"/>
      <c r="T533" s="88"/>
      <c r="U533" s="88"/>
      <c r="V533" s="88"/>
      <c r="W533" s="88"/>
      <c r="X533" s="88"/>
      <c r="Y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Q534" s="88"/>
      <c r="R534" s="88"/>
      <c r="S534" s="88"/>
      <c r="T534" s="88"/>
      <c r="U534" s="88"/>
      <c r="V534" s="88"/>
      <c r="W534" s="88"/>
      <c r="X534" s="88"/>
      <c r="Y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Q535" s="88"/>
      <c r="R535" s="88"/>
      <c r="S535" s="88"/>
      <c r="T535" s="88"/>
      <c r="U535" s="88"/>
      <c r="V535" s="88"/>
      <c r="W535" s="88"/>
      <c r="X535" s="88"/>
      <c r="Y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Q536" s="88"/>
      <c r="R536" s="88"/>
      <c r="S536" s="88"/>
      <c r="T536" s="88"/>
      <c r="U536" s="88"/>
      <c r="V536" s="88"/>
      <c r="W536" s="88"/>
      <c r="X536" s="88"/>
      <c r="Y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Q537" s="88"/>
      <c r="R537" s="88"/>
      <c r="S537" s="88"/>
      <c r="T537" s="88"/>
      <c r="U537" s="88"/>
      <c r="V537" s="88"/>
      <c r="W537" s="88"/>
      <c r="X537" s="88"/>
      <c r="Y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Q538" s="88"/>
      <c r="R538" s="88"/>
      <c r="S538" s="88"/>
      <c r="T538" s="88"/>
      <c r="U538" s="88"/>
      <c r="V538" s="88"/>
      <c r="W538" s="88"/>
      <c r="X538" s="88"/>
      <c r="Y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Q539" s="88"/>
      <c r="R539" s="88"/>
      <c r="S539" s="88"/>
      <c r="T539" s="88"/>
      <c r="U539" s="88"/>
      <c r="V539" s="88"/>
      <c r="W539" s="88"/>
      <c r="X539" s="88"/>
      <c r="Y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Q540" s="88"/>
      <c r="R540" s="88"/>
      <c r="S540" s="88"/>
      <c r="T540" s="88"/>
      <c r="U540" s="88"/>
      <c r="V540" s="88"/>
      <c r="W540" s="88"/>
      <c r="X540" s="88"/>
      <c r="Y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Q541" s="88"/>
      <c r="R541" s="88"/>
      <c r="S541" s="88"/>
      <c r="T541" s="88"/>
      <c r="U541" s="88"/>
      <c r="V541" s="88"/>
      <c r="W541" s="88"/>
      <c r="X541" s="88"/>
      <c r="Y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Q542" s="88"/>
      <c r="R542" s="88"/>
      <c r="S542" s="88"/>
      <c r="T542" s="88"/>
      <c r="U542" s="88"/>
      <c r="V542" s="88"/>
      <c r="W542" s="88"/>
      <c r="X542" s="88"/>
      <c r="Y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Q543" s="88"/>
      <c r="R543" s="88"/>
      <c r="S543" s="88"/>
      <c r="T543" s="88"/>
      <c r="U543" s="88"/>
      <c r="V543" s="88"/>
      <c r="W543" s="88"/>
      <c r="X543" s="88"/>
      <c r="Y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Q544" s="88"/>
      <c r="R544" s="88"/>
      <c r="S544" s="88"/>
      <c r="T544" s="88"/>
      <c r="U544" s="88"/>
      <c r="V544" s="88"/>
      <c r="W544" s="88"/>
      <c r="X544" s="88"/>
      <c r="Y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Q545" s="88"/>
      <c r="R545" s="88"/>
      <c r="S545" s="88"/>
      <c r="T545" s="88"/>
      <c r="U545" s="88"/>
      <c r="V545" s="88"/>
      <c r="W545" s="88"/>
      <c r="X545" s="88"/>
      <c r="Y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Q546" s="88"/>
      <c r="R546" s="88"/>
      <c r="S546" s="88"/>
      <c r="T546" s="88"/>
      <c r="U546" s="88"/>
      <c r="V546" s="88"/>
      <c r="W546" s="88"/>
      <c r="X546" s="88"/>
      <c r="Y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Q547" s="88"/>
      <c r="R547" s="88"/>
      <c r="S547" s="88"/>
      <c r="T547" s="88"/>
      <c r="U547" s="88"/>
      <c r="V547" s="88"/>
      <c r="W547" s="88"/>
      <c r="X547" s="88"/>
      <c r="Y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Q548" s="88"/>
      <c r="R548" s="88"/>
      <c r="S548" s="88"/>
      <c r="T548" s="88"/>
      <c r="U548" s="88"/>
      <c r="V548" s="88"/>
      <c r="W548" s="88"/>
      <c r="X548" s="88"/>
      <c r="Y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Q549" s="88"/>
      <c r="R549" s="88"/>
      <c r="S549" s="88"/>
      <c r="T549" s="88"/>
      <c r="U549" s="88"/>
      <c r="V549" s="88"/>
      <c r="W549" s="88"/>
      <c r="X549" s="88"/>
      <c r="Y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Q550" s="88"/>
      <c r="R550" s="88"/>
      <c r="S550" s="88"/>
      <c r="T550" s="88"/>
      <c r="U550" s="88"/>
      <c r="V550" s="88"/>
      <c r="W550" s="88"/>
      <c r="X550" s="88"/>
      <c r="Y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Q551" s="88"/>
      <c r="R551" s="88"/>
      <c r="S551" s="88"/>
      <c r="T551" s="88"/>
      <c r="U551" s="88"/>
      <c r="V551" s="88"/>
      <c r="W551" s="88"/>
      <c r="X551" s="88"/>
      <c r="Y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Q552" s="88"/>
      <c r="R552" s="88"/>
      <c r="S552" s="88"/>
      <c r="T552" s="88"/>
      <c r="U552" s="88"/>
      <c r="V552" s="88"/>
      <c r="W552" s="88"/>
      <c r="X552" s="88"/>
      <c r="Y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Q553" s="88"/>
      <c r="R553" s="88"/>
      <c r="S553" s="88"/>
      <c r="T553" s="88"/>
      <c r="U553" s="88"/>
      <c r="V553" s="88"/>
      <c r="W553" s="88"/>
      <c r="X553" s="88"/>
      <c r="Y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Q554" s="88"/>
      <c r="R554" s="88"/>
      <c r="S554" s="88"/>
      <c r="T554" s="88"/>
      <c r="U554" s="88"/>
      <c r="V554" s="88"/>
      <c r="W554" s="88"/>
      <c r="X554" s="88"/>
      <c r="Y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Q555" s="88"/>
      <c r="R555" s="88"/>
      <c r="S555" s="88"/>
      <c r="T555" s="88"/>
      <c r="U555" s="88"/>
      <c r="V555" s="88"/>
      <c r="W555" s="88"/>
      <c r="X555" s="88"/>
      <c r="Y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Q556" s="88"/>
      <c r="R556" s="88"/>
      <c r="S556" s="88"/>
      <c r="T556" s="88"/>
      <c r="U556" s="88"/>
      <c r="V556" s="88"/>
      <c r="W556" s="88"/>
      <c r="X556" s="88"/>
      <c r="Y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Q557" s="88"/>
      <c r="R557" s="88"/>
      <c r="S557" s="88"/>
      <c r="T557" s="88"/>
      <c r="U557" s="88"/>
      <c r="V557" s="88"/>
      <c r="W557" s="88"/>
      <c r="X557" s="88"/>
      <c r="Y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Q558" s="88"/>
      <c r="R558" s="88"/>
      <c r="S558" s="88"/>
      <c r="T558" s="88"/>
      <c r="U558" s="88"/>
      <c r="V558" s="88"/>
      <c r="W558" s="88"/>
      <c r="X558" s="88"/>
      <c r="Y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Q559" s="88"/>
      <c r="R559" s="88"/>
      <c r="S559" s="88"/>
      <c r="T559" s="88"/>
      <c r="U559" s="88"/>
      <c r="V559" s="88"/>
      <c r="W559" s="88"/>
      <c r="X559" s="88"/>
      <c r="Y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Q560" s="88"/>
      <c r="R560" s="88"/>
      <c r="S560" s="88"/>
      <c r="T560" s="88"/>
      <c r="U560" s="88"/>
      <c r="V560" s="88"/>
      <c r="W560" s="88"/>
      <c r="X560" s="88"/>
      <c r="Y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Q561" s="88"/>
      <c r="R561" s="88"/>
      <c r="S561" s="88"/>
      <c r="T561" s="88"/>
      <c r="U561" s="88"/>
      <c r="V561" s="88"/>
      <c r="W561" s="88"/>
      <c r="X561" s="88"/>
      <c r="Y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Q562" s="88"/>
      <c r="R562" s="88"/>
      <c r="S562" s="88"/>
      <c r="T562" s="88"/>
      <c r="U562" s="88"/>
      <c r="V562" s="88"/>
      <c r="W562" s="88"/>
      <c r="X562" s="88"/>
      <c r="Y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Q563" s="88"/>
      <c r="R563" s="88"/>
      <c r="S563" s="88"/>
      <c r="T563" s="88"/>
      <c r="U563" s="88"/>
      <c r="V563" s="88"/>
      <c r="W563" s="88"/>
      <c r="X563" s="88"/>
      <c r="Y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Q564" s="88"/>
      <c r="R564" s="88"/>
      <c r="S564" s="88"/>
      <c r="T564" s="88"/>
      <c r="U564" s="88"/>
      <c r="V564" s="88"/>
      <c r="W564" s="88"/>
      <c r="X564" s="88"/>
      <c r="Y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Q565" s="88"/>
      <c r="R565" s="88"/>
      <c r="S565" s="88"/>
      <c r="T565" s="88"/>
      <c r="U565" s="88"/>
      <c r="V565" s="88"/>
      <c r="W565" s="88"/>
      <c r="X565" s="88"/>
      <c r="Y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Q566" s="88"/>
      <c r="R566" s="88"/>
      <c r="S566" s="88"/>
      <c r="T566" s="88"/>
      <c r="U566" s="88"/>
      <c r="V566" s="88"/>
      <c r="W566" s="88"/>
      <c r="X566" s="88"/>
      <c r="Y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Q567" s="88"/>
      <c r="R567" s="88"/>
      <c r="S567" s="88"/>
      <c r="T567" s="88"/>
      <c r="U567" s="88"/>
      <c r="V567" s="88"/>
      <c r="W567" s="88"/>
      <c r="X567" s="88"/>
      <c r="Y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Q568" s="88"/>
      <c r="R568" s="88"/>
      <c r="S568" s="88"/>
      <c r="T568" s="88"/>
      <c r="U568" s="88"/>
      <c r="V568" s="88"/>
      <c r="W568" s="88"/>
      <c r="X568" s="88"/>
      <c r="Y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Q569" s="88"/>
      <c r="R569" s="88"/>
      <c r="S569" s="88"/>
      <c r="T569" s="88"/>
      <c r="U569" s="88"/>
      <c r="V569" s="88"/>
      <c r="W569" s="88"/>
      <c r="X569" s="88"/>
      <c r="Y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Q570" s="88"/>
      <c r="R570" s="88"/>
      <c r="S570" s="88"/>
      <c r="T570" s="88"/>
      <c r="U570" s="88"/>
      <c r="V570" s="88"/>
      <c r="W570" s="88"/>
      <c r="X570" s="88"/>
      <c r="Y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Q571" s="88"/>
      <c r="R571" s="88"/>
      <c r="S571" s="88"/>
      <c r="T571" s="88"/>
      <c r="U571" s="88"/>
      <c r="V571" s="88"/>
      <c r="W571" s="88"/>
      <c r="X571" s="88"/>
      <c r="Y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Q605" s="88"/>
      <c r="R605" s="88"/>
      <c r="S605" s="88"/>
      <c r="T605" s="88"/>
      <c r="U605" s="88"/>
      <c r="V605" s="88"/>
      <c r="W605" s="88"/>
      <c r="X605" s="88"/>
      <c r="Y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Q606" s="88"/>
      <c r="R606" s="88"/>
      <c r="S606" s="88"/>
      <c r="T606" s="88"/>
      <c r="U606" s="88"/>
      <c r="V606" s="88"/>
      <c r="W606" s="88"/>
      <c r="X606" s="88"/>
      <c r="Y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Q607" s="88"/>
      <c r="R607" s="88"/>
      <c r="S607" s="88"/>
      <c r="T607" s="88"/>
      <c r="U607" s="88"/>
      <c r="V607" s="88"/>
      <c r="W607" s="88"/>
      <c r="X607" s="88"/>
      <c r="Y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Q608" s="88"/>
      <c r="R608" s="88"/>
      <c r="S608" s="88"/>
      <c r="T608" s="88"/>
      <c r="U608" s="88"/>
      <c r="V608" s="88"/>
      <c r="W608" s="88"/>
      <c r="X608" s="88"/>
      <c r="Y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Q609" s="88"/>
      <c r="R609" s="88"/>
      <c r="S609" s="88"/>
      <c r="T609" s="88"/>
      <c r="U609" s="88"/>
      <c r="V609" s="88"/>
      <c r="W609" s="88"/>
      <c r="X609" s="88"/>
      <c r="Y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Q610" s="88"/>
      <c r="R610" s="88"/>
      <c r="S610" s="88"/>
      <c r="T610" s="88"/>
      <c r="U610" s="88"/>
      <c r="V610" s="88"/>
      <c r="W610" s="88"/>
      <c r="X610" s="88"/>
      <c r="Y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Q611" s="88"/>
      <c r="R611" s="88"/>
      <c r="S611" s="88"/>
      <c r="T611" s="88"/>
      <c r="U611" s="88"/>
      <c r="V611" s="88"/>
      <c r="W611" s="88"/>
      <c r="X611" s="88"/>
      <c r="Y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Q612" s="88"/>
      <c r="R612" s="88"/>
      <c r="S612" s="88"/>
      <c r="T612" s="88"/>
      <c r="U612" s="88"/>
      <c r="V612" s="88"/>
      <c r="W612" s="88"/>
      <c r="X612" s="88"/>
      <c r="Y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Q613" s="88"/>
      <c r="R613" s="88"/>
      <c r="S613" s="88"/>
      <c r="T613" s="88"/>
      <c r="U613" s="88"/>
      <c r="V613" s="88"/>
      <c r="W613" s="88"/>
      <c r="X613" s="88"/>
      <c r="Y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Q614" s="88"/>
      <c r="R614" s="88"/>
      <c r="S614" s="88"/>
      <c r="T614" s="88"/>
      <c r="U614" s="88"/>
      <c r="V614" s="88"/>
      <c r="W614" s="88"/>
      <c r="X614" s="88"/>
      <c r="Y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Q615" s="88"/>
      <c r="R615" s="88"/>
      <c r="S615" s="88"/>
      <c r="T615" s="88"/>
      <c r="U615" s="88"/>
      <c r="V615" s="88"/>
      <c r="W615" s="88"/>
      <c r="X615" s="88"/>
      <c r="Y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Q616" s="88"/>
      <c r="R616" s="88"/>
      <c r="S616" s="88"/>
      <c r="T616" s="88"/>
      <c r="U616" s="88"/>
      <c r="V616" s="88"/>
      <c r="W616" s="88"/>
      <c r="X616" s="88"/>
      <c r="Y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Q617" s="88"/>
      <c r="R617" s="88"/>
      <c r="S617" s="88"/>
      <c r="T617" s="88"/>
      <c r="U617" s="88"/>
      <c r="V617" s="88"/>
      <c r="W617" s="88"/>
      <c r="X617" s="88"/>
      <c r="Y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Q618" s="88"/>
      <c r="R618" s="88"/>
      <c r="S618" s="88"/>
      <c r="T618" s="88"/>
      <c r="U618" s="88"/>
      <c r="V618" s="88"/>
      <c r="W618" s="88"/>
      <c r="X618" s="88"/>
      <c r="Y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Q619" s="88"/>
      <c r="R619" s="88"/>
      <c r="S619" s="88"/>
      <c r="T619" s="88"/>
      <c r="U619" s="88"/>
      <c r="V619" s="88"/>
      <c r="W619" s="88"/>
      <c r="X619" s="88"/>
      <c r="Y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Q620" s="88"/>
      <c r="R620" s="88"/>
      <c r="S620" s="88"/>
      <c r="T620" s="88"/>
      <c r="U620" s="88"/>
      <c r="V620" s="88"/>
      <c r="W620" s="88"/>
      <c r="X620" s="88"/>
      <c r="Y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Q621" s="88"/>
      <c r="R621" s="88"/>
      <c r="S621" s="88"/>
      <c r="T621" s="88"/>
      <c r="U621" s="88"/>
      <c r="V621" s="88"/>
      <c r="W621" s="88"/>
      <c r="X621" s="88"/>
      <c r="Y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Q622" s="88"/>
      <c r="R622" s="88"/>
      <c r="S622" s="88"/>
      <c r="T622" s="88"/>
      <c r="U622" s="88"/>
      <c r="V622" s="88"/>
      <c r="W622" s="88"/>
      <c r="X622" s="88"/>
      <c r="Y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Q623" s="88"/>
      <c r="R623" s="88"/>
      <c r="S623" s="88"/>
      <c r="T623" s="88"/>
      <c r="U623" s="88"/>
      <c r="V623" s="88"/>
      <c r="W623" s="88"/>
      <c r="X623" s="88"/>
      <c r="Y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Q624" s="88"/>
      <c r="R624" s="88"/>
      <c r="S624" s="88"/>
      <c r="T624" s="88"/>
      <c r="U624" s="88"/>
      <c r="V624" s="88"/>
      <c r="W624" s="88"/>
      <c r="X624" s="88"/>
      <c r="Y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Q625" s="88"/>
      <c r="R625" s="88"/>
      <c r="S625" s="88"/>
      <c r="T625" s="88"/>
      <c r="U625" s="88"/>
      <c r="V625" s="88"/>
      <c r="W625" s="88"/>
      <c r="X625" s="88"/>
      <c r="Y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Q626" s="88"/>
      <c r="R626" s="88"/>
      <c r="S626" s="88"/>
      <c r="T626" s="88"/>
      <c r="U626" s="88"/>
      <c r="V626" s="88"/>
      <c r="W626" s="88"/>
      <c r="X626" s="88"/>
      <c r="Y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Q627" s="88"/>
      <c r="R627" s="88"/>
      <c r="S627" s="88"/>
      <c r="T627" s="88"/>
      <c r="U627" s="88"/>
      <c r="V627" s="88"/>
      <c r="W627" s="88"/>
      <c r="X627" s="88"/>
      <c r="Y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Q628" s="88"/>
      <c r="R628" s="88"/>
      <c r="S628" s="88"/>
      <c r="T628" s="88"/>
      <c r="U628" s="88"/>
      <c r="V628" s="88"/>
      <c r="W628" s="88"/>
      <c r="X628" s="88"/>
      <c r="Y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Q629" s="88"/>
      <c r="R629" s="88"/>
      <c r="S629" s="88"/>
      <c r="T629" s="88"/>
      <c r="U629" s="88"/>
      <c r="V629" s="88"/>
      <c r="W629" s="88"/>
      <c r="X629" s="88"/>
      <c r="Y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Q630" s="88"/>
      <c r="R630" s="88"/>
      <c r="S630" s="88"/>
      <c r="T630" s="88"/>
      <c r="U630" s="88"/>
      <c r="V630" s="88"/>
      <c r="W630" s="88"/>
      <c r="X630" s="88"/>
      <c r="Y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Q631" s="88"/>
      <c r="R631" s="88"/>
      <c r="S631" s="88"/>
      <c r="T631" s="88"/>
      <c r="U631" s="88"/>
      <c r="V631" s="88"/>
      <c r="W631" s="88"/>
      <c r="X631" s="88"/>
      <c r="Y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Q632" s="88"/>
      <c r="R632" s="88"/>
      <c r="S632" s="88"/>
      <c r="T632" s="88"/>
      <c r="U632" s="88"/>
      <c r="V632" s="88"/>
      <c r="W632" s="88"/>
      <c r="X632" s="88"/>
      <c r="Y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Q633" s="88"/>
      <c r="R633" s="88"/>
      <c r="S633" s="88"/>
      <c r="T633" s="88"/>
      <c r="U633" s="88"/>
      <c r="V633" s="88"/>
      <c r="W633" s="88"/>
      <c r="X633" s="88"/>
      <c r="Y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Q634" s="88"/>
      <c r="R634" s="88"/>
      <c r="S634" s="88"/>
      <c r="T634" s="88"/>
      <c r="U634" s="88"/>
      <c r="V634" s="88"/>
      <c r="W634" s="88"/>
      <c r="X634" s="88"/>
      <c r="Y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Q635" s="88"/>
      <c r="R635" s="88"/>
      <c r="S635" s="88"/>
      <c r="T635" s="88"/>
      <c r="U635" s="88"/>
      <c r="V635" s="88"/>
      <c r="W635" s="88"/>
      <c r="X635" s="88"/>
      <c r="Y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Q636" s="88"/>
      <c r="R636" s="88"/>
      <c r="S636" s="88"/>
      <c r="T636" s="88"/>
      <c r="U636" s="88"/>
      <c r="V636" s="88"/>
      <c r="W636" s="88"/>
      <c r="X636" s="88"/>
      <c r="Y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Q637" s="88"/>
      <c r="R637" s="88"/>
      <c r="S637" s="88"/>
      <c r="T637" s="88"/>
      <c r="U637" s="88"/>
      <c r="V637" s="88"/>
      <c r="W637" s="88"/>
      <c r="X637" s="88"/>
      <c r="Y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Q638" s="88"/>
      <c r="R638" s="88"/>
      <c r="S638" s="88"/>
      <c r="T638" s="88"/>
      <c r="U638" s="88"/>
      <c r="V638" s="88"/>
      <c r="W638" s="88"/>
      <c r="X638" s="88"/>
      <c r="Y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Q639" s="88"/>
      <c r="R639" s="88"/>
      <c r="S639" s="88"/>
      <c r="T639" s="88"/>
      <c r="U639" s="88"/>
      <c r="V639" s="88"/>
      <c r="W639" s="88"/>
      <c r="X639" s="88"/>
      <c r="Y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Q640" s="88"/>
      <c r="R640" s="88"/>
      <c r="S640" s="88"/>
      <c r="T640" s="88"/>
      <c r="U640" s="88"/>
      <c r="V640" s="88"/>
      <c r="W640" s="88"/>
      <c r="X640" s="88"/>
      <c r="Y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Q641" s="88"/>
      <c r="R641" s="88"/>
      <c r="S641" s="88"/>
      <c r="T641" s="88"/>
      <c r="U641" s="88"/>
      <c r="V641" s="88"/>
      <c r="W641" s="88"/>
      <c r="X641" s="88"/>
      <c r="Y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Q642" s="88"/>
      <c r="R642" s="88"/>
      <c r="S642" s="88"/>
      <c r="T642" s="88"/>
      <c r="U642" s="88"/>
      <c r="V642" s="88"/>
      <c r="W642" s="88"/>
      <c r="X642" s="88"/>
      <c r="Y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Q643" s="88"/>
      <c r="R643" s="88"/>
      <c r="S643" s="88"/>
      <c r="T643" s="88"/>
      <c r="U643" s="88"/>
      <c r="V643" s="88"/>
      <c r="W643" s="88"/>
      <c r="X643" s="88"/>
      <c r="Y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Q644" s="88"/>
      <c r="R644" s="88"/>
      <c r="S644" s="88"/>
      <c r="T644" s="88"/>
      <c r="U644" s="88"/>
      <c r="V644" s="88"/>
      <c r="W644" s="88"/>
      <c r="X644" s="88"/>
      <c r="Y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Q645" s="88"/>
      <c r="R645" s="88"/>
      <c r="S645" s="88"/>
      <c r="T645" s="88"/>
      <c r="U645" s="88"/>
      <c r="V645" s="88"/>
      <c r="W645" s="88"/>
      <c r="X645" s="88"/>
      <c r="Y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Q646" s="88"/>
      <c r="R646" s="88"/>
      <c r="S646" s="88"/>
      <c r="T646" s="88"/>
      <c r="U646" s="88"/>
      <c r="V646" s="88"/>
      <c r="W646" s="88"/>
      <c r="X646" s="88"/>
      <c r="Y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Q647" s="88"/>
      <c r="R647" s="88"/>
      <c r="S647" s="88"/>
      <c r="T647" s="88"/>
      <c r="U647" s="88"/>
      <c r="V647" s="88"/>
      <c r="W647" s="88"/>
      <c r="X647" s="88"/>
      <c r="Y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Q648" s="88"/>
      <c r="R648" s="88"/>
      <c r="S648" s="88"/>
      <c r="T648" s="88"/>
      <c r="U648" s="88"/>
      <c r="V648" s="88"/>
      <c r="W648" s="88"/>
      <c r="X648" s="88"/>
      <c r="Y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Q649" s="88"/>
      <c r="R649" s="88"/>
      <c r="S649" s="88"/>
      <c r="T649" s="88"/>
      <c r="U649" s="88"/>
      <c r="V649" s="88"/>
      <c r="W649" s="88"/>
      <c r="X649" s="88"/>
      <c r="Y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Q650" s="88"/>
      <c r="R650" s="88"/>
      <c r="S650" s="88"/>
      <c r="T650" s="88"/>
      <c r="U650" s="88"/>
      <c r="V650" s="88"/>
      <c r="W650" s="88"/>
      <c r="X650" s="88"/>
      <c r="Y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Q651" s="88"/>
      <c r="R651" s="88"/>
      <c r="S651" s="88"/>
      <c r="T651" s="88"/>
      <c r="U651" s="88"/>
      <c r="V651" s="88"/>
      <c r="W651" s="88"/>
      <c r="X651" s="88"/>
      <c r="Y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Q652" s="88"/>
      <c r="R652" s="88"/>
      <c r="S652" s="88"/>
      <c r="T652" s="88"/>
      <c r="U652" s="88"/>
      <c r="V652" s="88"/>
      <c r="W652" s="88"/>
      <c r="X652" s="88"/>
      <c r="Y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Q653" s="88"/>
      <c r="R653" s="88"/>
      <c r="S653" s="88"/>
      <c r="T653" s="88"/>
      <c r="U653" s="88"/>
      <c r="V653" s="88"/>
      <c r="W653" s="88"/>
      <c r="X653" s="88"/>
      <c r="Y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Q654" s="88"/>
      <c r="R654" s="88"/>
      <c r="S654" s="88"/>
      <c r="T654" s="88"/>
      <c r="U654" s="88"/>
      <c r="V654" s="88"/>
      <c r="W654" s="88"/>
      <c r="X654" s="88"/>
      <c r="Y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Q655" s="88"/>
      <c r="R655" s="88"/>
      <c r="S655" s="88"/>
      <c r="T655" s="88"/>
      <c r="U655" s="88"/>
      <c r="V655" s="88"/>
      <c r="W655" s="88"/>
      <c r="X655" s="88"/>
      <c r="Y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Q656" s="88"/>
      <c r="R656" s="88"/>
      <c r="S656" s="88"/>
      <c r="T656" s="88"/>
      <c r="U656" s="88"/>
      <c r="V656" s="88"/>
      <c r="W656" s="88"/>
      <c r="X656" s="88"/>
      <c r="Y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Q657" s="88"/>
      <c r="R657" s="88"/>
      <c r="S657" s="88"/>
      <c r="T657" s="88"/>
      <c r="U657" s="88"/>
      <c r="V657" s="88"/>
      <c r="W657" s="88"/>
      <c r="X657" s="88"/>
      <c r="Y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Q658" s="88"/>
      <c r="R658" s="88"/>
      <c r="S658" s="88"/>
      <c r="T658" s="88"/>
      <c r="U658" s="88"/>
      <c r="V658" s="88"/>
      <c r="W658" s="88"/>
      <c r="X658" s="88"/>
      <c r="Y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Q659" s="88"/>
      <c r="R659" s="88"/>
      <c r="S659" s="88"/>
      <c r="T659" s="88"/>
      <c r="U659" s="88"/>
      <c r="V659" s="88"/>
      <c r="W659" s="88"/>
      <c r="X659" s="88"/>
      <c r="Y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Q660" s="88"/>
      <c r="R660" s="88"/>
      <c r="S660" s="88"/>
      <c r="T660" s="88"/>
      <c r="U660" s="88"/>
      <c r="V660" s="88"/>
      <c r="W660" s="88"/>
      <c r="X660" s="88"/>
      <c r="Y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Q661" s="88"/>
      <c r="R661" s="88"/>
      <c r="S661" s="88"/>
      <c r="T661" s="88"/>
      <c r="U661" s="88"/>
      <c r="V661" s="88"/>
      <c r="W661" s="88"/>
      <c r="X661" s="88"/>
      <c r="Y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Q662" s="88"/>
      <c r="R662" s="88"/>
      <c r="S662" s="88"/>
      <c r="T662" s="88"/>
      <c r="U662" s="88"/>
      <c r="V662" s="88"/>
      <c r="W662" s="88"/>
      <c r="X662" s="88"/>
      <c r="Y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Q663" s="88"/>
      <c r="R663" s="88"/>
      <c r="S663" s="88"/>
      <c r="T663" s="88"/>
      <c r="U663" s="88"/>
      <c r="V663" s="88"/>
      <c r="W663" s="88"/>
      <c r="X663" s="88"/>
      <c r="Y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Q664" s="88"/>
      <c r="R664" s="88"/>
      <c r="S664" s="88"/>
      <c r="T664" s="88"/>
      <c r="U664" s="88"/>
      <c r="V664" s="88"/>
      <c r="W664" s="88"/>
      <c r="X664" s="88"/>
      <c r="Y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Q665" s="88"/>
      <c r="R665" s="88"/>
      <c r="S665" s="88"/>
      <c r="T665" s="88"/>
      <c r="U665" s="88"/>
      <c r="V665" s="88"/>
      <c r="W665" s="88"/>
      <c r="X665" s="88"/>
      <c r="Y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Q666" s="88"/>
      <c r="R666" s="88"/>
      <c r="S666" s="88"/>
      <c r="T666" s="88"/>
      <c r="U666" s="88"/>
      <c r="V666" s="88"/>
      <c r="W666" s="88"/>
      <c r="X666" s="88"/>
      <c r="Y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Q667" s="88"/>
      <c r="R667" s="88"/>
      <c r="S667" s="88"/>
      <c r="T667" s="88"/>
      <c r="U667" s="88"/>
      <c r="V667" s="88"/>
      <c r="W667" s="88"/>
      <c r="X667" s="88"/>
      <c r="Y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Q668" s="88"/>
      <c r="R668" s="88"/>
      <c r="S668" s="88"/>
      <c r="T668" s="88"/>
      <c r="U668" s="88"/>
      <c r="V668" s="88"/>
      <c r="W668" s="88"/>
      <c r="X668" s="88"/>
      <c r="Y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Q669" s="88"/>
      <c r="R669" s="88"/>
      <c r="S669" s="88"/>
      <c r="T669" s="88"/>
      <c r="U669" s="88"/>
      <c r="V669" s="88"/>
      <c r="W669" s="88"/>
      <c r="X669" s="88"/>
      <c r="Y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Q670" s="88"/>
      <c r="R670" s="88"/>
      <c r="S670" s="88"/>
      <c r="T670" s="88"/>
      <c r="U670" s="88"/>
      <c r="V670" s="88"/>
      <c r="W670" s="88"/>
      <c r="X670" s="88"/>
      <c r="Y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Q671" s="88"/>
      <c r="R671" s="88"/>
      <c r="S671" s="88"/>
      <c r="T671" s="88"/>
      <c r="U671" s="88"/>
      <c r="V671" s="88"/>
      <c r="W671" s="88"/>
      <c r="X671" s="88"/>
      <c r="Y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Q672" s="88"/>
      <c r="R672" s="88"/>
      <c r="S672" s="88"/>
      <c r="T672" s="88"/>
      <c r="U672" s="88"/>
      <c r="V672" s="88"/>
      <c r="W672" s="88"/>
      <c r="X672" s="88"/>
      <c r="Y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Q673" s="88"/>
      <c r="R673" s="88"/>
      <c r="S673" s="88"/>
      <c r="T673" s="88"/>
      <c r="U673" s="88"/>
      <c r="V673" s="88"/>
      <c r="W673" s="88"/>
      <c r="X673" s="88"/>
      <c r="Y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Q674" s="88"/>
      <c r="R674" s="88"/>
      <c r="S674" s="88"/>
      <c r="T674" s="88"/>
      <c r="U674" s="88"/>
      <c r="V674" s="88"/>
      <c r="W674" s="88"/>
      <c r="X674" s="88"/>
      <c r="Y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Q675" s="88"/>
      <c r="R675" s="88"/>
      <c r="S675" s="88"/>
      <c r="T675" s="88"/>
      <c r="U675" s="88"/>
      <c r="V675" s="88"/>
      <c r="W675" s="88"/>
      <c r="X675" s="88"/>
      <c r="Y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Q676" s="88"/>
      <c r="R676" s="88"/>
      <c r="S676" s="88"/>
      <c r="T676" s="88"/>
      <c r="U676" s="88"/>
      <c r="V676" s="88"/>
      <c r="W676" s="88"/>
      <c r="X676" s="88"/>
      <c r="Y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Q677" s="88"/>
      <c r="R677" s="88"/>
      <c r="S677" s="88"/>
      <c r="T677" s="88"/>
      <c r="U677" s="88"/>
      <c r="V677" s="88"/>
      <c r="W677" s="88"/>
      <c r="X677" s="88"/>
      <c r="Y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Q678" s="88"/>
      <c r="R678" s="88"/>
      <c r="S678" s="88"/>
      <c r="T678" s="88"/>
      <c r="U678" s="88"/>
      <c r="V678" s="88"/>
      <c r="W678" s="88"/>
      <c r="X678" s="88"/>
      <c r="Y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Q679" s="88"/>
      <c r="R679" s="88"/>
      <c r="S679" s="88"/>
      <c r="T679" s="88"/>
      <c r="U679" s="88"/>
      <c r="V679" s="88"/>
      <c r="W679" s="88"/>
      <c r="X679" s="88"/>
      <c r="Y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Q680" s="88"/>
      <c r="R680" s="88"/>
      <c r="S680" s="88"/>
      <c r="T680" s="88"/>
      <c r="U680" s="88"/>
      <c r="V680" s="88"/>
      <c r="W680" s="88"/>
      <c r="X680" s="88"/>
      <c r="Y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Q681" s="88"/>
      <c r="R681" s="88"/>
      <c r="S681" s="88"/>
      <c r="T681" s="88"/>
      <c r="U681" s="88"/>
      <c r="V681" s="88"/>
      <c r="W681" s="88"/>
      <c r="X681" s="88"/>
      <c r="Y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Q682" s="88"/>
      <c r="R682" s="88"/>
      <c r="S682" s="88"/>
      <c r="T682" s="88"/>
      <c r="U682" s="88"/>
      <c r="V682" s="88"/>
      <c r="W682" s="88"/>
      <c r="X682" s="88"/>
      <c r="Y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Q683" s="88"/>
      <c r="R683" s="88"/>
      <c r="S683" s="88"/>
      <c r="T683" s="88"/>
      <c r="U683" s="88"/>
      <c r="V683" s="88"/>
      <c r="W683" s="88"/>
      <c r="X683" s="88"/>
      <c r="Y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Q684" s="88"/>
      <c r="R684" s="88"/>
      <c r="S684" s="88"/>
      <c r="T684" s="88"/>
      <c r="U684" s="88"/>
      <c r="V684" s="88"/>
      <c r="W684" s="88"/>
      <c r="X684" s="88"/>
      <c r="Y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Q685" s="88"/>
      <c r="R685" s="88"/>
      <c r="S685" s="88"/>
      <c r="T685" s="88"/>
      <c r="U685" s="88"/>
      <c r="V685" s="88"/>
      <c r="W685" s="88"/>
      <c r="X685" s="88"/>
      <c r="Y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Q686" s="88"/>
      <c r="R686" s="88"/>
      <c r="S686" s="88"/>
      <c r="T686" s="88"/>
      <c r="U686" s="88"/>
      <c r="V686" s="88"/>
      <c r="W686" s="88"/>
      <c r="X686" s="88"/>
      <c r="Y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Q687" s="88"/>
      <c r="R687" s="88"/>
      <c r="S687" s="88"/>
      <c r="T687" s="88"/>
      <c r="U687" s="88"/>
      <c r="V687" s="88"/>
      <c r="W687" s="88"/>
      <c r="X687" s="88"/>
      <c r="Y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Q688" s="88"/>
      <c r="R688" s="88"/>
      <c r="S688" s="88"/>
      <c r="T688" s="88"/>
      <c r="U688" s="88"/>
      <c r="V688" s="88"/>
      <c r="W688" s="88"/>
      <c r="X688" s="88"/>
      <c r="Y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Q689" s="88"/>
      <c r="R689" s="88"/>
      <c r="S689" s="88"/>
      <c r="T689" s="88"/>
      <c r="U689" s="88"/>
      <c r="V689" s="88"/>
      <c r="W689" s="88"/>
      <c r="X689" s="88"/>
      <c r="Y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Q690" s="88"/>
      <c r="R690" s="88"/>
      <c r="S690" s="88"/>
      <c r="T690" s="88"/>
      <c r="U690" s="88"/>
      <c r="V690" s="88"/>
      <c r="W690" s="88"/>
      <c r="X690" s="88"/>
      <c r="Y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Q691" s="88"/>
      <c r="R691" s="88"/>
      <c r="S691" s="88"/>
      <c r="T691" s="88"/>
      <c r="U691" s="88"/>
      <c r="V691" s="88"/>
      <c r="W691" s="88"/>
      <c r="X691" s="88"/>
      <c r="Y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Q692" s="88"/>
      <c r="R692" s="88"/>
      <c r="S692" s="88"/>
      <c r="T692" s="88"/>
      <c r="U692" s="88"/>
      <c r="V692" s="88"/>
      <c r="W692" s="88"/>
      <c r="X692" s="88"/>
      <c r="Y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Q693" s="88"/>
      <c r="R693" s="88"/>
      <c r="S693" s="88"/>
      <c r="T693" s="88"/>
      <c r="U693" s="88"/>
      <c r="V693" s="88"/>
      <c r="W693" s="88"/>
      <c r="X693" s="88"/>
      <c r="Y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Q694" s="88"/>
      <c r="R694" s="88"/>
      <c r="S694" s="88"/>
      <c r="T694" s="88"/>
      <c r="U694" s="88"/>
      <c r="V694" s="88"/>
      <c r="W694" s="88"/>
      <c r="X694" s="88"/>
      <c r="Y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Q695" s="88"/>
      <c r="R695" s="88"/>
      <c r="S695" s="88"/>
      <c r="T695" s="88"/>
      <c r="U695" s="88"/>
      <c r="V695" s="88"/>
      <c r="W695" s="88"/>
      <c r="X695" s="88"/>
      <c r="Y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Q696" s="88"/>
      <c r="R696" s="88"/>
      <c r="S696" s="88"/>
      <c r="T696" s="88"/>
      <c r="U696" s="88"/>
      <c r="V696" s="88"/>
      <c r="W696" s="88"/>
      <c r="X696" s="88"/>
      <c r="Y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Q697" s="88"/>
      <c r="R697" s="88"/>
      <c r="S697" s="88"/>
      <c r="T697" s="88"/>
      <c r="U697" s="88"/>
      <c r="V697" s="88"/>
      <c r="W697" s="88"/>
      <c r="X697" s="88"/>
      <c r="Y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Q698" s="88"/>
      <c r="R698" s="88"/>
      <c r="S698" s="88"/>
      <c r="T698" s="88"/>
      <c r="U698" s="88"/>
      <c r="V698" s="88"/>
      <c r="W698" s="88"/>
      <c r="X698" s="88"/>
      <c r="Y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Q699" s="88"/>
      <c r="R699" s="88"/>
      <c r="S699" s="88"/>
      <c r="T699" s="88"/>
      <c r="U699" s="88"/>
      <c r="V699" s="88"/>
      <c r="W699" s="88"/>
      <c r="X699" s="88"/>
      <c r="Y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Q700" s="88"/>
      <c r="R700" s="88"/>
      <c r="S700" s="88"/>
      <c r="T700" s="88"/>
      <c r="U700" s="88"/>
      <c r="V700" s="88"/>
      <c r="W700" s="88"/>
      <c r="X700" s="88"/>
      <c r="Y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Q701" s="88"/>
      <c r="R701" s="88"/>
      <c r="S701" s="88"/>
      <c r="T701" s="88"/>
      <c r="U701" s="88"/>
      <c r="V701" s="88"/>
      <c r="W701" s="88"/>
      <c r="X701" s="88"/>
      <c r="Y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Q702" s="88"/>
      <c r="R702" s="88"/>
      <c r="S702" s="88"/>
      <c r="T702" s="88"/>
      <c r="U702" s="88"/>
      <c r="V702" s="88"/>
      <c r="W702" s="88"/>
      <c r="X702" s="88"/>
      <c r="Y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Q703" s="88"/>
      <c r="R703" s="88"/>
      <c r="S703" s="88"/>
      <c r="T703" s="88"/>
      <c r="U703" s="88"/>
      <c r="V703" s="88"/>
      <c r="W703" s="88"/>
      <c r="X703" s="88"/>
      <c r="Y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Q704" s="88"/>
      <c r="R704" s="88"/>
      <c r="S704" s="88"/>
      <c r="T704" s="88"/>
      <c r="U704" s="88"/>
      <c r="V704" s="88"/>
      <c r="W704" s="88"/>
      <c r="X704" s="88"/>
      <c r="Y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Q705" s="88"/>
      <c r="R705" s="88"/>
      <c r="S705" s="88"/>
      <c r="T705" s="88"/>
      <c r="U705" s="88"/>
      <c r="V705" s="88"/>
      <c r="W705" s="88"/>
      <c r="X705" s="88"/>
      <c r="Y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Q706" s="88"/>
      <c r="R706" s="88"/>
      <c r="S706" s="88"/>
      <c r="T706" s="88"/>
      <c r="U706" s="88"/>
      <c r="V706" s="88"/>
      <c r="W706" s="88"/>
      <c r="X706" s="88"/>
      <c r="Y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Q707" s="88"/>
      <c r="R707" s="88"/>
      <c r="S707" s="88"/>
      <c r="T707" s="88"/>
      <c r="U707" s="88"/>
      <c r="V707" s="88"/>
      <c r="W707" s="88"/>
      <c r="X707" s="88"/>
      <c r="Y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Q708" s="88"/>
      <c r="R708" s="88"/>
      <c r="S708" s="88"/>
      <c r="T708" s="88"/>
      <c r="U708" s="88"/>
      <c r="V708" s="88"/>
      <c r="W708" s="88"/>
      <c r="X708" s="88"/>
      <c r="Y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Q709" s="88"/>
      <c r="R709" s="88"/>
      <c r="S709" s="88"/>
      <c r="T709" s="88"/>
      <c r="U709" s="88"/>
      <c r="V709" s="88"/>
      <c r="W709" s="88"/>
      <c r="X709" s="88"/>
      <c r="Y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Q710" s="88"/>
      <c r="R710" s="88"/>
      <c r="S710" s="88"/>
      <c r="T710" s="88"/>
      <c r="U710" s="88"/>
      <c r="V710" s="88"/>
      <c r="W710" s="88"/>
      <c r="X710" s="88"/>
      <c r="Y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Q711" s="88"/>
      <c r="R711" s="88"/>
      <c r="S711" s="88"/>
      <c r="T711" s="88"/>
      <c r="U711" s="88"/>
      <c r="V711" s="88"/>
      <c r="W711" s="88"/>
      <c r="X711" s="88"/>
      <c r="Y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Q712" s="88"/>
      <c r="R712" s="88"/>
      <c r="S712" s="88"/>
      <c r="T712" s="88"/>
      <c r="U712" s="88"/>
      <c r="V712" s="88"/>
      <c r="W712" s="88"/>
      <c r="X712" s="88"/>
      <c r="Y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Q713" s="88"/>
      <c r="R713" s="88"/>
      <c r="S713" s="88"/>
      <c r="T713" s="88"/>
      <c r="U713" s="88"/>
      <c r="V713" s="88"/>
      <c r="W713" s="88"/>
      <c r="X713" s="88"/>
      <c r="Y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Q714" s="88"/>
      <c r="R714" s="88"/>
      <c r="S714" s="88"/>
      <c r="T714" s="88"/>
      <c r="U714" s="88"/>
      <c r="V714" s="88"/>
      <c r="W714" s="88"/>
      <c r="X714" s="88"/>
      <c r="Y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Q715" s="88"/>
      <c r="R715" s="88"/>
      <c r="S715" s="88"/>
      <c r="T715" s="88"/>
      <c r="U715" s="88"/>
      <c r="V715" s="88"/>
      <c r="W715" s="88"/>
      <c r="X715" s="88"/>
      <c r="Y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Q716" s="88"/>
      <c r="R716" s="88"/>
      <c r="S716" s="88"/>
      <c r="T716" s="88"/>
      <c r="U716" s="88"/>
      <c r="V716" s="88"/>
      <c r="W716" s="88"/>
      <c r="X716" s="88"/>
      <c r="Y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Q717" s="88"/>
      <c r="R717" s="88"/>
      <c r="S717" s="88"/>
      <c r="T717" s="88"/>
      <c r="U717" s="88"/>
      <c r="V717" s="88"/>
      <c r="W717" s="88"/>
      <c r="X717" s="88"/>
      <c r="Y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Q718" s="88"/>
      <c r="R718" s="88"/>
      <c r="S718" s="88"/>
      <c r="T718" s="88"/>
      <c r="U718" s="88"/>
      <c r="V718" s="88"/>
      <c r="W718" s="88"/>
      <c r="X718" s="88"/>
      <c r="Y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Q719" s="88"/>
      <c r="R719" s="88"/>
      <c r="S719" s="88"/>
      <c r="T719" s="88"/>
      <c r="U719" s="88"/>
      <c r="V719" s="88"/>
      <c r="W719" s="88"/>
      <c r="X719" s="88"/>
      <c r="Y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Q720" s="88"/>
      <c r="R720" s="88"/>
      <c r="S720" s="88"/>
      <c r="T720" s="88"/>
      <c r="U720" s="88"/>
      <c r="V720" s="88"/>
      <c r="W720" s="88"/>
      <c r="X720" s="88"/>
      <c r="Y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Q721" s="88"/>
      <c r="R721" s="88"/>
      <c r="S721" s="88"/>
      <c r="T721" s="88"/>
      <c r="U721" s="88"/>
      <c r="V721" s="88"/>
      <c r="W721" s="88"/>
      <c r="X721" s="88"/>
      <c r="Y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Q722" s="88"/>
      <c r="R722" s="88"/>
      <c r="S722" s="88"/>
      <c r="T722" s="88"/>
      <c r="U722" s="88"/>
      <c r="V722" s="88"/>
      <c r="W722" s="88"/>
      <c r="X722" s="88"/>
      <c r="Y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Q723" s="88"/>
      <c r="R723" s="88"/>
      <c r="S723" s="88"/>
      <c r="T723" s="88"/>
      <c r="U723" s="88"/>
      <c r="V723" s="88"/>
      <c r="W723" s="88"/>
      <c r="X723" s="88"/>
      <c r="Y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Q724" s="88"/>
      <c r="R724" s="88"/>
      <c r="S724" s="88"/>
      <c r="T724" s="88"/>
      <c r="U724" s="88"/>
      <c r="V724" s="88"/>
      <c r="W724" s="88"/>
      <c r="X724" s="88"/>
      <c r="Y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Q725" s="88"/>
      <c r="R725" s="88"/>
      <c r="S725" s="88"/>
      <c r="T725" s="88"/>
      <c r="U725" s="88"/>
      <c r="V725" s="88"/>
      <c r="W725" s="88"/>
      <c r="X725" s="88"/>
      <c r="Y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Q726" s="88"/>
      <c r="R726" s="88"/>
      <c r="S726" s="88"/>
      <c r="T726" s="88"/>
      <c r="U726" s="88"/>
      <c r="V726" s="88"/>
      <c r="W726" s="88"/>
      <c r="X726" s="88"/>
      <c r="Y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Q727" s="88"/>
      <c r="R727" s="88"/>
      <c r="S727" s="88"/>
      <c r="T727" s="88"/>
      <c r="U727" s="88"/>
      <c r="V727" s="88"/>
      <c r="W727" s="88"/>
      <c r="X727" s="88"/>
      <c r="Y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Q728" s="88"/>
      <c r="R728" s="88"/>
      <c r="S728" s="88"/>
      <c r="T728" s="88"/>
      <c r="U728" s="88"/>
      <c r="V728" s="88"/>
      <c r="W728" s="88"/>
      <c r="X728" s="88"/>
      <c r="Y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Q729" s="88"/>
      <c r="R729" s="88"/>
      <c r="S729" s="88"/>
      <c r="T729" s="88"/>
      <c r="U729" s="88"/>
      <c r="V729" s="88"/>
      <c r="W729" s="88"/>
      <c r="X729" s="88"/>
      <c r="Y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Q730" s="88"/>
      <c r="R730" s="88"/>
      <c r="S730" s="88"/>
      <c r="T730" s="88"/>
      <c r="U730" s="88"/>
      <c r="V730" s="88"/>
      <c r="W730" s="88"/>
      <c r="X730" s="88"/>
      <c r="Y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Q731" s="88"/>
      <c r="R731" s="88"/>
      <c r="S731" s="88"/>
      <c r="T731" s="88"/>
      <c r="U731" s="88"/>
      <c r="V731" s="88"/>
      <c r="W731" s="88"/>
      <c r="X731" s="88"/>
      <c r="Y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Q732" s="88"/>
      <c r="R732" s="88"/>
      <c r="S732" s="88"/>
      <c r="T732" s="88"/>
      <c r="U732" s="88"/>
      <c r="V732" s="88"/>
      <c r="W732" s="88"/>
      <c r="X732" s="88"/>
      <c r="Y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Q733" s="88"/>
      <c r="R733" s="88"/>
      <c r="S733" s="88"/>
      <c r="T733" s="88"/>
      <c r="U733" s="88"/>
      <c r="V733" s="88"/>
      <c r="W733" s="88"/>
      <c r="X733" s="88"/>
      <c r="Y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Q734" s="88"/>
      <c r="R734" s="88"/>
      <c r="S734" s="88"/>
      <c r="T734" s="88"/>
      <c r="U734" s="88"/>
      <c r="V734" s="88"/>
      <c r="W734" s="88"/>
      <c r="X734" s="88"/>
      <c r="Y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Q735" s="88"/>
      <c r="R735" s="88"/>
      <c r="S735" s="88"/>
      <c r="T735" s="88"/>
      <c r="U735" s="88"/>
      <c r="V735" s="88"/>
      <c r="W735" s="88"/>
      <c r="X735" s="88"/>
      <c r="Y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Q736" s="88"/>
      <c r="R736" s="88"/>
      <c r="S736" s="88"/>
      <c r="T736" s="88"/>
      <c r="U736" s="88"/>
      <c r="V736" s="88"/>
      <c r="W736" s="88"/>
      <c r="X736" s="88"/>
      <c r="Y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Q737" s="88"/>
      <c r="R737" s="88"/>
      <c r="S737" s="88"/>
      <c r="T737" s="88"/>
      <c r="U737" s="88"/>
      <c r="V737" s="88"/>
      <c r="W737" s="88"/>
      <c r="X737" s="88"/>
      <c r="Y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Q738" s="88"/>
      <c r="R738" s="88"/>
      <c r="S738" s="88"/>
      <c r="T738" s="88"/>
      <c r="U738" s="88"/>
      <c r="V738" s="88"/>
      <c r="W738" s="88"/>
      <c r="X738" s="88"/>
      <c r="Y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Q739" s="88"/>
      <c r="R739" s="88"/>
      <c r="S739" s="88"/>
      <c r="T739" s="88"/>
      <c r="U739" s="88"/>
      <c r="V739" s="88"/>
      <c r="W739" s="88"/>
      <c r="X739" s="88"/>
      <c r="Y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Q740" s="88"/>
      <c r="R740" s="88"/>
      <c r="S740" s="88"/>
      <c r="T740" s="88"/>
      <c r="U740" s="88"/>
      <c r="V740" s="88"/>
      <c r="W740" s="88"/>
      <c r="X740" s="88"/>
      <c r="Y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Q741" s="88"/>
      <c r="R741" s="88"/>
      <c r="S741" s="88"/>
      <c r="T741" s="88"/>
      <c r="U741" s="88"/>
      <c r="V741" s="88"/>
      <c r="W741" s="88"/>
      <c r="X741" s="88"/>
      <c r="Y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Q742" s="88"/>
      <c r="R742" s="88"/>
      <c r="S742" s="88"/>
      <c r="T742" s="88"/>
      <c r="U742" s="88"/>
      <c r="V742" s="88"/>
      <c r="W742" s="88"/>
      <c r="X742" s="88"/>
      <c r="Y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Q743" s="88"/>
      <c r="R743" s="88"/>
      <c r="S743" s="88"/>
      <c r="T743" s="88"/>
      <c r="U743" s="88"/>
      <c r="V743" s="88"/>
      <c r="W743" s="88"/>
      <c r="X743" s="88"/>
      <c r="Y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Q744" s="88"/>
      <c r="R744" s="88"/>
      <c r="S744" s="88"/>
      <c r="T744" s="88"/>
      <c r="U744" s="88"/>
      <c r="V744" s="88"/>
      <c r="W744" s="88"/>
      <c r="X744" s="88"/>
      <c r="Y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Q745" s="88"/>
      <c r="R745" s="88"/>
      <c r="S745" s="88"/>
      <c r="T745" s="88"/>
      <c r="U745" s="88"/>
      <c r="V745" s="88"/>
      <c r="W745" s="88"/>
      <c r="X745" s="88"/>
      <c r="Y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Q746" s="88"/>
      <c r="R746" s="88"/>
      <c r="S746" s="88"/>
      <c r="T746" s="88"/>
      <c r="U746" s="88"/>
      <c r="V746" s="88"/>
      <c r="W746" s="88"/>
      <c r="X746" s="88"/>
      <c r="Y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Q747" s="88"/>
      <c r="R747" s="88"/>
      <c r="S747" s="88"/>
      <c r="T747" s="88"/>
      <c r="U747" s="88"/>
      <c r="V747" s="88"/>
      <c r="W747" s="88"/>
      <c r="X747" s="88"/>
      <c r="Y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Q748" s="88"/>
      <c r="R748" s="88"/>
      <c r="S748" s="88"/>
      <c r="T748" s="88"/>
      <c r="U748" s="88"/>
      <c r="V748" s="88"/>
      <c r="W748" s="88"/>
      <c r="X748" s="88"/>
      <c r="Y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Q749" s="88"/>
      <c r="R749" s="88"/>
      <c r="S749" s="88"/>
      <c r="T749" s="88"/>
      <c r="U749" s="88"/>
      <c r="V749" s="88"/>
      <c r="W749" s="88"/>
      <c r="X749" s="88"/>
      <c r="Y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Q750" s="88"/>
      <c r="R750" s="88"/>
      <c r="S750" s="88"/>
      <c r="T750" s="88"/>
      <c r="U750" s="88"/>
      <c r="V750" s="88"/>
      <c r="W750" s="88"/>
      <c r="X750" s="88"/>
      <c r="Y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Q751" s="88"/>
      <c r="R751" s="88"/>
      <c r="S751" s="88"/>
      <c r="T751" s="88"/>
      <c r="U751" s="88"/>
      <c r="V751" s="88"/>
      <c r="W751" s="88"/>
      <c r="X751" s="88"/>
      <c r="Y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Q752" s="88"/>
      <c r="R752" s="88"/>
      <c r="S752" s="88"/>
      <c r="T752" s="88"/>
      <c r="U752" s="88"/>
      <c r="V752" s="88"/>
      <c r="W752" s="88"/>
      <c r="X752" s="88"/>
      <c r="Y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Q753" s="88"/>
      <c r="R753" s="88"/>
      <c r="S753" s="88"/>
      <c r="T753" s="88"/>
      <c r="U753" s="88"/>
      <c r="V753" s="88"/>
      <c r="W753" s="88"/>
      <c r="X753" s="88"/>
      <c r="Y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Q754" s="88"/>
      <c r="R754" s="88"/>
      <c r="S754" s="88"/>
      <c r="T754" s="88"/>
      <c r="U754" s="88"/>
      <c r="V754" s="88"/>
      <c r="W754" s="88"/>
      <c r="X754" s="88"/>
      <c r="Y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Q755" s="88"/>
      <c r="R755" s="88"/>
      <c r="S755" s="88"/>
      <c r="T755" s="88"/>
      <c r="U755" s="88"/>
      <c r="V755" s="88"/>
      <c r="W755" s="88"/>
      <c r="X755" s="88"/>
      <c r="Y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Q756" s="88"/>
      <c r="R756" s="88"/>
      <c r="S756" s="88"/>
      <c r="T756" s="88"/>
      <c r="U756" s="88"/>
      <c r="V756" s="88"/>
      <c r="W756" s="88"/>
      <c r="X756" s="88"/>
      <c r="Y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Q757" s="88"/>
      <c r="R757" s="88"/>
      <c r="S757" s="88"/>
      <c r="T757" s="88"/>
      <c r="U757" s="88"/>
      <c r="V757" s="88"/>
      <c r="W757" s="88"/>
      <c r="X757" s="88"/>
      <c r="Y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Q758" s="88"/>
      <c r="R758" s="88"/>
      <c r="S758" s="88"/>
      <c r="T758" s="88"/>
      <c r="U758" s="88"/>
      <c r="V758" s="88"/>
      <c r="W758" s="88"/>
      <c r="X758" s="88"/>
      <c r="Y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Q759" s="88"/>
      <c r="R759" s="88"/>
      <c r="S759" s="88"/>
      <c r="T759" s="88"/>
      <c r="U759" s="88"/>
      <c r="V759" s="88"/>
      <c r="W759" s="88"/>
      <c r="X759" s="88"/>
      <c r="Y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Q760" s="88"/>
      <c r="R760" s="88"/>
      <c r="S760" s="88"/>
      <c r="T760" s="88"/>
      <c r="U760" s="88"/>
      <c r="V760" s="88"/>
      <c r="W760" s="88"/>
      <c r="X760" s="88"/>
      <c r="Y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Q761" s="88"/>
      <c r="R761" s="88"/>
      <c r="S761" s="88"/>
      <c r="T761" s="88"/>
      <c r="U761" s="88"/>
      <c r="V761" s="88"/>
      <c r="W761" s="88"/>
      <c r="X761" s="88"/>
      <c r="Y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Q762" s="88"/>
      <c r="R762" s="88"/>
      <c r="S762" s="88"/>
      <c r="T762" s="88"/>
      <c r="U762" s="88"/>
      <c r="V762" s="88"/>
      <c r="W762" s="88"/>
      <c r="X762" s="88"/>
      <c r="Y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Q763" s="88"/>
      <c r="R763" s="88"/>
      <c r="S763" s="88"/>
      <c r="T763" s="88"/>
      <c r="U763" s="88"/>
      <c r="V763" s="88"/>
      <c r="W763" s="88"/>
      <c r="X763" s="88"/>
      <c r="Y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Q764" s="88"/>
      <c r="R764" s="88"/>
      <c r="S764" s="88"/>
      <c r="T764" s="88"/>
      <c r="U764" s="88"/>
      <c r="V764" s="88"/>
      <c r="W764" s="88"/>
      <c r="X764" s="88"/>
      <c r="Y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Q765" s="88"/>
      <c r="R765" s="88"/>
      <c r="S765" s="88"/>
      <c r="T765" s="88"/>
      <c r="U765" s="88"/>
      <c r="V765" s="88"/>
      <c r="W765" s="88"/>
      <c r="X765" s="88"/>
      <c r="Y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Q766" s="88"/>
      <c r="R766" s="88"/>
      <c r="S766" s="88"/>
      <c r="T766" s="88"/>
      <c r="U766" s="88"/>
      <c r="V766" s="88"/>
      <c r="W766" s="88"/>
      <c r="X766" s="88"/>
      <c r="Y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Q767" s="88"/>
      <c r="R767" s="88"/>
      <c r="S767" s="88"/>
      <c r="T767" s="88"/>
      <c r="U767" s="88"/>
      <c r="V767" s="88"/>
      <c r="W767" s="88"/>
      <c r="X767" s="88"/>
      <c r="Y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Q768" s="88"/>
      <c r="R768" s="88"/>
      <c r="S768" s="88"/>
      <c r="T768" s="88"/>
      <c r="U768" s="88"/>
      <c r="V768" s="88"/>
      <c r="W768" s="88"/>
      <c r="X768" s="88"/>
      <c r="Y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Q769" s="88"/>
      <c r="R769" s="88"/>
      <c r="S769" s="88"/>
      <c r="T769" s="88"/>
      <c r="U769" s="88"/>
      <c r="V769" s="88"/>
      <c r="W769" s="88"/>
      <c r="X769" s="88"/>
      <c r="Y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Q770" s="88"/>
      <c r="R770" s="88"/>
      <c r="S770" s="88"/>
      <c r="T770" s="88"/>
      <c r="U770" s="88"/>
      <c r="V770" s="88"/>
      <c r="W770" s="88"/>
      <c r="X770" s="88"/>
      <c r="Y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Q771" s="88"/>
      <c r="R771" s="88"/>
      <c r="S771" s="88"/>
      <c r="T771" s="88"/>
      <c r="U771" s="88"/>
      <c r="V771" s="88"/>
      <c r="W771" s="88"/>
      <c r="X771" s="88"/>
      <c r="Y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Q772" s="88"/>
      <c r="R772" s="88"/>
      <c r="S772" s="88"/>
      <c r="T772" s="88"/>
      <c r="U772" s="88"/>
      <c r="V772" s="88"/>
      <c r="W772" s="88"/>
      <c r="X772" s="88"/>
      <c r="Y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Q773" s="88"/>
      <c r="R773" s="88"/>
      <c r="S773" s="88"/>
      <c r="T773" s="88"/>
      <c r="U773" s="88"/>
      <c r="V773" s="88"/>
      <c r="W773" s="88"/>
      <c r="X773" s="88"/>
      <c r="Y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Q774" s="88"/>
      <c r="R774" s="88"/>
      <c r="S774" s="88"/>
      <c r="T774" s="88"/>
      <c r="U774" s="88"/>
      <c r="V774" s="88"/>
      <c r="W774" s="88"/>
      <c r="X774" s="88"/>
      <c r="Y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Q775" s="88"/>
      <c r="R775" s="88"/>
      <c r="S775" s="88"/>
      <c r="T775" s="88"/>
      <c r="U775" s="88"/>
      <c r="V775" s="88"/>
      <c r="W775" s="88"/>
      <c r="X775" s="88"/>
      <c r="Y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Q776" s="88"/>
      <c r="R776" s="88"/>
      <c r="S776" s="88"/>
      <c r="T776" s="88"/>
      <c r="U776" s="88"/>
      <c r="V776" s="88"/>
      <c r="W776" s="88"/>
      <c r="X776" s="88"/>
      <c r="Y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Q777" s="88"/>
      <c r="R777" s="88"/>
      <c r="S777" s="88"/>
      <c r="T777" s="88"/>
      <c r="U777" s="88"/>
      <c r="V777" s="88"/>
      <c r="W777" s="88"/>
      <c r="X777" s="88"/>
      <c r="Y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Q778" s="88"/>
      <c r="R778" s="88"/>
      <c r="S778" s="88"/>
      <c r="T778" s="88"/>
      <c r="U778" s="88"/>
      <c r="V778" s="88"/>
      <c r="W778" s="88"/>
      <c r="X778" s="88"/>
      <c r="Y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Q779" s="88"/>
      <c r="R779" s="88"/>
      <c r="S779" s="88"/>
      <c r="T779" s="88"/>
      <c r="U779" s="88"/>
      <c r="V779" s="88"/>
      <c r="W779" s="88"/>
      <c r="X779" s="88"/>
      <c r="Y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Q780" s="88"/>
      <c r="R780" s="88"/>
      <c r="S780" s="88"/>
      <c r="T780" s="88"/>
      <c r="U780" s="88"/>
      <c r="V780" s="88"/>
      <c r="W780" s="88"/>
      <c r="X780" s="88"/>
      <c r="Y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Q781" s="88"/>
      <c r="R781" s="88"/>
      <c r="S781" s="88"/>
      <c r="T781" s="88"/>
      <c r="U781" s="88"/>
      <c r="V781" s="88"/>
      <c r="W781" s="88"/>
      <c r="X781" s="88"/>
      <c r="Y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Q782" s="88"/>
      <c r="R782" s="88"/>
      <c r="S782" s="88"/>
      <c r="T782" s="88"/>
      <c r="U782" s="88"/>
      <c r="V782" s="88"/>
      <c r="W782" s="88"/>
      <c r="X782" s="88"/>
      <c r="Y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Q783" s="88"/>
      <c r="R783" s="88"/>
      <c r="S783" s="88"/>
      <c r="T783" s="88"/>
      <c r="U783" s="88"/>
      <c r="V783" s="88"/>
      <c r="W783" s="88"/>
      <c r="X783" s="88"/>
      <c r="Y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Q784" s="88"/>
      <c r="R784" s="88"/>
      <c r="S784" s="88"/>
      <c r="T784" s="88"/>
      <c r="U784" s="88"/>
      <c r="V784" s="88"/>
      <c r="W784" s="88"/>
      <c r="X784" s="88"/>
      <c r="Y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Q785" s="88"/>
      <c r="R785" s="88"/>
      <c r="S785" s="88"/>
      <c r="T785" s="88"/>
      <c r="U785" s="88"/>
      <c r="V785" s="88"/>
      <c r="W785" s="88"/>
      <c r="X785" s="88"/>
      <c r="Y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Q786" s="88"/>
      <c r="R786" s="88"/>
      <c r="S786" s="88"/>
      <c r="T786" s="88"/>
      <c r="U786" s="88"/>
      <c r="V786" s="88"/>
      <c r="W786" s="88"/>
      <c r="X786" s="88"/>
      <c r="Y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Q787" s="88"/>
      <c r="R787" s="88"/>
      <c r="S787" s="88"/>
      <c r="T787" s="88"/>
      <c r="U787" s="88"/>
      <c r="V787" s="88"/>
      <c r="W787" s="88"/>
      <c r="X787" s="88"/>
      <c r="Y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Q788" s="88"/>
      <c r="R788" s="88"/>
      <c r="S788" s="88"/>
      <c r="T788" s="88"/>
      <c r="U788" s="88"/>
      <c r="V788" s="88"/>
      <c r="W788" s="88"/>
      <c r="X788" s="88"/>
      <c r="Y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Q789" s="88"/>
      <c r="R789" s="88"/>
      <c r="S789" s="88"/>
      <c r="T789" s="88"/>
      <c r="U789" s="88"/>
      <c r="V789" s="88"/>
      <c r="W789" s="88"/>
      <c r="X789" s="88"/>
      <c r="Y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Q790" s="88"/>
      <c r="R790" s="88"/>
      <c r="S790" s="88"/>
      <c r="T790" s="88"/>
      <c r="U790" s="88"/>
      <c r="V790" s="88"/>
      <c r="W790" s="88"/>
      <c r="X790" s="88"/>
      <c r="Y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Q791" s="88"/>
      <c r="R791" s="88"/>
      <c r="S791" s="88"/>
      <c r="T791" s="88"/>
      <c r="U791" s="88"/>
      <c r="V791" s="88"/>
      <c r="W791" s="88"/>
      <c r="X791" s="88"/>
      <c r="Y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Q792" s="88"/>
      <c r="R792" s="88"/>
      <c r="S792" s="88"/>
      <c r="T792" s="88"/>
      <c r="U792" s="88"/>
      <c r="V792" s="88"/>
      <c r="W792" s="88"/>
      <c r="X792" s="88"/>
      <c r="Y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Q793" s="88"/>
      <c r="R793" s="88"/>
      <c r="S793" s="88"/>
      <c r="T793" s="88"/>
      <c r="U793" s="88"/>
      <c r="V793" s="88"/>
      <c r="W793" s="88"/>
      <c r="X793" s="88"/>
      <c r="Y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Q794" s="88"/>
      <c r="R794" s="88"/>
      <c r="S794" s="88"/>
      <c r="T794" s="88"/>
      <c r="U794" s="88"/>
      <c r="V794" s="88"/>
      <c r="W794" s="88"/>
      <c r="X794" s="88"/>
      <c r="Y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Q795" s="88"/>
      <c r="R795" s="88"/>
      <c r="S795" s="88"/>
      <c r="T795" s="88"/>
      <c r="U795" s="88"/>
      <c r="V795" s="88"/>
      <c r="W795" s="88"/>
      <c r="X795" s="88"/>
      <c r="Y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Q796" s="88"/>
      <c r="R796" s="88"/>
      <c r="S796" s="88"/>
      <c r="T796" s="88"/>
      <c r="U796" s="88"/>
      <c r="V796" s="88"/>
      <c r="W796" s="88"/>
      <c r="X796" s="88"/>
      <c r="Y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Q797" s="88"/>
      <c r="R797" s="88"/>
      <c r="S797" s="88"/>
      <c r="T797" s="88"/>
      <c r="U797" s="88"/>
      <c r="V797" s="88"/>
      <c r="W797" s="88"/>
      <c r="X797" s="88"/>
      <c r="Y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Q798" s="88"/>
      <c r="R798" s="88"/>
      <c r="S798" s="88"/>
      <c r="T798" s="88"/>
      <c r="U798" s="88"/>
      <c r="V798" s="88"/>
      <c r="W798" s="88"/>
      <c r="X798" s="88"/>
      <c r="Y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Q799" s="88"/>
      <c r="R799" s="88"/>
      <c r="S799" s="88"/>
      <c r="T799" s="88"/>
      <c r="U799" s="88"/>
      <c r="V799" s="88"/>
      <c r="W799" s="88"/>
      <c r="X799" s="88"/>
      <c r="Y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Q800" s="88"/>
      <c r="R800" s="88"/>
      <c r="S800" s="88"/>
      <c r="T800" s="88"/>
      <c r="U800" s="88"/>
      <c r="V800" s="88"/>
      <c r="W800" s="88"/>
      <c r="X800" s="88"/>
      <c r="Y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Q801" s="88"/>
      <c r="R801" s="88"/>
      <c r="S801" s="88"/>
      <c r="T801" s="88"/>
      <c r="U801" s="88"/>
      <c r="V801" s="88"/>
      <c r="W801" s="88"/>
      <c r="X801" s="88"/>
      <c r="Y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Q802" s="88"/>
      <c r="R802" s="88"/>
      <c r="S802" s="88"/>
      <c r="T802" s="88"/>
      <c r="U802" s="88"/>
      <c r="V802" s="88"/>
      <c r="W802" s="88"/>
      <c r="X802" s="88"/>
      <c r="Y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Q803" s="88"/>
      <c r="R803" s="88"/>
      <c r="S803" s="88"/>
      <c r="T803" s="88"/>
      <c r="U803" s="88"/>
      <c r="V803" s="88"/>
      <c r="W803" s="88"/>
      <c r="X803" s="88"/>
      <c r="Y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Q804" s="88"/>
      <c r="R804" s="88"/>
      <c r="S804" s="88"/>
      <c r="T804" s="88"/>
      <c r="U804" s="88"/>
      <c r="V804" s="88"/>
      <c r="W804" s="88"/>
      <c r="X804" s="88"/>
      <c r="Y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Q805" s="88"/>
      <c r="R805" s="88"/>
      <c r="S805" s="88"/>
      <c r="T805" s="88"/>
      <c r="U805" s="88"/>
      <c r="V805" s="88"/>
      <c r="W805" s="88"/>
      <c r="X805" s="88"/>
      <c r="Y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Q806" s="88"/>
      <c r="R806" s="88"/>
      <c r="S806" s="88"/>
      <c r="T806" s="88"/>
      <c r="U806" s="88"/>
      <c r="V806" s="88"/>
      <c r="W806" s="88"/>
      <c r="X806" s="88"/>
      <c r="Y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Q807" s="88"/>
      <c r="R807" s="88"/>
      <c r="S807" s="88"/>
      <c r="T807" s="88"/>
      <c r="U807" s="88"/>
      <c r="V807" s="88"/>
      <c r="W807" s="88"/>
      <c r="X807" s="88"/>
      <c r="Y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Q808" s="88"/>
      <c r="R808" s="88"/>
      <c r="S808" s="88"/>
      <c r="T808" s="88"/>
      <c r="U808" s="88"/>
      <c r="V808" s="88"/>
      <c r="W808" s="88"/>
      <c r="X808" s="88"/>
      <c r="Y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Q809" s="88"/>
      <c r="R809" s="88"/>
      <c r="S809" s="88"/>
      <c r="T809" s="88"/>
      <c r="U809" s="88"/>
      <c r="V809" s="88"/>
      <c r="W809" s="88"/>
      <c r="X809" s="88"/>
      <c r="Y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Q810" s="88"/>
      <c r="R810" s="88"/>
      <c r="S810" s="88"/>
      <c r="T810" s="88"/>
      <c r="U810" s="88"/>
      <c r="V810" s="88"/>
      <c r="W810" s="88"/>
      <c r="X810" s="88"/>
      <c r="Y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Q811" s="88"/>
      <c r="R811" s="88"/>
      <c r="S811" s="88"/>
      <c r="T811" s="88"/>
      <c r="U811" s="88"/>
      <c r="V811" s="88"/>
      <c r="W811" s="88"/>
      <c r="X811" s="88"/>
      <c r="Y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Q812" s="88"/>
      <c r="R812" s="88"/>
      <c r="S812" s="88"/>
      <c r="T812" s="88"/>
      <c r="U812" s="88"/>
      <c r="V812" s="88"/>
      <c r="W812" s="88"/>
      <c r="X812" s="88"/>
      <c r="Y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Q813" s="88"/>
      <c r="R813" s="88"/>
      <c r="S813" s="88"/>
      <c r="T813" s="88"/>
      <c r="U813" s="88"/>
      <c r="V813" s="88"/>
      <c r="W813" s="88"/>
      <c r="X813" s="88"/>
      <c r="Y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Q814" s="88"/>
      <c r="R814" s="88"/>
      <c r="S814" s="88"/>
      <c r="T814" s="88"/>
      <c r="U814" s="88"/>
      <c r="V814" s="88"/>
      <c r="W814" s="88"/>
      <c r="X814" s="88"/>
      <c r="Y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Q815" s="88"/>
      <c r="R815" s="88"/>
      <c r="S815" s="88"/>
      <c r="T815" s="88"/>
      <c r="U815" s="88"/>
      <c r="V815" s="88"/>
      <c r="W815" s="88"/>
      <c r="X815" s="88"/>
      <c r="Y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Q816" s="88"/>
      <c r="R816" s="88"/>
      <c r="S816" s="88"/>
      <c r="T816" s="88"/>
      <c r="U816" s="88"/>
      <c r="V816" s="88"/>
      <c r="W816" s="88"/>
      <c r="X816" s="88"/>
      <c r="Y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Q817" s="88"/>
      <c r="R817" s="88"/>
      <c r="S817" s="88"/>
      <c r="T817" s="88"/>
      <c r="U817" s="88"/>
      <c r="V817" s="88"/>
      <c r="W817" s="88"/>
      <c r="X817" s="88"/>
      <c r="Y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Q818" s="88"/>
      <c r="R818" s="88"/>
      <c r="S818" s="88"/>
      <c r="T818" s="88"/>
      <c r="U818" s="88"/>
      <c r="V818" s="88"/>
      <c r="W818" s="88"/>
      <c r="X818" s="88"/>
      <c r="Y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Q819" s="88"/>
      <c r="R819" s="88"/>
      <c r="S819" s="88"/>
      <c r="T819" s="88"/>
      <c r="U819" s="88"/>
      <c r="V819" s="88"/>
      <c r="W819" s="88"/>
      <c r="X819" s="88"/>
      <c r="Y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Q820" s="88"/>
      <c r="R820" s="88"/>
      <c r="S820" s="88"/>
      <c r="T820" s="88"/>
      <c r="U820" s="88"/>
      <c r="V820" s="88"/>
      <c r="W820" s="88"/>
      <c r="X820" s="88"/>
      <c r="Y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Q821" s="88"/>
      <c r="R821" s="88"/>
      <c r="S821" s="88"/>
      <c r="T821" s="88"/>
      <c r="U821" s="88"/>
      <c r="V821" s="88"/>
      <c r="W821" s="88"/>
      <c r="X821" s="88"/>
      <c r="Y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Q822" s="88"/>
      <c r="R822" s="88"/>
      <c r="S822" s="88"/>
      <c r="T822" s="88"/>
      <c r="U822" s="88"/>
      <c r="V822" s="88"/>
      <c r="W822" s="88"/>
      <c r="X822" s="88"/>
      <c r="Y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Q823" s="88"/>
      <c r="R823" s="88"/>
      <c r="S823" s="88"/>
      <c r="T823" s="88"/>
      <c r="U823" s="88"/>
      <c r="V823" s="88"/>
      <c r="W823" s="88"/>
      <c r="X823" s="88"/>
      <c r="Y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Q824" s="88"/>
      <c r="R824" s="88"/>
      <c r="S824" s="88"/>
      <c r="T824" s="88"/>
      <c r="U824" s="88"/>
      <c r="V824" s="88"/>
      <c r="W824" s="88"/>
      <c r="X824" s="88"/>
      <c r="Y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Q825" s="88"/>
      <c r="R825" s="88"/>
      <c r="S825" s="88"/>
      <c r="T825" s="88"/>
      <c r="U825" s="88"/>
      <c r="V825" s="88"/>
      <c r="W825" s="88"/>
      <c r="X825" s="88"/>
      <c r="Y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Q826" s="88"/>
      <c r="R826" s="88"/>
      <c r="S826" s="88"/>
      <c r="T826" s="88"/>
      <c r="U826" s="88"/>
      <c r="V826" s="88"/>
      <c r="W826" s="88"/>
      <c r="X826" s="88"/>
      <c r="Y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Q827" s="88"/>
      <c r="R827" s="88"/>
      <c r="S827" s="88"/>
      <c r="T827" s="88"/>
      <c r="U827" s="88"/>
      <c r="V827" s="88"/>
      <c r="W827" s="88"/>
      <c r="X827" s="88"/>
      <c r="Y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Q828" s="88"/>
      <c r="R828" s="88"/>
      <c r="S828" s="88"/>
      <c r="T828" s="88"/>
      <c r="U828" s="88"/>
      <c r="V828" s="88"/>
      <c r="W828" s="88"/>
      <c r="X828" s="88"/>
      <c r="Y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Q829" s="88"/>
      <c r="R829" s="88"/>
      <c r="S829" s="88"/>
      <c r="T829" s="88"/>
      <c r="U829" s="88"/>
      <c r="V829" s="88"/>
      <c r="W829" s="88"/>
      <c r="X829" s="88"/>
      <c r="Y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Q830" s="88"/>
      <c r="R830" s="88"/>
      <c r="S830" s="88"/>
      <c r="T830" s="88"/>
      <c r="U830" s="88"/>
      <c r="V830" s="88"/>
      <c r="W830" s="88"/>
      <c r="X830" s="88"/>
      <c r="Y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Q831" s="88"/>
      <c r="R831" s="88"/>
      <c r="S831" s="88"/>
      <c r="T831" s="88"/>
      <c r="U831" s="88"/>
      <c r="V831" s="88"/>
      <c r="W831" s="88"/>
      <c r="X831" s="88"/>
      <c r="Y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Q832" s="88"/>
      <c r="R832" s="88"/>
      <c r="S832" s="88"/>
      <c r="T832" s="88"/>
      <c r="U832" s="88"/>
      <c r="V832" s="88"/>
      <c r="W832" s="88"/>
      <c r="X832" s="88"/>
      <c r="Y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Q833" s="88"/>
      <c r="R833" s="88"/>
      <c r="S833" s="88"/>
      <c r="T833" s="88"/>
      <c r="U833" s="88"/>
      <c r="V833" s="88"/>
      <c r="W833" s="88"/>
      <c r="X833" s="88"/>
      <c r="Y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Q834" s="88"/>
      <c r="R834" s="88"/>
      <c r="S834" s="88"/>
      <c r="T834" s="88"/>
      <c r="U834" s="88"/>
      <c r="V834" s="88"/>
      <c r="W834" s="88"/>
      <c r="X834" s="88"/>
      <c r="Y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Q835" s="88"/>
      <c r="R835" s="88"/>
      <c r="S835" s="88"/>
      <c r="T835" s="88"/>
      <c r="U835" s="88"/>
      <c r="V835" s="88"/>
      <c r="W835" s="88"/>
      <c r="X835" s="88"/>
      <c r="Y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Q836" s="88"/>
      <c r="R836" s="88"/>
      <c r="S836" s="88"/>
      <c r="T836" s="88"/>
      <c r="U836" s="88"/>
      <c r="V836" s="88"/>
      <c r="W836" s="88"/>
      <c r="X836" s="88"/>
      <c r="Y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Q837" s="88"/>
      <c r="R837" s="88"/>
      <c r="S837" s="88"/>
      <c r="T837" s="88"/>
      <c r="U837" s="88"/>
      <c r="V837" s="88"/>
      <c r="W837" s="88"/>
      <c r="X837" s="88"/>
      <c r="Y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Q838" s="88"/>
      <c r="R838" s="88"/>
      <c r="S838" s="88"/>
      <c r="T838" s="88"/>
      <c r="U838" s="88"/>
      <c r="V838" s="88"/>
      <c r="W838" s="88"/>
      <c r="X838" s="88"/>
      <c r="Y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Q839" s="88"/>
      <c r="R839" s="88"/>
      <c r="S839" s="88"/>
      <c r="T839" s="88"/>
      <c r="U839" s="88"/>
      <c r="V839" s="88"/>
      <c r="W839" s="88"/>
      <c r="X839" s="88"/>
      <c r="Y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Q840" s="88"/>
      <c r="R840" s="88"/>
      <c r="S840" s="88"/>
      <c r="T840" s="88"/>
      <c r="U840" s="88"/>
      <c r="V840" s="88"/>
      <c r="W840" s="88"/>
      <c r="X840" s="88"/>
      <c r="Y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Q841" s="88"/>
      <c r="R841" s="88"/>
      <c r="S841" s="88"/>
      <c r="T841" s="88"/>
      <c r="U841" s="88"/>
      <c r="V841" s="88"/>
      <c r="W841" s="88"/>
      <c r="X841" s="88"/>
      <c r="Y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Q842" s="88"/>
      <c r="R842" s="88"/>
      <c r="S842" s="88"/>
      <c r="T842" s="88"/>
      <c r="U842" s="88"/>
      <c r="V842" s="88"/>
      <c r="W842" s="88"/>
      <c r="X842" s="88"/>
      <c r="Y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Q843" s="88"/>
      <c r="R843" s="88"/>
      <c r="S843" s="88"/>
      <c r="T843" s="88"/>
      <c r="U843" s="88"/>
      <c r="V843" s="88"/>
      <c r="W843" s="88"/>
      <c r="X843" s="88"/>
      <c r="Y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Q844" s="88"/>
      <c r="R844" s="88"/>
      <c r="S844" s="88"/>
      <c r="T844" s="88"/>
      <c r="U844" s="88"/>
      <c r="V844" s="88"/>
      <c r="W844" s="88"/>
      <c r="X844" s="88"/>
      <c r="Y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Q845" s="88"/>
      <c r="R845" s="88"/>
      <c r="S845" s="88"/>
      <c r="T845" s="88"/>
      <c r="U845" s="88"/>
      <c r="V845" s="88"/>
      <c r="W845" s="88"/>
      <c r="X845" s="88"/>
      <c r="Y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Q846" s="88"/>
      <c r="R846" s="88"/>
      <c r="S846" s="88"/>
      <c r="T846" s="88"/>
      <c r="U846" s="88"/>
      <c r="V846" s="88"/>
      <c r="W846" s="88"/>
      <c r="X846" s="88"/>
      <c r="Y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Q847" s="88"/>
      <c r="R847" s="88"/>
      <c r="S847" s="88"/>
      <c r="T847" s="88"/>
      <c r="U847" s="88"/>
      <c r="V847" s="88"/>
      <c r="W847" s="88"/>
      <c r="X847" s="88"/>
      <c r="Y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Q848" s="88"/>
      <c r="R848" s="88"/>
      <c r="S848" s="88"/>
      <c r="T848" s="88"/>
      <c r="U848" s="88"/>
      <c r="V848" s="88"/>
      <c r="W848" s="88"/>
      <c r="X848" s="88"/>
      <c r="Y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Q849" s="88"/>
      <c r="R849" s="88"/>
      <c r="S849" s="88"/>
      <c r="T849" s="88"/>
      <c r="U849" s="88"/>
      <c r="V849" s="88"/>
      <c r="W849" s="88"/>
      <c r="X849" s="88"/>
      <c r="Y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Q850" s="88"/>
      <c r="R850" s="88"/>
      <c r="S850" s="88"/>
      <c r="T850" s="88"/>
      <c r="U850" s="88"/>
      <c r="V850" s="88"/>
      <c r="W850" s="88"/>
      <c r="X850" s="88"/>
      <c r="Y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Q851" s="88"/>
      <c r="R851" s="88"/>
      <c r="S851" s="88"/>
      <c r="T851" s="88"/>
      <c r="U851" s="88"/>
      <c r="V851" s="88"/>
      <c r="W851" s="88"/>
      <c r="X851" s="88"/>
      <c r="Y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Q852" s="88"/>
      <c r="R852" s="88"/>
      <c r="S852" s="88"/>
      <c r="T852" s="88"/>
      <c r="U852" s="88"/>
      <c r="V852" s="88"/>
      <c r="W852" s="88"/>
      <c r="X852" s="88"/>
      <c r="Y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Q853" s="88"/>
      <c r="R853" s="88"/>
      <c r="S853" s="88"/>
      <c r="T853" s="88"/>
      <c r="U853" s="88"/>
      <c r="V853" s="88"/>
      <c r="W853" s="88"/>
      <c r="X853" s="88"/>
      <c r="Y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Q854" s="88"/>
      <c r="R854" s="88"/>
      <c r="S854" s="88"/>
      <c r="T854" s="88"/>
      <c r="U854" s="88"/>
      <c r="V854" s="88"/>
      <c r="W854" s="88"/>
      <c r="X854" s="88"/>
      <c r="Y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Q855" s="88"/>
      <c r="R855" s="88"/>
      <c r="S855" s="88"/>
      <c r="T855" s="88"/>
      <c r="U855" s="88"/>
      <c r="V855" s="88"/>
      <c r="W855" s="88"/>
      <c r="X855" s="88"/>
      <c r="Y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Q856" s="88"/>
      <c r="R856" s="88"/>
      <c r="S856" s="88"/>
      <c r="T856" s="88"/>
      <c r="U856" s="88"/>
      <c r="V856" s="88"/>
      <c r="W856" s="88"/>
      <c r="X856" s="88"/>
      <c r="Y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Q857" s="88"/>
      <c r="R857" s="88"/>
      <c r="S857" s="88"/>
      <c r="T857" s="88"/>
      <c r="U857" s="88"/>
      <c r="V857" s="88"/>
      <c r="W857" s="88"/>
      <c r="X857" s="88"/>
      <c r="Y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Q858" s="88"/>
      <c r="R858" s="88"/>
      <c r="S858" s="88"/>
      <c r="T858" s="88"/>
      <c r="U858" s="88"/>
      <c r="V858" s="88"/>
      <c r="W858" s="88"/>
      <c r="X858" s="88"/>
      <c r="Y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Q859" s="88"/>
      <c r="R859" s="88"/>
      <c r="S859" s="88"/>
      <c r="T859" s="88"/>
      <c r="U859" s="88"/>
      <c r="V859" s="88"/>
      <c r="W859" s="88"/>
      <c r="X859" s="88"/>
      <c r="Y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Q860" s="88"/>
      <c r="R860" s="88"/>
      <c r="S860" s="88"/>
      <c r="T860" s="88"/>
      <c r="U860" s="88"/>
      <c r="V860" s="88"/>
      <c r="W860" s="88"/>
      <c r="X860" s="88"/>
      <c r="Y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Q861" s="88"/>
      <c r="R861" s="88"/>
      <c r="S861" s="88"/>
      <c r="T861" s="88"/>
      <c r="U861" s="88"/>
      <c r="V861" s="88"/>
      <c r="W861" s="88"/>
      <c r="X861" s="88"/>
      <c r="Y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Q862" s="88"/>
      <c r="R862" s="88"/>
      <c r="S862" s="88"/>
      <c r="T862" s="88"/>
      <c r="U862" s="88"/>
      <c r="V862" s="88"/>
      <c r="W862" s="88"/>
      <c r="X862" s="88"/>
      <c r="Y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Q863" s="88"/>
      <c r="R863" s="88"/>
      <c r="S863" s="88"/>
      <c r="T863" s="88"/>
      <c r="U863" s="88"/>
      <c r="V863" s="88"/>
      <c r="W863" s="88"/>
      <c r="X863" s="88"/>
      <c r="Y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Q864" s="88"/>
      <c r="R864" s="88"/>
      <c r="S864" s="88"/>
      <c r="T864" s="88"/>
      <c r="U864" s="88"/>
      <c r="V864" s="88"/>
      <c r="W864" s="88"/>
      <c r="X864" s="88"/>
      <c r="Y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Q865" s="88"/>
      <c r="R865" s="88"/>
      <c r="S865" s="88"/>
      <c r="T865" s="88"/>
      <c r="U865" s="88"/>
      <c r="V865" s="88"/>
      <c r="W865" s="88"/>
      <c r="X865" s="88"/>
      <c r="Y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Q866" s="88"/>
      <c r="R866" s="88"/>
      <c r="S866" s="88"/>
      <c r="T866" s="88"/>
      <c r="U866" s="88"/>
      <c r="V866" s="88"/>
      <c r="W866" s="88"/>
      <c r="X866" s="88"/>
      <c r="Y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Q867" s="88"/>
      <c r="R867" s="88"/>
      <c r="S867" s="88"/>
      <c r="T867" s="88"/>
      <c r="U867" s="88"/>
      <c r="V867" s="88"/>
      <c r="W867" s="88"/>
      <c r="X867" s="88"/>
      <c r="Y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Q868" s="88"/>
      <c r="R868" s="88"/>
      <c r="S868" s="88"/>
      <c r="T868" s="88"/>
      <c r="U868" s="88"/>
      <c r="V868" s="88"/>
      <c r="W868" s="88"/>
      <c r="X868" s="88"/>
      <c r="Y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Q869" s="88"/>
      <c r="R869" s="88"/>
      <c r="S869" s="88"/>
      <c r="T869" s="88"/>
      <c r="U869" s="88"/>
      <c r="V869" s="88"/>
      <c r="W869" s="88"/>
      <c r="X869" s="88"/>
      <c r="Y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Q870" s="88"/>
      <c r="R870" s="88"/>
      <c r="S870" s="88"/>
      <c r="T870" s="88"/>
      <c r="U870" s="88"/>
      <c r="V870" s="88"/>
      <c r="W870" s="88"/>
      <c r="X870" s="88"/>
      <c r="Y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Q871" s="88"/>
      <c r="R871" s="88"/>
      <c r="S871" s="88"/>
      <c r="T871" s="88"/>
      <c r="U871" s="88"/>
      <c r="V871" s="88"/>
      <c r="W871" s="88"/>
      <c r="X871" s="88"/>
      <c r="Y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Q872" s="88"/>
      <c r="R872" s="88"/>
      <c r="S872" s="88"/>
      <c r="T872" s="88"/>
      <c r="U872" s="88"/>
      <c r="V872" s="88"/>
      <c r="W872" s="88"/>
      <c r="X872" s="88"/>
      <c r="Y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Q873" s="88"/>
      <c r="R873" s="88"/>
      <c r="S873" s="88"/>
      <c r="T873" s="88"/>
      <c r="U873" s="88"/>
      <c r="V873" s="88"/>
      <c r="W873" s="88"/>
      <c r="X873" s="88"/>
      <c r="Y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Q874" s="88"/>
      <c r="R874" s="88"/>
      <c r="S874" s="88"/>
      <c r="T874" s="88"/>
      <c r="U874" s="88"/>
      <c r="V874" s="88"/>
      <c r="W874" s="88"/>
      <c r="X874" s="88"/>
      <c r="Y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Q875" s="88"/>
      <c r="R875" s="88"/>
      <c r="S875" s="88"/>
      <c r="T875" s="88"/>
      <c r="U875" s="88"/>
      <c r="V875" s="88"/>
      <c r="W875" s="88"/>
      <c r="X875" s="88"/>
      <c r="Y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Q876" s="88"/>
      <c r="R876" s="88"/>
      <c r="S876" s="88"/>
      <c r="T876" s="88"/>
      <c r="U876" s="88"/>
      <c r="V876" s="88"/>
      <c r="W876" s="88"/>
      <c r="X876" s="88"/>
      <c r="Y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Q877" s="88"/>
      <c r="R877" s="88"/>
      <c r="S877" s="88"/>
      <c r="T877" s="88"/>
      <c r="U877" s="88"/>
      <c r="V877" s="88"/>
      <c r="W877" s="88"/>
      <c r="X877" s="88"/>
      <c r="Y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Q878" s="88"/>
      <c r="R878" s="88"/>
      <c r="S878" s="88"/>
      <c r="T878" s="88"/>
      <c r="U878" s="88"/>
      <c r="V878" s="88"/>
      <c r="W878" s="88"/>
      <c r="X878" s="88"/>
      <c r="Y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Q879" s="88"/>
      <c r="R879" s="88"/>
      <c r="S879" s="88"/>
      <c r="T879" s="88"/>
      <c r="U879" s="88"/>
      <c r="V879" s="88"/>
      <c r="W879" s="88"/>
      <c r="X879" s="88"/>
      <c r="Y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Q880" s="88"/>
      <c r="R880" s="88"/>
      <c r="S880" s="88"/>
      <c r="T880" s="88"/>
      <c r="U880" s="88"/>
      <c r="V880" s="88"/>
      <c r="W880" s="88"/>
      <c r="X880" s="88"/>
      <c r="Y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Q881" s="88"/>
      <c r="R881" s="88"/>
      <c r="S881" s="88"/>
      <c r="T881" s="88"/>
      <c r="U881" s="88"/>
      <c r="V881" s="88"/>
      <c r="W881" s="88"/>
      <c r="X881" s="88"/>
      <c r="Y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Q882" s="88"/>
      <c r="R882" s="88"/>
      <c r="S882" s="88"/>
      <c r="T882" s="88"/>
      <c r="U882" s="88"/>
      <c r="V882" s="88"/>
      <c r="W882" s="88"/>
      <c r="X882" s="88"/>
      <c r="Y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Q883" s="88"/>
      <c r="R883" s="88"/>
      <c r="S883" s="88"/>
      <c r="T883" s="88"/>
      <c r="U883" s="88"/>
      <c r="V883" s="88"/>
      <c r="W883" s="88"/>
      <c r="X883" s="88"/>
      <c r="Y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Q884" s="88"/>
      <c r="R884" s="88"/>
      <c r="S884" s="88"/>
      <c r="T884" s="88"/>
      <c r="U884" s="88"/>
      <c r="V884" s="88"/>
      <c r="W884" s="88"/>
      <c r="X884" s="88"/>
      <c r="Y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Q885" s="88"/>
      <c r="R885" s="88"/>
      <c r="S885" s="88"/>
      <c r="T885" s="88"/>
      <c r="U885" s="88"/>
      <c r="V885" s="88"/>
      <c r="W885" s="88"/>
      <c r="X885" s="88"/>
      <c r="Y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Q886" s="88"/>
      <c r="R886" s="88"/>
      <c r="S886" s="88"/>
      <c r="T886" s="88"/>
      <c r="U886" s="88"/>
      <c r="V886" s="88"/>
      <c r="W886" s="88"/>
      <c r="X886" s="88"/>
      <c r="Y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Q887" s="88"/>
      <c r="R887" s="88"/>
      <c r="S887" s="88"/>
      <c r="T887" s="88"/>
      <c r="U887" s="88"/>
      <c r="V887" s="88"/>
      <c r="W887" s="88"/>
      <c r="X887" s="88"/>
      <c r="Y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Q888" s="88"/>
      <c r="R888" s="88"/>
      <c r="S888" s="88"/>
      <c r="T888" s="88"/>
      <c r="U888" s="88"/>
      <c r="V888" s="88"/>
      <c r="W888" s="88"/>
      <c r="X888" s="88"/>
      <c r="Y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Q889" s="88"/>
      <c r="R889" s="88"/>
      <c r="S889" s="88"/>
      <c r="T889" s="88"/>
      <c r="U889" s="88"/>
      <c r="V889" s="88"/>
      <c r="W889" s="88"/>
      <c r="X889" s="88"/>
      <c r="Y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Q890" s="88"/>
      <c r="R890" s="88"/>
      <c r="S890" s="88"/>
      <c r="T890" s="88"/>
      <c r="U890" s="88"/>
      <c r="V890" s="88"/>
      <c r="W890" s="88"/>
      <c r="X890" s="88"/>
      <c r="Y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Q891" s="88"/>
      <c r="R891" s="88"/>
      <c r="S891" s="88"/>
      <c r="T891" s="88"/>
      <c r="U891" s="88"/>
      <c r="V891" s="88"/>
      <c r="W891" s="88"/>
      <c r="X891" s="88"/>
      <c r="Y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Q892" s="88"/>
      <c r="R892" s="88"/>
      <c r="S892" s="88"/>
      <c r="T892" s="88"/>
      <c r="U892" s="88"/>
      <c r="V892" s="88"/>
      <c r="W892" s="88"/>
      <c r="X892" s="88"/>
      <c r="Y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Q893" s="88"/>
      <c r="R893" s="88"/>
      <c r="S893" s="88"/>
      <c r="T893" s="88"/>
      <c r="U893" s="88"/>
      <c r="V893" s="88"/>
      <c r="W893" s="88"/>
      <c r="X893" s="88"/>
      <c r="Y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Q894" s="88"/>
      <c r="R894" s="88"/>
      <c r="S894" s="88"/>
      <c r="T894" s="88"/>
      <c r="U894" s="88"/>
      <c r="V894" s="88"/>
      <c r="W894" s="88"/>
      <c r="X894" s="88"/>
      <c r="Y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Q895" s="88"/>
      <c r="R895" s="88"/>
      <c r="S895" s="88"/>
      <c r="T895" s="88"/>
      <c r="U895" s="88"/>
      <c r="V895" s="88"/>
      <c r="W895" s="88"/>
      <c r="X895" s="88"/>
      <c r="Y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Q896" s="88"/>
      <c r="R896" s="88"/>
      <c r="S896" s="88"/>
      <c r="T896" s="88"/>
      <c r="U896" s="88"/>
      <c r="V896" s="88"/>
      <c r="W896" s="88"/>
      <c r="X896" s="88"/>
      <c r="Y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Q897" s="88"/>
      <c r="R897" s="88"/>
      <c r="S897" s="88"/>
      <c r="T897" s="88"/>
      <c r="U897" s="88"/>
      <c r="V897" s="88"/>
      <c r="W897" s="88"/>
      <c r="X897" s="88"/>
      <c r="Y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Q898" s="88"/>
      <c r="R898" s="88"/>
      <c r="S898" s="88"/>
      <c r="T898" s="88"/>
      <c r="U898" s="88"/>
      <c r="V898" s="88"/>
      <c r="W898" s="88"/>
      <c r="X898" s="88"/>
      <c r="Y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Q899" s="88"/>
      <c r="R899" s="88"/>
      <c r="S899" s="88"/>
      <c r="T899" s="88"/>
      <c r="U899" s="88"/>
      <c r="V899" s="88"/>
      <c r="W899" s="88"/>
      <c r="X899" s="88"/>
      <c r="Y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Q900" s="88"/>
      <c r="R900" s="88"/>
      <c r="S900" s="88"/>
      <c r="T900" s="88"/>
      <c r="U900" s="88"/>
      <c r="V900" s="88"/>
      <c r="W900" s="88"/>
      <c r="X900" s="88"/>
      <c r="Y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Q901" s="88"/>
      <c r="R901" s="88"/>
      <c r="S901" s="88"/>
      <c r="T901" s="88"/>
      <c r="U901" s="88"/>
      <c r="V901" s="88"/>
      <c r="W901" s="88"/>
      <c r="X901" s="88"/>
      <c r="Y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Q902" s="88"/>
      <c r="R902" s="88"/>
      <c r="S902" s="88"/>
      <c r="T902" s="88"/>
      <c r="U902" s="88"/>
      <c r="V902" s="88"/>
      <c r="W902" s="88"/>
      <c r="X902" s="88"/>
      <c r="Y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Q903" s="88"/>
      <c r="R903" s="88"/>
      <c r="S903" s="88"/>
      <c r="T903" s="88"/>
      <c r="U903" s="88"/>
      <c r="V903" s="88"/>
      <c r="W903" s="88"/>
      <c r="X903" s="88"/>
      <c r="Y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Q904" s="88"/>
      <c r="R904" s="88"/>
      <c r="S904" s="88"/>
      <c r="T904" s="88"/>
      <c r="U904" s="88"/>
      <c r="V904" s="88"/>
      <c r="W904" s="88"/>
      <c r="X904" s="88"/>
      <c r="Y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Q905" s="88"/>
      <c r="R905" s="88"/>
      <c r="S905" s="88"/>
      <c r="T905" s="88"/>
      <c r="U905" s="88"/>
      <c r="V905" s="88"/>
      <c r="W905" s="88"/>
      <c r="X905" s="88"/>
      <c r="Y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Q906" s="88"/>
      <c r="R906" s="88"/>
      <c r="S906" s="88"/>
      <c r="T906" s="88"/>
      <c r="U906" s="88"/>
      <c r="V906" s="88"/>
      <c r="W906" s="88"/>
      <c r="X906" s="88"/>
      <c r="Y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Q907" s="88"/>
      <c r="R907" s="88"/>
      <c r="S907" s="88"/>
      <c r="T907" s="88"/>
      <c r="U907" s="88"/>
      <c r="V907" s="88"/>
      <c r="W907" s="88"/>
      <c r="X907" s="88"/>
      <c r="Y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Q908" s="88"/>
      <c r="R908" s="88"/>
      <c r="S908" s="88"/>
      <c r="T908" s="88"/>
      <c r="U908" s="88"/>
      <c r="V908" s="88"/>
      <c r="W908" s="88"/>
      <c r="X908" s="88"/>
      <c r="Y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Q909" s="88"/>
      <c r="R909" s="88"/>
      <c r="S909" s="88"/>
      <c r="T909" s="88"/>
      <c r="U909" s="88"/>
      <c r="V909" s="88"/>
      <c r="W909" s="88"/>
      <c r="X909" s="88"/>
      <c r="Y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Q910" s="88"/>
      <c r="R910" s="88"/>
      <c r="S910" s="88"/>
      <c r="T910" s="88"/>
      <c r="U910" s="88"/>
      <c r="V910" s="88"/>
      <c r="W910" s="88"/>
      <c r="X910" s="88"/>
      <c r="Y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Q911" s="88"/>
      <c r="R911" s="88"/>
      <c r="S911" s="88"/>
      <c r="T911" s="88"/>
      <c r="U911" s="88"/>
      <c r="V911" s="88"/>
      <c r="W911" s="88"/>
      <c r="X911" s="88"/>
      <c r="Y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Q912" s="88"/>
      <c r="R912" s="88"/>
      <c r="S912" s="88"/>
      <c r="T912" s="88"/>
      <c r="U912" s="88"/>
      <c r="V912" s="88"/>
      <c r="W912" s="88"/>
      <c r="X912" s="88"/>
      <c r="Y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Q913" s="88"/>
      <c r="R913" s="88"/>
      <c r="S913" s="88"/>
      <c r="T913" s="88"/>
      <c r="U913" s="88"/>
      <c r="V913" s="88"/>
      <c r="W913" s="88"/>
      <c r="X913" s="88"/>
      <c r="Y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Q914" s="88"/>
      <c r="R914" s="88"/>
      <c r="S914" s="88"/>
      <c r="T914" s="88"/>
      <c r="U914" s="88"/>
      <c r="V914" s="88"/>
      <c r="W914" s="88"/>
      <c r="X914" s="88"/>
      <c r="Y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Q915" s="88"/>
      <c r="R915" s="88"/>
      <c r="S915" s="88"/>
      <c r="T915" s="88"/>
      <c r="U915" s="88"/>
      <c r="V915" s="88"/>
      <c r="W915" s="88"/>
      <c r="X915" s="88"/>
      <c r="Y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Q916" s="88"/>
      <c r="R916" s="88"/>
      <c r="S916" s="88"/>
      <c r="T916" s="88"/>
      <c r="U916" s="88"/>
      <c r="V916" s="88"/>
      <c r="W916" s="88"/>
      <c r="X916" s="88"/>
      <c r="Y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Q917" s="88"/>
      <c r="R917" s="88"/>
      <c r="S917" s="88"/>
      <c r="T917" s="88"/>
      <c r="U917" s="88"/>
      <c r="V917" s="88"/>
      <c r="W917" s="88"/>
      <c r="X917" s="88"/>
      <c r="Y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Q918" s="88"/>
      <c r="R918" s="88"/>
      <c r="S918" s="88"/>
      <c r="T918" s="88"/>
      <c r="U918" s="88"/>
      <c r="V918" s="88"/>
      <c r="W918" s="88"/>
      <c r="X918" s="88"/>
      <c r="Y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Q919" s="88"/>
      <c r="R919" s="88"/>
      <c r="S919" s="88"/>
      <c r="T919" s="88"/>
      <c r="U919" s="88"/>
      <c r="V919" s="88"/>
      <c r="W919" s="88"/>
      <c r="X919" s="88"/>
      <c r="Y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Q920" s="88"/>
      <c r="R920" s="88"/>
      <c r="S920" s="88"/>
      <c r="T920" s="88"/>
      <c r="U920" s="88"/>
      <c r="V920" s="88"/>
      <c r="W920" s="88"/>
      <c r="X920" s="88"/>
      <c r="Y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Q921" s="88"/>
      <c r="R921" s="88"/>
      <c r="S921" s="88"/>
      <c r="T921" s="88"/>
      <c r="U921" s="88"/>
      <c r="V921" s="88"/>
      <c r="W921" s="88"/>
      <c r="X921" s="88"/>
      <c r="Y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Q922" s="88"/>
      <c r="R922" s="88"/>
      <c r="S922" s="88"/>
      <c r="T922" s="88"/>
      <c r="U922" s="88"/>
      <c r="V922" s="88"/>
      <c r="W922" s="88"/>
      <c r="X922" s="88"/>
      <c r="Y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Q923" s="88"/>
      <c r="R923" s="88"/>
      <c r="S923" s="88"/>
      <c r="T923" s="88"/>
      <c r="U923" s="88"/>
      <c r="V923" s="88"/>
      <c r="W923" s="88"/>
      <c r="X923" s="88"/>
      <c r="Y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Q924" s="88"/>
      <c r="R924" s="88"/>
      <c r="S924" s="88"/>
      <c r="T924" s="88"/>
      <c r="U924" s="88"/>
      <c r="V924" s="88"/>
      <c r="W924" s="88"/>
      <c r="X924" s="88"/>
      <c r="Y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Q925" s="88"/>
      <c r="R925" s="88"/>
      <c r="S925" s="88"/>
      <c r="T925" s="88"/>
      <c r="U925" s="88"/>
      <c r="V925" s="88"/>
      <c r="W925" s="88"/>
      <c r="X925" s="88"/>
      <c r="Y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Q926" s="88"/>
      <c r="R926" s="88"/>
      <c r="S926" s="88"/>
      <c r="T926" s="88"/>
      <c r="U926" s="88"/>
      <c r="V926" s="88"/>
      <c r="W926" s="88"/>
      <c r="X926" s="88"/>
      <c r="Y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Q927" s="88"/>
      <c r="R927" s="88"/>
      <c r="S927" s="88"/>
      <c r="T927" s="88"/>
      <c r="U927" s="88"/>
      <c r="V927" s="88"/>
      <c r="W927" s="88"/>
      <c r="X927" s="88"/>
      <c r="Y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Q928" s="88"/>
      <c r="R928" s="88"/>
      <c r="S928" s="88"/>
      <c r="T928" s="88"/>
      <c r="U928" s="88"/>
      <c r="V928" s="88"/>
      <c r="W928" s="88"/>
      <c r="X928" s="88"/>
      <c r="Y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Q929" s="88"/>
      <c r="R929" s="88"/>
      <c r="S929" s="88"/>
      <c r="T929" s="88"/>
      <c r="U929" s="88"/>
      <c r="V929" s="88"/>
      <c r="W929" s="88"/>
      <c r="X929" s="88"/>
      <c r="Y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Q930" s="88"/>
      <c r="R930" s="88"/>
      <c r="S930" s="88"/>
      <c r="T930" s="88"/>
      <c r="U930" s="88"/>
      <c r="V930" s="88"/>
      <c r="W930" s="88"/>
      <c r="X930" s="88"/>
      <c r="Y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Q931" s="88"/>
      <c r="R931" s="88"/>
      <c r="S931" s="88"/>
      <c r="T931" s="88"/>
      <c r="U931" s="88"/>
      <c r="V931" s="88"/>
      <c r="W931" s="88"/>
      <c r="X931" s="88"/>
      <c r="Y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Q932" s="88"/>
      <c r="R932" s="88"/>
      <c r="S932" s="88"/>
      <c r="T932" s="88"/>
      <c r="U932" s="88"/>
      <c r="V932" s="88"/>
      <c r="W932" s="88"/>
      <c r="X932" s="88"/>
      <c r="Y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Q933" s="88"/>
      <c r="R933" s="88"/>
      <c r="S933" s="88"/>
      <c r="T933" s="88"/>
      <c r="U933" s="88"/>
      <c r="V933" s="88"/>
      <c r="W933" s="88"/>
      <c r="X933" s="88"/>
      <c r="Y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Q934" s="88"/>
      <c r="R934" s="88"/>
      <c r="S934" s="88"/>
      <c r="T934" s="88"/>
      <c r="U934" s="88"/>
      <c r="V934" s="88"/>
      <c r="W934" s="88"/>
      <c r="X934" s="88"/>
      <c r="Y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Q935" s="88"/>
      <c r="R935" s="88"/>
      <c r="S935" s="88"/>
      <c r="T935" s="88"/>
      <c r="U935" s="88"/>
      <c r="V935" s="88"/>
      <c r="W935" s="88"/>
      <c r="X935" s="88"/>
      <c r="Y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Q936" s="88"/>
      <c r="R936" s="88"/>
      <c r="S936" s="88"/>
      <c r="T936" s="88"/>
      <c r="U936" s="88"/>
      <c r="V936" s="88"/>
      <c r="W936" s="88"/>
      <c r="X936" s="88"/>
      <c r="Y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Q937" s="88"/>
      <c r="R937" s="88"/>
      <c r="S937" s="88"/>
      <c r="T937" s="88"/>
      <c r="U937" s="88"/>
      <c r="V937" s="88"/>
      <c r="W937" s="88"/>
      <c r="X937" s="88"/>
      <c r="Y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Q938" s="88"/>
      <c r="R938" s="88"/>
      <c r="S938" s="88"/>
      <c r="T938" s="88"/>
      <c r="U938" s="88"/>
      <c r="V938" s="88"/>
      <c r="W938" s="88"/>
      <c r="X938" s="88"/>
      <c r="Y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Q939" s="88"/>
      <c r="R939" s="88"/>
      <c r="S939" s="88"/>
      <c r="T939" s="88"/>
      <c r="U939" s="88"/>
      <c r="V939" s="88"/>
      <c r="W939" s="88"/>
      <c r="X939" s="88"/>
      <c r="Y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Q940" s="88"/>
      <c r="R940" s="88"/>
      <c r="S940" s="88"/>
      <c r="T940" s="88"/>
      <c r="U940" s="88"/>
      <c r="V940" s="88"/>
      <c r="W940" s="88"/>
      <c r="X940" s="88"/>
      <c r="Y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Q941" s="88"/>
      <c r="R941" s="88"/>
      <c r="S941" s="88"/>
      <c r="T941" s="88"/>
      <c r="U941" s="88"/>
      <c r="V941" s="88"/>
      <c r="W941" s="88"/>
      <c r="X941" s="88"/>
      <c r="Y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Q942" s="88"/>
      <c r="R942" s="88"/>
      <c r="S942" s="88"/>
      <c r="T942" s="88"/>
      <c r="U942" s="88"/>
      <c r="V942" s="88"/>
      <c r="W942" s="88"/>
      <c r="X942" s="88"/>
      <c r="Y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Q943" s="88"/>
      <c r="R943" s="88"/>
      <c r="S943" s="88"/>
      <c r="T943" s="88"/>
      <c r="U943" s="88"/>
      <c r="V943" s="88"/>
      <c r="W943" s="88"/>
      <c r="X943" s="88"/>
      <c r="Y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Q944" s="88"/>
      <c r="R944" s="88"/>
      <c r="S944" s="88"/>
      <c r="T944" s="88"/>
      <c r="U944" s="88"/>
      <c r="V944" s="88"/>
      <c r="W944" s="88"/>
      <c r="X944" s="88"/>
      <c r="Y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Q945" s="88"/>
      <c r="R945" s="88"/>
      <c r="S945" s="88"/>
      <c r="T945" s="88"/>
      <c r="U945" s="88"/>
      <c r="V945" s="88"/>
      <c r="W945" s="88"/>
      <c r="X945" s="88"/>
      <c r="Y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Q946" s="88"/>
      <c r="R946" s="88"/>
      <c r="S946" s="88"/>
      <c r="T946" s="88"/>
      <c r="U946" s="88"/>
      <c r="V946" s="88"/>
      <c r="W946" s="88"/>
      <c r="X946" s="88"/>
      <c r="Y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Q947" s="88"/>
      <c r="R947" s="88"/>
      <c r="S947" s="88"/>
      <c r="T947" s="88"/>
      <c r="U947" s="88"/>
      <c r="V947" s="88"/>
      <c r="W947" s="88"/>
      <c r="X947" s="88"/>
      <c r="Y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Q948" s="88"/>
      <c r="R948" s="88"/>
      <c r="S948" s="88"/>
      <c r="T948" s="88"/>
      <c r="U948" s="88"/>
      <c r="V948" s="88"/>
      <c r="W948" s="88"/>
      <c r="X948" s="88"/>
      <c r="Y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Q949" s="88"/>
      <c r="R949" s="88"/>
      <c r="S949" s="88"/>
      <c r="T949" s="88"/>
      <c r="U949" s="88"/>
      <c r="V949" s="88"/>
      <c r="W949" s="88"/>
      <c r="X949" s="88"/>
      <c r="Y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Q950" s="88"/>
      <c r="R950" s="88"/>
      <c r="S950" s="88"/>
      <c r="T950" s="88"/>
      <c r="U950" s="88"/>
      <c r="V950" s="88"/>
      <c r="W950" s="88"/>
      <c r="X950" s="88"/>
      <c r="Y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Q951" s="88"/>
      <c r="R951" s="88"/>
      <c r="S951" s="88"/>
      <c r="T951" s="88"/>
      <c r="U951" s="88"/>
      <c r="V951" s="88"/>
      <c r="W951" s="88"/>
      <c r="X951" s="88"/>
      <c r="Y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Q952" s="88"/>
      <c r="R952" s="88"/>
      <c r="S952" s="88"/>
      <c r="T952" s="88"/>
      <c r="U952" s="88"/>
      <c r="V952" s="88"/>
      <c r="W952" s="88"/>
      <c r="X952" s="88"/>
      <c r="Y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Q953" s="88"/>
      <c r="R953" s="88"/>
      <c r="S953" s="88"/>
      <c r="T953" s="88"/>
      <c r="U953" s="88"/>
      <c r="V953" s="88"/>
      <c r="W953" s="88"/>
      <c r="X953" s="88"/>
      <c r="Y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Q954" s="88"/>
      <c r="R954" s="88"/>
      <c r="S954" s="88"/>
      <c r="T954" s="88"/>
      <c r="U954" s="88"/>
      <c r="V954" s="88"/>
      <c r="W954" s="88"/>
      <c r="X954" s="88"/>
      <c r="Y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Q955" s="88"/>
      <c r="R955" s="88"/>
      <c r="S955" s="88"/>
      <c r="T955" s="88"/>
      <c r="U955" s="88"/>
      <c r="V955" s="88"/>
      <c r="W955" s="88"/>
      <c r="X955" s="88"/>
      <c r="Y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Q956" s="88"/>
      <c r="R956" s="88"/>
      <c r="S956" s="88"/>
      <c r="T956" s="88"/>
      <c r="U956" s="88"/>
      <c r="V956" s="88"/>
      <c r="W956" s="88"/>
      <c r="X956" s="88"/>
      <c r="Y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Q957" s="88"/>
      <c r="R957" s="88"/>
      <c r="S957" s="88"/>
      <c r="T957" s="88"/>
      <c r="U957" s="88"/>
      <c r="V957" s="88"/>
      <c r="W957" s="88"/>
      <c r="X957" s="88"/>
      <c r="Y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Q958" s="88"/>
      <c r="R958" s="88"/>
      <c r="S958" s="88"/>
      <c r="T958" s="88"/>
      <c r="U958" s="88"/>
      <c r="V958" s="88"/>
      <c r="W958" s="88"/>
      <c r="X958" s="88"/>
      <c r="Y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Q959" s="88"/>
      <c r="R959" s="88"/>
      <c r="S959" s="88"/>
      <c r="T959" s="88"/>
      <c r="U959" s="88"/>
      <c r="V959" s="88"/>
      <c r="W959" s="88"/>
      <c r="X959" s="88"/>
      <c r="Y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Q960" s="88"/>
      <c r="R960" s="88"/>
      <c r="S960" s="88"/>
      <c r="T960" s="88"/>
      <c r="U960" s="88"/>
      <c r="V960" s="88"/>
      <c r="W960" s="88"/>
      <c r="X960" s="88"/>
      <c r="Y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Q961" s="88"/>
      <c r="R961" s="88"/>
      <c r="S961" s="88"/>
      <c r="T961" s="88"/>
      <c r="U961" s="88"/>
      <c r="V961" s="88"/>
      <c r="W961" s="88"/>
      <c r="X961" s="88"/>
      <c r="Y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Q962" s="88"/>
      <c r="R962" s="88"/>
      <c r="S962" s="88"/>
      <c r="T962" s="88"/>
      <c r="U962" s="88"/>
      <c r="V962" s="88"/>
      <c r="W962" s="88"/>
      <c r="X962" s="88"/>
      <c r="Y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Q963" s="88"/>
      <c r="R963" s="88"/>
      <c r="S963" s="88"/>
      <c r="T963" s="88"/>
      <c r="U963" s="88"/>
      <c r="V963" s="88"/>
      <c r="W963" s="88"/>
      <c r="X963" s="88"/>
      <c r="Y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Q964" s="88"/>
      <c r="R964" s="88"/>
      <c r="S964" s="88"/>
      <c r="T964" s="88"/>
      <c r="U964" s="88"/>
      <c r="V964" s="88"/>
      <c r="W964" s="88"/>
      <c r="X964" s="88"/>
      <c r="Y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Q965" s="88"/>
      <c r="R965" s="88"/>
      <c r="S965" s="88"/>
      <c r="T965" s="88"/>
      <c r="U965" s="88"/>
      <c r="V965" s="88"/>
      <c r="W965" s="88"/>
      <c r="X965" s="88"/>
      <c r="Y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Q966" s="88"/>
      <c r="R966" s="88"/>
      <c r="S966" s="88"/>
      <c r="T966" s="88"/>
      <c r="U966" s="88"/>
      <c r="V966" s="88"/>
      <c r="W966" s="88"/>
      <c r="X966" s="88"/>
      <c r="Y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Q967" s="88"/>
      <c r="R967" s="88"/>
      <c r="S967" s="88"/>
      <c r="T967" s="88"/>
      <c r="U967" s="88"/>
      <c r="V967" s="88"/>
      <c r="W967" s="88"/>
      <c r="X967" s="88"/>
      <c r="Y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Q968" s="88"/>
      <c r="R968" s="88"/>
      <c r="S968" s="88"/>
      <c r="T968" s="88"/>
      <c r="U968" s="88"/>
      <c r="V968" s="88"/>
      <c r="W968" s="88"/>
      <c r="X968" s="88"/>
      <c r="Y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Q969" s="88"/>
      <c r="R969" s="88"/>
      <c r="S969" s="88"/>
      <c r="T969" s="88"/>
      <c r="U969" s="88"/>
      <c r="V969" s="88"/>
      <c r="W969" s="88"/>
      <c r="X969" s="88"/>
      <c r="Y969" s="88"/>
    </row>
    <row r="970">
      <c r="A970" s="140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Q970" s="88"/>
      <c r="R970" s="88"/>
      <c r="S970" s="88"/>
      <c r="T970" s="88"/>
      <c r="U970" s="88"/>
      <c r="V970" s="88"/>
      <c r="W970" s="88"/>
      <c r="X970" s="88"/>
      <c r="Y970" s="88"/>
    </row>
    <row r="971">
      <c r="Q971" s="88"/>
      <c r="R971" s="88"/>
      <c r="S971" s="88"/>
      <c r="T971" s="88"/>
      <c r="U971" s="88"/>
      <c r="V971" s="88"/>
      <c r="W971" s="88"/>
      <c r="X971" s="88"/>
      <c r="Y971" s="88"/>
    </row>
    <row r="972">
      <c r="Q972" s="88"/>
      <c r="R972" s="88"/>
      <c r="S972" s="88"/>
      <c r="T972" s="88"/>
      <c r="U972" s="88"/>
      <c r="V972" s="88"/>
      <c r="W972" s="88"/>
      <c r="X972" s="88"/>
      <c r="Y972" s="88"/>
    </row>
    <row r="973">
      <c r="Q973" s="88"/>
      <c r="R973" s="88"/>
      <c r="S973" s="88"/>
      <c r="T973" s="88"/>
      <c r="U973" s="88"/>
      <c r="V973" s="88"/>
      <c r="W973" s="88"/>
      <c r="X973" s="88"/>
      <c r="Y973" s="88"/>
    </row>
    <row r="974">
      <c r="Q974" s="88"/>
      <c r="R974" s="88"/>
      <c r="S974" s="88"/>
      <c r="T974" s="88"/>
      <c r="U974" s="88"/>
      <c r="V974" s="88"/>
      <c r="W974" s="88"/>
      <c r="X974" s="88"/>
      <c r="Y974" s="88"/>
    </row>
    <row r="975">
      <c r="Q975" s="88"/>
      <c r="R975" s="88"/>
      <c r="S975" s="88"/>
      <c r="T975" s="88"/>
      <c r="U975" s="88"/>
      <c r="V975" s="88"/>
      <c r="W975" s="88"/>
      <c r="X975" s="88"/>
      <c r="Y975" s="88"/>
    </row>
    <row r="976">
      <c r="Q976" s="88"/>
      <c r="R976" s="88"/>
      <c r="S976" s="88"/>
      <c r="T976" s="88"/>
      <c r="U976" s="88"/>
      <c r="V976" s="88"/>
      <c r="W976" s="88"/>
      <c r="X976" s="88"/>
      <c r="Y976" s="88"/>
    </row>
    <row r="977">
      <c r="Q977" s="88"/>
      <c r="R977" s="88"/>
      <c r="S977" s="88"/>
      <c r="T977" s="88"/>
      <c r="U977" s="88"/>
      <c r="V977" s="88"/>
      <c r="W977" s="88"/>
      <c r="X977" s="88"/>
      <c r="Y977" s="88"/>
    </row>
    <row r="978">
      <c r="Q978" s="88"/>
      <c r="R978" s="88"/>
      <c r="S978" s="88"/>
      <c r="T978" s="88"/>
      <c r="U978" s="88"/>
      <c r="V978" s="88"/>
      <c r="W978" s="88"/>
      <c r="X978" s="88"/>
      <c r="Y978" s="88"/>
    </row>
    <row r="979">
      <c r="Q979" s="88"/>
      <c r="R979" s="88"/>
      <c r="S979" s="88"/>
      <c r="T979" s="88"/>
      <c r="U979" s="88"/>
      <c r="V979" s="88"/>
      <c r="W979" s="88"/>
      <c r="X979" s="88"/>
      <c r="Y979" s="88"/>
    </row>
    <row r="980">
      <c r="Q980" s="88"/>
      <c r="R980" s="88"/>
      <c r="S980" s="88"/>
      <c r="T980" s="88"/>
      <c r="U980" s="88"/>
      <c r="V980" s="88"/>
      <c r="W980" s="88"/>
      <c r="X980" s="88"/>
      <c r="Y980" s="88"/>
    </row>
    <row r="981">
      <c r="Q981" s="88"/>
      <c r="R981" s="88"/>
      <c r="S981" s="88"/>
      <c r="T981" s="88"/>
      <c r="U981" s="88"/>
      <c r="V981" s="88"/>
      <c r="W981" s="88"/>
      <c r="X981" s="88"/>
      <c r="Y981" s="88"/>
    </row>
    <row r="982">
      <c r="Q982" s="88"/>
      <c r="R982" s="88"/>
      <c r="S982" s="88"/>
      <c r="T982" s="88"/>
      <c r="U982" s="88"/>
      <c r="V982" s="88"/>
      <c r="W982" s="88"/>
      <c r="X982" s="88"/>
      <c r="Y982" s="88"/>
    </row>
    <row r="983">
      <c r="Q983" s="88"/>
      <c r="R983" s="88"/>
      <c r="S983" s="88"/>
      <c r="T983" s="88"/>
      <c r="U983" s="88"/>
      <c r="V983" s="88"/>
      <c r="W983" s="88"/>
      <c r="X983" s="88"/>
      <c r="Y983" s="88"/>
    </row>
    <row r="984">
      <c r="Q984" s="88"/>
      <c r="R984" s="88"/>
      <c r="S984" s="88"/>
      <c r="T984" s="88"/>
      <c r="U984" s="88"/>
      <c r="V984" s="88"/>
      <c r="W984" s="88"/>
      <c r="X984" s="88"/>
      <c r="Y984" s="88"/>
    </row>
    <row r="985">
      <c r="Q985" s="88"/>
      <c r="R985" s="88"/>
      <c r="S985" s="88"/>
      <c r="T985" s="88"/>
      <c r="U985" s="88"/>
      <c r="V985" s="88"/>
      <c r="W985" s="88"/>
      <c r="X985" s="88"/>
      <c r="Y985" s="88"/>
    </row>
    <row r="986">
      <c r="Q986" s="88"/>
      <c r="R986" s="88"/>
      <c r="S986" s="88"/>
      <c r="T986" s="88"/>
      <c r="U986" s="88"/>
      <c r="V986" s="88"/>
      <c r="W986" s="88"/>
      <c r="X986" s="88"/>
      <c r="Y986" s="88"/>
    </row>
    <row r="987">
      <c r="Q987" s="88"/>
      <c r="R987" s="88"/>
      <c r="S987" s="88"/>
      <c r="T987" s="88"/>
      <c r="U987" s="88"/>
      <c r="V987" s="88"/>
      <c r="W987" s="88"/>
      <c r="X987" s="88"/>
      <c r="Y987" s="88"/>
    </row>
    <row r="988">
      <c r="Q988" s="88"/>
      <c r="R988" s="88"/>
      <c r="S988" s="88"/>
      <c r="T988" s="88"/>
      <c r="U988" s="88"/>
      <c r="V988" s="88"/>
      <c r="W988" s="88"/>
      <c r="X988" s="88"/>
      <c r="Y988" s="88"/>
    </row>
    <row r="989">
      <c r="Q989" s="88"/>
      <c r="R989" s="88"/>
      <c r="S989" s="88"/>
      <c r="T989" s="88"/>
      <c r="U989" s="88"/>
      <c r="V989" s="88"/>
      <c r="W989" s="88"/>
      <c r="X989" s="88"/>
      <c r="Y989" s="88"/>
    </row>
    <row r="990">
      <c r="Q990" s="88"/>
      <c r="R990" s="88"/>
      <c r="S990" s="88"/>
      <c r="T990" s="88"/>
      <c r="U990" s="88"/>
      <c r="V990" s="88"/>
      <c r="W990" s="88"/>
      <c r="X990" s="88"/>
      <c r="Y990" s="88"/>
    </row>
    <row r="991">
      <c r="Q991" s="88"/>
      <c r="R991" s="88"/>
      <c r="S991" s="88"/>
      <c r="T991" s="88"/>
      <c r="U991" s="88"/>
      <c r="V991" s="88"/>
      <c r="W991" s="88"/>
      <c r="X991" s="88"/>
      <c r="Y991" s="88"/>
    </row>
    <row r="992">
      <c r="Q992" s="88"/>
      <c r="R992" s="88"/>
      <c r="S992" s="88"/>
      <c r="T992" s="88"/>
      <c r="U992" s="88"/>
      <c r="V992" s="88"/>
      <c r="W992" s="88"/>
      <c r="X992" s="88"/>
      <c r="Y992" s="88"/>
    </row>
    <row r="993">
      <c r="Q993" s="88"/>
      <c r="R993" s="88"/>
      <c r="S993" s="88"/>
      <c r="T993" s="88"/>
      <c r="U993" s="88"/>
      <c r="V993" s="88"/>
      <c r="W993" s="88"/>
      <c r="X993" s="88"/>
      <c r="Y993" s="88"/>
    </row>
    <row r="994">
      <c r="Q994" s="88"/>
      <c r="R994" s="88"/>
      <c r="S994" s="88"/>
      <c r="T994" s="88"/>
      <c r="U994" s="88"/>
      <c r="V994" s="88"/>
      <c r="W994" s="88"/>
      <c r="X994" s="88"/>
      <c r="Y994" s="88"/>
    </row>
    <row r="995">
      <c r="Q995" s="88"/>
      <c r="R995" s="88"/>
      <c r="S995" s="88"/>
      <c r="T995" s="88"/>
      <c r="U995" s="88"/>
      <c r="V995" s="88"/>
      <c r="W995" s="88"/>
      <c r="X995" s="88"/>
      <c r="Y995" s="88"/>
    </row>
    <row r="996">
      <c r="Q996" s="88"/>
      <c r="R996" s="88"/>
      <c r="S996" s="88"/>
      <c r="T996" s="88"/>
      <c r="U996" s="88"/>
      <c r="V996" s="88"/>
      <c r="W996" s="88"/>
      <c r="X996" s="88"/>
      <c r="Y996" s="88"/>
    </row>
    <row r="997">
      <c r="Q997" s="88"/>
      <c r="R997" s="88"/>
      <c r="S997" s="88"/>
      <c r="T997" s="88"/>
      <c r="U997" s="88"/>
      <c r="V997" s="88"/>
      <c r="W997" s="88"/>
      <c r="X997" s="88"/>
      <c r="Y997" s="88"/>
    </row>
    <row r="998">
      <c r="Q998" s="88"/>
      <c r="R998" s="88"/>
      <c r="S998" s="88"/>
      <c r="T998" s="88"/>
      <c r="U998" s="88"/>
      <c r="V998" s="88"/>
      <c r="W998" s="88"/>
      <c r="X998" s="88"/>
      <c r="Y998" s="88"/>
    </row>
    <row r="999">
      <c r="Q999" s="88"/>
      <c r="R999" s="88"/>
      <c r="S999" s="88"/>
      <c r="T999" s="88"/>
      <c r="U999" s="88"/>
      <c r="V999" s="88"/>
      <c r="W999" s="88"/>
      <c r="X999" s="88"/>
      <c r="Y999" s="88"/>
    </row>
    <row r="1000">
      <c r="Q1000" s="88"/>
      <c r="R1000" s="88"/>
      <c r="S1000" s="88"/>
      <c r="T1000" s="88"/>
      <c r="U1000" s="88"/>
      <c r="V1000" s="88"/>
      <c r="W1000" s="88"/>
      <c r="X1000" s="88"/>
      <c r="Y1000" s="88"/>
    </row>
    <row r="1001">
      <c r="Q1001" s="88"/>
      <c r="R1001" s="88"/>
      <c r="S1001" s="88"/>
      <c r="T1001" s="88"/>
      <c r="U1001" s="88"/>
      <c r="V1001" s="88"/>
      <c r="W1001" s="88"/>
      <c r="X1001" s="88"/>
      <c r="Y1001" s="88"/>
    </row>
    <row r="1002">
      <c r="Q1002" s="88"/>
      <c r="R1002" s="88"/>
      <c r="S1002" s="88"/>
      <c r="T1002" s="88"/>
      <c r="U1002" s="88"/>
      <c r="V1002" s="88"/>
      <c r="W1002" s="88"/>
      <c r="X1002" s="88"/>
      <c r="Y1002" s="88"/>
    </row>
    <row r="1003">
      <c r="Q1003" s="88"/>
      <c r="R1003" s="88"/>
      <c r="S1003" s="88"/>
      <c r="T1003" s="88"/>
      <c r="U1003" s="88"/>
      <c r="V1003" s="88"/>
      <c r="W1003" s="88"/>
      <c r="X1003" s="88"/>
      <c r="Y1003" s="88"/>
    </row>
    <row r="1004">
      <c r="Q1004" s="88"/>
      <c r="R1004" s="88"/>
      <c r="S1004" s="88"/>
      <c r="T1004" s="88"/>
      <c r="U1004" s="88"/>
      <c r="V1004" s="88"/>
      <c r="W1004" s="88"/>
      <c r="X1004" s="88"/>
      <c r="Y1004" s="88"/>
    </row>
    <row r="1005">
      <c r="Q1005" s="88"/>
      <c r="R1005" s="88"/>
      <c r="S1005" s="88"/>
      <c r="T1005" s="88"/>
      <c r="U1005" s="88"/>
      <c r="V1005" s="88"/>
      <c r="W1005" s="88"/>
      <c r="X1005" s="88"/>
      <c r="Y1005" s="88"/>
    </row>
    <row r="1006">
      <c r="Q1006" s="88"/>
      <c r="R1006" s="88"/>
      <c r="S1006" s="88"/>
      <c r="T1006" s="88"/>
      <c r="U1006" s="88"/>
      <c r="V1006" s="88"/>
      <c r="W1006" s="88"/>
      <c r="X1006" s="88"/>
      <c r="Y1006" s="88"/>
    </row>
    <row r="1007">
      <c r="Q1007" s="88"/>
      <c r="R1007" s="88"/>
      <c r="S1007" s="88"/>
      <c r="T1007" s="88"/>
      <c r="U1007" s="88"/>
      <c r="V1007" s="88"/>
      <c r="W1007" s="88"/>
      <c r="X1007" s="88"/>
      <c r="Y1007" s="88"/>
    </row>
    <row r="1008">
      <c r="Q1008" s="88"/>
      <c r="R1008" s="88"/>
      <c r="S1008" s="88"/>
      <c r="T1008" s="88"/>
      <c r="U1008" s="88"/>
      <c r="V1008" s="88"/>
      <c r="W1008" s="88"/>
      <c r="X1008" s="88"/>
      <c r="Y1008" s="88"/>
    </row>
    <row r="1009">
      <c r="Q1009" s="88"/>
      <c r="R1009" s="88"/>
      <c r="S1009" s="88"/>
      <c r="T1009" s="88"/>
      <c r="U1009" s="88"/>
      <c r="V1009" s="88"/>
      <c r="W1009" s="88"/>
      <c r="X1009" s="88"/>
      <c r="Y1009" s="88"/>
    </row>
    <row r="1010">
      <c r="Q1010" s="88"/>
      <c r="R1010" s="88"/>
      <c r="S1010" s="88"/>
      <c r="T1010" s="88"/>
      <c r="U1010" s="88"/>
      <c r="V1010" s="88"/>
      <c r="W1010" s="88"/>
      <c r="X1010" s="88"/>
      <c r="Y1010" s="88"/>
    </row>
    <row r="1011">
      <c r="Q1011" s="88"/>
      <c r="R1011" s="88"/>
      <c r="S1011" s="88"/>
      <c r="T1011" s="88"/>
      <c r="U1011" s="88"/>
      <c r="V1011" s="88"/>
      <c r="W1011" s="88"/>
      <c r="X1011" s="88"/>
      <c r="Y1011" s="88"/>
    </row>
    <row r="1012">
      <c r="Q1012" s="88"/>
      <c r="R1012" s="88"/>
      <c r="S1012" s="88"/>
      <c r="T1012" s="88"/>
      <c r="U1012" s="88"/>
      <c r="V1012" s="88"/>
      <c r="W1012" s="88"/>
      <c r="X1012" s="88"/>
      <c r="Y1012" s="88"/>
    </row>
    <row r="1013">
      <c r="Q1013" s="88"/>
      <c r="R1013" s="88"/>
      <c r="S1013" s="88"/>
      <c r="T1013" s="88"/>
      <c r="U1013" s="88"/>
      <c r="V1013" s="88"/>
      <c r="W1013" s="88"/>
      <c r="X1013" s="88"/>
      <c r="Y1013" s="88"/>
    </row>
    <row r="1014">
      <c r="Q1014" s="88"/>
      <c r="R1014" s="88"/>
      <c r="S1014" s="88"/>
      <c r="T1014" s="88"/>
      <c r="U1014" s="88"/>
      <c r="V1014" s="88"/>
      <c r="W1014" s="88"/>
      <c r="X1014" s="88"/>
      <c r="Y1014" s="88"/>
    </row>
    <row r="1015">
      <c r="Q1015" s="88"/>
      <c r="R1015" s="88"/>
      <c r="S1015" s="88"/>
      <c r="T1015" s="88"/>
      <c r="U1015" s="88"/>
      <c r="V1015" s="88"/>
      <c r="W1015" s="88"/>
      <c r="X1015" s="88"/>
      <c r="Y1015" s="88"/>
    </row>
  </sheetData>
  <mergeCells count="1">
    <mergeCell ref="A1:F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SUMIFS($G$13:$G959, $E$13:$E959, "Rachel", $H$13:$H959, 1)-SUMIFS($G$13:$G959, $E$13:$E959, "Timothy", $I$13:$I959, 1)</f>
        <v>-66.58970175</v>
      </c>
      <c r="J3" s="21">
        <f>SUMIFS($G$13:$G959, $E$13:$E959, "BL", $H$13:$H959, 1)-SUMIFS($G$13:$G959, $E$13:$E959, "Timothy", $J$13:$J959, 1)</f>
        <v>-139.1669478</v>
      </c>
      <c r="K3" s="21">
        <f>SUMIFS($G$13:$G959, $E$13:$E959, "Pigskin", $H$13:$H959, 1)-SUMIFS($G$13:$G959, $E$13:$E959, "Timothy", $K$13:$K959, 1)</f>
        <v>1.364394603</v>
      </c>
      <c r="L3" s="21">
        <f>SUMIFS($G$13:$G959, $E$13:$E959, "Angel", $H$13:$H959, 1)-SUMIFS($G$13:$G959, $E$13:$E959, "Timothy", $L$13:$L959, 1)</f>
        <v>-34.86777778</v>
      </c>
      <c r="M3" s="21">
        <f>SUMIFS($G$13:$G959, $E$13:$E959, "Ivan", $H$13:$H959, 1)-SUMIFS($G$13:$G959, $E$13:$E959, "Timothy", $M$13:$M959, 1)</f>
        <v>-69.51611111</v>
      </c>
      <c r="N3" s="21">
        <f>SUMIFS($G$13:$G959, $E$13:$E959, "Esther", $H$13:$H959, 1)-SUMIFS($G$13:$G959, $E$13:$E959, "Timothy", $N$13:$N959, 1)</f>
        <v>-122.4339978</v>
      </c>
      <c r="O3" s="22">
        <f>SUMIFS($G$13:$G959, $E$13:$E959, "Ken9", $H$13:$H959, 1)-SUMIFS($G$13:$G959, $E$13:$E959, "Timothy", $O$13:$O959,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25">
        <f>SUMIFS($G$13:$G959, $E$13:$E959, "Timothy", $I$13:$I959, 1)-SUMIFS($G$13:$G959, $E$13:$E959, "Rachel", $H$13:$H959, 1)</f>
        <v>66.58970175</v>
      </c>
      <c r="I4" s="21"/>
      <c r="J4" s="25">
        <f>SUMIFS($G$13:$G959, $E$13:$E959, "BL", $I$13:$I959, 1)-SUMIFS($G$13:$G959, $E$13:$E959, "Rachel", $J$13:$J959, 1)</f>
        <v>22.43667063</v>
      </c>
      <c r="K4" s="25">
        <f>SUMIFS($G$13:$G959, $E$13:$E959, "Pigskin", $I$13:$I959, 1)-SUMIFS($G$13:$G959, $E$13:$E959, "Rachel", $K$13:$K959, 1)</f>
        <v>78.59681302</v>
      </c>
      <c r="L4" s="25">
        <f>SUMIFS($G$13:$G959, $E$13:$E959, "Angel", $I$13:$I959, 1)-SUMIFS($G$13:$G959, $E$13:$E959, "Rachel", $L$13:$L959, 1)</f>
        <v>-1.042222222</v>
      </c>
      <c r="M4" s="25">
        <f>SUMIFS($G$13:$G959, $E$13:$E959, "Ivan", $I$13:$I959, 1)-SUMIFS($G$13:$G959, $E$13:$E959, "Rachel", $M$13:$M959, 1)</f>
        <v>-17.36422222</v>
      </c>
      <c r="N4" s="25">
        <f>SUMIFS($G$13:$G959, $E$13:$E959, "Esther", $I$13:$I959, 1)-SUMIFS($G$13:$G959, $E$13:$E959, "Rachel", $N$13:$N959, 1)</f>
        <v>12.77077778</v>
      </c>
      <c r="O4" s="31">
        <f>SUMIFS($G$13:$G959, $E$13:$E959, "Ken9", $I$13:$I959, 1)-SUMIFS($G$13:$G959, $E$13:$E959, "Rachel", $O$13:$O959,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25">
        <f>SUMIFS($G$13:$G959, $E$13:$E959, "Timothy", $J$13:$J959, 1)-SUMIFS($G$13:$G959, $E$13:$E959, "BL", $H$13:$H959, 1)</f>
        <v>139.1669478</v>
      </c>
      <c r="I5" s="25">
        <f>SUMIFS($G$13:$G959, $E$13:$E959, "Rachel", $J$13:$J959, 1)-SUMIFS($G$13:$G959, $E$13:$E959, "BL", $I$13:$I959, 1)</f>
        <v>-22.43667063</v>
      </c>
      <c r="J5" s="21"/>
      <c r="K5" s="25">
        <f>SUMIFS($G$13:$G959, $E$13:$E959, "Pigskin", $J$13:$J959, 1)-SUMIFS($G$13:$G959, $E$13:$E959, "BL", $K$13:$K959, 1)</f>
        <v>48.23779238</v>
      </c>
      <c r="L5" s="28">
        <f>SUMIFS($G$13:$G959, $E$13:$E959, "Angel", $J$13:$J959, 1)-SUMIFS($G$13:$G959, $E$13:$E959, "BL", $L$13:$L959, 1)</f>
        <v>0</v>
      </c>
      <c r="M5" s="25">
        <f>SUMIFS($G$13:$G959, $E$13:$E959, "Ivan", $J$13:$J959, 1)-SUMIFS($G$13:$G959, $E$13:$E959, "BL", $M$13:$M959, 1)</f>
        <v>-30.148</v>
      </c>
      <c r="N5" s="28">
        <f>SUMIFS($G$13:$G959, $E$13:$E959, "Esther", $J$13:$J959, 1)-SUMIFS($G$13:$G959, $E$13:$E959, "BL", $N$13:$N959, 1)</f>
        <v>-5.82775</v>
      </c>
      <c r="O5" s="31">
        <f>SUMIFS($G$13:$G959, $E$13:$E959, "Ken9", $J$13:$J959, 1)-SUMIFS($G$13:$G959, $E$13:$E959, "BL", $O$13:$O959,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25">
        <f>SUMIFS($G$13:$G959, $E$13:$E959, "Timothy", $K$13:$K959, 1)-SUMIFS($G$13:$G959, $E$13:$E959, "Pigskin", $H$13:$H959, 1)</f>
        <v>-1.364394603</v>
      </c>
      <c r="I6" s="28">
        <f>SUMIFS($G$13:$G959, $E$13:$E959, "Rachel", $K$13:$K959, 1)-SUMIFS($G$13:$G959, $E$13:$E959, "Pigskin", $I$13:$I959, 1)</f>
        <v>-78.59681302</v>
      </c>
      <c r="J6" s="28">
        <f>SUMIFS($G$13:$G959, $E$13:$E959, "BL", $K$13:$K959, 1)-SUMIFS($G$13:$G959, $E$13:$E959, "Pigskin", $J$13:$J959, 1)</f>
        <v>-48.23779238</v>
      </c>
      <c r="K6" s="20"/>
      <c r="L6" s="25">
        <f>SUMIFS($G$13:$G959, $E$13:$E959, "Angel", $K$13:$K959, 1)-SUMIFS($G$13:$G959, $E$13:$E959, "Pigskin", $L$13:$L959, 1)</f>
        <v>-18.33333333</v>
      </c>
      <c r="M6" s="28">
        <f>SUMIFS($G$13:$G959, $E$13:$E959, "Ivan", $K$13:$K959, 1)-SUMIFS($G$13:$G959, $E$13:$E959, "Pigskin", $M$13:$M959, 1)</f>
        <v>-40.13551333</v>
      </c>
      <c r="N6" s="28">
        <f>SUMIFS($G$13:$G959, $E$13:$E959, "Esther", $K$13:$K959, 1)-SUMIFS($G$13:$G959, $E$13:$E959, "Pigskin", $N$13:$N959, 1)</f>
        <v>-52.81192667</v>
      </c>
      <c r="O6" s="31">
        <f>SUMIFS($G$13:$G959, $E$13:$E959, "Ken9", $K$13:$K959, 1)-SUMIFS($G$13:$G959, $E$13:$E959, "Pigskin", $O$13:$O959,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8">
        <f>SUMIFS($G$13:$G959, $E$13:$E959, "Timothy", $L$13:$L959, 1)-SUMIFS($G$13:$G959, $E$13:$E959, "Angel", $H$13:$H959, 1)</f>
        <v>34.86777778</v>
      </c>
      <c r="I7" s="28">
        <f>SUMIFS($G$13:$G959, $E$13:$E959, "Rachel", $L$13:$L959, 1)-SUMIFS($G$13:$G959, $E$13:$E959, "Angel", $I$13:$I959, 1)</f>
        <v>1.042222222</v>
      </c>
      <c r="J7" s="28">
        <f>SUMIFS($G$13:$G959, $E$13:$E959, "BL", $L$13:$L959, 1)-SUMIFS($G$13:$G959, $E$13:$E959, "Angel", $J$13:$J959, 1)</f>
        <v>0</v>
      </c>
      <c r="K7" s="25">
        <f>SUMIFS($G$13:$G959, $E$13:$E959, "Pigskin", $L$13:$L959, 1)-SUMIFS($G$13:$G959, $E$13:$E959, "Angel", $K$13:$K959, 1)</f>
        <v>18.33333333</v>
      </c>
      <c r="L7" s="20"/>
      <c r="M7" s="28">
        <f>SUMIFS($G$13:$G959, $E$13:$E959, "Ivan", $L$13:$L959, 1)-SUMIFS($G$13:$G959, $E$13:$E959, "Angel", $M$13:$M959, 1)</f>
        <v>0</v>
      </c>
      <c r="N7" s="28">
        <f>SUMIFS($G$13:$G959, $E$13:$E959, "Esther", $L$13:$L959, 1)-SUMIFS($G$13:$G959, $E$13:$E959, "Angel", $N$13:$N959, 1)</f>
        <v>0</v>
      </c>
      <c r="O7" s="31">
        <f>SUMIFS($G$13:$G959, $E$13:$E959, "Ken9", $L$13:$L959, 1)-SUMIFS($G$13:$G959, $E$13:$E959, "Angel", $O$13:$O959,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8">
        <f>SUMIFS($G$13:$G959, $E$13:$E959, "Timothy", $M$13:$M959, 1)-SUMIFS($G$13:$G959, $E$13:$E959, "Ivan", $H$13:$H959, 1)</f>
        <v>69.51611111</v>
      </c>
      <c r="I8" s="28">
        <f>SUMIFS($G$13:$G959, $E$13:$E959, "Rachel", $M$13:$M959, 1)-SUMIFS($G$13:$G959, $E$13:$E959, "Ivan", $I$13:$I959, 1)</f>
        <v>17.36422222</v>
      </c>
      <c r="J8" s="28">
        <f>SUMIFS($G$13:$G959, $E$13:$E959, "BL", $M$13:$M959, 1)-SUMIFS($G$13:$G959, $E$13:$E959, "Ivan", $J$13:$J959, 1)</f>
        <v>30.148</v>
      </c>
      <c r="K8" s="25">
        <f>SUMIFS($G$13:$G959, $E$13:$E959, "Pigskin", $M$13:$M959, 1)-SUMIFS($G$13:$G959, $E$13:$E959, "Ivan", $K$13:$K959, 1)</f>
        <v>40.13551333</v>
      </c>
      <c r="L8" s="25">
        <f>SUMIFS($G$13:$G959, $E$13:$E959, "Angel", $M$13:$M959, 1)-SUMIFS($G$13:$G959, $E$13:$E959, "Ivan", $L$13:$L959, 1)</f>
        <v>0</v>
      </c>
      <c r="M8" s="20"/>
      <c r="N8" s="28">
        <f>SUMIFS($G$13:$G959, $E$13:$E959, "Esther", $M$13:$M959, 1)-SUMIFS($G$13:$G959, $E$13:$E959, "Ivan", $N$13:$N959, 1)</f>
        <v>2.62</v>
      </c>
      <c r="O8" s="31">
        <f>SUMIFS($G$13:$G959, $E$13:$E959, "Ken9", $M$13:$M959, 1)-SUMIFS($G$13:$G959, $E$13:$E959, "Ivan", $O$13:$O959,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25">
        <f>SUMIFS($G$13:$G959, $E$13:$E959, "Timothy", $N$13:$N959, 1)-SUMIFS($G$13:$G959, $E$13:$E959, "Esther", $H$13:$H959, 1)</f>
        <v>122.4339978</v>
      </c>
      <c r="I9" s="25">
        <f>SUMIFS($G$13:$G959, $E$13:$E959, "Rachel", $N$13:$N959, 1)-SUMIFS($G$13:$G959, $E$13:$E959, "Esther", $I$13:$I959, 1)</f>
        <v>-12.77077778</v>
      </c>
      <c r="J9" s="25">
        <f>SUMIFS($G$13:$G959, $E$13:$E959, "BL", $N$13:$N959, 1)-SUMIFS($G$13:$G959, $E$13:$E959, "Esther", $J$13:$J959, 1)</f>
        <v>5.82775</v>
      </c>
      <c r="K9" s="25">
        <f>SUMIFS($G$13:$G959, $E$13:$E959, "Pigskin", $N$13:$N959, 1)-SUMIFS($G$13:$G959, $E$13:$E959, "Esther", $K$13:$K959, 1)</f>
        <v>52.81192667</v>
      </c>
      <c r="L9" s="25">
        <f>SUMIFS($G$13:$G959, $E$13:$E959, "Angel", $N$13:$N959, 1)-SUMIFS($G$13:$G959, $E$13:$E959, "Esther", $L$13:$L959, 1)</f>
        <v>0</v>
      </c>
      <c r="M9" s="25">
        <f>SUMIFS($G$13:$G959, $E$13:$E959, "Ivan", $N$13:$N959, 1)-SUMIFS($G$13:$G959, $E$13:$E959, "Esther", $M$13:$M959, 1)</f>
        <v>-2.62</v>
      </c>
      <c r="N9" s="20"/>
      <c r="O9" s="31">
        <f>SUMIFS($G$13:$G959, $E$13:$E959, "Ken9", $N$13:$N959, 1)-SUMIFS($G$13:$G959, $E$13:$E959, "Esther", $O$13:$O959,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SUMIFS($G$13:$G959, $E$13:$E959, "Timothy", $O$13:$O959, 1)-SUMIFS($G$13:$G959, $E$13:$E959, "Ken9", $H$13:$H959, 1)</f>
        <v>0</v>
      </c>
      <c r="I10" s="40">
        <f>SUMIFS($G$13:$G959, $E$13:$E959, "Rachel", $O$13:$O959, 1)-SUMIFS($G$13:$G959, $E$13:$E959, "Ken9", $I$13:$I959, 1)</f>
        <v>0</v>
      </c>
      <c r="J10" s="40">
        <f>SUMIFS($G$13:$G959, $E$13:$E959, "BL", $O$13:$O959, 1)-SUMIFS($G$13:$G959, $E$13:$E959, "Ken9", $J$13:$J959, 1)</f>
        <v>0</v>
      </c>
      <c r="K10" s="40">
        <f>SUMIFS($G$13:$G959, $E$13:$E959, "Pigskin", $O$13:$O959, 1)-SUMIFS($G$13:$G959, $E$13:$E959, "Ken9", $K$13:$K959, 1)</f>
        <v>0</v>
      </c>
      <c r="L10" s="40">
        <f>SUMIFS($G$13:$G959, $E$13:$E959, "Angel", $O$13:$O959, 1)-SUMIFS($G$13:$G959, $E$13:$E959, "Ken9", $L$13:$L959, 1)</f>
        <v>0</v>
      </c>
      <c r="M10" s="40">
        <f>SUMIFS($G$13:$G959, $E$13:$E959, "Ivan", $O$13:$O959, 1)-SUMIFS($G$13:$G959, $E$13:$E959, "Ken9", $M$13:$M959, 1)</f>
        <v>0</v>
      </c>
      <c r="N10" s="40">
        <f>SUMIFS($G$13:$G959, $E$13:$E959, "Esther", $O$13:$O959, 1)-SUMIFS($G$13:$G959, $E$13:$E959, "Ken9", $N$13:$N959,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61">
        <v>45355.0</v>
      </c>
      <c r="B13" s="51" t="s">
        <v>445</v>
      </c>
      <c r="C13" s="51" t="s">
        <v>11</v>
      </c>
      <c r="D13" s="51">
        <v>3.89</v>
      </c>
      <c r="E13" s="51" t="s">
        <v>4</v>
      </c>
      <c r="F13" s="67">
        <f t="shared" ref="F13:F22" si="1">D13/sum(H13:O13)</f>
        <v>0.778</v>
      </c>
      <c r="G13" s="10">
        <f t="shared" ref="G13:G22" si="2">D13/sum(H13:O13)</f>
        <v>0.778</v>
      </c>
      <c r="H13" s="52">
        <v>1.0</v>
      </c>
      <c r="I13" s="52">
        <v>1.0</v>
      </c>
      <c r="J13" s="52">
        <v>1.0</v>
      </c>
      <c r="K13" s="52">
        <v>1.0</v>
      </c>
      <c r="L13" s="53"/>
      <c r="M13" s="53"/>
      <c r="N13" s="52">
        <v>1.0</v>
      </c>
      <c r="Z13" s="10"/>
      <c r="AA13" s="10"/>
    </row>
    <row r="14">
      <c r="A14" s="61">
        <v>45364.0</v>
      </c>
      <c r="B14" s="51" t="s">
        <v>446</v>
      </c>
      <c r="C14" s="51" t="s">
        <v>27</v>
      </c>
      <c r="D14" s="51">
        <v>101.7</v>
      </c>
      <c r="E14" s="51" t="s">
        <v>7</v>
      </c>
      <c r="F14" s="67">
        <f t="shared" si="1"/>
        <v>25.425</v>
      </c>
      <c r="G14" s="10">
        <f t="shared" si="2"/>
        <v>25.425</v>
      </c>
      <c r="H14" s="66"/>
      <c r="I14" s="52">
        <v>1.0</v>
      </c>
      <c r="J14" s="52">
        <v>1.0</v>
      </c>
      <c r="K14" s="52">
        <v>1.0</v>
      </c>
      <c r="L14" s="53"/>
      <c r="M14" s="66"/>
      <c r="N14" s="52">
        <v>1.0</v>
      </c>
      <c r="Z14" s="10"/>
      <c r="AA14" s="10"/>
    </row>
    <row r="15">
      <c r="A15" s="61">
        <v>45363.0</v>
      </c>
      <c r="B15" s="51" t="s">
        <v>447</v>
      </c>
      <c r="C15" s="51" t="s">
        <v>11</v>
      </c>
      <c r="D15" s="63">
        <v>50.0</v>
      </c>
      <c r="E15" s="51" t="s">
        <v>4</v>
      </c>
      <c r="F15" s="67">
        <f t="shared" si="1"/>
        <v>10</v>
      </c>
      <c r="G15" s="10">
        <f t="shared" si="2"/>
        <v>10</v>
      </c>
      <c r="H15" s="52">
        <v>1.0</v>
      </c>
      <c r="I15" s="52">
        <v>1.0</v>
      </c>
      <c r="J15" s="52">
        <v>1.0</v>
      </c>
      <c r="K15" s="52">
        <v>1.0</v>
      </c>
      <c r="L15" s="53"/>
      <c r="M15" s="54">
        <v>1.0</v>
      </c>
      <c r="N15" s="66"/>
      <c r="Z15" s="10"/>
      <c r="AA15" s="10"/>
    </row>
    <row r="16">
      <c r="A16" s="61">
        <v>45352.0</v>
      </c>
      <c r="B16" s="51" t="s">
        <v>417</v>
      </c>
      <c r="C16" s="51" t="s">
        <v>11</v>
      </c>
      <c r="D16" s="63">
        <v>20.37</v>
      </c>
      <c r="E16" s="51" t="s">
        <v>14</v>
      </c>
      <c r="F16" s="67">
        <f t="shared" si="1"/>
        <v>4.074</v>
      </c>
      <c r="G16" s="10">
        <f t="shared" si="2"/>
        <v>4.074</v>
      </c>
      <c r="H16" s="54">
        <v>1.0</v>
      </c>
      <c r="I16" s="54">
        <v>1.0</v>
      </c>
      <c r="J16" s="54">
        <v>1.0</v>
      </c>
      <c r="K16" s="54">
        <v>1.0</v>
      </c>
      <c r="L16" s="66"/>
      <c r="M16" s="53"/>
      <c r="N16" s="54">
        <v>1.0</v>
      </c>
      <c r="Z16" s="10"/>
      <c r="AA16" s="10"/>
    </row>
    <row r="17">
      <c r="A17" s="61">
        <v>45354.0</v>
      </c>
      <c r="B17" s="51" t="s">
        <v>448</v>
      </c>
      <c r="C17" s="51" t="s">
        <v>11</v>
      </c>
      <c r="D17" s="63">
        <v>50.61</v>
      </c>
      <c r="E17" s="51" t="s">
        <v>2</v>
      </c>
      <c r="F17" s="67">
        <f t="shared" si="1"/>
        <v>10.122</v>
      </c>
      <c r="G17" s="10">
        <f t="shared" si="2"/>
        <v>10.122</v>
      </c>
      <c r="H17" s="52">
        <v>1.0</v>
      </c>
      <c r="I17" s="54">
        <v>1.0</v>
      </c>
      <c r="J17" s="52">
        <v>1.0</v>
      </c>
      <c r="K17" s="54">
        <v>1.0</v>
      </c>
      <c r="L17" s="53"/>
      <c r="M17" s="53"/>
      <c r="N17" s="54">
        <v>1.0</v>
      </c>
      <c r="Z17" s="10"/>
      <c r="AA17" s="10"/>
    </row>
    <row r="18">
      <c r="A18" s="164">
        <v>45366.0</v>
      </c>
      <c r="B18" s="51" t="s">
        <v>417</v>
      </c>
      <c r="C18" s="51" t="s">
        <v>11</v>
      </c>
      <c r="D18" s="63">
        <v>36.22</v>
      </c>
      <c r="E18" s="51" t="s">
        <v>14</v>
      </c>
      <c r="F18" s="67">
        <f t="shared" si="1"/>
        <v>9.055</v>
      </c>
      <c r="G18" s="10">
        <f t="shared" si="2"/>
        <v>9.055</v>
      </c>
      <c r="H18" s="52">
        <v>1.0</v>
      </c>
      <c r="I18" s="52">
        <v>1.0</v>
      </c>
      <c r="J18" s="52"/>
      <c r="K18" s="52">
        <v>1.0</v>
      </c>
      <c r="L18" s="53"/>
      <c r="M18" s="53"/>
      <c r="N18" s="52">
        <v>1.0</v>
      </c>
      <c r="Z18" s="10"/>
      <c r="AA18" s="10"/>
    </row>
    <row r="19">
      <c r="A19" s="164">
        <v>45365.0</v>
      </c>
      <c r="B19" s="51" t="s">
        <v>329</v>
      </c>
      <c r="C19" s="51" t="s">
        <v>11</v>
      </c>
      <c r="D19" s="63">
        <v>72.32</v>
      </c>
      <c r="E19" s="51" t="s">
        <v>13</v>
      </c>
      <c r="F19" s="67">
        <f t="shared" si="1"/>
        <v>14.464</v>
      </c>
      <c r="G19" s="10">
        <f t="shared" si="2"/>
        <v>14.464</v>
      </c>
      <c r="H19" s="52">
        <v>1.0</v>
      </c>
      <c r="I19" s="54">
        <v>1.0</v>
      </c>
      <c r="J19" s="54">
        <v>1.0</v>
      </c>
      <c r="K19" s="54">
        <v>1.0</v>
      </c>
      <c r="L19" s="53"/>
      <c r="M19" s="53"/>
      <c r="N19" s="54">
        <v>1.0</v>
      </c>
      <c r="Z19" s="10"/>
      <c r="AA19" s="10"/>
    </row>
    <row r="20">
      <c r="A20" s="164">
        <v>45359.0</v>
      </c>
      <c r="B20" s="51" t="s">
        <v>422</v>
      </c>
      <c r="C20" s="51" t="s">
        <v>11</v>
      </c>
      <c r="D20" s="63">
        <v>12.28</v>
      </c>
      <c r="E20" s="51" t="s">
        <v>14</v>
      </c>
      <c r="F20" s="67">
        <f t="shared" si="1"/>
        <v>3.07</v>
      </c>
      <c r="G20" s="10">
        <f t="shared" si="2"/>
        <v>3.07</v>
      </c>
      <c r="H20" s="52"/>
      <c r="I20" s="52">
        <v>1.0</v>
      </c>
      <c r="J20" s="52">
        <v>1.0</v>
      </c>
      <c r="K20" s="52">
        <v>1.0</v>
      </c>
      <c r="L20" s="53"/>
      <c r="M20" s="53"/>
      <c r="N20" s="52">
        <v>1.0</v>
      </c>
      <c r="Z20" s="10"/>
      <c r="AA20" s="10"/>
    </row>
    <row r="21">
      <c r="A21" s="164">
        <v>45358.0</v>
      </c>
      <c r="B21" s="51" t="s">
        <v>422</v>
      </c>
      <c r="C21" s="51" t="s">
        <v>11</v>
      </c>
      <c r="D21" s="51">
        <v>15.82</v>
      </c>
      <c r="E21" s="51" t="s">
        <v>13</v>
      </c>
      <c r="F21" s="67">
        <f t="shared" si="1"/>
        <v>3.955</v>
      </c>
      <c r="G21" s="10">
        <f t="shared" si="2"/>
        <v>3.955</v>
      </c>
      <c r="H21" s="52">
        <v>1.0</v>
      </c>
      <c r="I21" s="52">
        <v>1.0</v>
      </c>
      <c r="J21" s="52">
        <v>1.0</v>
      </c>
      <c r="K21" s="52">
        <v>1.0</v>
      </c>
      <c r="L21" s="53"/>
      <c r="M21" s="53"/>
      <c r="N21" s="66"/>
      <c r="Z21" s="10"/>
      <c r="AA21" s="10"/>
    </row>
    <row r="22">
      <c r="A22" s="164">
        <v>45358.0</v>
      </c>
      <c r="B22" s="51" t="s">
        <v>449</v>
      </c>
      <c r="C22" s="51" t="s">
        <v>11</v>
      </c>
      <c r="D22" s="63">
        <v>3.79</v>
      </c>
      <c r="E22" s="51" t="s">
        <v>14</v>
      </c>
      <c r="F22" s="67">
        <f t="shared" si="1"/>
        <v>0.9475</v>
      </c>
      <c r="G22" s="10">
        <f t="shared" si="2"/>
        <v>0.9475</v>
      </c>
      <c r="H22" s="66"/>
      <c r="I22" s="52">
        <v>1.0</v>
      </c>
      <c r="J22" s="52">
        <v>1.0</v>
      </c>
      <c r="K22" s="52">
        <v>1.0</v>
      </c>
      <c r="L22" s="53"/>
      <c r="M22" s="53"/>
      <c r="N22" s="52">
        <v>1.0</v>
      </c>
      <c r="Z22" s="10"/>
      <c r="AA22" s="10"/>
    </row>
    <row r="23">
      <c r="A23" s="165">
        <v>45356.0</v>
      </c>
      <c r="B23" s="166" t="s">
        <v>450</v>
      </c>
      <c r="C23" s="166" t="s">
        <v>11</v>
      </c>
      <c r="D23" s="167">
        <v>17.99</v>
      </c>
      <c r="E23" s="166" t="s">
        <v>13</v>
      </c>
      <c r="F23" s="168">
        <f t="shared" ref="F23:F25" si="3">D23/sum(H23:P23)</f>
        <v>2.24875</v>
      </c>
      <c r="G23" s="168">
        <f t="shared" ref="G23:G25" si="4">D23/sum(H23:P23)</f>
        <v>2.24875</v>
      </c>
      <c r="H23" s="169">
        <v>1.0</v>
      </c>
      <c r="I23" s="170">
        <v>1.0</v>
      </c>
      <c r="J23" s="170">
        <v>1.0</v>
      </c>
      <c r="K23" s="170">
        <v>1.0</v>
      </c>
      <c r="L23" s="171"/>
      <c r="M23" s="171"/>
      <c r="N23" s="170">
        <v>1.0</v>
      </c>
      <c r="O23" s="172"/>
      <c r="P23" s="173">
        <v>3.0</v>
      </c>
      <c r="Q23" s="172"/>
      <c r="R23" s="172"/>
      <c r="S23" s="172"/>
      <c r="T23" s="172"/>
      <c r="U23" s="172"/>
      <c r="V23" s="172"/>
      <c r="W23" s="172"/>
      <c r="X23" s="172"/>
      <c r="Y23" s="172"/>
      <c r="Z23" s="168"/>
      <c r="AA23" s="168"/>
    </row>
    <row r="24">
      <c r="A24" s="165">
        <v>45355.0</v>
      </c>
      <c r="B24" s="166" t="s">
        <v>450</v>
      </c>
      <c r="C24" s="166" t="s">
        <v>11</v>
      </c>
      <c r="D24" s="166">
        <v>20.52</v>
      </c>
      <c r="E24" s="166" t="s">
        <v>14</v>
      </c>
      <c r="F24" s="168">
        <f t="shared" si="3"/>
        <v>2.565</v>
      </c>
      <c r="G24" s="168">
        <f t="shared" si="4"/>
        <v>2.565</v>
      </c>
      <c r="H24" s="169">
        <v>1.0</v>
      </c>
      <c r="I24" s="169">
        <v>1.0</v>
      </c>
      <c r="J24" s="169">
        <v>1.0</v>
      </c>
      <c r="K24" s="169">
        <v>1.0</v>
      </c>
      <c r="L24" s="171"/>
      <c r="M24" s="171"/>
      <c r="N24" s="169">
        <v>1.0</v>
      </c>
      <c r="O24" s="172"/>
      <c r="P24" s="173">
        <v>3.0</v>
      </c>
      <c r="Q24" s="172"/>
      <c r="R24" s="172"/>
      <c r="S24" s="172"/>
      <c r="T24" s="172"/>
      <c r="U24" s="172"/>
      <c r="V24" s="172"/>
      <c r="W24" s="172"/>
      <c r="X24" s="172"/>
      <c r="Y24" s="172"/>
      <c r="Z24" s="168"/>
      <c r="AA24" s="168"/>
    </row>
    <row r="25">
      <c r="A25" s="165">
        <v>45355.0</v>
      </c>
      <c r="B25" s="166" t="s">
        <v>450</v>
      </c>
      <c r="C25" s="166" t="s">
        <v>11</v>
      </c>
      <c r="D25" s="166">
        <v>48.4</v>
      </c>
      <c r="E25" s="166" t="s">
        <v>14</v>
      </c>
      <c r="F25" s="168">
        <f t="shared" si="3"/>
        <v>6.05</v>
      </c>
      <c r="G25" s="168">
        <f t="shared" si="4"/>
        <v>6.05</v>
      </c>
      <c r="H25" s="169">
        <v>1.0</v>
      </c>
      <c r="I25" s="169">
        <v>1.0</v>
      </c>
      <c r="J25" s="169">
        <v>1.0</v>
      </c>
      <c r="K25" s="169">
        <v>1.0</v>
      </c>
      <c r="L25" s="171"/>
      <c r="M25" s="171"/>
      <c r="N25" s="169">
        <v>1.0</v>
      </c>
      <c r="O25" s="172"/>
      <c r="P25" s="173">
        <v>3.0</v>
      </c>
      <c r="Q25" s="172"/>
      <c r="R25" s="172"/>
      <c r="S25" s="172"/>
      <c r="T25" s="172"/>
      <c r="U25" s="172"/>
      <c r="V25" s="172"/>
      <c r="W25" s="172"/>
      <c r="X25" s="172"/>
      <c r="Y25" s="172"/>
      <c r="Z25" s="168"/>
      <c r="AA25" s="168"/>
    </row>
    <row r="26">
      <c r="A26" s="164">
        <v>45368.0</v>
      </c>
      <c r="B26" s="51" t="s">
        <v>451</v>
      </c>
      <c r="C26" s="51" t="s">
        <v>11</v>
      </c>
      <c r="D26" s="51">
        <v>65.93</v>
      </c>
      <c r="E26" s="51" t="s">
        <v>2</v>
      </c>
      <c r="F26" s="67">
        <f t="shared" ref="F26:F41" si="5">D26/sum(H26:O26)</f>
        <v>13.186</v>
      </c>
      <c r="G26" s="10">
        <f t="shared" ref="G26:G41" si="6">D26/sum(H26:O26)</f>
        <v>13.186</v>
      </c>
      <c r="H26" s="52">
        <v>1.0</v>
      </c>
      <c r="I26" s="54">
        <v>1.0</v>
      </c>
      <c r="J26" s="52">
        <v>1.0</v>
      </c>
      <c r="K26" s="54">
        <v>1.0</v>
      </c>
      <c r="L26" s="53"/>
      <c r="M26" s="53"/>
      <c r="N26" s="54">
        <v>1.0</v>
      </c>
      <c r="Z26" s="10"/>
      <c r="AA26" s="10"/>
    </row>
    <row r="27">
      <c r="A27" s="174"/>
      <c r="B27" s="51" t="s">
        <v>452</v>
      </c>
      <c r="C27" s="87"/>
      <c r="D27" s="87"/>
      <c r="E27" s="87"/>
      <c r="F27" s="67" t="str">
        <f t="shared" si="5"/>
        <v>#DIV/0!</v>
      </c>
      <c r="G27" s="10" t="str">
        <f t="shared" si="6"/>
        <v>#DIV/0!</v>
      </c>
      <c r="H27" s="66"/>
      <c r="I27" s="53"/>
      <c r="J27" s="53"/>
      <c r="K27" s="53"/>
      <c r="L27" s="53"/>
      <c r="M27" s="53"/>
      <c r="N27" s="53"/>
      <c r="Z27" s="10"/>
      <c r="AA27" s="10"/>
    </row>
    <row r="28">
      <c r="A28" s="164">
        <v>45377.0</v>
      </c>
      <c r="B28" s="51" t="s">
        <v>441</v>
      </c>
      <c r="C28" s="51" t="s">
        <v>11</v>
      </c>
      <c r="D28" s="87">
        <f>26.82-1.52-5.59-3.99</f>
        <v>15.72</v>
      </c>
      <c r="E28" s="51" t="s">
        <v>7</v>
      </c>
      <c r="F28" s="67">
        <f t="shared" si="5"/>
        <v>2.62</v>
      </c>
      <c r="G28" s="10">
        <f t="shared" si="6"/>
        <v>2.62</v>
      </c>
      <c r="H28" s="52">
        <v>1.0</v>
      </c>
      <c r="I28" s="52">
        <v>1.0</v>
      </c>
      <c r="J28" s="52">
        <v>1.0</v>
      </c>
      <c r="K28" s="52">
        <v>1.0</v>
      </c>
      <c r="L28" s="53"/>
      <c r="M28" s="54">
        <v>1.0</v>
      </c>
      <c r="N28" s="52">
        <v>1.0</v>
      </c>
      <c r="Z28" s="10"/>
      <c r="AA28" s="10"/>
    </row>
    <row r="29">
      <c r="A29" s="164">
        <v>45368.0</v>
      </c>
      <c r="B29" s="51" t="s">
        <v>453</v>
      </c>
      <c r="C29" s="87"/>
      <c r="D29" s="87"/>
      <c r="E29" s="87"/>
      <c r="F29" s="67" t="str">
        <f t="shared" si="5"/>
        <v>#DIV/0!</v>
      </c>
      <c r="G29" s="10" t="str">
        <f t="shared" si="6"/>
        <v>#DIV/0!</v>
      </c>
      <c r="H29" s="66"/>
      <c r="I29" s="66"/>
      <c r="J29" s="66"/>
      <c r="K29" s="66"/>
      <c r="L29" s="53"/>
      <c r="M29" s="53"/>
      <c r="N29" s="66"/>
      <c r="Z29" s="10"/>
      <c r="AA29" s="10"/>
    </row>
    <row r="30">
      <c r="A30" s="164">
        <v>45368.0</v>
      </c>
      <c r="B30" s="51" t="s">
        <v>454</v>
      </c>
      <c r="C30" s="51" t="s">
        <v>11</v>
      </c>
      <c r="D30" s="51">
        <v>14.99</v>
      </c>
      <c r="E30" s="51" t="s">
        <v>2</v>
      </c>
      <c r="F30" s="67">
        <f t="shared" si="5"/>
        <v>2.998</v>
      </c>
      <c r="G30" s="10">
        <f t="shared" si="6"/>
        <v>2.998</v>
      </c>
      <c r="H30" s="52">
        <v>1.0</v>
      </c>
      <c r="I30" s="52">
        <v>1.0</v>
      </c>
      <c r="J30" s="52">
        <v>1.0</v>
      </c>
      <c r="K30" s="52">
        <v>1.0</v>
      </c>
      <c r="L30" s="53"/>
      <c r="M30" s="53"/>
      <c r="N30" s="52">
        <v>1.0</v>
      </c>
      <c r="Z30" s="10"/>
      <c r="AA30" s="10"/>
    </row>
    <row r="31">
      <c r="A31" s="174"/>
      <c r="B31" s="51" t="s">
        <v>455</v>
      </c>
      <c r="C31" s="87"/>
      <c r="D31" s="51">
        <v>9.99</v>
      </c>
      <c r="E31" s="51" t="s">
        <v>2</v>
      </c>
      <c r="F31" s="67">
        <f t="shared" si="5"/>
        <v>1.998</v>
      </c>
      <c r="G31" s="10">
        <f t="shared" si="6"/>
        <v>1.998</v>
      </c>
      <c r="H31" s="52">
        <v>1.0</v>
      </c>
      <c r="I31" s="52">
        <v>1.0</v>
      </c>
      <c r="J31" s="52">
        <v>1.0</v>
      </c>
      <c r="K31" s="52">
        <v>1.0</v>
      </c>
      <c r="L31" s="53"/>
      <c r="M31" s="53"/>
      <c r="N31" s="52">
        <v>1.0</v>
      </c>
      <c r="Z31" s="10"/>
      <c r="AA31" s="10"/>
    </row>
    <row r="32">
      <c r="A32" s="174"/>
      <c r="B32" s="51" t="s">
        <v>456</v>
      </c>
      <c r="C32" s="87"/>
      <c r="D32" s="51">
        <v>5.65</v>
      </c>
      <c r="E32" s="51" t="s">
        <v>2</v>
      </c>
      <c r="F32" s="67">
        <f t="shared" si="5"/>
        <v>1.13</v>
      </c>
      <c r="G32" s="10">
        <f t="shared" si="6"/>
        <v>1.13</v>
      </c>
      <c r="H32" s="52">
        <v>1.0</v>
      </c>
      <c r="I32" s="52">
        <v>1.0</v>
      </c>
      <c r="J32" s="52">
        <v>1.0</v>
      </c>
      <c r="K32" s="52">
        <v>1.0</v>
      </c>
      <c r="L32" s="53"/>
      <c r="M32" s="53"/>
      <c r="N32" s="52">
        <v>1.0</v>
      </c>
      <c r="Z32" s="10"/>
      <c r="AA32" s="10"/>
    </row>
    <row r="33">
      <c r="A33" s="174"/>
      <c r="B33" s="51" t="s">
        <v>457</v>
      </c>
      <c r="C33" s="87"/>
      <c r="D33" s="51">
        <v>15.99</v>
      </c>
      <c r="E33" s="51" t="s">
        <v>2</v>
      </c>
      <c r="F33" s="67">
        <f t="shared" si="5"/>
        <v>3.198</v>
      </c>
      <c r="G33" s="10">
        <f t="shared" si="6"/>
        <v>3.198</v>
      </c>
      <c r="H33" s="52">
        <v>1.0</v>
      </c>
      <c r="I33" s="52">
        <v>1.0</v>
      </c>
      <c r="J33" s="52">
        <v>1.0</v>
      </c>
      <c r="K33" s="52">
        <v>1.0</v>
      </c>
      <c r="L33" s="53"/>
      <c r="M33" s="53"/>
      <c r="N33" s="52">
        <v>1.0</v>
      </c>
      <c r="Z33" s="10"/>
      <c r="AA33" s="10"/>
    </row>
    <row r="34">
      <c r="A34" s="175"/>
      <c r="B34" s="51" t="s">
        <v>458</v>
      </c>
      <c r="C34" s="87"/>
      <c r="D34" s="87">
        <f>19.99*1.13</f>
        <v>22.5887</v>
      </c>
      <c r="E34" s="51" t="s">
        <v>2</v>
      </c>
      <c r="F34" s="67">
        <f t="shared" si="5"/>
        <v>11.29435</v>
      </c>
      <c r="G34" s="10">
        <f t="shared" si="6"/>
        <v>11.29435</v>
      </c>
      <c r="H34" s="52">
        <v>1.0</v>
      </c>
      <c r="I34" s="54">
        <v>1.0</v>
      </c>
      <c r="J34" s="53"/>
      <c r="K34" s="53"/>
      <c r="L34" s="53"/>
      <c r="M34" s="53"/>
      <c r="N34" s="53"/>
      <c r="Z34" s="10"/>
      <c r="AA34" s="10"/>
    </row>
    <row r="35">
      <c r="A35" s="175"/>
      <c r="B35" s="51" t="s">
        <v>459</v>
      </c>
      <c r="C35" s="87"/>
      <c r="D35" s="51">
        <v>32.17</v>
      </c>
      <c r="E35" s="51" t="s">
        <v>2</v>
      </c>
      <c r="F35" s="67">
        <f t="shared" si="5"/>
        <v>32.17</v>
      </c>
      <c r="G35" s="10">
        <f t="shared" si="6"/>
        <v>32.17</v>
      </c>
      <c r="H35" s="66"/>
      <c r="I35" s="66"/>
      <c r="J35" s="52">
        <v>1.0</v>
      </c>
      <c r="K35" s="66"/>
      <c r="L35" s="53"/>
      <c r="M35" s="53"/>
      <c r="N35" s="66"/>
      <c r="Z35" s="10"/>
      <c r="AA35" s="10"/>
    </row>
    <row r="36">
      <c r="A36" s="175"/>
      <c r="B36" s="51" t="s">
        <v>460</v>
      </c>
      <c r="C36" s="87"/>
      <c r="D36" s="87">
        <f>7.99*1.13</f>
        <v>9.0287</v>
      </c>
      <c r="E36" s="51" t="s">
        <v>2</v>
      </c>
      <c r="F36" s="67">
        <f t="shared" si="5"/>
        <v>1.80574</v>
      </c>
      <c r="G36" s="10">
        <f t="shared" si="6"/>
        <v>1.80574</v>
      </c>
      <c r="H36" s="52">
        <v>1.0</v>
      </c>
      <c r="I36" s="52">
        <v>1.0</v>
      </c>
      <c r="J36" s="52">
        <v>1.0</v>
      </c>
      <c r="K36" s="52">
        <v>1.0</v>
      </c>
      <c r="L36" s="53"/>
      <c r="M36" s="53"/>
      <c r="N36" s="52">
        <v>1.0</v>
      </c>
      <c r="Z36" s="10"/>
      <c r="AA36" s="10"/>
    </row>
    <row r="37">
      <c r="A37" s="175"/>
      <c r="B37" s="51" t="s">
        <v>461</v>
      </c>
      <c r="C37" s="87"/>
      <c r="D37" s="87">
        <f>32.99*1.13</f>
        <v>37.2787</v>
      </c>
      <c r="E37" s="51" t="s">
        <v>2</v>
      </c>
      <c r="F37" s="67">
        <f t="shared" si="5"/>
        <v>37.2787</v>
      </c>
      <c r="G37" s="10">
        <f t="shared" si="6"/>
        <v>37.2787</v>
      </c>
      <c r="H37" s="52">
        <v>1.0</v>
      </c>
      <c r="I37" s="66"/>
      <c r="J37" s="66"/>
      <c r="K37" s="66"/>
      <c r="L37" s="53"/>
      <c r="M37" s="53"/>
      <c r="N37" s="66"/>
      <c r="Z37" s="10"/>
      <c r="AA37" s="10"/>
    </row>
    <row r="38">
      <c r="A38" s="175"/>
      <c r="B38" s="51" t="s">
        <v>462</v>
      </c>
      <c r="C38" s="87"/>
      <c r="D38" s="51">
        <v>8.99</v>
      </c>
      <c r="E38" s="51" t="s">
        <v>2</v>
      </c>
      <c r="F38" s="67">
        <f t="shared" si="5"/>
        <v>1.798</v>
      </c>
      <c r="G38" s="10">
        <f t="shared" si="6"/>
        <v>1.798</v>
      </c>
      <c r="H38" s="52">
        <v>1.0</v>
      </c>
      <c r="I38" s="52">
        <v>1.0</v>
      </c>
      <c r="J38" s="52">
        <v>1.0</v>
      </c>
      <c r="K38" s="52">
        <v>1.0</v>
      </c>
      <c r="L38" s="53"/>
      <c r="M38" s="53"/>
      <c r="N38" s="52">
        <v>1.0</v>
      </c>
      <c r="Z38" s="10"/>
      <c r="AA38" s="10"/>
    </row>
    <row r="39">
      <c r="A39" s="174"/>
      <c r="B39" s="51" t="s">
        <v>244</v>
      </c>
      <c r="C39" s="87"/>
      <c r="D39" s="63">
        <f>15.49*1.13</f>
        <v>17.5037</v>
      </c>
      <c r="E39" s="51" t="s">
        <v>2</v>
      </c>
      <c r="F39" s="67">
        <f t="shared" si="5"/>
        <v>3.50074</v>
      </c>
      <c r="G39" s="10">
        <f t="shared" si="6"/>
        <v>3.50074</v>
      </c>
      <c r="H39" s="52">
        <v>1.0</v>
      </c>
      <c r="I39" s="52">
        <v>1.0</v>
      </c>
      <c r="J39" s="52">
        <v>1.0</v>
      </c>
      <c r="K39" s="52">
        <v>1.0</v>
      </c>
      <c r="L39" s="53"/>
      <c r="M39" s="53"/>
      <c r="N39" s="52">
        <v>1.0</v>
      </c>
      <c r="Z39" s="10"/>
      <c r="AA39" s="10"/>
    </row>
    <row r="40">
      <c r="A40" s="55"/>
      <c r="B40" s="12" t="s">
        <v>463</v>
      </c>
      <c r="C40" s="12"/>
      <c r="D40" s="12">
        <f>(15.99-3.5)*1.13</f>
        <v>14.1137</v>
      </c>
      <c r="E40" s="51" t="s">
        <v>2</v>
      </c>
      <c r="F40" s="67">
        <f t="shared" si="5"/>
        <v>2.82274</v>
      </c>
      <c r="G40" s="10">
        <f t="shared" si="6"/>
        <v>2.82274</v>
      </c>
      <c r="H40" s="52">
        <v>1.0</v>
      </c>
      <c r="I40" s="52">
        <v>1.0</v>
      </c>
      <c r="J40" s="52">
        <v>1.0</v>
      </c>
      <c r="K40" s="52">
        <v>1.0</v>
      </c>
      <c r="L40" s="53"/>
      <c r="M40" s="53"/>
      <c r="N40" s="52">
        <v>1.0</v>
      </c>
      <c r="Z40" s="10"/>
      <c r="AA40" s="10"/>
    </row>
    <row r="41">
      <c r="A41" s="55"/>
      <c r="B41" s="12" t="s">
        <v>458</v>
      </c>
      <c r="C41" s="12"/>
      <c r="D41" s="87">
        <f>19.99*1.13</f>
        <v>22.5887</v>
      </c>
      <c r="E41" s="51" t="s">
        <v>2</v>
      </c>
      <c r="F41" s="67">
        <f t="shared" si="5"/>
        <v>7.529566667</v>
      </c>
      <c r="G41" s="10">
        <f t="shared" si="6"/>
        <v>7.529566667</v>
      </c>
      <c r="J41" s="1">
        <v>1.0</v>
      </c>
      <c r="K41" s="1">
        <v>1.0</v>
      </c>
      <c r="N41" s="1">
        <v>1.0</v>
      </c>
      <c r="P41" s="1" t="s">
        <v>157</v>
      </c>
      <c r="Q41" s="1" t="s">
        <v>464</v>
      </c>
      <c r="Z41" s="10"/>
      <c r="AA41" s="10"/>
    </row>
    <row r="42">
      <c r="A42" s="176">
        <v>45381.0</v>
      </c>
      <c r="B42" s="177" t="s">
        <v>465</v>
      </c>
      <c r="C42" s="177" t="s">
        <v>11</v>
      </c>
      <c r="D42" s="177">
        <v>51.55</v>
      </c>
      <c r="E42" s="177" t="s">
        <v>2</v>
      </c>
      <c r="F42" s="168">
        <f t="shared" ref="F42:F43" si="7">D42/sum(H42:Q42)</f>
        <v>5.727777778</v>
      </c>
      <c r="G42" s="168">
        <f t="shared" ref="G42:G43" si="8">D42/sum(H42:Q42)</f>
        <v>5.727777778</v>
      </c>
      <c r="H42" s="173">
        <v>1.0</v>
      </c>
      <c r="I42" s="173">
        <v>1.0</v>
      </c>
      <c r="J42" s="173">
        <v>1.0</v>
      </c>
      <c r="K42" s="173">
        <v>1.0</v>
      </c>
      <c r="L42" s="173">
        <v>1.0</v>
      </c>
      <c r="M42" s="173">
        <v>1.0</v>
      </c>
      <c r="N42" s="173">
        <v>1.0</v>
      </c>
      <c r="O42" s="172"/>
      <c r="P42" s="173">
        <v>1.0</v>
      </c>
      <c r="Q42" s="173">
        <v>1.0</v>
      </c>
      <c r="R42" s="172"/>
      <c r="S42" s="172"/>
      <c r="T42" s="172"/>
      <c r="U42" s="172"/>
      <c r="V42" s="172"/>
      <c r="W42" s="172"/>
      <c r="X42" s="172"/>
      <c r="Y42" s="172"/>
      <c r="Z42" s="168"/>
      <c r="AA42" s="168"/>
    </row>
    <row r="43">
      <c r="A43" s="176">
        <v>45380.0</v>
      </c>
      <c r="B43" s="177" t="s">
        <v>465</v>
      </c>
      <c r="C43" s="177" t="s">
        <v>11</v>
      </c>
      <c r="D43" s="177">
        <v>9.38</v>
      </c>
      <c r="E43" s="177" t="s">
        <v>4</v>
      </c>
      <c r="F43" s="168">
        <f t="shared" si="7"/>
        <v>1.042222222</v>
      </c>
      <c r="G43" s="168">
        <f t="shared" si="8"/>
        <v>1.042222222</v>
      </c>
      <c r="H43" s="173">
        <v>1.0</v>
      </c>
      <c r="I43" s="173">
        <v>1.0</v>
      </c>
      <c r="J43" s="173">
        <v>1.0</v>
      </c>
      <c r="K43" s="173">
        <v>1.0</v>
      </c>
      <c r="L43" s="173">
        <v>1.0</v>
      </c>
      <c r="M43" s="173">
        <v>1.0</v>
      </c>
      <c r="N43" s="173">
        <v>1.0</v>
      </c>
      <c r="O43" s="172"/>
      <c r="P43" s="173">
        <v>1.0</v>
      </c>
      <c r="Q43" s="173">
        <v>1.0</v>
      </c>
      <c r="R43" s="172"/>
      <c r="S43" s="172"/>
      <c r="T43" s="172"/>
      <c r="U43" s="172"/>
      <c r="V43" s="172"/>
      <c r="W43" s="172"/>
      <c r="X43" s="172"/>
      <c r="Y43" s="172"/>
      <c r="Z43" s="168"/>
      <c r="AA43" s="168"/>
    </row>
    <row r="44">
      <c r="A44" s="55">
        <v>45379.0</v>
      </c>
      <c r="B44" s="12" t="s">
        <v>449</v>
      </c>
      <c r="C44" s="12" t="s">
        <v>11</v>
      </c>
      <c r="D44" s="12">
        <v>18.72</v>
      </c>
      <c r="E44" s="12" t="s">
        <v>14</v>
      </c>
      <c r="F44" s="67">
        <f t="shared" ref="F44:F54" si="9">D44/sum(H44:O44)</f>
        <v>3.744</v>
      </c>
      <c r="G44" s="10">
        <f t="shared" ref="G44:G54" si="10">D44/sum(H44:O44)</f>
        <v>3.744</v>
      </c>
      <c r="H44" s="1">
        <v>1.0</v>
      </c>
      <c r="I44" s="1">
        <v>1.0</v>
      </c>
      <c r="J44" s="1">
        <v>1.0</v>
      </c>
      <c r="K44" s="1">
        <v>1.0</v>
      </c>
      <c r="M44" s="1">
        <v>1.0</v>
      </c>
      <c r="Z44" s="10"/>
      <c r="AA44" s="10"/>
    </row>
    <row r="45">
      <c r="A45" s="55">
        <v>45380.0</v>
      </c>
      <c r="B45" s="12" t="s">
        <v>422</v>
      </c>
      <c r="C45" s="12" t="s">
        <v>11</v>
      </c>
      <c r="D45" s="12">
        <v>2.99</v>
      </c>
      <c r="E45" s="12" t="s">
        <v>4</v>
      </c>
      <c r="F45" s="67">
        <f t="shared" si="9"/>
        <v>0.598</v>
      </c>
      <c r="G45" s="10">
        <f t="shared" si="10"/>
        <v>0.598</v>
      </c>
      <c r="H45" s="1">
        <v>1.0</v>
      </c>
      <c r="I45" s="1">
        <v>1.0</v>
      </c>
      <c r="J45" s="1">
        <v>1.0</v>
      </c>
      <c r="K45" s="1">
        <v>1.0</v>
      </c>
      <c r="N45" s="1">
        <v>1.0</v>
      </c>
      <c r="Z45" s="10"/>
      <c r="AA45" s="10"/>
    </row>
    <row r="46">
      <c r="A46" s="55">
        <v>45380.0</v>
      </c>
      <c r="B46" s="12" t="s">
        <v>422</v>
      </c>
      <c r="C46" s="12" t="s">
        <v>11</v>
      </c>
      <c r="D46" s="12">
        <f>67.59-9.38</f>
        <v>58.21</v>
      </c>
      <c r="E46" s="12" t="s">
        <v>4</v>
      </c>
      <c r="F46" s="67">
        <f t="shared" si="9"/>
        <v>11.642</v>
      </c>
      <c r="G46" s="10">
        <f t="shared" si="10"/>
        <v>11.642</v>
      </c>
      <c r="H46" s="1">
        <v>1.0</v>
      </c>
      <c r="I46" s="1">
        <v>1.0</v>
      </c>
      <c r="J46" s="1">
        <v>1.0</v>
      </c>
      <c r="K46" s="1">
        <v>1.0</v>
      </c>
      <c r="N46" s="1">
        <v>1.0</v>
      </c>
      <c r="Z46" s="10"/>
      <c r="AA46" s="10"/>
    </row>
    <row r="47">
      <c r="A47" s="55">
        <v>45376.0</v>
      </c>
      <c r="B47" s="12" t="s">
        <v>422</v>
      </c>
      <c r="C47" s="12" t="s">
        <v>11</v>
      </c>
      <c r="D47" s="12">
        <v>3.59</v>
      </c>
      <c r="E47" s="12" t="s">
        <v>14</v>
      </c>
      <c r="F47" s="67">
        <f t="shared" si="9"/>
        <v>0.5983333333</v>
      </c>
      <c r="G47" s="10">
        <f t="shared" si="10"/>
        <v>0.5983333333</v>
      </c>
      <c r="H47" s="1">
        <v>1.0</v>
      </c>
      <c r="I47" s="1">
        <v>1.0</v>
      </c>
      <c r="J47" s="1">
        <v>1.0</v>
      </c>
      <c r="K47" s="1">
        <v>1.0</v>
      </c>
      <c r="M47" s="1">
        <v>1.0</v>
      </c>
      <c r="N47" s="1">
        <v>1.0</v>
      </c>
      <c r="Z47" s="10"/>
      <c r="AA47" s="10"/>
    </row>
    <row r="48">
      <c r="A48" s="55">
        <v>45378.0</v>
      </c>
      <c r="B48" s="12" t="s">
        <v>466</v>
      </c>
      <c r="C48" s="12" t="s">
        <v>11</v>
      </c>
      <c r="D48" s="12">
        <f>96.12-(4.88*2*1.13)-(3.27+6.54)*1.13</f>
        <v>74.0059</v>
      </c>
      <c r="E48" s="12" t="s">
        <v>14</v>
      </c>
      <c r="F48" s="67">
        <f t="shared" si="9"/>
        <v>14.80118</v>
      </c>
      <c r="G48" s="10">
        <f t="shared" si="10"/>
        <v>14.80118</v>
      </c>
      <c r="H48" s="1">
        <v>1.0</v>
      </c>
      <c r="I48" s="1">
        <v>1.0</v>
      </c>
      <c r="J48" s="1">
        <v>1.0</v>
      </c>
      <c r="K48" s="1">
        <v>1.0</v>
      </c>
      <c r="M48" s="1">
        <v>1.0</v>
      </c>
      <c r="Z48" s="10"/>
      <c r="AA48" s="10"/>
    </row>
    <row r="49">
      <c r="A49" s="55">
        <v>45378.0</v>
      </c>
      <c r="B49" s="12" t="s">
        <v>467</v>
      </c>
      <c r="C49" s="12" t="s">
        <v>11</v>
      </c>
      <c r="D49" s="12">
        <f>(3.27+6.54)*1.13</f>
        <v>11.0853</v>
      </c>
      <c r="E49" s="12" t="s">
        <v>14</v>
      </c>
      <c r="F49" s="67">
        <f t="shared" si="9"/>
        <v>5.54265</v>
      </c>
      <c r="G49" s="10">
        <f t="shared" si="10"/>
        <v>5.54265</v>
      </c>
      <c r="J49" s="1">
        <v>1.0</v>
      </c>
      <c r="K49" s="1">
        <v>1.0</v>
      </c>
      <c r="Z49" s="10"/>
      <c r="AA49" s="10"/>
    </row>
    <row r="50">
      <c r="A50" s="55">
        <v>45378.0</v>
      </c>
      <c r="B50" s="12" t="s">
        <v>468</v>
      </c>
      <c r="C50" s="12" t="s">
        <v>11</v>
      </c>
      <c r="D50" s="12">
        <f>4.88*2*1.13</f>
        <v>11.0288</v>
      </c>
      <c r="E50" s="12" t="s">
        <v>14</v>
      </c>
      <c r="F50" s="67">
        <f t="shared" si="9"/>
        <v>2.20576</v>
      </c>
      <c r="G50" s="10">
        <f t="shared" si="10"/>
        <v>2.20576</v>
      </c>
      <c r="H50" s="1">
        <v>1.0</v>
      </c>
      <c r="I50" s="1">
        <v>1.0</v>
      </c>
      <c r="J50" s="1">
        <v>1.0</v>
      </c>
      <c r="K50" s="1">
        <v>1.0</v>
      </c>
      <c r="N50" s="1">
        <v>1.0</v>
      </c>
      <c r="Z50" s="10"/>
      <c r="AA50" s="10"/>
    </row>
    <row r="51">
      <c r="A51" s="59">
        <v>45377.0</v>
      </c>
      <c r="B51" s="12" t="s">
        <v>469</v>
      </c>
      <c r="C51" s="12" t="s">
        <v>11</v>
      </c>
      <c r="D51" s="12">
        <v>9.17</v>
      </c>
      <c r="E51" s="12" t="s">
        <v>14</v>
      </c>
      <c r="F51" s="67">
        <f t="shared" si="9"/>
        <v>1.834</v>
      </c>
      <c r="G51" s="10">
        <f t="shared" si="10"/>
        <v>1.834</v>
      </c>
      <c r="H51" s="1">
        <v>1.0</v>
      </c>
      <c r="I51" s="1">
        <v>1.0</v>
      </c>
      <c r="J51" s="1">
        <v>1.0</v>
      </c>
      <c r="K51" s="1">
        <v>1.0</v>
      </c>
      <c r="N51" s="1">
        <v>1.0</v>
      </c>
      <c r="Z51" s="10"/>
      <c r="AA51" s="10"/>
    </row>
    <row r="52">
      <c r="A52" s="55">
        <v>45379.0</v>
      </c>
      <c r="B52" s="12" t="s">
        <v>422</v>
      </c>
      <c r="C52" s="12" t="s">
        <v>11</v>
      </c>
      <c r="D52" s="12">
        <v>3.33</v>
      </c>
      <c r="E52" s="12" t="s">
        <v>14</v>
      </c>
      <c r="F52" s="67">
        <f t="shared" si="9"/>
        <v>0.666</v>
      </c>
      <c r="G52" s="10">
        <f t="shared" si="10"/>
        <v>0.666</v>
      </c>
      <c r="H52" s="1">
        <v>1.0</v>
      </c>
      <c r="I52" s="1">
        <v>1.0</v>
      </c>
      <c r="J52" s="1">
        <v>1.0</v>
      </c>
      <c r="K52" s="1">
        <v>1.0</v>
      </c>
      <c r="M52" s="1">
        <v>1.0</v>
      </c>
      <c r="Z52" s="10"/>
      <c r="AA52" s="10"/>
    </row>
    <row r="53">
      <c r="A53" s="55">
        <v>45372.0</v>
      </c>
      <c r="B53" s="12" t="s">
        <v>470</v>
      </c>
      <c r="C53" s="12" t="s">
        <v>11</v>
      </c>
      <c r="D53" s="12">
        <v>1.88</v>
      </c>
      <c r="E53" s="12" t="s">
        <v>14</v>
      </c>
      <c r="F53" s="67">
        <f t="shared" si="9"/>
        <v>0.376</v>
      </c>
      <c r="G53" s="10">
        <f t="shared" si="10"/>
        <v>0.376</v>
      </c>
      <c r="H53" s="1">
        <v>1.0</v>
      </c>
      <c r="I53" s="1">
        <v>1.0</v>
      </c>
      <c r="J53" s="1">
        <v>1.0</v>
      </c>
      <c r="K53" s="1">
        <v>1.0</v>
      </c>
      <c r="N53" s="1">
        <v>1.0</v>
      </c>
      <c r="Z53" s="10"/>
      <c r="AA53" s="10"/>
    </row>
    <row r="54">
      <c r="A54" s="59">
        <v>45375.0</v>
      </c>
      <c r="B54" s="12" t="s">
        <v>422</v>
      </c>
      <c r="C54" s="12" t="s">
        <v>11</v>
      </c>
      <c r="D54" s="12">
        <v>13.18</v>
      </c>
      <c r="E54" s="12" t="s">
        <v>14</v>
      </c>
      <c r="F54" s="67">
        <f t="shared" si="9"/>
        <v>2.636</v>
      </c>
      <c r="G54" s="10">
        <f t="shared" si="10"/>
        <v>2.636</v>
      </c>
      <c r="H54" s="1">
        <v>1.0</v>
      </c>
      <c r="I54" s="1">
        <v>1.0</v>
      </c>
      <c r="J54" s="1">
        <v>1.0</v>
      </c>
      <c r="K54" s="1">
        <v>1.0</v>
      </c>
      <c r="N54" s="1">
        <v>1.0</v>
      </c>
      <c r="Q54" s="18"/>
      <c r="R54" s="18"/>
      <c r="S54" s="18"/>
      <c r="T54" s="18"/>
      <c r="U54" s="18"/>
      <c r="V54" s="18"/>
      <c r="W54" s="18"/>
      <c r="Z54" s="10"/>
      <c r="AA54" s="10"/>
    </row>
    <row r="55">
      <c r="A55" s="59">
        <v>45375.0</v>
      </c>
      <c r="B55" s="12" t="s">
        <v>471</v>
      </c>
      <c r="C55" s="12" t="s">
        <v>11</v>
      </c>
      <c r="D55" s="12">
        <v>11.22</v>
      </c>
      <c r="E55" s="12" t="s">
        <v>14</v>
      </c>
      <c r="F55" s="67">
        <f t="shared" ref="F55:F57" si="11">D55/sum(H55:Z55)</f>
        <v>2.244</v>
      </c>
      <c r="G55" s="10">
        <f t="shared" ref="G55:G57" si="12">D55/sum(H55:Z55)</f>
        <v>2.244</v>
      </c>
      <c r="H55" s="1">
        <v>1.0</v>
      </c>
      <c r="I55" s="1">
        <v>1.0</v>
      </c>
      <c r="J55" s="1">
        <v>1.0</v>
      </c>
      <c r="K55" s="1">
        <v>1.0</v>
      </c>
      <c r="N55" s="1">
        <v>1.0</v>
      </c>
      <c r="Q55" s="18"/>
      <c r="R55" s="18"/>
      <c r="S55" s="18"/>
      <c r="Z55" s="10"/>
      <c r="AA55" s="10"/>
    </row>
    <row r="56">
      <c r="A56" s="59">
        <v>45375.0</v>
      </c>
      <c r="B56" s="12" t="s">
        <v>422</v>
      </c>
      <c r="C56" s="12" t="s">
        <v>11</v>
      </c>
      <c r="D56" s="12">
        <v>21.52</v>
      </c>
      <c r="E56" s="12" t="s">
        <v>4</v>
      </c>
      <c r="F56" s="67">
        <f t="shared" si="11"/>
        <v>4.304</v>
      </c>
      <c r="G56" s="10">
        <f t="shared" si="12"/>
        <v>4.304</v>
      </c>
      <c r="H56" s="1">
        <v>1.0</v>
      </c>
      <c r="I56" s="1">
        <v>1.0</v>
      </c>
      <c r="J56" s="1">
        <v>1.0</v>
      </c>
      <c r="K56" s="1">
        <v>1.0</v>
      </c>
      <c r="N56" s="1">
        <v>1.0</v>
      </c>
      <c r="Z56" s="10"/>
      <c r="AA56" s="10"/>
    </row>
    <row r="57">
      <c r="A57" s="59">
        <v>45374.0</v>
      </c>
      <c r="B57" s="12" t="s">
        <v>422</v>
      </c>
      <c r="C57" s="12" t="s">
        <v>11</v>
      </c>
      <c r="D57" s="12">
        <v>9.49</v>
      </c>
      <c r="E57" s="12" t="s">
        <v>13</v>
      </c>
      <c r="F57" s="67">
        <f t="shared" si="11"/>
        <v>1.898</v>
      </c>
      <c r="G57" s="10">
        <f t="shared" si="12"/>
        <v>1.898</v>
      </c>
      <c r="H57" s="1">
        <v>1.0</v>
      </c>
      <c r="I57" s="1">
        <v>1.0</v>
      </c>
      <c r="J57" s="1">
        <v>1.0</v>
      </c>
      <c r="K57" s="1">
        <v>1.0</v>
      </c>
      <c r="M57" s="1">
        <v>1.0</v>
      </c>
      <c r="Q57" s="18"/>
      <c r="R57" s="18"/>
      <c r="S57" s="18"/>
      <c r="Z57" s="10"/>
      <c r="AA57" s="10"/>
    </row>
    <row r="58">
      <c r="A58" s="55">
        <v>45374.0</v>
      </c>
      <c r="B58" s="12" t="s">
        <v>422</v>
      </c>
      <c r="C58" s="12" t="s">
        <v>11</v>
      </c>
      <c r="D58" s="12">
        <v>31.61</v>
      </c>
      <c r="E58" s="12" t="s">
        <v>4</v>
      </c>
      <c r="F58" s="67">
        <f t="shared" ref="F58:F66" si="13">D58/sum(H58:O58)</f>
        <v>6.322</v>
      </c>
      <c r="G58" s="10">
        <f t="shared" ref="G58:G66" si="14">D58/sum(H58:O58)</f>
        <v>6.322</v>
      </c>
      <c r="H58" s="1">
        <v>1.0</v>
      </c>
      <c r="I58" s="1">
        <v>1.0</v>
      </c>
      <c r="J58" s="1">
        <v>1.0</v>
      </c>
      <c r="K58" s="1">
        <v>1.0</v>
      </c>
      <c r="M58" s="1">
        <v>1.0</v>
      </c>
      <c r="Z58" s="10"/>
      <c r="AA58" s="10"/>
    </row>
    <row r="59">
      <c r="A59" s="55">
        <v>45372.0</v>
      </c>
      <c r="B59" s="12" t="s">
        <v>472</v>
      </c>
      <c r="C59" s="12" t="s">
        <v>11</v>
      </c>
      <c r="D59" s="12">
        <v>49.5</v>
      </c>
      <c r="E59" s="12" t="s">
        <v>13</v>
      </c>
      <c r="F59" s="67">
        <f t="shared" si="13"/>
        <v>8.25</v>
      </c>
      <c r="G59" s="10">
        <f t="shared" si="14"/>
        <v>8.25</v>
      </c>
      <c r="H59" s="1">
        <v>1.0</v>
      </c>
      <c r="I59" s="1">
        <v>1.0</v>
      </c>
      <c r="J59" s="1">
        <v>1.0</v>
      </c>
      <c r="K59" s="1">
        <v>1.0</v>
      </c>
      <c r="M59" s="1">
        <v>1.0</v>
      </c>
      <c r="N59" s="1">
        <v>1.0</v>
      </c>
      <c r="Z59" s="10"/>
      <c r="AA59" s="10"/>
    </row>
    <row r="60">
      <c r="A60" s="55">
        <v>45371.0</v>
      </c>
      <c r="B60" s="12" t="s">
        <v>422</v>
      </c>
      <c r="C60" s="12" t="s">
        <v>11</v>
      </c>
      <c r="D60" s="12">
        <v>31.91</v>
      </c>
      <c r="E60" s="12" t="s">
        <v>14</v>
      </c>
      <c r="F60" s="67">
        <f t="shared" si="13"/>
        <v>7.9775</v>
      </c>
      <c r="G60" s="10">
        <f t="shared" si="14"/>
        <v>7.9775</v>
      </c>
      <c r="H60" s="1">
        <v>1.0</v>
      </c>
      <c r="I60" s="1">
        <v>1.0</v>
      </c>
      <c r="J60" s="1">
        <v>1.0</v>
      </c>
      <c r="K60" s="1">
        <v>1.0</v>
      </c>
      <c r="Z60" s="10"/>
      <c r="AA60" s="10"/>
    </row>
    <row r="61">
      <c r="A61" s="55">
        <v>45371.0</v>
      </c>
      <c r="B61" s="12" t="s">
        <v>248</v>
      </c>
      <c r="C61" s="12" t="s">
        <v>11</v>
      </c>
      <c r="D61" s="12">
        <f>4.99+4</f>
        <v>8.99</v>
      </c>
      <c r="E61" s="12" t="s">
        <v>14</v>
      </c>
      <c r="F61" s="67">
        <f t="shared" si="13"/>
        <v>1.798</v>
      </c>
      <c r="G61" s="10">
        <f t="shared" si="14"/>
        <v>1.798</v>
      </c>
      <c r="H61" s="1">
        <v>1.0</v>
      </c>
      <c r="I61" s="1">
        <v>1.0</v>
      </c>
      <c r="J61" s="1">
        <v>1.0</v>
      </c>
      <c r="K61" s="1">
        <v>1.0</v>
      </c>
      <c r="N61" s="1">
        <v>1.0</v>
      </c>
      <c r="Z61" s="10"/>
      <c r="AA61" s="10"/>
    </row>
    <row r="62">
      <c r="A62" s="55">
        <v>45370.0</v>
      </c>
      <c r="B62" s="12" t="s">
        <v>422</v>
      </c>
      <c r="C62" s="12" t="s">
        <v>11</v>
      </c>
      <c r="D62" s="12">
        <v>12.78</v>
      </c>
      <c r="E62" s="12" t="s">
        <v>14</v>
      </c>
      <c r="F62" s="67">
        <f t="shared" si="13"/>
        <v>2.556</v>
      </c>
      <c r="G62" s="10">
        <f t="shared" si="14"/>
        <v>2.556</v>
      </c>
      <c r="H62" s="1">
        <v>1.0</v>
      </c>
      <c r="I62" s="1">
        <v>1.0</v>
      </c>
      <c r="J62" s="1">
        <v>1.0</v>
      </c>
      <c r="K62" s="1">
        <v>1.0</v>
      </c>
      <c r="M62" s="1">
        <v>1.0</v>
      </c>
      <c r="Z62" s="10"/>
      <c r="AA62" s="10"/>
    </row>
    <row r="63">
      <c r="A63" s="55">
        <v>45373.0</v>
      </c>
      <c r="B63" s="12" t="s">
        <v>422</v>
      </c>
      <c r="C63" s="12" t="s">
        <v>11</v>
      </c>
      <c r="D63" s="12">
        <v>54.21</v>
      </c>
      <c r="E63" s="12" t="s">
        <v>14</v>
      </c>
      <c r="F63" s="67">
        <f t="shared" si="13"/>
        <v>9.035</v>
      </c>
      <c r="G63" s="10">
        <f t="shared" si="14"/>
        <v>9.035</v>
      </c>
      <c r="H63" s="1">
        <v>1.0</v>
      </c>
      <c r="I63" s="1">
        <v>1.0</v>
      </c>
      <c r="J63" s="1">
        <v>1.0</v>
      </c>
      <c r="K63" s="1">
        <v>1.0</v>
      </c>
      <c r="M63" s="1">
        <v>1.0</v>
      </c>
      <c r="N63" s="1">
        <v>1.0</v>
      </c>
      <c r="Z63" s="10"/>
      <c r="AA63" s="10"/>
    </row>
    <row r="64">
      <c r="A64" s="55">
        <v>45369.0</v>
      </c>
      <c r="B64" s="12" t="s">
        <v>473</v>
      </c>
      <c r="C64" s="12" t="s">
        <v>11</v>
      </c>
      <c r="D64" s="12">
        <v>10.33</v>
      </c>
      <c r="E64" s="12" t="s">
        <v>14</v>
      </c>
      <c r="F64" s="67">
        <f t="shared" si="13"/>
        <v>1.721666667</v>
      </c>
      <c r="G64" s="10">
        <f t="shared" si="14"/>
        <v>1.721666667</v>
      </c>
      <c r="H64" s="1">
        <v>1.0</v>
      </c>
      <c r="I64" s="1">
        <v>1.0</v>
      </c>
      <c r="J64" s="1">
        <v>1.0</v>
      </c>
      <c r="K64" s="1">
        <v>1.0</v>
      </c>
      <c r="M64" s="1">
        <v>1.0</v>
      </c>
      <c r="N64" s="1">
        <v>1.0</v>
      </c>
      <c r="Z64" s="10"/>
      <c r="AA64" s="10"/>
    </row>
    <row r="65">
      <c r="A65" s="55">
        <v>45368.0</v>
      </c>
      <c r="B65" s="12" t="s">
        <v>149</v>
      </c>
      <c r="C65" s="12" t="s">
        <v>11</v>
      </c>
      <c r="D65" s="12">
        <v>65.93</v>
      </c>
      <c r="E65" s="12" t="s">
        <v>2</v>
      </c>
      <c r="F65" s="67">
        <f t="shared" si="13"/>
        <v>10.98833333</v>
      </c>
      <c r="G65" s="10">
        <f t="shared" si="14"/>
        <v>10.98833333</v>
      </c>
      <c r="H65" s="1">
        <v>1.0</v>
      </c>
      <c r="I65" s="1">
        <v>1.0</v>
      </c>
      <c r="J65" s="1">
        <v>1.0</v>
      </c>
      <c r="K65" s="1">
        <v>1.0</v>
      </c>
      <c r="M65" s="1">
        <v>1.0</v>
      </c>
      <c r="N65" s="1">
        <v>1.0</v>
      </c>
      <c r="Z65" s="10"/>
      <c r="AA65" s="10"/>
    </row>
    <row r="66">
      <c r="A66" s="55">
        <v>45366.0</v>
      </c>
      <c r="B66" s="12" t="s">
        <v>213</v>
      </c>
      <c r="C66" s="12" t="s">
        <v>11</v>
      </c>
      <c r="D66" s="12">
        <v>5.11</v>
      </c>
      <c r="E66" s="12" t="s">
        <v>14</v>
      </c>
      <c r="F66" s="67">
        <f t="shared" si="13"/>
        <v>1.2775</v>
      </c>
      <c r="G66" s="10">
        <f t="shared" si="14"/>
        <v>1.2775</v>
      </c>
      <c r="I66" s="1">
        <v>1.0</v>
      </c>
      <c r="J66" s="1">
        <v>1.0</v>
      </c>
      <c r="K66" s="1">
        <v>1.0</v>
      </c>
      <c r="N66" s="1">
        <v>1.0</v>
      </c>
      <c r="Z66" s="10"/>
      <c r="AA66" s="10"/>
    </row>
    <row r="67">
      <c r="A67" s="55">
        <v>45367.0</v>
      </c>
      <c r="B67" s="12" t="s">
        <v>470</v>
      </c>
      <c r="C67" s="12" t="s">
        <v>11</v>
      </c>
      <c r="D67" s="12">
        <v>42.08</v>
      </c>
      <c r="E67" s="12" t="s">
        <v>14</v>
      </c>
      <c r="F67" s="67">
        <f>D67/sum(H67:P67)</f>
        <v>7.013333333</v>
      </c>
      <c r="G67" s="10">
        <f>D67/sum(H67:P67)</f>
        <v>7.013333333</v>
      </c>
      <c r="H67" s="1">
        <v>1.0</v>
      </c>
      <c r="I67" s="1">
        <v>1.0</v>
      </c>
      <c r="J67" s="1">
        <v>1.0</v>
      </c>
      <c r="K67" s="1">
        <v>1.0</v>
      </c>
      <c r="M67" s="1">
        <v>1.0</v>
      </c>
      <c r="N67" s="1">
        <v>1.0</v>
      </c>
      <c r="P67" s="1" t="s">
        <v>474</v>
      </c>
      <c r="Q67" s="1" t="s">
        <v>475</v>
      </c>
      <c r="R67" s="1" t="s">
        <v>476</v>
      </c>
      <c r="Z67" s="10"/>
      <c r="AA67" s="10"/>
    </row>
    <row r="68">
      <c r="A68" s="176">
        <v>45362.0</v>
      </c>
      <c r="B68" s="177" t="s">
        <v>241</v>
      </c>
      <c r="C68" s="177" t="s">
        <v>11</v>
      </c>
      <c r="D68" s="177">
        <v>10.45</v>
      </c>
      <c r="E68" s="177" t="s">
        <v>4</v>
      </c>
      <c r="F68" s="168">
        <f t="shared" ref="F68:F70" si="15">D68/sum(H68:R68)</f>
        <v>1.492857143</v>
      </c>
      <c r="G68" s="168">
        <f t="shared" ref="G68:G70" si="16">D68/sum(H68:R68)</f>
        <v>1.492857143</v>
      </c>
      <c r="H68" s="173">
        <v>1.0</v>
      </c>
      <c r="I68" s="173">
        <v>1.0</v>
      </c>
      <c r="J68" s="173">
        <v>1.0</v>
      </c>
      <c r="K68" s="173">
        <v>1.0</v>
      </c>
      <c r="L68" s="172"/>
      <c r="M68" s="172"/>
      <c r="N68" s="172"/>
      <c r="O68" s="172"/>
      <c r="P68" s="173">
        <v>1.0</v>
      </c>
      <c r="Q68" s="173">
        <v>1.0</v>
      </c>
      <c r="R68" s="173">
        <v>1.0</v>
      </c>
      <c r="S68" s="172"/>
      <c r="T68" s="172"/>
      <c r="U68" s="172"/>
      <c r="V68" s="172"/>
      <c r="W68" s="172"/>
      <c r="X68" s="172"/>
      <c r="Y68" s="172"/>
      <c r="Z68" s="168"/>
      <c r="AA68" s="168"/>
    </row>
    <row r="69">
      <c r="A69" s="178">
        <v>45363.0</v>
      </c>
      <c r="B69" s="46" t="s">
        <v>422</v>
      </c>
      <c r="C69" s="46" t="s">
        <v>11</v>
      </c>
      <c r="D69" s="46">
        <v>7.59</v>
      </c>
      <c r="E69" s="46" t="s">
        <v>14</v>
      </c>
      <c r="F69" s="179">
        <f t="shared" si="15"/>
        <v>1.084285714</v>
      </c>
      <c r="G69" s="179">
        <f t="shared" si="16"/>
        <v>1.084285714</v>
      </c>
      <c r="H69" s="162">
        <v>1.0</v>
      </c>
      <c r="I69" s="162">
        <v>1.0</v>
      </c>
      <c r="J69" s="162">
        <v>1.0</v>
      </c>
      <c r="K69" s="162">
        <v>1.0</v>
      </c>
      <c r="L69" s="163"/>
      <c r="M69" s="163"/>
      <c r="N69" s="163"/>
      <c r="O69" s="163"/>
      <c r="P69" s="162">
        <v>1.0</v>
      </c>
      <c r="Q69" s="162">
        <v>1.0</v>
      </c>
      <c r="R69" s="162">
        <v>1.0</v>
      </c>
      <c r="S69" s="163"/>
      <c r="T69" s="163"/>
      <c r="U69" s="163"/>
      <c r="V69" s="163"/>
      <c r="W69" s="163"/>
      <c r="X69" s="163"/>
      <c r="Y69" s="163"/>
      <c r="Z69" s="179"/>
      <c r="AA69" s="179"/>
    </row>
    <row r="70">
      <c r="A70" s="176">
        <v>45362.0</v>
      </c>
      <c r="B70" s="177" t="s">
        <v>422</v>
      </c>
      <c r="C70" s="177" t="s">
        <v>11</v>
      </c>
      <c r="D70" s="177">
        <v>54.6</v>
      </c>
      <c r="E70" s="177" t="s">
        <v>13</v>
      </c>
      <c r="F70" s="168">
        <f t="shared" si="15"/>
        <v>7.8</v>
      </c>
      <c r="G70" s="168">
        <f t="shared" si="16"/>
        <v>7.8</v>
      </c>
      <c r="H70" s="173">
        <v>1.0</v>
      </c>
      <c r="I70" s="173">
        <v>1.0</v>
      </c>
      <c r="J70" s="173">
        <v>1.0</v>
      </c>
      <c r="K70" s="173">
        <v>1.0</v>
      </c>
      <c r="L70" s="172"/>
      <c r="M70" s="172"/>
      <c r="N70" s="172"/>
      <c r="O70" s="172"/>
      <c r="P70" s="173">
        <v>1.0</v>
      </c>
      <c r="Q70" s="173">
        <v>1.0</v>
      </c>
      <c r="R70" s="173">
        <v>1.0</v>
      </c>
      <c r="S70" s="172"/>
      <c r="T70" s="172"/>
      <c r="U70" s="172"/>
      <c r="V70" s="172"/>
      <c r="W70" s="172"/>
      <c r="X70" s="172"/>
      <c r="Y70" s="172"/>
      <c r="Z70" s="168"/>
      <c r="AA70" s="168"/>
    </row>
    <row r="71">
      <c r="A71" s="55">
        <v>45364.0</v>
      </c>
      <c r="B71" s="12" t="s">
        <v>399</v>
      </c>
      <c r="C71" s="12" t="s">
        <v>29</v>
      </c>
      <c r="D71" s="12">
        <v>13.23</v>
      </c>
      <c r="E71" s="12" t="s">
        <v>14</v>
      </c>
      <c r="F71" s="67">
        <f t="shared" ref="F71:F76" si="17">D71/sum(H71:O71)</f>
        <v>4.41</v>
      </c>
      <c r="G71" s="10">
        <f t="shared" ref="G71:G76" si="18">D71/sum(H71:O71)</f>
        <v>4.41</v>
      </c>
      <c r="I71" s="1">
        <v>1.0</v>
      </c>
      <c r="K71" s="1">
        <v>1.0</v>
      </c>
      <c r="N71" s="1">
        <v>1.0</v>
      </c>
      <c r="Z71" s="10"/>
      <c r="AA71" s="10"/>
    </row>
    <row r="72">
      <c r="A72" s="59">
        <v>45364.0</v>
      </c>
      <c r="B72" s="12" t="s">
        <v>399</v>
      </c>
      <c r="C72" s="12" t="s">
        <v>29</v>
      </c>
      <c r="D72" s="12">
        <v>18.81</v>
      </c>
      <c r="E72" s="12" t="s">
        <v>14</v>
      </c>
      <c r="F72" s="67">
        <f t="shared" si="17"/>
        <v>4.7025</v>
      </c>
      <c r="G72" s="10">
        <f t="shared" si="18"/>
        <v>4.7025</v>
      </c>
      <c r="I72" s="1">
        <v>1.0</v>
      </c>
      <c r="J72" s="1">
        <v>1.0</v>
      </c>
      <c r="K72" s="1">
        <v>1.0</v>
      </c>
      <c r="N72" s="1">
        <v>1.0</v>
      </c>
      <c r="Z72" s="10"/>
      <c r="AA72" s="10"/>
    </row>
    <row r="73">
      <c r="A73" s="59">
        <v>45360.0</v>
      </c>
      <c r="B73" s="12" t="s">
        <v>305</v>
      </c>
      <c r="C73" s="12" t="s">
        <v>11</v>
      </c>
      <c r="D73" s="12">
        <v>110.0</v>
      </c>
      <c r="E73" s="12" t="s">
        <v>14</v>
      </c>
      <c r="F73" s="67">
        <f t="shared" si="17"/>
        <v>18.33333333</v>
      </c>
      <c r="G73" s="10">
        <f t="shared" si="18"/>
        <v>18.33333333</v>
      </c>
      <c r="H73" s="1">
        <v>1.0</v>
      </c>
      <c r="I73" s="1">
        <v>1.0</v>
      </c>
      <c r="J73" s="1">
        <v>1.0</v>
      </c>
      <c r="K73" s="1">
        <v>1.0</v>
      </c>
      <c r="L73" s="1">
        <v>1.0</v>
      </c>
      <c r="N73" s="1">
        <v>1.0</v>
      </c>
      <c r="Z73" s="10"/>
      <c r="AA73" s="10"/>
    </row>
    <row r="74">
      <c r="A74" s="55">
        <v>45372.0</v>
      </c>
      <c r="B74" s="12" t="s">
        <v>259</v>
      </c>
      <c r="C74" s="12" t="s">
        <v>11</v>
      </c>
      <c r="D74" s="12">
        <v>100.0</v>
      </c>
      <c r="E74" s="12" t="s">
        <v>13</v>
      </c>
      <c r="F74" s="67">
        <f t="shared" si="17"/>
        <v>20</v>
      </c>
      <c r="G74" s="10">
        <f t="shared" si="18"/>
        <v>20</v>
      </c>
      <c r="H74" s="1">
        <v>1.0</v>
      </c>
      <c r="I74" s="1">
        <v>1.0</v>
      </c>
      <c r="J74" s="1">
        <v>1.0</v>
      </c>
      <c r="K74" s="1">
        <v>1.0</v>
      </c>
      <c r="M74" s="1">
        <v>1.0</v>
      </c>
      <c r="Z74" s="10"/>
      <c r="AA74" s="10"/>
    </row>
    <row r="75">
      <c r="A75" s="55" t="s">
        <v>477</v>
      </c>
      <c r="B75" s="12" t="s">
        <v>422</v>
      </c>
      <c r="C75" s="12" t="s">
        <v>11</v>
      </c>
      <c r="D75" s="12">
        <v>51.55</v>
      </c>
      <c r="E75" s="12" t="s">
        <v>2</v>
      </c>
      <c r="F75" s="67">
        <f t="shared" si="17"/>
        <v>10.31</v>
      </c>
      <c r="G75" s="10">
        <f t="shared" si="18"/>
        <v>10.31</v>
      </c>
      <c r="H75" s="1">
        <v>1.0</v>
      </c>
      <c r="I75" s="1">
        <v>1.0</v>
      </c>
      <c r="J75" s="1">
        <v>1.0</v>
      </c>
      <c r="K75" s="1">
        <v>1.0</v>
      </c>
      <c r="N75" s="1">
        <v>1.0</v>
      </c>
      <c r="Z75" s="10"/>
      <c r="AA75" s="10"/>
    </row>
    <row r="76">
      <c r="A76" s="55">
        <v>45379.0</v>
      </c>
      <c r="B76" s="12" t="s">
        <v>50</v>
      </c>
      <c r="C76" s="12"/>
      <c r="D76" s="12"/>
      <c r="E76" s="12"/>
      <c r="F76" s="67" t="str">
        <f t="shared" si="17"/>
        <v>#DIV/0!</v>
      </c>
      <c r="G76" s="10" t="str">
        <f t="shared" si="18"/>
        <v>#DIV/0!</v>
      </c>
      <c r="Z76" s="10"/>
      <c r="AA76" s="10"/>
    </row>
    <row r="77">
      <c r="A77" s="55"/>
      <c r="B77" s="12" t="s">
        <v>478</v>
      </c>
      <c r="C77" s="12"/>
      <c r="D77" s="12">
        <f>15.99*1.13</f>
        <v>18.0687</v>
      </c>
      <c r="E77" s="12" t="s">
        <v>2</v>
      </c>
      <c r="F77" s="67">
        <f t="shared" ref="F77:F104" si="19">D77/sum(H77:Z77)</f>
        <v>3.61374</v>
      </c>
      <c r="G77" s="10">
        <f t="shared" ref="G77:G80" si="20">D77/sum(H77:Z77)</f>
        <v>3.61374</v>
      </c>
      <c r="H77" s="1">
        <v>1.0</v>
      </c>
      <c r="I77" s="1">
        <v>1.0</v>
      </c>
      <c r="J77" s="1">
        <v>1.0</v>
      </c>
      <c r="K77" s="1">
        <v>1.0</v>
      </c>
      <c r="N77" s="1">
        <v>1.0</v>
      </c>
      <c r="Z77" s="10"/>
      <c r="AA77" s="10"/>
    </row>
    <row r="78">
      <c r="A78" s="59"/>
      <c r="B78" s="12" t="s">
        <v>96</v>
      </c>
      <c r="C78" s="12" t="s">
        <v>11</v>
      </c>
      <c r="D78" s="12">
        <v>14.99</v>
      </c>
      <c r="E78" s="12" t="s">
        <v>2</v>
      </c>
      <c r="F78" s="67">
        <f t="shared" si="19"/>
        <v>2.998</v>
      </c>
      <c r="G78" s="10">
        <f t="shared" si="20"/>
        <v>2.998</v>
      </c>
      <c r="H78" s="1">
        <v>1.0</v>
      </c>
      <c r="I78" s="1">
        <v>1.0</v>
      </c>
      <c r="J78" s="1">
        <v>1.0</v>
      </c>
      <c r="K78" s="1">
        <v>1.0</v>
      </c>
      <c r="N78" s="1">
        <v>1.0</v>
      </c>
      <c r="Z78" s="10"/>
      <c r="AA78" s="10"/>
    </row>
    <row r="79">
      <c r="A79" s="55"/>
      <c r="B79" s="12" t="s">
        <v>479</v>
      </c>
      <c r="C79" s="12" t="s">
        <v>23</v>
      </c>
      <c r="D79" s="12">
        <f>(13.49-4.5)*1.13</f>
        <v>10.1587</v>
      </c>
      <c r="E79" s="12" t="s">
        <v>2</v>
      </c>
      <c r="F79" s="67">
        <f t="shared" si="19"/>
        <v>2.03174</v>
      </c>
      <c r="G79" s="10">
        <f t="shared" si="20"/>
        <v>2.03174</v>
      </c>
      <c r="H79" s="1">
        <v>1.0</v>
      </c>
      <c r="I79" s="1">
        <v>1.0</v>
      </c>
      <c r="J79" s="1">
        <v>1.0</v>
      </c>
      <c r="K79" s="1">
        <v>1.0</v>
      </c>
      <c r="N79" s="1">
        <v>1.0</v>
      </c>
      <c r="Q79" s="18"/>
      <c r="R79" s="18"/>
      <c r="S79" s="18"/>
      <c r="Z79" s="10"/>
      <c r="AA79" s="10"/>
    </row>
    <row r="80">
      <c r="A80" s="55"/>
      <c r="B80" s="12" t="s">
        <v>480</v>
      </c>
      <c r="C80" s="12" t="s">
        <v>139</v>
      </c>
      <c r="D80" s="12">
        <f>16.99*1.13</f>
        <v>19.1987</v>
      </c>
      <c r="E80" s="12" t="s">
        <v>2</v>
      </c>
      <c r="F80" s="67">
        <f t="shared" si="19"/>
        <v>19.1987</v>
      </c>
      <c r="G80" s="10">
        <f t="shared" si="20"/>
        <v>19.1987</v>
      </c>
      <c r="H80" s="1">
        <v>1.0</v>
      </c>
      <c r="Q80" s="18"/>
      <c r="R80" s="18"/>
      <c r="S80" s="18"/>
      <c r="Z80" s="10"/>
      <c r="AA80" s="10"/>
    </row>
    <row r="81">
      <c r="A81" s="59"/>
      <c r="B81" s="12" t="s">
        <v>481</v>
      </c>
      <c r="C81" s="51" t="s">
        <v>11</v>
      </c>
      <c r="D81" s="12">
        <f>8.79</f>
        <v>8.79</v>
      </c>
      <c r="E81" s="12" t="s">
        <v>2</v>
      </c>
      <c r="F81" s="180">
        <f t="shared" si="19"/>
        <v>8.79</v>
      </c>
      <c r="G81" s="10">
        <f>D81/sum(H81:O81)</f>
        <v>8.79</v>
      </c>
      <c r="M81" s="1">
        <v>1.0</v>
      </c>
      <c r="Z81" s="64"/>
      <c r="AA81" s="64"/>
    </row>
    <row r="82">
      <c r="A82" s="59"/>
      <c r="B82" s="12" t="s">
        <v>482</v>
      </c>
      <c r="C82" s="12" t="s">
        <v>11</v>
      </c>
      <c r="D82" s="12">
        <v>5.89</v>
      </c>
      <c r="E82" s="12" t="s">
        <v>2</v>
      </c>
      <c r="F82" s="67">
        <f t="shared" si="19"/>
        <v>1.178</v>
      </c>
      <c r="G82" s="10">
        <f t="shared" ref="G82:G99" si="21">D82/sum(H82:Z82)</f>
        <v>1.178</v>
      </c>
      <c r="H82" s="1">
        <v>1.0</v>
      </c>
      <c r="I82" s="1">
        <v>1.0</v>
      </c>
      <c r="J82" s="1">
        <v>1.0</v>
      </c>
      <c r="K82" s="1">
        <v>1.0</v>
      </c>
      <c r="N82" s="1">
        <v>1.0</v>
      </c>
      <c r="Z82" s="10"/>
      <c r="AA82" s="10"/>
    </row>
    <row r="83">
      <c r="A83" s="59"/>
      <c r="B83" s="12" t="s">
        <v>483</v>
      </c>
      <c r="C83" s="12" t="s">
        <v>11</v>
      </c>
      <c r="D83" s="12">
        <v>5.49</v>
      </c>
      <c r="E83" s="12" t="s">
        <v>2</v>
      </c>
      <c r="F83" s="67">
        <f t="shared" si="19"/>
        <v>1.098</v>
      </c>
      <c r="G83" s="10">
        <f t="shared" si="21"/>
        <v>1.098</v>
      </c>
      <c r="H83" s="1">
        <v>1.0</v>
      </c>
      <c r="I83" s="1">
        <v>1.0</v>
      </c>
      <c r="J83" s="1">
        <v>1.0</v>
      </c>
      <c r="K83" s="1">
        <v>1.0</v>
      </c>
      <c r="N83" s="1">
        <v>1.0</v>
      </c>
      <c r="Z83" s="10"/>
      <c r="AA83" s="10"/>
    </row>
    <row r="84">
      <c r="A84" s="59"/>
      <c r="B84" s="12" t="s">
        <v>484</v>
      </c>
      <c r="C84" s="12" t="s">
        <v>23</v>
      </c>
      <c r="D84" s="12">
        <f>22.99*1.13</f>
        <v>25.9787</v>
      </c>
      <c r="E84" s="12" t="s">
        <v>2</v>
      </c>
      <c r="F84" s="67">
        <f t="shared" si="19"/>
        <v>25.9787</v>
      </c>
      <c r="G84" s="10">
        <f t="shared" si="21"/>
        <v>25.9787</v>
      </c>
      <c r="J84" s="1">
        <v>1.0</v>
      </c>
      <c r="Z84" s="10"/>
      <c r="AA84" s="10"/>
    </row>
    <row r="85">
      <c r="A85" s="59"/>
      <c r="B85" s="12" t="s">
        <v>459</v>
      </c>
      <c r="C85" s="12" t="s">
        <v>11</v>
      </c>
      <c r="D85" s="12">
        <f>116.56</f>
        <v>116.56</v>
      </c>
      <c r="E85" s="12" t="s">
        <v>2</v>
      </c>
      <c r="F85" s="67">
        <f t="shared" si="19"/>
        <v>29.14</v>
      </c>
      <c r="G85" s="10">
        <f t="shared" si="21"/>
        <v>29.14</v>
      </c>
      <c r="J85" s="1">
        <v>1.0</v>
      </c>
      <c r="L85" s="1">
        <v>1.0</v>
      </c>
      <c r="M85" s="1">
        <v>1.0</v>
      </c>
      <c r="N85" s="1">
        <v>1.0</v>
      </c>
      <c r="Z85" s="10"/>
      <c r="AA85" s="10"/>
    </row>
    <row r="86">
      <c r="A86" s="59"/>
      <c r="B86" s="12" t="s">
        <v>387</v>
      </c>
      <c r="C86" s="12" t="s">
        <v>11</v>
      </c>
      <c r="D86" s="12">
        <v>5.99</v>
      </c>
      <c r="E86" s="12" t="s">
        <v>2</v>
      </c>
      <c r="F86" s="67">
        <f t="shared" si="19"/>
        <v>1.198</v>
      </c>
      <c r="G86" s="10">
        <f t="shared" si="21"/>
        <v>1.198</v>
      </c>
      <c r="H86" s="1">
        <v>1.0</v>
      </c>
      <c r="I86" s="1">
        <v>1.0</v>
      </c>
      <c r="J86" s="1">
        <v>1.0</v>
      </c>
      <c r="K86" s="1">
        <v>1.0</v>
      </c>
      <c r="N86" s="1">
        <v>1.0</v>
      </c>
      <c r="Z86" s="10"/>
      <c r="AA86" s="10"/>
    </row>
    <row r="87">
      <c r="A87" s="59"/>
      <c r="B87" s="12" t="s">
        <v>211</v>
      </c>
      <c r="C87" s="12" t="s">
        <v>23</v>
      </c>
      <c r="D87" s="12">
        <f>(29.99-6)*1.13</f>
        <v>27.1087</v>
      </c>
      <c r="E87" s="12" t="s">
        <v>2</v>
      </c>
      <c r="F87" s="67">
        <f t="shared" si="19"/>
        <v>5.42174</v>
      </c>
      <c r="G87" s="10">
        <f t="shared" si="21"/>
        <v>5.42174</v>
      </c>
      <c r="H87" s="1">
        <v>1.0</v>
      </c>
      <c r="I87" s="1">
        <v>1.0</v>
      </c>
      <c r="J87" s="1">
        <v>1.0</v>
      </c>
      <c r="K87" s="1">
        <v>1.0</v>
      </c>
      <c r="N87" s="1">
        <v>1.0</v>
      </c>
      <c r="S87" s="18"/>
      <c r="Z87" s="10"/>
      <c r="AA87" s="10"/>
    </row>
    <row r="88">
      <c r="A88" s="59"/>
      <c r="B88" s="12" t="s">
        <v>445</v>
      </c>
      <c r="C88" s="12" t="s">
        <v>11</v>
      </c>
      <c r="D88" s="12">
        <v>8.89</v>
      </c>
      <c r="E88" s="12" t="s">
        <v>2</v>
      </c>
      <c r="F88" s="67">
        <f t="shared" si="19"/>
        <v>1.778</v>
      </c>
      <c r="G88" s="10">
        <f t="shared" si="21"/>
        <v>1.778</v>
      </c>
      <c r="H88" s="1">
        <v>1.0</v>
      </c>
      <c r="I88" s="1">
        <v>1.0</v>
      </c>
      <c r="J88" s="1">
        <v>1.0</v>
      </c>
      <c r="K88" s="1">
        <v>1.0</v>
      </c>
      <c r="N88" s="1">
        <v>1.0</v>
      </c>
      <c r="Z88" s="10"/>
      <c r="AA88" s="10"/>
    </row>
    <row r="89">
      <c r="A89" s="174"/>
      <c r="B89" s="51" t="s">
        <v>95</v>
      </c>
      <c r="C89" s="51" t="s">
        <v>11</v>
      </c>
      <c r="D89" s="51">
        <v>3.38</v>
      </c>
      <c r="E89" s="51" t="s">
        <v>2</v>
      </c>
      <c r="F89" s="180">
        <f t="shared" si="19"/>
        <v>3.38</v>
      </c>
      <c r="G89" s="65">
        <f t="shared" si="21"/>
        <v>3.38</v>
      </c>
      <c r="H89" s="181"/>
      <c r="I89" s="181"/>
      <c r="J89" s="181"/>
      <c r="K89" s="181"/>
      <c r="L89" s="53"/>
      <c r="M89" s="54">
        <v>1.0</v>
      </c>
      <c r="N89" s="181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>
      <c r="A90" s="59"/>
      <c r="B90" s="12" t="s">
        <v>333</v>
      </c>
      <c r="C90" s="12" t="s">
        <v>11</v>
      </c>
      <c r="D90" s="12">
        <f>11.38*1.13</f>
        <v>12.8594</v>
      </c>
      <c r="E90" s="12" t="s">
        <v>2</v>
      </c>
      <c r="F90" s="67">
        <f t="shared" si="19"/>
        <v>2.57188</v>
      </c>
      <c r="G90" s="10">
        <f t="shared" si="21"/>
        <v>2.57188</v>
      </c>
      <c r="H90" s="1">
        <v>1.0</v>
      </c>
      <c r="I90" s="1">
        <v>1.0</v>
      </c>
      <c r="J90" s="1">
        <v>1.0</v>
      </c>
      <c r="K90" s="1">
        <v>1.0</v>
      </c>
      <c r="N90" s="1">
        <v>1.0</v>
      </c>
      <c r="Z90" s="10"/>
      <c r="AA90" s="10"/>
    </row>
    <row r="91">
      <c r="A91" s="59"/>
      <c r="B91" s="12" t="s">
        <v>485</v>
      </c>
      <c r="C91" s="12" t="s">
        <v>11</v>
      </c>
      <c r="D91" s="12">
        <v>22.98</v>
      </c>
      <c r="E91" s="12" t="s">
        <v>2</v>
      </c>
      <c r="F91" s="67">
        <f t="shared" si="19"/>
        <v>11.49</v>
      </c>
      <c r="G91" s="10">
        <f t="shared" si="21"/>
        <v>11.49</v>
      </c>
      <c r="J91" s="1">
        <v>1.0</v>
      </c>
      <c r="M91" s="1">
        <v>1.0</v>
      </c>
      <c r="Z91" s="10"/>
      <c r="AA91" s="10"/>
    </row>
    <row r="92">
      <c r="A92" s="59">
        <v>45377.0</v>
      </c>
      <c r="B92" s="12" t="s">
        <v>486</v>
      </c>
      <c r="C92" s="12" t="s">
        <v>11</v>
      </c>
      <c r="D92" s="12">
        <v>15.45</v>
      </c>
      <c r="E92" s="12" t="s">
        <v>7</v>
      </c>
      <c r="F92" s="67">
        <f t="shared" si="19"/>
        <v>3.09</v>
      </c>
      <c r="G92" s="10">
        <f t="shared" si="21"/>
        <v>3.09</v>
      </c>
      <c r="H92" s="1">
        <v>1.0</v>
      </c>
      <c r="I92" s="1">
        <v>1.0</v>
      </c>
      <c r="J92" s="1">
        <v>1.0</v>
      </c>
      <c r="K92" s="1">
        <v>1.0</v>
      </c>
      <c r="N92" s="1">
        <v>1.0</v>
      </c>
      <c r="Z92" s="10"/>
      <c r="AA92" s="10"/>
    </row>
    <row r="93">
      <c r="A93" s="59"/>
      <c r="B93" s="12" t="s">
        <v>487</v>
      </c>
      <c r="C93" s="12" t="s">
        <v>31</v>
      </c>
      <c r="D93" s="12">
        <v>12.0</v>
      </c>
      <c r="E93" s="12" t="s">
        <v>13</v>
      </c>
      <c r="F93" s="67">
        <f t="shared" si="19"/>
        <v>12</v>
      </c>
      <c r="G93" s="10">
        <f t="shared" si="21"/>
        <v>12</v>
      </c>
      <c r="N93" s="1">
        <v>1.0</v>
      </c>
      <c r="Z93" s="10"/>
      <c r="AA93" s="10"/>
    </row>
    <row r="94">
      <c r="A94" s="59"/>
      <c r="B94" s="12"/>
      <c r="C94" s="12"/>
      <c r="D94" s="12"/>
      <c r="E94" s="12"/>
      <c r="F94" s="67" t="str">
        <f t="shared" si="19"/>
        <v>#DIV/0!</v>
      </c>
      <c r="G94" s="10" t="str">
        <f t="shared" si="21"/>
        <v>#DIV/0!</v>
      </c>
      <c r="Z94" s="10"/>
      <c r="AA94" s="10"/>
    </row>
    <row r="95">
      <c r="A95" s="59"/>
      <c r="B95" s="12"/>
      <c r="C95" s="12"/>
      <c r="D95" s="12"/>
      <c r="E95" s="12"/>
      <c r="F95" s="67" t="str">
        <f t="shared" si="19"/>
        <v>#DIV/0!</v>
      </c>
      <c r="G95" s="10" t="str">
        <f t="shared" si="21"/>
        <v>#DIV/0!</v>
      </c>
      <c r="Z95" s="10"/>
      <c r="AA95" s="10"/>
    </row>
    <row r="96">
      <c r="A96" s="59"/>
      <c r="B96" s="12"/>
      <c r="C96" s="12"/>
      <c r="D96" s="12"/>
      <c r="E96" s="12"/>
      <c r="F96" s="67" t="str">
        <f t="shared" si="19"/>
        <v>#DIV/0!</v>
      </c>
      <c r="G96" s="10" t="str">
        <f t="shared" si="21"/>
        <v>#DIV/0!</v>
      </c>
      <c r="Z96" s="10"/>
      <c r="AA96" s="10"/>
    </row>
    <row r="97">
      <c r="A97" s="59"/>
      <c r="B97" s="12"/>
      <c r="C97" s="12"/>
      <c r="D97" s="12"/>
      <c r="E97" s="12"/>
      <c r="F97" s="67" t="str">
        <f t="shared" si="19"/>
        <v>#DIV/0!</v>
      </c>
      <c r="G97" s="10" t="str">
        <f t="shared" si="21"/>
        <v>#DIV/0!</v>
      </c>
      <c r="Z97" s="10"/>
      <c r="AA97" s="10"/>
    </row>
    <row r="98">
      <c r="A98" s="59"/>
      <c r="B98" s="12"/>
      <c r="C98" s="12"/>
      <c r="D98" s="12"/>
      <c r="E98" s="12"/>
      <c r="F98" s="67" t="str">
        <f t="shared" si="19"/>
        <v>#DIV/0!</v>
      </c>
      <c r="G98" s="10" t="str">
        <f t="shared" si="21"/>
        <v>#DIV/0!</v>
      </c>
      <c r="Z98" s="10"/>
      <c r="AA98" s="10"/>
    </row>
    <row r="99">
      <c r="A99" s="59"/>
      <c r="B99" s="12"/>
      <c r="C99" s="12"/>
      <c r="D99" s="12"/>
      <c r="E99" s="12"/>
      <c r="F99" s="67" t="str">
        <f t="shared" si="19"/>
        <v>#DIV/0!</v>
      </c>
      <c r="G99" s="10" t="str">
        <f t="shared" si="21"/>
        <v>#DIV/0!</v>
      </c>
      <c r="Z99" s="10"/>
      <c r="AA99" s="10"/>
    </row>
    <row r="100">
      <c r="A100" s="59"/>
      <c r="B100" s="12"/>
      <c r="C100" s="51"/>
      <c r="D100" s="12"/>
      <c r="E100" s="12"/>
      <c r="F100" s="180" t="str">
        <f t="shared" si="19"/>
        <v>#DIV/0!</v>
      </c>
      <c r="G100" s="10" t="str">
        <f t="shared" ref="G100:G123" si="22">D100/sum(H100:O100)</f>
        <v>#DIV/0!</v>
      </c>
      <c r="Z100" s="64"/>
      <c r="AA100" s="64"/>
    </row>
    <row r="101">
      <c r="A101" s="59"/>
      <c r="B101" s="12"/>
      <c r="C101" s="51"/>
      <c r="D101" s="12"/>
      <c r="E101" s="12"/>
      <c r="F101" s="180" t="str">
        <f t="shared" si="19"/>
        <v>#DIV/0!</v>
      </c>
      <c r="G101" s="10" t="str">
        <f t="shared" si="22"/>
        <v>#DIV/0!</v>
      </c>
      <c r="Z101" s="64"/>
      <c r="AA101" s="64"/>
    </row>
    <row r="102">
      <c r="A102" s="59"/>
      <c r="B102" s="12"/>
      <c r="C102" s="51"/>
      <c r="D102" s="12"/>
      <c r="E102" s="12"/>
      <c r="F102" s="180" t="str">
        <f t="shared" si="19"/>
        <v>#DIV/0!</v>
      </c>
      <c r="G102" s="10" t="str">
        <f t="shared" si="22"/>
        <v>#DIV/0!</v>
      </c>
      <c r="Z102" s="64"/>
      <c r="AA102" s="64"/>
    </row>
    <row r="103">
      <c r="A103" s="59"/>
      <c r="B103" s="12"/>
      <c r="C103" s="51"/>
      <c r="D103" s="12"/>
      <c r="E103" s="12"/>
      <c r="F103" s="180" t="str">
        <f t="shared" si="19"/>
        <v>#DIV/0!</v>
      </c>
      <c r="G103" s="10" t="str">
        <f t="shared" si="22"/>
        <v>#DIV/0!</v>
      </c>
      <c r="Z103" s="64"/>
      <c r="AA103" s="64"/>
    </row>
    <row r="104">
      <c r="A104" s="59"/>
      <c r="B104" s="12"/>
      <c r="C104" s="51"/>
      <c r="D104" s="12"/>
      <c r="E104" s="12"/>
      <c r="F104" s="180" t="str">
        <f t="shared" si="19"/>
        <v>#DIV/0!</v>
      </c>
      <c r="G104" s="10" t="str">
        <f t="shared" si="22"/>
        <v>#DIV/0!</v>
      </c>
      <c r="Z104" s="57"/>
      <c r="AA104" s="57"/>
    </row>
    <row r="105">
      <c r="A105" s="59"/>
      <c r="B105" s="12"/>
      <c r="C105" s="12"/>
      <c r="D105" s="12"/>
      <c r="E105" s="12"/>
      <c r="F105" s="67" t="str">
        <f t="shared" ref="F105:F147" si="23">D105/sum(H105:O105)</f>
        <v>#DIV/0!</v>
      </c>
      <c r="G105" s="10" t="str">
        <f t="shared" si="22"/>
        <v>#DIV/0!</v>
      </c>
      <c r="Z105" s="10"/>
      <c r="AA105" s="10"/>
    </row>
    <row r="106">
      <c r="A106" s="59"/>
      <c r="B106" s="12"/>
      <c r="C106" s="12"/>
      <c r="D106" s="12"/>
      <c r="E106" s="12"/>
      <c r="F106" s="67" t="str">
        <f t="shared" si="23"/>
        <v>#DIV/0!</v>
      </c>
      <c r="G106" s="10" t="str">
        <f t="shared" si="22"/>
        <v>#DIV/0!</v>
      </c>
      <c r="Z106" s="10"/>
      <c r="AA106" s="10"/>
    </row>
    <row r="107">
      <c r="A107" s="59"/>
      <c r="B107" s="12"/>
      <c r="C107" s="12"/>
      <c r="D107" s="12"/>
      <c r="E107" s="12"/>
      <c r="F107" s="67" t="str">
        <f t="shared" si="23"/>
        <v>#DIV/0!</v>
      </c>
      <c r="G107" s="10" t="str">
        <f t="shared" si="22"/>
        <v>#DIV/0!</v>
      </c>
      <c r="Z107" s="10"/>
      <c r="AA107" s="10"/>
    </row>
    <row r="108">
      <c r="A108" s="59"/>
      <c r="B108" s="12"/>
      <c r="C108" s="12"/>
      <c r="D108" s="12"/>
      <c r="E108" s="12"/>
      <c r="F108" s="67" t="str">
        <f t="shared" si="23"/>
        <v>#DIV/0!</v>
      </c>
      <c r="G108" s="10" t="str">
        <f t="shared" si="22"/>
        <v>#DIV/0!</v>
      </c>
      <c r="Z108" s="10"/>
      <c r="AA108" s="10"/>
    </row>
    <row r="109">
      <c r="A109" s="59"/>
      <c r="B109" s="12"/>
      <c r="C109" s="12"/>
      <c r="D109" s="12"/>
      <c r="E109" s="12"/>
      <c r="F109" s="67" t="str">
        <f t="shared" si="23"/>
        <v>#DIV/0!</v>
      </c>
      <c r="G109" s="10" t="str">
        <f t="shared" si="22"/>
        <v>#DIV/0!</v>
      </c>
      <c r="Z109" s="10"/>
      <c r="AA109" s="10"/>
    </row>
    <row r="110">
      <c r="A110" s="59"/>
      <c r="B110" s="12"/>
      <c r="C110" s="12"/>
      <c r="D110" s="12"/>
      <c r="E110" s="12"/>
      <c r="F110" s="67" t="str">
        <f t="shared" si="23"/>
        <v>#DIV/0!</v>
      </c>
      <c r="G110" s="10" t="str">
        <f t="shared" si="22"/>
        <v>#DIV/0!</v>
      </c>
      <c r="Z110" s="10"/>
      <c r="AA110" s="10"/>
    </row>
    <row r="111">
      <c r="A111" s="59"/>
      <c r="B111" s="12"/>
      <c r="C111" s="12"/>
      <c r="D111" s="12"/>
      <c r="E111" s="12"/>
      <c r="F111" s="67" t="str">
        <f t="shared" si="23"/>
        <v>#DIV/0!</v>
      </c>
      <c r="G111" s="10" t="str">
        <f t="shared" si="22"/>
        <v>#DIV/0!</v>
      </c>
      <c r="Z111" s="10"/>
      <c r="AA111" s="10"/>
    </row>
    <row r="112">
      <c r="A112" s="59"/>
      <c r="B112" s="12"/>
      <c r="C112" s="12"/>
      <c r="D112" s="12"/>
      <c r="E112" s="12"/>
      <c r="F112" s="67" t="str">
        <f t="shared" si="23"/>
        <v>#DIV/0!</v>
      </c>
      <c r="G112" s="10" t="str">
        <f t="shared" si="22"/>
        <v>#DIV/0!</v>
      </c>
      <c r="Z112" s="10"/>
      <c r="AA112" s="10"/>
    </row>
    <row r="113">
      <c r="A113" s="59"/>
      <c r="B113" s="12"/>
      <c r="C113" s="12"/>
      <c r="D113" s="12"/>
      <c r="E113" s="12"/>
      <c r="F113" s="67" t="str">
        <f t="shared" si="23"/>
        <v>#DIV/0!</v>
      </c>
      <c r="G113" s="10" t="str">
        <f t="shared" si="22"/>
        <v>#DIV/0!</v>
      </c>
      <c r="Z113" s="10"/>
      <c r="AA113" s="10"/>
    </row>
    <row r="114">
      <c r="A114" s="59"/>
      <c r="B114" s="12"/>
      <c r="C114" s="12"/>
      <c r="D114" s="12"/>
      <c r="E114" s="12"/>
      <c r="F114" s="67" t="str">
        <f t="shared" si="23"/>
        <v>#DIV/0!</v>
      </c>
      <c r="G114" s="10" t="str">
        <f t="shared" si="22"/>
        <v>#DIV/0!</v>
      </c>
      <c r="Z114" s="10"/>
      <c r="AA114" s="10"/>
    </row>
    <row r="115">
      <c r="A115" s="59"/>
      <c r="B115" s="12"/>
      <c r="C115" s="12"/>
      <c r="D115" s="12"/>
      <c r="E115" s="12"/>
      <c r="F115" s="67" t="str">
        <f t="shared" si="23"/>
        <v>#DIV/0!</v>
      </c>
      <c r="G115" s="10" t="str">
        <f t="shared" si="22"/>
        <v>#DIV/0!</v>
      </c>
      <c r="Z115" s="10"/>
      <c r="AA115" s="10"/>
    </row>
    <row r="116">
      <c r="A116" s="59"/>
      <c r="B116" s="12"/>
      <c r="C116" s="12"/>
      <c r="D116" s="12"/>
      <c r="E116" s="12"/>
      <c r="F116" s="67" t="str">
        <f t="shared" si="23"/>
        <v>#DIV/0!</v>
      </c>
      <c r="G116" s="10" t="str">
        <f t="shared" si="22"/>
        <v>#DIV/0!</v>
      </c>
      <c r="Z116" s="10"/>
      <c r="AA116" s="10"/>
    </row>
    <row r="117">
      <c r="A117" s="59"/>
      <c r="B117" s="12"/>
      <c r="C117" s="12"/>
      <c r="D117" s="12"/>
      <c r="E117" s="12"/>
      <c r="F117" s="67" t="str">
        <f t="shared" si="23"/>
        <v>#DIV/0!</v>
      </c>
      <c r="G117" s="10" t="str">
        <f t="shared" si="22"/>
        <v>#DIV/0!</v>
      </c>
      <c r="Z117" s="10"/>
      <c r="AA117" s="10"/>
    </row>
    <row r="118">
      <c r="A118" s="59"/>
      <c r="B118" s="12"/>
      <c r="C118" s="12"/>
      <c r="D118" s="12"/>
      <c r="E118" s="12"/>
      <c r="F118" s="67" t="str">
        <f t="shared" si="23"/>
        <v>#DIV/0!</v>
      </c>
      <c r="G118" s="10" t="str">
        <f t="shared" si="22"/>
        <v>#DIV/0!</v>
      </c>
      <c r="Z118" s="10"/>
      <c r="AA118" s="10"/>
    </row>
    <row r="119">
      <c r="A119" s="10"/>
      <c r="B119" s="10"/>
      <c r="C119" s="10"/>
      <c r="D119" s="10"/>
      <c r="E119" s="10"/>
      <c r="F119" s="67" t="str">
        <f t="shared" si="23"/>
        <v>#DIV/0!</v>
      </c>
      <c r="G119" s="10" t="str">
        <f t="shared" si="22"/>
        <v>#DIV/0!</v>
      </c>
      <c r="Z119" s="10"/>
      <c r="AA119" s="10"/>
    </row>
    <row r="120">
      <c r="A120" s="10"/>
      <c r="B120" s="10"/>
      <c r="C120" s="10"/>
      <c r="D120" s="10"/>
      <c r="E120" s="10"/>
      <c r="F120" s="67" t="str">
        <f t="shared" si="23"/>
        <v>#DIV/0!</v>
      </c>
      <c r="G120" s="10" t="str">
        <f t="shared" si="22"/>
        <v>#DIV/0!</v>
      </c>
      <c r="Z120" s="10"/>
      <c r="AA120" s="10"/>
    </row>
    <row r="121">
      <c r="A121" s="10"/>
      <c r="B121" s="10"/>
      <c r="C121" s="10"/>
      <c r="D121" s="10"/>
      <c r="E121" s="10"/>
      <c r="F121" s="67" t="str">
        <f t="shared" si="23"/>
        <v>#DIV/0!</v>
      </c>
      <c r="G121" s="10" t="str">
        <f t="shared" si="22"/>
        <v>#DIV/0!</v>
      </c>
      <c r="Z121" s="10"/>
      <c r="AA121" s="10"/>
    </row>
    <row r="122">
      <c r="A122" s="10"/>
      <c r="B122" s="10"/>
      <c r="C122" s="10"/>
      <c r="D122" s="10"/>
      <c r="E122" s="10"/>
      <c r="F122" s="67" t="str">
        <f t="shared" si="23"/>
        <v>#DIV/0!</v>
      </c>
      <c r="G122" s="10" t="str">
        <f t="shared" si="22"/>
        <v>#DIV/0!</v>
      </c>
      <c r="Z122" s="10"/>
      <c r="AA122" s="10"/>
    </row>
    <row r="123">
      <c r="A123" s="10"/>
      <c r="B123" s="10"/>
      <c r="C123" s="10"/>
      <c r="D123" s="10"/>
      <c r="E123" s="10"/>
      <c r="F123" s="67" t="str">
        <f t="shared" si="23"/>
        <v>#DIV/0!</v>
      </c>
      <c r="G123" s="10" t="str">
        <f t="shared" si="22"/>
        <v>#DIV/0!</v>
      </c>
      <c r="Z123" s="10"/>
      <c r="AA123" s="10"/>
    </row>
    <row r="124">
      <c r="A124" s="10"/>
      <c r="B124" s="10"/>
      <c r="C124" s="10"/>
      <c r="D124" s="10"/>
      <c r="E124" s="10"/>
      <c r="F124" s="67" t="str">
        <f t="shared" si="23"/>
        <v>#DIV/0!</v>
      </c>
      <c r="G124" s="10"/>
      <c r="Z124" s="10"/>
      <c r="AA124" s="10"/>
    </row>
    <row r="125">
      <c r="A125" s="10"/>
      <c r="B125" s="10"/>
      <c r="C125" s="10"/>
      <c r="D125" s="10"/>
      <c r="E125" s="10"/>
      <c r="F125" s="67" t="str">
        <f t="shared" si="23"/>
        <v>#DIV/0!</v>
      </c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>
      <c r="A126" s="10"/>
      <c r="B126" s="10"/>
      <c r="C126" s="10"/>
      <c r="D126" s="10"/>
      <c r="E126" s="10"/>
      <c r="F126" s="67" t="str">
        <f t="shared" si="23"/>
        <v>#DIV/0!</v>
      </c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>
      <c r="A127" s="10"/>
      <c r="B127" s="10"/>
      <c r="C127" s="10"/>
      <c r="D127" s="10"/>
      <c r="E127" s="10"/>
      <c r="F127" s="67" t="str">
        <f t="shared" si="23"/>
        <v>#DIV/0!</v>
      </c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>
      <c r="A128" s="10"/>
      <c r="B128" s="10"/>
      <c r="C128" s="10"/>
      <c r="D128" s="10"/>
      <c r="E128" s="10"/>
      <c r="F128" s="67" t="str">
        <f t="shared" si="23"/>
        <v>#DIV/0!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10"/>
      <c r="B129" s="10"/>
      <c r="C129" s="10"/>
      <c r="D129" s="10"/>
      <c r="E129" s="10"/>
      <c r="F129" s="67" t="str">
        <f t="shared" si="23"/>
        <v>#DIV/0!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0"/>
      <c r="B130" s="10"/>
      <c r="C130" s="10"/>
      <c r="D130" s="10"/>
      <c r="E130" s="10"/>
      <c r="F130" s="67" t="str">
        <f t="shared" si="23"/>
        <v>#DIV/0!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0"/>
      <c r="B131" s="10"/>
      <c r="C131" s="10"/>
      <c r="D131" s="10"/>
      <c r="E131" s="10"/>
      <c r="F131" s="67" t="str">
        <f t="shared" si="23"/>
        <v>#DIV/0!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0"/>
      <c r="B132" s="10"/>
      <c r="C132" s="10"/>
      <c r="D132" s="10"/>
      <c r="E132" s="10"/>
      <c r="F132" s="67" t="str">
        <f t="shared" si="23"/>
        <v>#DIV/0!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 t="str">
        <f t="shared" si="23"/>
        <v>#DIV/0!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 t="str">
        <f t="shared" si="23"/>
        <v>#DIV/0!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 t="str">
        <f t="shared" si="23"/>
        <v>#DIV/0!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 t="str">
        <f t="shared" si="23"/>
        <v>#DIV/0!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 t="str">
        <f t="shared" si="23"/>
        <v>#DIV/0!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 t="str">
        <f t="shared" si="23"/>
        <v>#DIV/0!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 t="str">
        <f t="shared" si="23"/>
        <v>#DIV/0!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 t="str">
        <f t="shared" si="23"/>
        <v>#DIV/0!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 t="str">
        <f t="shared" si="23"/>
        <v>#DIV/0!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 t="str">
        <f t="shared" si="23"/>
        <v>#DIV/0!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 t="str">
        <f t="shared" si="23"/>
        <v>#DIV/0!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 t="str">
        <f t="shared" si="23"/>
        <v>#DIV/0!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 t="str">
        <f t="shared" si="23"/>
        <v>#DIV/0!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 t="str">
        <f t="shared" si="23"/>
        <v>#DIV/0!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 t="str">
        <f t="shared" si="23"/>
        <v>#DIV/0!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59"/>
      <c r="B149" s="12"/>
      <c r="C149" s="12"/>
      <c r="D149" s="12"/>
      <c r="E149" s="12"/>
      <c r="F149" s="67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59"/>
      <c r="B150" s="12"/>
      <c r="C150" s="10"/>
      <c r="D150" s="12"/>
      <c r="E150" s="10"/>
      <c r="F150" s="67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59"/>
      <c r="B151" s="12"/>
      <c r="C151" s="10"/>
      <c r="D151" s="12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B158" s="10"/>
      <c r="C158" s="10"/>
      <c r="D158" s="10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55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</sheetData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22">
      <formula1>"食物,飲品,衣服,居家,電子產品,娛樂,醫藥,交通,其他"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19" t="s">
        <v>488</v>
      </c>
      <c r="B1" s="4"/>
      <c r="C1" s="4"/>
      <c r="D1" s="4"/>
      <c r="E1" s="4"/>
      <c r="F1" s="5"/>
    </row>
    <row r="2">
      <c r="A2" s="120" t="s">
        <v>326</v>
      </c>
      <c r="B2" s="121" t="s">
        <v>2</v>
      </c>
      <c r="C2" s="122" t="s">
        <v>4</v>
      </c>
      <c r="D2" s="123" t="s">
        <v>43</v>
      </c>
      <c r="E2" s="124" t="s">
        <v>14</v>
      </c>
      <c r="F2" s="125" t="s">
        <v>7</v>
      </c>
      <c r="G2" s="18"/>
    </row>
    <row r="3">
      <c r="A3" s="126" t="s">
        <v>11</v>
      </c>
      <c r="B3" s="6">
        <f>SUMIFS($F$26:$F1517,$C$26:$C1517,"食物",$H$26:$H1517,"1")</f>
        <v>265.0272129</v>
      </c>
      <c r="C3" s="6">
        <f>SUMIFS($F$26:$F1517,$C$26:$C1517,"食物",$I$26:$I1517,"1")</f>
        <v>270.3222129</v>
      </c>
      <c r="D3" s="6">
        <f>SUMIFS($F$26:$F1517,$C$26:$C1517,"食物",$J$26:$J1517,"1")</f>
        <v>307.4398629</v>
      </c>
      <c r="E3" s="6">
        <f>SUMIFS($F$26:$F1517,$C$26:$C1517,"食物",$K$26:$K1517,"1")</f>
        <v>275.8648629</v>
      </c>
      <c r="F3" s="127">
        <f>SUMIFS($F$26:$F1517,$C$26:$C1517,"食物",$N$26:$N1517,"1")</f>
        <v>217.16539</v>
      </c>
    </row>
    <row r="4">
      <c r="A4" s="126" t="s">
        <v>19</v>
      </c>
      <c r="B4" s="6">
        <f>SUMIFS($F$26:$F1517,$C$26:$C1517,"飲品",$H$26:$H1517,"1")</f>
        <v>0</v>
      </c>
      <c r="C4" s="6">
        <f>SUMIFS($F$26:$F1517,$C$26:$C1517,"飲品",$I$26:$I1517,"1")</f>
        <v>0</v>
      </c>
      <c r="D4" s="6">
        <f>SUMIFS($F$26:$F1517,$C$26:$C1517,"飲品",$J$26:$J1517,"1")</f>
        <v>0</v>
      </c>
      <c r="E4" s="6">
        <f>SUMIFS($F$26:$F1517,$C$26:$C1517,"飲品",$K$26:$K1517,"1")</f>
        <v>0</v>
      </c>
      <c r="F4" s="127">
        <f>SUMIFS($F$26:$F1517,$C$26:$C1517,"飲品",$N$26:$N1517,"1")</f>
        <v>0</v>
      </c>
    </row>
    <row r="5">
      <c r="A5" s="126" t="s">
        <v>21</v>
      </c>
      <c r="B5" s="6">
        <f>SUMIFS($F$26:$F1517,$C$26:$C1517,"衣物",$H$26:$H1517,"1")</f>
        <v>0</v>
      </c>
      <c r="C5" s="6">
        <f>SUMIFS($F$26:$F1517,$C$26:$C1517,"衣物",$I$26:$I1517,"1")</f>
        <v>0</v>
      </c>
      <c r="D5" s="6">
        <f>SUMIFS($F$26:$F1517,$C$26:$C1517,"衣物",$J$26:$J1517,"1")</f>
        <v>0</v>
      </c>
      <c r="E5" s="6">
        <f>SUMIFS($F$26:$F1517,$C$26:$C1517,"衣物",$K$26:$K1517,"1")</f>
        <v>0</v>
      </c>
      <c r="F5" s="127">
        <f>SUMIFS($F$26:$F1517,$C$26:$C1517,"衣物",$N$26:$N1517,"1")</f>
        <v>0</v>
      </c>
    </row>
    <row r="6">
      <c r="A6" s="126" t="s">
        <v>327</v>
      </c>
      <c r="B6" s="6">
        <f>SUMIFS($F$26:$F1517,$C$26:$C1517,"居家",$H$26:$H1517,"1")+T62</f>
        <v>789.6351467</v>
      </c>
      <c r="C6" s="6">
        <f>SUMIFS($F$26:$F1517,$C$26:$C1517,"居家",$I$26:$I1517,"1")+T62</f>
        <v>789.6351467</v>
      </c>
      <c r="D6" s="6">
        <f>SUMIFS($F$26:$F1517,$C$26:$C1517,"居家",$J$26:$J1517,"1")+T62</f>
        <v>815.6138467</v>
      </c>
      <c r="E6" s="6">
        <f>SUMIFS($F$26:$F1517,$C$26:$C1517,"居家",$K$26:$K1517,"1")+T62</f>
        <v>789.6351467</v>
      </c>
      <c r="F6" s="127">
        <f>SUMIFS($F$26:$F1517,$C$26:$C1517,"居家",$N$26:$N1517,"1")+T62</f>
        <v>789.6351467</v>
      </c>
    </row>
    <row r="7">
      <c r="A7" s="126" t="s">
        <v>25</v>
      </c>
      <c r="B7" s="6">
        <f>SUMIFS($F$26:$F1517,$C$26:$C1517,"電子產品",$H$26:$H1517,"1")</f>
        <v>0</v>
      </c>
      <c r="C7" s="6">
        <f>SUMIFS($F$26:$F1517,$C$26:$C1517,"電子產品",$I$26:$I1517,"1")</f>
        <v>0</v>
      </c>
      <c r="D7" s="6">
        <f>SUMIFS($F$26:$F1517,$C$26:$C1517,"電子產品",$J$26:$J1517,"1")</f>
        <v>0</v>
      </c>
      <c r="E7" s="6">
        <f>SUMIFS($F$26:$F1517,$C$26:$C1517,"電子產品",$K$26:$K1517,"1")</f>
        <v>0</v>
      </c>
      <c r="F7" s="127">
        <f>SUMIFS($F$26:$F1517,$C$26:$C1517,"電子產品",$N$26:$N1517,"1")</f>
        <v>0</v>
      </c>
    </row>
    <row r="8">
      <c r="A8" s="126" t="s">
        <v>27</v>
      </c>
      <c r="B8" s="6">
        <f>SUMIFS($F$26:$F1517,$C$26:$C1517,"娛樂",$H$26:$H1517,"1")</f>
        <v>0</v>
      </c>
      <c r="C8" s="6">
        <f>SUMIFS($F$26:$F1517,$C$26:$C1517,"娛樂",$I$26:$I1517,"1")</f>
        <v>25.425</v>
      </c>
      <c r="D8" s="6">
        <f>SUMIFS($F$26:$F1517,$C$26:$C1517,"娛樂",$J$26:$J1517,"1")</f>
        <v>25.425</v>
      </c>
      <c r="E8" s="6">
        <f>SUMIFS($F$26:$F1517,$C$26:$C1517,"娛樂",$K$26:$K1517,"1")</f>
        <v>25.425</v>
      </c>
      <c r="F8" s="127">
        <f>SUMIFS($F$26:$F1517,$C$26:$C1517,"娛樂",$N$26:$N1517,"1")</f>
        <v>25.425</v>
      </c>
    </row>
    <row r="9">
      <c r="A9" s="126" t="s">
        <v>29</v>
      </c>
      <c r="B9" s="6">
        <f>SUMIFS($F$26:$F1517,$C$26:$C1517,"交通",$H$26:$H1517,"1")</f>
        <v>0</v>
      </c>
      <c r="C9" s="6">
        <f>SUMIFS($F$26:$F1517,$C$26:$C1517,"交通",$I$26:$I1517,"1")</f>
        <v>9.1125</v>
      </c>
      <c r="D9" s="6">
        <f>SUMIFS($F$26:$F1517,$C$26:$C1517,"交通",$J$26:$J1517,"1")</f>
        <v>4.7025</v>
      </c>
      <c r="E9" s="6">
        <f>SUMIFS($F$26:$F1517,$C$26:$C1517,"交通",$K$26:$K1517,"1")</f>
        <v>9.1125</v>
      </c>
      <c r="F9" s="127">
        <f>SUMIFS($F$26:$F1517,$C$26:$C1517,"交通",$N$26:$N1517,"1")</f>
        <v>9.1125</v>
      </c>
    </row>
    <row r="10">
      <c r="A10" s="126" t="s">
        <v>31</v>
      </c>
      <c r="B10" s="6">
        <f>SUMIFS($F$26:$F1517,$C$26:$C1517,"醫藥",$H$26:$H1517,"1")</f>
        <v>0</v>
      </c>
      <c r="C10" s="6">
        <f>SUMIFS($F$26:$F1517,$C$26:$C1517,"醫藥",$I$26:$I1517,"1")</f>
        <v>0</v>
      </c>
      <c r="D10" s="6">
        <f>SUMIFS($F$26:$F1517,$C$26:$C1517,"醫藥",$J$26:$J1517,"1")</f>
        <v>0</v>
      </c>
      <c r="E10" s="6">
        <f>SUMIFS($F$26:$F1517,$C$26:$C1517,"醫藥",$K$26:$K1517,"1")</f>
        <v>0</v>
      </c>
      <c r="F10" s="127">
        <f>SUMIFS($F$26:$F1517,$C$26:$C1517,"醫藥",$N$26:$N1517,"1")</f>
        <v>12</v>
      </c>
    </row>
    <row r="11">
      <c r="A11" s="128" t="s">
        <v>33</v>
      </c>
      <c r="B11" s="129">
        <f>SUMIFS($F$26:$F1517,$C$26:$C1517,"其他",$H$26:$H1517,"1")</f>
        <v>0</v>
      </c>
      <c r="C11" s="129">
        <f>SUMIFS($F$26:$F1517,$C$26:$C1517,"其他",$I$26:$I1517,"1")</f>
        <v>0</v>
      </c>
      <c r="D11" s="129">
        <f>SUMIFS($F$26:$F1517,$C$26:$C1517,"其他",$J$26:$J1517,"1")</f>
        <v>0</v>
      </c>
      <c r="E11" s="129">
        <f>SUMIFS($F$26:$F1517,$C$26:$C1517,"其他",$K$26:$K1517,"1")</f>
        <v>0</v>
      </c>
      <c r="F11" s="130">
        <f>SUMIFS($F$26:$F1517,$C$26:$C1517,"其他",$N$26:$N1517,"1")</f>
        <v>0</v>
      </c>
    </row>
    <row r="12">
      <c r="A12" s="131" t="s">
        <v>328</v>
      </c>
      <c r="B12" s="6">
        <f t="shared" ref="B12:F12" si="1">SUM(B2:B11)</f>
        <v>1054.66236</v>
      </c>
      <c r="C12" s="6">
        <f t="shared" si="1"/>
        <v>1094.49486</v>
      </c>
      <c r="D12" s="6">
        <f t="shared" si="1"/>
        <v>1153.18121</v>
      </c>
      <c r="E12" s="6">
        <f t="shared" si="1"/>
        <v>1100.03751</v>
      </c>
      <c r="F12" s="6">
        <f t="shared" si="1"/>
        <v>1053.338037</v>
      </c>
    </row>
    <row r="25">
      <c r="A25" s="132" t="str">
        <f>IFERROR(__xludf.DUMMYFUNCTION("IMPORTRANGE(""https://docs.google.com/spreadsheets/d/1dZpkWD3REnvVALQwbfOZZpKYnujFN1S_8pHjXVTirOc/edit#gid=1977712179"", ""Daily Expense_Mar!A12:N"")
"),"Date")</f>
        <v>Date</v>
      </c>
      <c r="B25" s="132" t="str">
        <f>IFERROR(__xludf.DUMMYFUNCTION("""COMPUTED_VALUE"""),"Item")</f>
        <v>Item</v>
      </c>
      <c r="C25" s="132" t="str">
        <f>IFERROR(__xludf.DUMMYFUNCTION("""COMPUTED_VALUE"""),"Type")</f>
        <v>Type</v>
      </c>
      <c r="D25" s="132" t="str">
        <f>IFERROR(__xludf.DUMMYFUNCTION("""COMPUTED_VALUE"""),"Price")</f>
        <v>Price</v>
      </c>
      <c r="E25" s="132" t="str">
        <f>IFERROR(__xludf.DUMMYFUNCTION("""COMPUTED_VALUE"""),"Paid by")</f>
        <v>Paid by</v>
      </c>
      <c r="F25" s="132" t="str">
        <f>IFERROR(__xludf.DUMMYFUNCTION("""COMPUTED_VALUE"""),"For Record 請勿清除")</f>
        <v>For Record 請勿清除</v>
      </c>
      <c r="G25" s="132" t="str">
        <f>IFERROR(__xludf.DUMMYFUNCTION("""COMPUTED_VALUE"""),"Average 清算後可清除")</f>
        <v>Average 清算後可清除</v>
      </c>
      <c r="H25" s="132" t="str">
        <f>IFERROR(__xludf.DUMMYFUNCTION("""COMPUTED_VALUE"""),"Timothy")</f>
        <v>Timothy</v>
      </c>
      <c r="I25" s="132" t="str">
        <f>IFERROR(__xludf.DUMMYFUNCTION("""COMPUTED_VALUE"""),"Rachel")</f>
        <v>Rachel</v>
      </c>
      <c r="J25" s="132" t="str">
        <f>IFERROR(__xludf.DUMMYFUNCTION("""COMPUTED_VALUE"""),"Bryan")</f>
        <v>Bryan</v>
      </c>
      <c r="K25" s="132" t="str">
        <f>IFERROR(__xludf.DUMMYFUNCTION("""COMPUTED_VALUE"""),"Pigskin")</f>
        <v>Pigskin</v>
      </c>
      <c r="L25" s="132" t="str">
        <f>IFERROR(__xludf.DUMMYFUNCTION("""COMPUTED_VALUE"""),"Angel")</f>
        <v>Angel</v>
      </c>
      <c r="M25" s="132" t="str">
        <f>IFERROR(__xludf.DUMMYFUNCTION("""COMPUTED_VALUE"""),"Ivan")</f>
        <v>Ivan</v>
      </c>
      <c r="N25" s="132" t="str">
        <f>IFERROR(__xludf.DUMMYFUNCTION("""COMPUTED_VALUE"""),"Esther")</f>
        <v>Esther</v>
      </c>
      <c r="O25" s="132"/>
      <c r="P25" s="132"/>
      <c r="Q25" s="132" t="str">
        <f>IFERROR(__xludf.DUMMYFUNCTION("IMPORTRANGE(""https://docs.google.com/spreadsheets/d/1dZpkWD3REnvVALQwbfOZZpKYnujFN1S_8pHjXVTirOc/edit#gid=1388060777"", ""Monthly Constant Expense!A:I"")"),"Month")</f>
        <v>Month</v>
      </c>
      <c r="R25" s="132" t="str">
        <f>IFERROR(__xludf.DUMMYFUNCTION("""COMPUTED_VALUE"""),"Item")</f>
        <v>Item</v>
      </c>
      <c r="S25" s="132" t="str">
        <f>IFERROR(__xludf.DUMMYFUNCTION("""COMPUTED_VALUE"""),"Total Price")</f>
        <v>Total Price</v>
      </c>
      <c r="T25" s="132" t="str">
        <f>IFERROR(__xludf.DUMMYFUNCTION("""COMPUTED_VALUE"""),"Per person")</f>
        <v>Per person</v>
      </c>
      <c r="U25" s="132" t="str">
        <f>IFERROR(__xludf.DUMMYFUNCTION("""COMPUTED_VALUE"""),"Timothy")</f>
        <v>Timothy</v>
      </c>
      <c r="V25" s="132" t="str">
        <f>IFERROR(__xludf.DUMMYFUNCTION("""COMPUTED_VALUE"""),"Rachel")</f>
        <v>Rachel</v>
      </c>
      <c r="W25" s="132" t="str">
        <f>IFERROR(__xludf.DUMMYFUNCTION("""COMPUTED_VALUE"""),"Bryan")</f>
        <v>Bryan</v>
      </c>
      <c r="X25" s="132" t="str">
        <f>IFERROR(__xludf.DUMMYFUNCTION("""COMPUTED_VALUE"""),"Pigskin")</f>
        <v>Pigskin</v>
      </c>
      <c r="Y25" s="132" t="str">
        <f>IFERROR(__xludf.DUMMYFUNCTION("""COMPUTED_VALUE"""),"Apple")</f>
        <v>Apple</v>
      </c>
      <c r="Z25" s="132"/>
    </row>
    <row r="26">
      <c r="A26" s="133">
        <f>IFERROR(__xludf.DUMMYFUNCTION("""COMPUTED_VALUE"""),45355.0)</f>
        <v>45355</v>
      </c>
      <c r="B26" s="132" t="str">
        <f>IFERROR(__xludf.DUMMYFUNCTION("""COMPUTED_VALUE"""),"Egg")</f>
        <v>Egg</v>
      </c>
      <c r="C26" s="132" t="str">
        <f>IFERROR(__xludf.DUMMYFUNCTION("""COMPUTED_VALUE"""),"食物")</f>
        <v>食物</v>
      </c>
      <c r="D26" s="132">
        <f>IFERROR(__xludf.DUMMYFUNCTION("""COMPUTED_VALUE"""),3.89)</f>
        <v>3.89</v>
      </c>
      <c r="E26" s="132" t="str">
        <f>IFERROR(__xludf.DUMMYFUNCTION("""COMPUTED_VALUE"""),"Rachel")</f>
        <v>Rachel</v>
      </c>
      <c r="F26" s="132">
        <f>IFERROR(__xludf.DUMMYFUNCTION("""COMPUTED_VALUE"""),0.778)</f>
        <v>0.778</v>
      </c>
      <c r="G26" s="132">
        <f>IFERROR(__xludf.DUMMYFUNCTION("""COMPUTED_VALUE"""),0.778)</f>
        <v>0.778</v>
      </c>
      <c r="H26" s="132">
        <f>IFERROR(__xludf.DUMMYFUNCTION("""COMPUTED_VALUE"""),1.0)</f>
        <v>1</v>
      </c>
      <c r="I26" s="132">
        <f>IFERROR(__xludf.DUMMYFUNCTION("""COMPUTED_VALUE"""),1.0)</f>
        <v>1</v>
      </c>
      <c r="J26" s="132">
        <f>IFERROR(__xludf.DUMMYFUNCTION("""COMPUTED_VALUE"""),1.0)</f>
        <v>1</v>
      </c>
      <c r="K26" s="132">
        <f>IFERROR(__xludf.DUMMYFUNCTION("""COMPUTED_VALUE"""),1.0)</f>
        <v>1</v>
      </c>
      <c r="L26" s="132"/>
      <c r="M26" s="132"/>
      <c r="N26" s="132">
        <f>IFERROR(__xludf.DUMMYFUNCTION("""COMPUTED_VALUE"""),1.0)</f>
        <v>1</v>
      </c>
      <c r="O26" s="132"/>
      <c r="P26" s="132"/>
      <c r="Q26" s="134">
        <f>IFERROR(__xludf.DUMMYFUNCTION("""COMPUTED_VALUE"""),45200.0)</f>
        <v>45200</v>
      </c>
      <c r="R26" s="132" t="str">
        <f>IFERROR(__xludf.DUMMYFUNCTION("""COMPUTED_VALUE"""),"2 months rent")</f>
        <v>2 months rent</v>
      </c>
      <c r="S26" s="132">
        <f>IFERROR(__xludf.DUMMYFUNCTION("""COMPUTED_VALUE"""),7200.0)</f>
        <v>7200</v>
      </c>
      <c r="T26" s="132">
        <f>IFERROR(__xludf.DUMMYFUNCTION("""COMPUTED_VALUE"""),1440.0)</f>
        <v>1440</v>
      </c>
      <c r="U26" s="132" t="str">
        <f>IFERROR(__xludf.DUMMYFUNCTION("""COMPUTED_VALUE"""),"Paid")</f>
        <v>Paid</v>
      </c>
      <c r="V26" s="132" t="str">
        <f>IFERROR(__xludf.DUMMYFUNCTION("""COMPUTED_VALUE"""),"Paid")</f>
        <v>Paid</v>
      </c>
      <c r="W26" s="132" t="str">
        <f>IFERROR(__xludf.DUMMYFUNCTION("""COMPUTED_VALUE"""),"Paid")</f>
        <v>Paid</v>
      </c>
      <c r="X26" s="132" t="str">
        <f>IFERROR(__xludf.DUMMYFUNCTION("""COMPUTED_VALUE"""),"Paid")</f>
        <v>Paid</v>
      </c>
      <c r="Y26" s="132" t="str">
        <f>IFERROR(__xludf.DUMMYFUNCTION("""COMPUTED_VALUE"""),"Paid")</f>
        <v>Paid</v>
      </c>
      <c r="Z26" s="132"/>
    </row>
    <row r="27">
      <c r="A27" s="133">
        <f>IFERROR(__xludf.DUMMYFUNCTION("""COMPUTED_VALUE"""),45364.0)</f>
        <v>45364</v>
      </c>
      <c r="B27" s="132" t="str">
        <f>IFERROR(__xludf.DUMMYFUNCTION("""COMPUTED_VALUE"""),"Mini Golf")</f>
        <v>Mini Golf</v>
      </c>
      <c r="C27" s="132" t="str">
        <f>IFERROR(__xludf.DUMMYFUNCTION("""COMPUTED_VALUE"""),"娛樂")</f>
        <v>娛樂</v>
      </c>
      <c r="D27" s="132">
        <f>IFERROR(__xludf.DUMMYFUNCTION("""COMPUTED_VALUE"""),101.7)</f>
        <v>101.7</v>
      </c>
      <c r="E27" s="132" t="str">
        <f>IFERROR(__xludf.DUMMYFUNCTION("""COMPUTED_VALUE"""),"Esther")</f>
        <v>Esther</v>
      </c>
      <c r="F27" s="132">
        <f>IFERROR(__xludf.DUMMYFUNCTION("""COMPUTED_VALUE"""),25.425)</f>
        <v>25.425</v>
      </c>
      <c r="G27" s="132">
        <f>IFERROR(__xludf.DUMMYFUNCTION("""COMPUTED_VALUE"""),25.425)</f>
        <v>25.425</v>
      </c>
      <c r="H27" s="132"/>
      <c r="I27" s="132">
        <f>IFERROR(__xludf.DUMMYFUNCTION("""COMPUTED_VALUE"""),1.0)</f>
        <v>1</v>
      </c>
      <c r="J27" s="132">
        <f>IFERROR(__xludf.DUMMYFUNCTION("""COMPUTED_VALUE"""),1.0)</f>
        <v>1</v>
      </c>
      <c r="K27" s="132">
        <f>IFERROR(__xludf.DUMMYFUNCTION("""COMPUTED_VALUE"""),1.0)</f>
        <v>1</v>
      </c>
      <c r="L27" s="132"/>
      <c r="M27" s="132"/>
      <c r="N27" s="132">
        <f>IFERROR(__xludf.DUMMYFUNCTION("""COMPUTED_VALUE"""),1.0)</f>
        <v>1</v>
      </c>
      <c r="O27" s="132"/>
      <c r="P27" s="132"/>
      <c r="Q27" s="132"/>
      <c r="R27" s="132" t="str">
        <f>IFERROR(__xludf.DUMMYFUNCTION("""COMPUTED_VALUE"""),"Housing Insurance")</f>
        <v>Housing Insurance</v>
      </c>
      <c r="S27" s="132">
        <f>IFERROR(__xludf.DUMMYFUNCTION("""COMPUTED_VALUE"""),676.3)</f>
        <v>676.3</v>
      </c>
      <c r="T27" s="132">
        <f>IFERROR(__xludf.DUMMYFUNCTION("""COMPUTED_VALUE"""),135.26)</f>
        <v>135.26</v>
      </c>
      <c r="U27" s="132" t="str">
        <f>IFERROR(__xludf.DUMMYFUNCTION("""COMPUTED_VALUE"""),"Paid")</f>
        <v>Paid</v>
      </c>
      <c r="V27" s="132" t="str">
        <f>IFERROR(__xludf.DUMMYFUNCTION("""COMPUTED_VALUE"""),"Paid")</f>
        <v>Paid</v>
      </c>
      <c r="W27" s="132" t="str">
        <f>IFERROR(__xludf.DUMMYFUNCTION("""COMPUTED_VALUE"""),"Paid")</f>
        <v>Paid</v>
      </c>
      <c r="X27" s="132" t="str">
        <f>IFERROR(__xludf.DUMMYFUNCTION("""COMPUTED_VALUE"""),"Paid")</f>
        <v>Paid</v>
      </c>
      <c r="Y27" s="132"/>
      <c r="Z27" s="132"/>
    </row>
    <row r="28">
      <c r="A28" s="133">
        <f>IFERROR(__xludf.DUMMYFUNCTION("""COMPUTED_VALUE"""),45363.0)</f>
        <v>45363</v>
      </c>
      <c r="B28" s="132" t="str">
        <f>IFERROR(__xludf.DUMMYFUNCTION("""COMPUTED_VALUE"""),"Cake")</f>
        <v>Cake</v>
      </c>
      <c r="C28" s="132" t="str">
        <f>IFERROR(__xludf.DUMMYFUNCTION("""COMPUTED_VALUE"""),"食物")</f>
        <v>食物</v>
      </c>
      <c r="D28" s="135">
        <f>IFERROR(__xludf.DUMMYFUNCTION("""COMPUTED_VALUE"""),50.0)</f>
        <v>50</v>
      </c>
      <c r="E28" s="132" t="str">
        <f>IFERROR(__xludf.DUMMYFUNCTION("""COMPUTED_VALUE"""),"Rachel")</f>
        <v>Rachel</v>
      </c>
      <c r="F28" s="132">
        <f>IFERROR(__xludf.DUMMYFUNCTION("""COMPUTED_VALUE"""),10.0)</f>
        <v>10</v>
      </c>
      <c r="G28" s="132">
        <f>IFERROR(__xludf.DUMMYFUNCTION("""COMPUTED_VALUE"""),10.0)</f>
        <v>10</v>
      </c>
      <c r="H28" s="132">
        <f>IFERROR(__xludf.DUMMYFUNCTION("""COMPUTED_VALUE"""),1.0)</f>
        <v>1</v>
      </c>
      <c r="I28" s="132">
        <f>IFERROR(__xludf.DUMMYFUNCTION("""COMPUTED_VALUE"""),1.0)</f>
        <v>1</v>
      </c>
      <c r="J28" s="132">
        <f>IFERROR(__xludf.DUMMYFUNCTION("""COMPUTED_VALUE"""),1.0)</f>
        <v>1</v>
      </c>
      <c r="K28" s="132">
        <f>IFERROR(__xludf.DUMMYFUNCTION("""COMPUTED_VALUE"""),1.0)</f>
        <v>1</v>
      </c>
      <c r="L28" s="132"/>
      <c r="M28" s="132">
        <f>IFERROR(__xludf.DUMMYFUNCTION("""COMPUTED_VALUE"""),1.0)</f>
        <v>1</v>
      </c>
      <c r="N28" s="132"/>
      <c r="O28" s="132"/>
      <c r="P28" s="132"/>
      <c r="Q28" s="132"/>
      <c r="R28" s="132" t="str">
        <f>IFERROR(__xludf.DUMMYFUNCTION("""COMPUTED_VALUE"""),"Rent (up-front)")</f>
        <v>Rent (up-front)</v>
      </c>
      <c r="S28" s="132">
        <f>IFERROR(__xludf.DUMMYFUNCTION("""COMPUTED_VALUE"""),14400.0)</f>
        <v>14400</v>
      </c>
      <c r="T28" s="132">
        <f>IFERROR(__xludf.DUMMYFUNCTION("""COMPUTED_VALUE"""),2880.0)</f>
        <v>2880</v>
      </c>
      <c r="U28" s="132" t="str">
        <f>IFERROR(__xludf.DUMMYFUNCTION("""COMPUTED_VALUE"""),"Paid")</f>
        <v>Paid</v>
      </c>
      <c r="V28" s="132" t="str">
        <f>IFERROR(__xludf.DUMMYFUNCTION("""COMPUTED_VALUE"""),"Paid")</f>
        <v>Paid</v>
      </c>
      <c r="W28" s="132" t="str">
        <f>IFERROR(__xludf.DUMMYFUNCTION("""COMPUTED_VALUE"""),"Paid")</f>
        <v>Paid</v>
      </c>
      <c r="X28" s="132" t="str">
        <f>IFERROR(__xludf.DUMMYFUNCTION("""COMPUTED_VALUE"""),"Paid")</f>
        <v>Paid</v>
      </c>
      <c r="Y28" s="132" t="str">
        <f>IFERROR(__xludf.DUMMYFUNCTION("""COMPUTED_VALUE"""),"Paid")</f>
        <v>Paid</v>
      </c>
      <c r="Z28" s="132"/>
    </row>
    <row r="29">
      <c r="A29" s="133">
        <f>IFERROR(__xludf.DUMMYFUNCTION("""COMPUTED_VALUE"""),45352.0)</f>
        <v>45352</v>
      </c>
      <c r="B29" s="132" t="str">
        <f>IFERROR(__xludf.DUMMYFUNCTION("""COMPUTED_VALUE"""),"Tnt dinner")</f>
        <v>Tnt dinner</v>
      </c>
      <c r="C29" s="132" t="str">
        <f>IFERROR(__xludf.DUMMYFUNCTION("""COMPUTED_VALUE"""),"食物")</f>
        <v>食物</v>
      </c>
      <c r="D29" s="135">
        <f>IFERROR(__xludf.DUMMYFUNCTION("""COMPUTED_VALUE"""),20.37)</f>
        <v>20.37</v>
      </c>
      <c r="E29" s="132" t="str">
        <f>IFERROR(__xludf.DUMMYFUNCTION("""COMPUTED_VALUE"""),"Pigskin")</f>
        <v>Pigskin</v>
      </c>
      <c r="F29" s="132">
        <f>IFERROR(__xludf.DUMMYFUNCTION("""COMPUTED_VALUE"""),4.074)</f>
        <v>4.074</v>
      </c>
      <c r="G29" s="132">
        <f>IFERROR(__xludf.DUMMYFUNCTION("""COMPUTED_VALUE"""),4.074)</f>
        <v>4.074</v>
      </c>
      <c r="H29" s="132">
        <f>IFERROR(__xludf.DUMMYFUNCTION("""COMPUTED_VALUE"""),1.0)</f>
        <v>1</v>
      </c>
      <c r="I29" s="132">
        <f>IFERROR(__xludf.DUMMYFUNCTION("""COMPUTED_VALUE"""),1.0)</f>
        <v>1</v>
      </c>
      <c r="J29" s="132">
        <f>IFERROR(__xludf.DUMMYFUNCTION("""COMPUTED_VALUE"""),1.0)</f>
        <v>1</v>
      </c>
      <c r="K29" s="132">
        <f>IFERROR(__xludf.DUMMYFUNCTION("""COMPUTED_VALUE"""),1.0)</f>
        <v>1</v>
      </c>
      <c r="L29" s="132"/>
      <c r="M29" s="132"/>
      <c r="N29" s="132">
        <f>IFERROR(__xludf.DUMMYFUNCTION("""COMPUTED_VALUE"""),1.0)</f>
        <v>1</v>
      </c>
      <c r="O29" s="132"/>
      <c r="P29" s="132"/>
      <c r="Q29" s="132"/>
      <c r="R29" s="132" t="str">
        <f>IFERROR(__xludf.DUMMYFUNCTION("""COMPUTED_VALUE"""),"Key Deposit")</f>
        <v>Key Deposit</v>
      </c>
      <c r="S29" s="132">
        <f>IFERROR(__xludf.DUMMYFUNCTION("""COMPUTED_VALUE"""),200.0)</f>
        <v>200</v>
      </c>
      <c r="T29" s="132">
        <f>IFERROR(__xludf.DUMMYFUNCTION("""COMPUTED_VALUE"""),40.0)</f>
        <v>40</v>
      </c>
      <c r="U29" s="132" t="str">
        <f>IFERROR(__xludf.DUMMYFUNCTION("""COMPUTED_VALUE"""),"Paid")</f>
        <v>Paid</v>
      </c>
      <c r="V29" s="132" t="str">
        <f>IFERROR(__xludf.DUMMYFUNCTION("""COMPUTED_VALUE"""),"Paid")</f>
        <v>Paid</v>
      </c>
      <c r="W29" s="132" t="str">
        <f>IFERROR(__xludf.DUMMYFUNCTION("""COMPUTED_VALUE"""),"Paid")</f>
        <v>Paid</v>
      </c>
      <c r="X29" s="132" t="str">
        <f>IFERROR(__xludf.DUMMYFUNCTION("""COMPUTED_VALUE"""),"Paid")</f>
        <v>Paid</v>
      </c>
      <c r="Y29" s="132" t="str">
        <f>IFERROR(__xludf.DUMMYFUNCTION("""COMPUTED_VALUE"""),"Paid")</f>
        <v>Paid</v>
      </c>
      <c r="Z29" s="132"/>
    </row>
    <row r="30">
      <c r="A30" s="133">
        <f>IFERROR(__xludf.DUMMYFUNCTION("""COMPUTED_VALUE"""),45354.0)</f>
        <v>45354</v>
      </c>
      <c r="B30" s="132" t="str">
        <f>IFERROR(__xludf.DUMMYFUNCTION("""COMPUTED_VALUE"""),"No frills")</f>
        <v>No frills</v>
      </c>
      <c r="C30" s="132" t="str">
        <f>IFERROR(__xludf.DUMMYFUNCTION("""COMPUTED_VALUE"""),"食物")</f>
        <v>食物</v>
      </c>
      <c r="D30" s="135">
        <f>IFERROR(__xludf.DUMMYFUNCTION("""COMPUTED_VALUE"""),50.61)</f>
        <v>50.61</v>
      </c>
      <c r="E30" s="132" t="str">
        <f>IFERROR(__xludf.DUMMYFUNCTION("""COMPUTED_VALUE"""),"Timothy")</f>
        <v>Timothy</v>
      </c>
      <c r="F30" s="132">
        <f>IFERROR(__xludf.DUMMYFUNCTION("""COMPUTED_VALUE"""),10.122)</f>
        <v>10.122</v>
      </c>
      <c r="G30" s="132">
        <f>IFERROR(__xludf.DUMMYFUNCTION("""COMPUTED_VALUE"""),10.122)</f>
        <v>10.122</v>
      </c>
      <c r="H30" s="132">
        <f>IFERROR(__xludf.DUMMYFUNCTION("""COMPUTED_VALUE"""),1.0)</f>
        <v>1</v>
      </c>
      <c r="I30" s="132">
        <f>IFERROR(__xludf.DUMMYFUNCTION("""COMPUTED_VALUE"""),1.0)</f>
        <v>1</v>
      </c>
      <c r="J30" s="132">
        <f>IFERROR(__xludf.DUMMYFUNCTION("""COMPUTED_VALUE"""),1.0)</f>
        <v>1</v>
      </c>
      <c r="K30" s="132">
        <f>IFERROR(__xludf.DUMMYFUNCTION("""COMPUTED_VALUE"""),1.0)</f>
        <v>1</v>
      </c>
      <c r="L30" s="132"/>
      <c r="M30" s="132"/>
      <c r="N30" s="132">
        <f>IFERROR(__xludf.DUMMYFUNCTION("""COMPUTED_VALUE"""),1.0)</f>
        <v>1</v>
      </c>
      <c r="O30" s="132"/>
      <c r="P30" s="132"/>
      <c r="Q30" s="132"/>
      <c r="R30" s="132" t="str">
        <f>IFERROR(__xludf.DUMMYFUNCTION("""COMPUTED_VALUE"""),"Furniture Deposit")</f>
        <v>Furniture Deposit</v>
      </c>
      <c r="S30" s="132">
        <f>IFERROR(__xludf.DUMMYFUNCTION("""COMPUTED_VALUE"""),800.0)</f>
        <v>800</v>
      </c>
      <c r="T30" s="132">
        <f>IFERROR(__xludf.DUMMYFUNCTION("""COMPUTED_VALUE"""),160.0)</f>
        <v>160</v>
      </c>
      <c r="U30" s="132" t="str">
        <f>IFERROR(__xludf.DUMMYFUNCTION("""COMPUTED_VALUE"""),"Paid")</f>
        <v>Paid</v>
      </c>
      <c r="V30" s="132" t="str">
        <f>IFERROR(__xludf.DUMMYFUNCTION("""COMPUTED_VALUE"""),"Paid")</f>
        <v>Paid</v>
      </c>
      <c r="W30" s="132" t="str">
        <f>IFERROR(__xludf.DUMMYFUNCTION("""COMPUTED_VALUE"""),"Paid")</f>
        <v>Paid</v>
      </c>
      <c r="X30" s="132" t="str">
        <f>IFERROR(__xludf.DUMMYFUNCTION("""COMPUTED_VALUE"""),"Paid")</f>
        <v>Paid</v>
      </c>
      <c r="Y30" s="132" t="str">
        <f>IFERROR(__xludf.DUMMYFUNCTION("""COMPUTED_VALUE"""),"Paid")</f>
        <v>Paid</v>
      </c>
      <c r="Z30" s="132"/>
    </row>
    <row r="31">
      <c r="A31" s="133">
        <f>IFERROR(__xludf.DUMMYFUNCTION("""COMPUTED_VALUE"""),45366.0)</f>
        <v>45366</v>
      </c>
      <c r="B31" s="132" t="str">
        <f>IFERROR(__xludf.DUMMYFUNCTION("""COMPUTED_VALUE"""),"Tnt dinner")</f>
        <v>Tnt dinner</v>
      </c>
      <c r="C31" s="132" t="str">
        <f>IFERROR(__xludf.DUMMYFUNCTION("""COMPUTED_VALUE"""),"食物")</f>
        <v>食物</v>
      </c>
      <c r="D31" s="135">
        <f>IFERROR(__xludf.DUMMYFUNCTION("""COMPUTED_VALUE"""),36.22)</f>
        <v>36.22</v>
      </c>
      <c r="E31" s="132" t="str">
        <f>IFERROR(__xludf.DUMMYFUNCTION("""COMPUTED_VALUE"""),"Pigskin")</f>
        <v>Pigskin</v>
      </c>
      <c r="F31" s="132">
        <f>IFERROR(__xludf.DUMMYFUNCTION("""COMPUTED_VALUE"""),9.055)</f>
        <v>9.055</v>
      </c>
      <c r="G31" s="132">
        <f>IFERROR(__xludf.DUMMYFUNCTION("""COMPUTED_VALUE"""),9.055)</f>
        <v>9.055</v>
      </c>
      <c r="H31" s="132">
        <f>IFERROR(__xludf.DUMMYFUNCTION("""COMPUTED_VALUE"""),1.0)</f>
        <v>1</v>
      </c>
      <c r="I31" s="132">
        <f>IFERROR(__xludf.DUMMYFUNCTION("""COMPUTED_VALUE"""),1.0)</f>
        <v>1</v>
      </c>
      <c r="J31" s="132"/>
      <c r="K31" s="132">
        <f>IFERROR(__xludf.DUMMYFUNCTION("""COMPUTED_VALUE"""),1.0)</f>
        <v>1</v>
      </c>
      <c r="L31" s="132"/>
      <c r="M31" s="132"/>
      <c r="N31" s="132">
        <f>IFERROR(__xludf.DUMMYFUNCTION("""COMPUTED_VALUE"""),1.0)</f>
        <v>1</v>
      </c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>
      <c r="A32" s="133">
        <f>IFERROR(__xludf.DUMMYFUNCTION("""COMPUTED_VALUE"""),45365.0)</f>
        <v>45365</v>
      </c>
      <c r="B32" s="132" t="str">
        <f>IFERROR(__xludf.DUMMYFUNCTION("""COMPUTED_VALUE"""),"Sam woo")</f>
        <v>Sam woo</v>
      </c>
      <c r="C32" s="132" t="str">
        <f>IFERROR(__xludf.DUMMYFUNCTION("""COMPUTED_VALUE"""),"食物")</f>
        <v>食物</v>
      </c>
      <c r="D32" s="135">
        <f>IFERROR(__xludf.DUMMYFUNCTION("""COMPUTED_VALUE"""),72.32)</f>
        <v>72.32</v>
      </c>
      <c r="E32" s="132" t="str">
        <f>IFERROR(__xludf.DUMMYFUNCTION("""COMPUTED_VALUE"""),"BL")</f>
        <v>BL</v>
      </c>
      <c r="F32" s="132">
        <f>IFERROR(__xludf.DUMMYFUNCTION("""COMPUTED_VALUE"""),14.463999999999999)</f>
        <v>14.464</v>
      </c>
      <c r="G32" s="132">
        <f>IFERROR(__xludf.DUMMYFUNCTION("""COMPUTED_VALUE"""),14.463999999999999)</f>
        <v>14.464</v>
      </c>
      <c r="H32" s="132">
        <f>IFERROR(__xludf.DUMMYFUNCTION("""COMPUTED_VALUE"""),1.0)</f>
        <v>1</v>
      </c>
      <c r="I32" s="132">
        <f>IFERROR(__xludf.DUMMYFUNCTION("""COMPUTED_VALUE"""),1.0)</f>
        <v>1</v>
      </c>
      <c r="J32" s="132">
        <f>IFERROR(__xludf.DUMMYFUNCTION("""COMPUTED_VALUE"""),1.0)</f>
        <v>1</v>
      </c>
      <c r="K32" s="132">
        <f>IFERROR(__xludf.DUMMYFUNCTION("""COMPUTED_VALUE"""),1.0)</f>
        <v>1</v>
      </c>
      <c r="L32" s="132"/>
      <c r="M32" s="132"/>
      <c r="N32" s="132">
        <f>IFERROR(__xludf.DUMMYFUNCTION("""COMPUTED_VALUE"""),1.0)</f>
        <v>1</v>
      </c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>
      <c r="A33" s="133">
        <f>IFERROR(__xludf.DUMMYFUNCTION("""COMPUTED_VALUE"""),45359.0)</f>
        <v>45359</v>
      </c>
      <c r="B33" s="132" t="str">
        <f>IFERROR(__xludf.DUMMYFUNCTION("""COMPUTED_VALUE"""),"Foody dinner")</f>
        <v>Foody dinner</v>
      </c>
      <c r="C33" s="132" t="str">
        <f>IFERROR(__xludf.DUMMYFUNCTION("""COMPUTED_VALUE"""),"食物")</f>
        <v>食物</v>
      </c>
      <c r="D33" s="135">
        <f>IFERROR(__xludf.DUMMYFUNCTION("""COMPUTED_VALUE"""),12.28)</f>
        <v>12.28</v>
      </c>
      <c r="E33" s="132" t="str">
        <f>IFERROR(__xludf.DUMMYFUNCTION("""COMPUTED_VALUE"""),"Pigskin")</f>
        <v>Pigskin</v>
      </c>
      <c r="F33" s="132">
        <f>IFERROR(__xludf.DUMMYFUNCTION("""COMPUTED_VALUE"""),3.07)</f>
        <v>3.07</v>
      </c>
      <c r="G33" s="132">
        <f>IFERROR(__xludf.DUMMYFUNCTION("""COMPUTED_VALUE"""),3.07)</f>
        <v>3.07</v>
      </c>
      <c r="H33" s="132"/>
      <c r="I33" s="132">
        <f>IFERROR(__xludf.DUMMYFUNCTION("""COMPUTED_VALUE"""),1.0)</f>
        <v>1</v>
      </c>
      <c r="J33" s="132">
        <f>IFERROR(__xludf.DUMMYFUNCTION("""COMPUTED_VALUE"""),1.0)</f>
        <v>1</v>
      </c>
      <c r="K33" s="132">
        <f>IFERROR(__xludf.DUMMYFUNCTION("""COMPUTED_VALUE"""),1.0)</f>
        <v>1</v>
      </c>
      <c r="L33" s="132"/>
      <c r="M33" s="132"/>
      <c r="N33" s="132">
        <f>IFERROR(__xludf.DUMMYFUNCTION("""COMPUTED_VALUE"""),1.0)</f>
        <v>1</v>
      </c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>
      <c r="A34" s="133">
        <f>IFERROR(__xludf.DUMMYFUNCTION("""COMPUTED_VALUE"""),45358.0)</f>
        <v>45358</v>
      </c>
      <c r="B34" s="132" t="str">
        <f>IFERROR(__xludf.DUMMYFUNCTION("""COMPUTED_VALUE"""),"Foody dinner")</f>
        <v>Foody dinner</v>
      </c>
      <c r="C34" s="132" t="str">
        <f>IFERROR(__xludf.DUMMYFUNCTION("""COMPUTED_VALUE"""),"食物")</f>
        <v>食物</v>
      </c>
      <c r="D34" s="132">
        <f>IFERROR(__xludf.DUMMYFUNCTION("""COMPUTED_VALUE"""),15.82)</f>
        <v>15.82</v>
      </c>
      <c r="E34" s="132" t="str">
        <f>IFERROR(__xludf.DUMMYFUNCTION("""COMPUTED_VALUE"""),"BL")</f>
        <v>BL</v>
      </c>
      <c r="F34" s="132">
        <f>IFERROR(__xludf.DUMMYFUNCTION("""COMPUTED_VALUE"""),3.955)</f>
        <v>3.955</v>
      </c>
      <c r="G34" s="132">
        <f>IFERROR(__xludf.DUMMYFUNCTION("""COMPUTED_VALUE"""),3.955)</f>
        <v>3.955</v>
      </c>
      <c r="H34" s="132">
        <f>IFERROR(__xludf.DUMMYFUNCTION("""COMPUTED_VALUE"""),1.0)</f>
        <v>1</v>
      </c>
      <c r="I34" s="132">
        <f>IFERROR(__xludf.DUMMYFUNCTION("""COMPUTED_VALUE"""),1.0)</f>
        <v>1</v>
      </c>
      <c r="J34" s="132">
        <f>IFERROR(__xludf.DUMMYFUNCTION("""COMPUTED_VALUE"""),1.0)</f>
        <v>1</v>
      </c>
      <c r="K34" s="132">
        <f>IFERROR(__xludf.DUMMYFUNCTION("""COMPUTED_VALUE"""),1.0)</f>
        <v>1</v>
      </c>
      <c r="L34" s="132"/>
      <c r="M34" s="132"/>
      <c r="N34" s="132"/>
      <c r="O34" s="132"/>
      <c r="P34" s="132"/>
      <c r="Q34" s="132"/>
      <c r="R34" s="132"/>
      <c r="S34" s="132">
        <f>IFERROR(__xludf.DUMMYFUNCTION("""COMPUTED_VALUE"""),23276.3)</f>
        <v>23276.3</v>
      </c>
      <c r="T34" s="132">
        <f>IFERROR(__xludf.DUMMYFUNCTION("""COMPUTED_VALUE"""),4655.26)</f>
        <v>4655.26</v>
      </c>
      <c r="U34" s="132"/>
      <c r="V34" s="132"/>
      <c r="W34" s="132"/>
      <c r="X34" s="132"/>
      <c r="Y34" s="132"/>
      <c r="Z34" s="132"/>
    </row>
    <row r="35">
      <c r="A35" s="133">
        <f>IFERROR(__xludf.DUMMYFUNCTION("""COMPUTED_VALUE"""),45358.0)</f>
        <v>45358</v>
      </c>
      <c r="B35" s="132" t="str">
        <f>IFERROR(__xludf.DUMMYFUNCTION("""COMPUTED_VALUE"""),"Food Basic ")</f>
        <v>Food Basic </v>
      </c>
      <c r="C35" s="132" t="str">
        <f>IFERROR(__xludf.DUMMYFUNCTION("""COMPUTED_VALUE"""),"食物")</f>
        <v>食物</v>
      </c>
      <c r="D35" s="135">
        <f>IFERROR(__xludf.DUMMYFUNCTION("""COMPUTED_VALUE"""),3.79)</f>
        <v>3.79</v>
      </c>
      <c r="E35" s="132" t="str">
        <f>IFERROR(__xludf.DUMMYFUNCTION("""COMPUTED_VALUE"""),"Pigskin")</f>
        <v>Pigskin</v>
      </c>
      <c r="F35" s="132">
        <f>IFERROR(__xludf.DUMMYFUNCTION("""COMPUTED_VALUE"""),0.9475)</f>
        <v>0.9475</v>
      </c>
      <c r="G35" s="132">
        <f>IFERROR(__xludf.DUMMYFUNCTION("""COMPUTED_VALUE"""),0.9475)</f>
        <v>0.9475</v>
      </c>
      <c r="H35" s="132"/>
      <c r="I35" s="132">
        <f>IFERROR(__xludf.DUMMYFUNCTION("""COMPUTED_VALUE"""),1.0)</f>
        <v>1</v>
      </c>
      <c r="J35" s="132">
        <f>IFERROR(__xludf.DUMMYFUNCTION("""COMPUTED_VALUE"""),1.0)</f>
        <v>1</v>
      </c>
      <c r="K35" s="132">
        <f>IFERROR(__xludf.DUMMYFUNCTION("""COMPUTED_VALUE"""),1.0)</f>
        <v>1</v>
      </c>
      <c r="L35" s="132"/>
      <c r="M35" s="132"/>
      <c r="N35" s="132">
        <f>IFERROR(__xludf.DUMMYFUNCTION("""COMPUTED_VALUE"""),1.0)</f>
        <v>1</v>
      </c>
      <c r="O35" s="132"/>
      <c r="P35" s="132"/>
      <c r="Q35" s="134"/>
      <c r="R35" s="132"/>
      <c r="S35" s="132"/>
      <c r="T35" s="132"/>
      <c r="U35" s="132"/>
      <c r="V35" s="132"/>
      <c r="W35" s="132"/>
      <c r="X35" s="132"/>
      <c r="Y35" s="132"/>
      <c r="Z35" s="132"/>
    </row>
    <row r="36">
      <c r="A36" s="133">
        <f>IFERROR(__xludf.DUMMYFUNCTION("""COMPUTED_VALUE"""),45356.0)</f>
        <v>45356</v>
      </c>
      <c r="B36" s="132" t="str">
        <f>IFERROR(__xludf.DUMMYFUNCTION("""COMPUTED_VALUE"""),"車仔麵dinner")</f>
        <v>車仔麵dinner</v>
      </c>
      <c r="C36" s="132" t="str">
        <f>IFERROR(__xludf.DUMMYFUNCTION("""COMPUTED_VALUE"""),"食物")</f>
        <v>食物</v>
      </c>
      <c r="D36" s="135">
        <f>IFERROR(__xludf.DUMMYFUNCTION("""COMPUTED_VALUE"""),17.99)</f>
        <v>17.99</v>
      </c>
      <c r="E36" s="132" t="str">
        <f>IFERROR(__xludf.DUMMYFUNCTION("""COMPUTED_VALUE"""),"BL")</f>
        <v>BL</v>
      </c>
      <c r="F36" s="132">
        <f>IFERROR(__xludf.DUMMYFUNCTION("""COMPUTED_VALUE"""),2.24875)</f>
        <v>2.24875</v>
      </c>
      <c r="G36" s="132">
        <f>IFERROR(__xludf.DUMMYFUNCTION("""COMPUTED_VALUE"""),2.24875)</f>
        <v>2.24875</v>
      </c>
      <c r="H36" s="132">
        <f>IFERROR(__xludf.DUMMYFUNCTION("""COMPUTED_VALUE"""),1.0)</f>
        <v>1</v>
      </c>
      <c r="I36" s="132">
        <f>IFERROR(__xludf.DUMMYFUNCTION("""COMPUTED_VALUE"""),1.0)</f>
        <v>1</v>
      </c>
      <c r="J36" s="132">
        <f>IFERROR(__xludf.DUMMYFUNCTION("""COMPUTED_VALUE"""),1.0)</f>
        <v>1</v>
      </c>
      <c r="K36" s="132">
        <f>IFERROR(__xludf.DUMMYFUNCTION("""COMPUTED_VALUE"""),1.0)</f>
        <v>1</v>
      </c>
      <c r="L36" s="132"/>
      <c r="M36" s="132"/>
      <c r="N36" s="132">
        <f>IFERROR(__xludf.DUMMYFUNCTION("""COMPUTED_VALUE"""),1.0)</f>
        <v>1</v>
      </c>
      <c r="O36" s="132"/>
      <c r="P36" s="132"/>
      <c r="Q36" s="134">
        <f>IFERROR(__xludf.DUMMYFUNCTION("""COMPUTED_VALUE"""),45231.0)</f>
        <v>45231</v>
      </c>
      <c r="R36" s="132" t="str">
        <f>IFERROR(__xludf.DUMMYFUNCTION("""COMPUTED_VALUE"""),"Rent")</f>
        <v>Rent</v>
      </c>
      <c r="S36" s="132">
        <f>IFERROR(__xludf.DUMMYFUNCTION("""COMPUTED_VALUE"""),3600.0)</f>
        <v>3600</v>
      </c>
      <c r="T36" s="132">
        <f>IFERROR(__xludf.DUMMYFUNCTION("""COMPUTED_VALUE"""),720.0)</f>
        <v>720</v>
      </c>
      <c r="U36" s="132" t="str">
        <f>IFERROR(__xludf.DUMMYFUNCTION("""COMPUTED_VALUE"""),"Paid")</f>
        <v>Paid</v>
      </c>
      <c r="V36" s="132" t="str">
        <f>IFERROR(__xludf.DUMMYFUNCTION("""COMPUTED_VALUE"""),"Paid")</f>
        <v>Paid</v>
      </c>
      <c r="W36" s="132" t="str">
        <f>IFERROR(__xludf.DUMMYFUNCTION("""COMPUTED_VALUE"""),"Paid")</f>
        <v>Paid</v>
      </c>
      <c r="X36" s="132" t="str">
        <f>IFERROR(__xludf.DUMMYFUNCTION("""COMPUTED_VALUE"""),"Paid")</f>
        <v>Paid</v>
      </c>
      <c r="Y36" s="132" t="str">
        <f>IFERROR(__xludf.DUMMYFUNCTION("""COMPUTED_VALUE"""),"Paid")</f>
        <v>Paid</v>
      </c>
      <c r="Z36" s="132"/>
    </row>
    <row r="37">
      <c r="A37" s="133">
        <f>IFERROR(__xludf.DUMMYFUNCTION("""COMPUTED_VALUE"""),45355.0)</f>
        <v>45355</v>
      </c>
      <c r="B37" s="132" t="str">
        <f>IFERROR(__xludf.DUMMYFUNCTION("""COMPUTED_VALUE"""),"車仔麵dinner")</f>
        <v>車仔麵dinner</v>
      </c>
      <c r="C37" s="132" t="str">
        <f>IFERROR(__xludf.DUMMYFUNCTION("""COMPUTED_VALUE"""),"食物")</f>
        <v>食物</v>
      </c>
      <c r="D37" s="132">
        <f>IFERROR(__xludf.DUMMYFUNCTION("""COMPUTED_VALUE"""),20.52)</f>
        <v>20.52</v>
      </c>
      <c r="E37" s="132" t="str">
        <f>IFERROR(__xludf.DUMMYFUNCTION("""COMPUTED_VALUE"""),"Pigskin")</f>
        <v>Pigskin</v>
      </c>
      <c r="F37" s="132">
        <f>IFERROR(__xludf.DUMMYFUNCTION("""COMPUTED_VALUE"""),2.565)</f>
        <v>2.565</v>
      </c>
      <c r="G37" s="132">
        <f>IFERROR(__xludf.DUMMYFUNCTION("""COMPUTED_VALUE"""),2.565)</f>
        <v>2.565</v>
      </c>
      <c r="H37" s="132">
        <f>IFERROR(__xludf.DUMMYFUNCTION("""COMPUTED_VALUE"""),1.0)</f>
        <v>1</v>
      </c>
      <c r="I37" s="132">
        <f>IFERROR(__xludf.DUMMYFUNCTION("""COMPUTED_VALUE"""),1.0)</f>
        <v>1</v>
      </c>
      <c r="J37" s="132">
        <f>IFERROR(__xludf.DUMMYFUNCTION("""COMPUTED_VALUE"""),1.0)</f>
        <v>1</v>
      </c>
      <c r="K37" s="132">
        <f>IFERROR(__xludf.DUMMYFUNCTION("""COMPUTED_VALUE"""),1.0)</f>
        <v>1</v>
      </c>
      <c r="L37" s="132"/>
      <c r="M37" s="132"/>
      <c r="N37" s="132">
        <f>IFERROR(__xludf.DUMMYFUNCTION("""COMPUTED_VALUE"""),1.0)</f>
        <v>1</v>
      </c>
      <c r="O37" s="132"/>
      <c r="P37" s="132"/>
      <c r="Q37" s="132"/>
      <c r="R37" s="132" t="str">
        <f>IFERROR(__xludf.DUMMYFUNCTION("""COMPUTED_VALUE"""),"Water")</f>
        <v>Water</v>
      </c>
      <c r="S37" s="132"/>
      <c r="T37" s="132"/>
      <c r="U37" s="132"/>
      <c r="V37" s="132"/>
      <c r="W37" s="132"/>
      <c r="X37" s="132"/>
      <c r="Y37" s="132"/>
      <c r="Z37" s="132"/>
    </row>
    <row r="38">
      <c r="A38" s="133">
        <f>IFERROR(__xludf.DUMMYFUNCTION("""COMPUTED_VALUE"""),45355.0)</f>
        <v>45355</v>
      </c>
      <c r="B38" s="132" t="str">
        <f>IFERROR(__xludf.DUMMYFUNCTION("""COMPUTED_VALUE"""),"車仔麵dinner")</f>
        <v>車仔麵dinner</v>
      </c>
      <c r="C38" s="132" t="str">
        <f>IFERROR(__xludf.DUMMYFUNCTION("""COMPUTED_VALUE"""),"食物")</f>
        <v>食物</v>
      </c>
      <c r="D38" s="132">
        <f>IFERROR(__xludf.DUMMYFUNCTION("""COMPUTED_VALUE"""),48.4)</f>
        <v>48.4</v>
      </c>
      <c r="E38" s="132" t="str">
        <f>IFERROR(__xludf.DUMMYFUNCTION("""COMPUTED_VALUE"""),"Pigskin")</f>
        <v>Pigskin</v>
      </c>
      <c r="F38" s="132">
        <f>IFERROR(__xludf.DUMMYFUNCTION("""COMPUTED_VALUE"""),6.05)</f>
        <v>6.05</v>
      </c>
      <c r="G38" s="132">
        <f>IFERROR(__xludf.DUMMYFUNCTION("""COMPUTED_VALUE"""),6.05)</f>
        <v>6.05</v>
      </c>
      <c r="H38" s="132">
        <f>IFERROR(__xludf.DUMMYFUNCTION("""COMPUTED_VALUE"""),1.0)</f>
        <v>1</v>
      </c>
      <c r="I38" s="132">
        <f>IFERROR(__xludf.DUMMYFUNCTION("""COMPUTED_VALUE"""),1.0)</f>
        <v>1</v>
      </c>
      <c r="J38" s="132">
        <f>IFERROR(__xludf.DUMMYFUNCTION("""COMPUTED_VALUE"""),1.0)</f>
        <v>1</v>
      </c>
      <c r="K38" s="132">
        <f>IFERROR(__xludf.DUMMYFUNCTION("""COMPUTED_VALUE"""),1.0)</f>
        <v>1</v>
      </c>
      <c r="L38" s="132"/>
      <c r="M38" s="132"/>
      <c r="N38" s="132">
        <f>IFERROR(__xludf.DUMMYFUNCTION("""COMPUTED_VALUE"""),1.0)</f>
        <v>1</v>
      </c>
      <c r="O38" s="132"/>
      <c r="P38" s="132"/>
      <c r="Q38" s="132"/>
      <c r="R38" s="132" t="str">
        <f>IFERROR(__xludf.DUMMYFUNCTION("""COMPUTED_VALUE"""),"Heat (19/10-16/11)")</f>
        <v>Heat (19/10-16/11)</v>
      </c>
      <c r="S38" s="132">
        <f>IFERROR(__xludf.DUMMYFUNCTION("""COMPUTED_VALUE"""),136.95000000000002)</f>
        <v>136.95</v>
      </c>
      <c r="T38" s="132"/>
      <c r="U38" s="132">
        <f>IFERROR(__xludf.DUMMYFUNCTION("""COMPUTED_VALUE"""),40.53)</f>
        <v>40.53</v>
      </c>
      <c r="V38" s="132">
        <f>IFERROR(__xludf.DUMMYFUNCTION("""COMPUTED_VALUE"""),40.53)</f>
        <v>40.53</v>
      </c>
      <c r="W38" s="132">
        <f>IFERROR(__xludf.DUMMYFUNCTION("""COMPUTED_VALUE"""),25.15)</f>
        <v>25.15</v>
      </c>
      <c r="X38" s="132">
        <f>IFERROR(__xludf.DUMMYFUNCTION("""COMPUTED_VALUE"""),25.15)</f>
        <v>25.15</v>
      </c>
      <c r="Y38" s="132">
        <f>IFERROR(__xludf.DUMMYFUNCTION("""COMPUTED_VALUE"""),5.59)</f>
        <v>5.59</v>
      </c>
      <c r="Z38" s="132"/>
    </row>
    <row r="39">
      <c r="A39" s="133">
        <f>IFERROR(__xludf.DUMMYFUNCTION("""COMPUTED_VALUE"""),45368.0)</f>
        <v>45368</v>
      </c>
      <c r="B39" s="132" t="str">
        <f>IFERROR(__xludf.DUMMYFUNCTION("""COMPUTED_VALUE"""),"TNT dinner")</f>
        <v>TNT dinner</v>
      </c>
      <c r="C39" s="132" t="str">
        <f>IFERROR(__xludf.DUMMYFUNCTION("""COMPUTED_VALUE"""),"食物")</f>
        <v>食物</v>
      </c>
      <c r="D39" s="132">
        <f>IFERROR(__xludf.DUMMYFUNCTION("""COMPUTED_VALUE"""),65.93)</f>
        <v>65.93</v>
      </c>
      <c r="E39" s="132" t="str">
        <f>IFERROR(__xludf.DUMMYFUNCTION("""COMPUTED_VALUE"""),"Timothy")</f>
        <v>Timothy</v>
      </c>
      <c r="F39" s="132">
        <f>IFERROR(__xludf.DUMMYFUNCTION("""COMPUTED_VALUE"""),13.186000000000002)</f>
        <v>13.186</v>
      </c>
      <c r="G39" s="132">
        <f>IFERROR(__xludf.DUMMYFUNCTION("""COMPUTED_VALUE"""),13.186000000000002)</f>
        <v>13.186</v>
      </c>
      <c r="H39" s="132">
        <f>IFERROR(__xludf.DUMMYFUNCTION("""COMPUTED_VALUE"""),1.0)</f>
        <v>1</v>
      </c>
      <c r="I39" s="132">
        <f>IFERROR(__xludf.DUMMYFUNCTION("""COMPUTED_VALUE"""),1.0)</f>
        <v>1</v>
      </c>
      <c r="J39" s="132">
        <f>IFERROR(__xludf.DUMMYFUNCTION("""COMPUTED_VALUE"""),1.0)</f>
        <v>1</v>
      </c>
      <c r="K39" s="132">
        <f>IFERROR(__xludf.DUMMYFUNCTION("""COMPUTED_VALUE"""),1.0)</f>
        <v>1</v>
      </c>
      <c r="L39" s="132"/>
      <c r="M39" s="132"/>
      <c r="N39" s="132">
        <f>IFERROR(__xludf.DUMMYFUNCTION("""COMPUTED_VALUE"""),1.0)</f>
        <v>1</v>
      </c>
      <c r="O39" s="132"/>
      <c r="P39" s="132"/>
      <c r="Q39" s="132"/>
      <c r="R39" s="132" t="str">
        <f>IFERROR(__xludf.DUMMYFUNCTION("""COMPUTED_VALUE"""),"Electricity")</f>
        <v>Electricity</v>
      </c>
      <c r="S39" s="132"/>
      <c r="T39" s="132"/>
      <c r="U39" s="132" t="str">
        <f>IFERROR(__xludf.DUMMYFUNCTION("""COMPUTED_VALUE"""),"Paid")</f>
        <v>Paid</v>
      </c>
      <c r="V39" s="132" t="str">
        <f>IFERROR(__xludf.DUMMYFUNCTION("""COMPUTED_VALUE"""),"Paid")</f>
        <v>Paid</v>
      </c>
      <c r="W39" s="132" t="str">
        <f>IFERROR(__xludf.DUMMYFUNCTION("""COMPUTED_VALUE"""),"Paid")</f>
        <v>Paid</v>
      </c>
      <c r="X39" s="132" t="str">
        <f>IFERROR(__xludf.DUMMYFUNCTION("""COMPUTED_VALUE"""),"Paid")</f>
        <v>Paid</v>
      </c>
      <c r="Y39" s="132" t="str">
        <f>IFERROR(__xludf.DUMMYFUNCTION("""COMPUTED_VALUE"""),"Paid")</f>
        <v>Paid</v>
      </c>
      <c r="Z39" s="132"/>
    </row>
    <row r="40">
      <c r="A40" s="133"/>
      <c r="B40" s="132" t="str">
        <f>IFERROR(__xludf.DUMMYFUNCTION("""COMPUTED_VALUE"""),"Costoc")</f>
        <v>Costoc</v>
      </c>
      <c r="C40" s="132"/>
      <c r="D40" s="132"/>
      <c r="E40" s="132"/>
      <c r="F40" s="132" t="str">
        <f>IFERROR(__xludf.DUMMYFUNCTION("""COMPUTED_VALUE"""),"#DIV/0!")</f>
        <v>#DIV/0!</v>
      </c>
      <c r="G40" s="132" t="str">
        <f>IFERROR(__xludf.DUMMYFUNCTION("""COMPUTED_VALUE"""),"#DIV/0!")</f>
        <v>#DIV/0!</v>
      </c>
      <c r="H40" s="132"/>
      <c r="I40" s="132"/>
      <c r="J40" s="132"/>
      <c r="K40" s="132"/>
      <c r="L40" s="132"/>
      <c r="M40" s="132"/>
      <c r="N40" s="132"/>
      <c r="O40" s="132"/>
      <c r="P40" s="132"/>
      <c r="Q40" s="132"/>
      <c r="R40" s="132" t="str">
        <f>IFERROR(__xludf.DUMMYFUNCTION("""COMPUTED_VALUE"""),"Internet")</f>
        <v>Internet</v>
      </c>
      <c r="S40" s="132">
        <f>IFERROR(__xludf.DUMMYFUNCTION("""COMPUTED_VALUE"""),56.5)</f>
        <v>56.5</v>
      </c>
      <c r="T40" s="132"/>
      <c r="U40" s="132" t="str">
        <f>IFERROR(__xludf.DUMMYFUNCTION("""COMPUTED_VALUE"""),"Paid")</f>
        <v>Paid</v>
      </c>
      <c r="V40" s="132" t="str">
        <f>IFERROR(__xludf.DUMMYFUNCTION("""COMPUTED_VALUE"""),"Paid")</f>
        <v>Paid</v>
      </c>
      <c r="W40" s="132" t="str">
        <f>IFERROR(__xludf.DUMMYFUNCTION("""COMPUTED_VALUE"""),"Paid")</f>
        <v>Paid</v>
      </c>
      <c r="X40" s="132" t="str">
        <f>IFERROR(__xludf.DUMMYFUNCTION("""COMPUTED_VALUE"""),"Paid")</f>
        <v>Paid</v>
      </c>
      <c r="Y40" s="132" t="str">
        <f>IFERROR(__xludf.DUMMYFUNCTION("""COMPUTED_VALUE"""),"Paid")</f>
        <v>Paid</v>
      </c>
      <c r="Z40" s="132"/>
    </row>
    <row r="41">
      <c r="A41" s="133">
        <f>IFERROR(__xludf.DUMMYFUNCTION("""COMPUTED_VALUE"""),45377.0)</f>
        <v>45377</v>
      </c>
      <c r="B41" s="132" t="str">
        <f>IFERROR(__xludf.DUMMYFUNCTION("""COMPUTED_VALUE"""),"dinner")</f>
        <v>dinner</v>
      </c>
      <c r="C41" s="132" t="str">
        <f>IFERROR(__xludf.DUMMYFUNCTION("""COMPUTED_VALUE"""),"食物")</f>
        <v>食物</v>
      </c>
      <c r="D41" s="132">
        <f>IFERROR(__xludf.DUMMYFUNCTION("""COMPUTED_VALUE"""),15.72)</f>
        <v>15.72</v>
      </c>
      <c r="E41" s="132" t="str">
        <f>IFERROR(__xludf.DUMMYFUNCTION("""COMPUTED_VALUE"""),"Esther")</f>
        <v>Esther</v>
      </c>
      <c r="F41" s="132">
        <f>IFERROR(__xludf.DUMMYFUNCTION("""COMPUTED_VALUE"""),2.62)</f>
        <v>2.62</v>
      </c>
      <c r="G41" s="132">
        <f>IFERROR(__xludf.DUMMYFUNCTION("""COMPUTED_VALUE"""),2.62)</f>
        <v>2.62</v>
      </c>
      <c r="H41" s="132">
        <f>IFERROR(__xludf.DUMMYFUNCTION("""COMPUTED_VALUE"""),1.0)</f>
        <v>1</v>
      </c>
      <c r="I41" s="132">
        <f>IFERROR(__xludf.DUMMYFUNCTION("""COMPUTED_VALUE"""),1.0)</f>
        <v>1</v>
      </c>
      <c r="J41" s="132">
        <f>IFERROR(__xludf.DUMMYFUNCTION("""COMPUTED_VALUE"""),1.0)</f>
        <v>1</v>
      </c>
      <c r="K41" s="132">
        <f>IFERROR(__xludf.DUMMYFUNCTION("""COMPUTED_VALUE"""),1.0)</f>
        <v>1</v>
      </c>
      <c r="L41" s="132"/>
      <c r="M41" s="132">
        <f>IFERROR(__xludf.DUMMYFUNCTION("""COMPUTED_VALUE"""),1.0)</f>
        <v>1</v>
      </c>
      <c r="N41" s="132">
        <f>IFERROR(__xludf.DUMMYFUNCTION("""COMPUTED_VALUE"""),1.0)</f>
        <v>1</v>
      </c>
      <c r="O41" s="132"/>
      <c r="P41" s="132"/>
      <c r="Q41" s="132"/>
      <c r="R41" s="132"/>
      <c r="S41" s="132">
        <f>IFERROR(__xludf.DUMMYFUNCTION("""COMPUTED_VALUE"""),3793.45)</f>
        <v>3793.45</v>
      </c>
      <c r="T41" s="132">
        <f>IFERROR(__xludf.DUMMYFUNCTION("""COMPUTED_VALUE"""),720.0)</f>
        <v>720</v>
      </c>
      <c r="U41" s="132"/>
      <c r="V41" s="132"/>
      <c r="W41" s="132"/>
      <c r="X41" s="132"/>
      <c r="Y41" s="132"/>
      <c r="Z41" s="132"/>
    </row>
    <row r="42">
      <c r="A42" s="133">
        <f>IFERROR(__xludf.DUMMYFUNCTION("""COMPUTED_VALUE"""),45368.0)</f>
        <v>45368</v>
      </c>
      <c r="B42" s="132" t="str">
        <f>IFERROR(__xludf.DUMMYFUNCTION("""COMPUTED_VALUE"""),"Costoo")</f>
        <v>Costoo</v>
      </c>
      <c r="C42" s="132"/>
      <c r="D42" s="132"/>
      <c r="E42" s="132"/>
      <c r="F42" s="132" t="str">
        <f>IFERROR(__xludf.DUMMYFUNCTION("""COMPUTED_VALUE"""),"#DIV/0!")</f>
        <v>#DIV/0!</v>
      </c>
      <c r="G42" s="132" t="str">
        <f>IFERROR(__xludf.DUMMYFUNCTION("""COMPUTED_VALUE"""),"#DIV/0!")</f>
        <v>#DIV/0!</v>
      </c>
      <c r="H42" s="132"/>
      <c r="I42" s="132"/>
      <c r="J42" s="132"/>
      <c r="K42" s="132"/>
      <c r="L42" s="132"/>
      <c r="M42" s="132"/>
      <c r="N42" s="132"/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3">
        <f>IFERROR(__xludf.DUMMYFUNCTION("""COMPUTED_VALUE"""),45368.0)</f>
        <v>45368</v>
      </c>
      <c r="B43" s="132" t="str">
        <f>IFERROR(__xludf.DUMMYFUNCTION("""COMPUTED_VALUE"""),"Orange")</f>
        <v>Orange</v>
      </c>
      <c r="C43" s="132" t="str">
        <f>IFERROR(__xludf.DUMMYFUNCTION("""COMPUTED_VALUE"""),"食物")</f>
        <v>食物</v>
      </c>
      <c r="D43" s="132">
        <f>IFERROR(__xludf.DUMMYFUNCTION("""COMPUTED_VALUE"""),14.99)</f>
        <v>14.99</v>
      </c>
      <c r="E43" s="132" t="str">
        <f>IFERROR(__xludf.DUMMYFUNCTION("""COMPUTED_VALUE"""),"Timothy")</f>
        <v>Timothy</v>
      </c>
      <c r="F43" s="132">
        <f>IFERROR(__xludf.DUMMYFUNCTION("""COMPUTED_VALUE"""),2.998)</f>
        <v>2.998</v>
      </c>
      <c r="G43" s="132">
        <f>IFERROR(__xludf.DUMMYFUNCTION("""COMPUTED_VALUE"""),2.998)</f>
        <v>2.998</v>
      </c>
      <c r="H43" s="132">
        <f>IFERROR(__xludf.DUMMYFUNCTION("""COMPUTED_VALUE"""),1.0)</f>
        <v>1</v>
      </c>
      <c r="I43" s="132">
        <f>IFERROR(__xludf.DUMMYFUNCTION("""COMPUTED_VALUE"""),1.0)</f>
        <v>1</v>
      </c>
      <c r="J43" s="132">
        <f>IFERROR(__xludf.DUMMYFUNCTION("""COMPUTED_VALUE"""),1.0)</f>
        <v>1</v>
      </c>
      <c r="K43" s="132">
        <f>IFERROR(__xludf.DUMMYFUNCTION("""COMPUTED_VALUE"""),1.0)</f>
        <v>1</v>
      </c>
      <c r="L43" s="132"/>
      <c r="M43" s="132"/>
      <c r="N43" s="132">
        <f>IFERROR(__xludf.DUMMYFUNCTION("""COMPUTED_VALUE"""),1.0)</f>
        <v>1</v>
      </c>
      <c r="O43" s="132"/>
      <c r="P43" s="132"/>
      <c r="Q43" s="134">
        <f>IFERROR(__xludf.DUMMYFUNCTION("""COMPUTED_VALUE"""),45261.0)</f>
        <v>45261</v>
      </c>
      <c r="R43" s="132" t="str">
        <f>IFERROR(__xludf.DUMMYFUNCTION("""COMPUTED_VALUE"""),"Rent")</f>
        <v>Rent</v>
      </c>
      <c r="S43" s="132">
        <f>IFERROR(__xludf.DUMMYFUNCTION("""COMPUTED_VALUE"""),3600.0)</f>
        <v>3600</v>
      </c>
      <c r="T43" s="132">
        <f>IFERROR(__xludf.DUMMYFUNCTION("""COMPUTED_VALUE"""),720.0)</f>
        <v>720</v>
      </c>
      <c r="U43" s="132" t="str">
        <f>IFERROR(__xludf.DUMMYFUNCTION("""COMPUTED_VALUE"""),"Paid")</f>
        <v>Paid</v>
      </c>
      <c r="V43" s="132" t="str">
        <f>IFERROR(__xludf.DUMMYFUNCTION("""COMPUTED_VALUE"""),"Paid")</f>
        <v>Paid</v>
      </c>
      <c r="W43" s="132" t="str">
        <f>IFERROR(__xludf.DUMMYFUNCTION("""COMPUTED_VALUE"""),"Paid")</f>
        <v>Paid</v>
      </c>
      <c r="X43" s="132" t="str">
        <f>IFERROR(__xludf.DUMMYFUNCTION("""COMPUTED_VALUE"""),"Paid")</f>
        <v>Paid</v>
      </c>
      <c r="Y43" s="132" t="str">
        <f>IFERROR(__xludf.DUMMYFUNCTION("""COMPUTED_VALUE"""),"Paid")</f>
        <v>Paid</v>
      </c>
      <c r="Z43" s="132"/>
    </row>
    <row r="44">
      <c r="A44" s="133"/>
      <c r="B44" s="132" t="str">
        <f>IFERROR(__xludf.DUMMYFUNCTION("""COMPUTED_VALUE"""),"Blue Brris")</f>
        <v>Blue Brris</v>
      </c>
      <c r="C44" s="132"/>
      <c r="D44" s="132">
        <f>IFERROR(__xludf.DUMMYFUNCTION("""COMPUTED_VALUE"""),9.99)</f>
        <v>9.99</v>
      </c>
      <c r="E44" s="132" t="str">
        <f>IFERROR(__xludf.DUMMYFUNCTION("""COMPUTED_VALUE"""),"Timothy")</f>
        <v>Timothy</v>
      </c>
      <c r="F44" s="132">
        <f>IFERROR(__xludf.DUMMYFUNCTION("""COMPUTED_VALUE"""),1.998)</f>
        <v>1.998</v>
      </c>
      <c r="G44" s="132">
        <f>IFERROR(__xludf.DUMMYFUNCTION("""COMPUTED_VALUE"""),1.998)</f>
        <v>1.998</v>
      </c>
      <c r="H44" s="132">
        <f>IFERROR(__xludf.DUMMYFUNCTION("""COMPUTED_VALUE"""),1.0)</f>
        <v>1</v>
      </c>
      <c r="I44" s="132">
        <f>IFERROR(__xludf.DUMMYFUNCTION("""COMPUTED_VALUE"""),1.0)</f>
        <v>1</v>
      </c>
      <c r="J44" s="132">
        <f>IFERROR(__xludf.DUMMYFUNCTION("""COMPUTED_VALUE"""),1.0)</f>
        <v>1</v>
      </c>
      <c r="K44" s="132">
        <f>IFERROR(__xludf.DUMMYFUNCTION("""COMPUTED_VALUE"""),1.0)</f>
        <v>1</v>
      </c>
      <c r="L44" s="132"/>
      <c r="M44" s="132"/>
      <c r="N44" s="132">
        <f>IFERROR(__xludf.DUMMYFUNCTION("""COMPUTED_VALUE"""),1.0)</f>
        <v>1</v>
      </c>
      <c r="O44" s="132"/>
      <c r="P44" s="132"/>
      <c r="Q44" s="132"/>
      <c r="R44" s="132" t="str">
        <f>IFERROR(__xludf.DUMMYFUNCTION("""COMPUTED_VALUE"""),"Water")</f>
        <v>Water</v>
      </c>
      <c r="S44" s="132">
        <f>IFERROR(__xludf.DUMMYFUNCTION("""COMPUTED_VALUE"""),284.24)</f>
        <v>284.24</v>
      </c>
      <c r="T44" s="132">
        <f>IFERROR(__xludf.DUMMYFUNCTION("""COMPUTED_VALUE"""),56.848)</f>
        <v>56.848</v>
      </c>
      <c r="U44" s="132" t="str">
        <f>IFERROR(__xludf.DUMMYFUNCTION("""COMPUTED_VALUE"""),"Paid")</f>
        <v>Paid</v>
      </c>
      <c r="V44" s="132" t="str">
        <f>IFERROR(__xludf.DUMMYFUNCTION("""COMPUTED_VALUE"""),"Paid")</f>
        <v>Paid</v>
      </c>
      <c r="W44" s="132" t="str">
        <f>IFERROR(__xludf.DUMMYFUNCTION("""COMPUTED_VALUE"""),"Paid")</f>
        <v>Paid</v>
      </c>
      <c r="X44" s="132" t="str">
        <f>IFERROR(__xludf.DUMMYFUNCTION("""COMPUTED_VALUE"""),"Paid")</f>
        <v>Paid</v>
      </c>
      <c r="Y44" s="132" t="str">
        <f>IFERROR(__xludf.DUMMYFUNCTION("""COMPUTED_VALUE"""),"Paid")</f>
        <v>Paid</v>
      </c>
      <c r="Z44" s="132"/>
    </row>
    <row r="45">
      <c r="A45" s="133"/>
      <c r="B45" s="132" t="str">
        <f>IFERROR(__xludf.DUMMYFUNCTION("""COMPUTED_VALUE"""),"Milk")</f>
        <v>Milk</v>
      </c>
      <c r="C45" s="132"/>
      <c r="D45" s="132">
        <f>IFERROR(__xludf.DUMMYFUNCTION("""COMPUTED_VALUE"""),5.65)</f>
        <v>5.65</v>
      </c>
      <c r="E45" s="132" t="str">
        <f>IFERROR(__xludf.DUMMYFUNCTION("""COMPUTED_VALUE"""),"Timothy")</f>
        <v>Timothy</v>
      </c>
      <c r="F45" s="132">
        <f>IFERROR(__xludf.DUMMYFUNCTION("""COMPUTED_VALUE"""),1.1300000000000001)</f>
        <v>1.13</v>
      </c>
      <c r="G45" s="132">
        <f>IFERROR(__xludf.DUMMYFUNCTION("""COMPUTED_VALUE"""),1.1300000000000001)</f>
        <v>1.13</v>
      </c>
      <c r="H45" s="132">
        <f>IFERROR(__xludf.DUMMYFUNCTION("""COMPUTED_VALUE"""),1.0)</f>
        <v>1</v>
      </c>
      <c r="I45" s="132">
        <f>IFERROR(__xludf.DUMMYFUNCTION("""COMPUTED_VALUE"""),1.0)</f>
        <v>1</v>
      </c>
      <c r="J45" s="132">
        <f>IFERROR(__xludf.DUMMYFUNCTION("""COMPUTED_VALUE"""),1.0)</f>
        <v>1</v>
      </c>
      <c r="K45" s="132">
        <f>IFERROR(__xludf.DUMMYFUNCTION("""COMPUTED_VALUE"""),1.0)</f>
        <v>1</v>
      </c>
      <c r="L45" s="132"/>
      <c r="M45" s="132"/>
      <c r="N45" s="132">
        <f>IFERROR(__xludf.DUMMYFUNCTION("""COMPUTED_VALUE"""),1.0)</f>
        <v>1</v>
      </c>
      <c r="O45" s="132"/>
      <c r="P45" s="132"/>
      <c r="Q45" s="132"/>
      <c r="R45" s="132" t="str">
        <f>IFERROR(__xludf.DUMMYFUNCTION("""COMPUTED_VALUE"""),"Heat(17/11-14/12)")</f>
        <v>Heat(17/11-14/12)</v>
      </c>
      <c r="S45" s="132">
        <f>IFERROR(__xludf.DUMMYFUNCTION("""COMPUTED_VALUE"""),149.7)</f>
        <v>149.7</v>
      </c>
      <c r="T45" s="132">
        <f>IFERROR(__xludf.DUMMYFUNCTION("""COMPUTED_VALUE"""),29.939999999999998)</f>
        <v>29.94</v>
      </c>
      <c r="U45" s="132" t="str">
        <f>IFERROR(__xludf.DUMMYFUNCTION("""COMPUTED_VALUE"""),"Paid")</f>
        <v>Paid</v>
      </c>
      <c r="V45" s="132" t="str">
        <f>IFERROR(__xludf.DUMMYFUNCTION("""COMPUTED_VALUE"""),"Paid")</f>
        <v>Paid</v>
      </c>
      <c r="W45" s="132" t="str">
        <f>IFERROR(__xludf.DUMMYFUNCTION("""COMPUTED_VALUE"""),"Paid")</f>
        <v>Paid</v>
      </c>
      <c r="X45" s="132" t="str">
        <f>IFERROR(__xludf.DUMMYFUNCTION("""COMPUTED_VALUE"""),"Paid")</f>
        <v>Paid</v>
      </c>
      <c r="Y45" s="132" t="str">
        <f>IFERROR(__xludf.DUMMYFUNCTION("""COMPUTED_VALUE"""),"Paid")</f>
        <v>Paid</v>
      </c>
      <c r="Z45" s="132"/>
    </row>
    <row r="46">
      <c r="A46" s="133"/>
      <c r="B46" s="132" t="str">
        <f>IFERROR(__xludf.DUMMYFUNCTION("""COMPUTED_VALUE"""),"Nuts")</f>
        <v>Nuts</v>
      </c>
      <c r="C46" s="132"/>
      <c r="D46" s="132">
        <f>IFERROR(__xludf.DUMMYFUNCTION("""COMPUTED_VALUE"""),15.99)</f>
        <v>15.99</v>
      </c>
      <c r="E46" s="132" t="str">
        <f>IFERROR(__xludf.DUMMYFUNCTION("""COMPUTED_VALUE"""),"Timothy")</f>
        <v>Timothy</v>
      </c>
      <c r="F46" s="132">
        <f>IFERROR(__xludf.DUMMYFUNCTION("""COMPUTED_VALUE"""),3.198)</f>
        <v>3.198</v>
      </c>
      <c r="G46" s="132">
        <f>IFERROR(__xludf.DUMMYFUNCTION("""COMPUTED_VALUE"""),3.198)</f>
        <v>3.198</v>
      </c>
      <c r="H46" s="132">
        <f>IFERROR(__xludf.DUMMYFUNCTION("""COMPUTED_VALUE"""),1.0)</f>
        <v>1</v>
      </c>
      <c r="I46" s="132">
        <f>IFERROR(__xludf.DUMMYFUNCTION("""COMPUTED_VALUE"""),1.0)</f>
        <v>1</v>
      </c>
      <c r="J46" s="132">
        <f>IFERROR(__xludf.DUMMYFUNCTION("""COMPUTED_VALUE"""),1.0)</f>
        <v>1</v>
      </c>
      <c r="K46" s="132">
        <f>IFERROR(__xludf.DUMMYFUNCTION("""COMPUTED_VALUE"""),1.0)</f>
        <v>1</v>
      </c>
      <c r="L46" s="132"/>
      <c r="M46" s="132"/>
      <c r="N46" s="132">
        <f>IFERROR(__xludf.DUMMYFUNCTION("""COMPUTED_VALUE"""),1.0)</f>
        <v>1</v>
      </c>
      <c r="O46" s="132"/>
      <c r="P46" s="132"/>
      <c r="Q46" s="132"/>
      <c r="R46" s="132" t="str">
        <f>IFERROR(__xludf.DUMMYFUNCTION("""COMPUTED_VALUE"""),"Electricity")</f>
        <v>Electricity</v>
      </c>
      <c r="S46" s="132">
        <f>IFERROR(__xludf.DUMMYFUNCTION("""COMPUTED_VALUE"""),107.46)</f>
        <v>107.46</v>
      </c>
      <c r="T46" s="132">
        <f>IFERROR(__xludf.DUMMYFUNCTION("""COMPUTED_VALUE"""),21.491999999999997)</f>
        <v>21.492</v>
      </c>
      <c r="U46" s="132" t="str">
        <f>IFERROR(__xludf.DUMMYFUNCTION("""COMPUTED_VALUE"""),"Paid")</f>
        <v>Paid</v>
      </c>
      <c r="V46" s="132" t="str">
        <f>IFERROR(__xludf.DUMMYFUNCTION("""COMPUTED_VALUE"""),"Paid")</f>
        <v>Paid</v>
      </c>
      <c r="W46" s="132" t="str">
        <f>IFERROR(__xludf.DUMMYFUNCTION("""COMPUTED_VALUE"""),"Paid")</f>
        <v>Paid</v>
      </c>
      <c r="X46" s="132" t="str">
        <f>IFERROR(__xludf.DUMMYFUNCTION("""COMPUTED_VALUE"""),"Paid")</f>
        <v>Paid</v>
      </c>
      <c r="Y46" s="132" t="str">
        <f>IFERROR(__xludf.DUMMYFUNCTION("""COMPUTED_VALUE"""),"Paid")</f>
        <v>Paid</v>
      </c>
      <c r="Z46" s="132"/>
    </row>
    <row r="47">
      <c r="A47" s="136"/>
      <c r="B47" s="132" t="str">
        <f>IFERROR(__xludf.DUMMYFUNCTION("""COMPUTED_VALUE"""),"Shampoo")</f>
        <v>Shampoo</v>
      </c>
      <c r="C47" s="132"/>
      <c r="D47" s="132">
        <f>IFERROR(__xludf.DUMMYFUNCTION("""COMPUTED_VALUE"""),22.588699999999996)</f>
        <v>22.5887</v>
      </c>
      <c r="E47" s="132" t="str">
        <f>IFERROR(__xludf.DUMMYFUNCTION("""COMPUTED_VALUE"""),"Timothy")</f>
        <v>Timothy</v>
      </c>
      <c r="F47" s="132">
        <f>IFERROR(__xludf.DUMMYFUNCTION("""COMPUTED_VALUE"""),11.294349999999998)</f>
        <v>11.29435</v>
      </c>
      <c r="G47" s="132">
        <f>IFERROR(__xludf.DUMMYFUNCTION("""COMPUTED_VALUE"""),11.294349999999998)</f>
        <v>11.29435</v>
      </c>
      <c r="H47" s="132">
        <f>IFERROR(__xludf.DUMMYFUNCTION("""COMPUTED_VALUE"""),1.0)</f>
        <v>1</v>
      </c>
      <c r="I47" s="132">
        <f>IFERROR(__xludf.DUMMYFUNCTION("""COMPUTED_VALUE"""),1.0)</f>
        <v>1</v>
      </c>
      <c r="J47" s="132"/>
      <c r="K47" s="132"/>
      <c r="L47" s="132"/>
      <c r="M47" s="132"/>
      <c r="N47" s="132"/>
      <c r="O47" s="132"/>
      <c r="P47" s="132"/>
      <c r="Q47" s="132"/>
      <c r="R47" s="132" t="str">
        <f>IFERROR(__xludf.DUMMYFUNCTION("""COMPUTED_VALUE"""),"Internet")</f>
        <v>Internet</v>
      </c>
      <c r="S47" s="132">
        <f>IFERROR(__xludf.DUMMYFUNCTION("""COMPUTED_VALUE"""),56.5)</f>
        <v>56.5</v>
      </c>
      <c r="T47" s="132">
        <f>IFERROR(__xludf.DUMMYFUNCTION("""COMPUTED_VALUE"""),11.3)</f>
        <v>11.3</v>
      </c>
      <c r="U47" s="132" t="str">
        <f>IFERROR(__xludf.DUMMYFUNCTION("""COMPUTED_VALUE"""),"Paid")</f>
        <v>Paid</v>
      </c>
      <c r="V47" s="132" t="str">
        <f>IFERROR(__xludf.DUMMYFUNCTION("""COMPUTED_VALUE"""),"Paid")</f>
        <v>Paid</v>
      </c>
      <c r="W47" s="132" t="str">
        <f>IFERROR(__xludf.DUMMYFUNCTION("""COMPUTED_VALUE"""),"Paid")</f>
        <v>Paid</v>
      </c>
      <c r="X47" s="132" t="str">
        <f>IFERROR(__xludf.DUMMYFUNCTION("""COMPUTED_VALUE"""),"Paid")</f>
        <v>Paid</v>
      </c>
      <c r="Y47" s="132" t="str">
        <f>IFERROR(__xludf.DUMMYFUNCTION("""COMPUTED_VALUE"""),"Paid")</f>
        <v>Paid</v>
      </c>
      <c r="Z47" s="132"/>
    </row>
    <row r="48">
      <c r="A48" s="136"/>
      <c r="B48" s="132" t="str">
        <f>IFERROR(__xludf.DUMMYFUNCTION("""COMPUTED_VALUE"""),"Chicken Breast")</f>
        <v>Chicken Breast</v>
      </c>
      <c r="C48" s="132"/>
      <c r="D48" s="132">
        <f>IFERROR(__xludf.DUMMYFUNCTION("""COMPUTED_VALUE"""),32.17)</f>
        <v>32.17</v>
      </c>
      <c r="E48" s="132" t="str">
        <f>IFERROR(__xludf.DUMMYFUNCTION("""COMPUTED_VALUE"""),"Timothy")</f>
        <v>Timothy</v>
      </c>
      <c r="F48" s="132">
        <f>IFERROR(__xludf.DUMMYFUNCTION("""COMPUTED_VALUE"""),32.17)</f>
        <v>32.17</v>
      </c>
      <c r="G48" s="132">
        <f>IFERROR(__xludf.DUMMYFUNCTION("""COMPUTED_VALUE"""),32.17)</f>
        <v>32.17</v>
      </c>
      <c r="H48" s="132"/>
      <c r="I48" s="132"/>
      <c r="J48" s="132">
        <f>IFERROR(__xludf.DUMMYFUNCTION("""COMPUTED_VALUE"""),1.0)</f>
        <v>1</v>
      </c>
      <c r="K48" s="132"/>
      <c r="L48" s="132"/>
      <c r="M48" s="132"/>
      <c r="N48" s="132"/>
      <c r="O48" s="132"/>
      <c r="P48" s="132"/>
      <c r="Q48" s="132"/>
      <c r="R48" s="132"/>
      <c r="S48" s="132">
        <f>IFERROR(__xludf.DUMMYFUNCTION("""COMPUTED_VALUE"""),4197.9)</f>
        <v>4197.9</v>
      </c>
      <c r="T48" s="132">
        <f>IFERROR(__xludf.DUMMYFUNCTION("""COMPUTED_VALUE"""),839.5799999999999)</f>
        <v>839.58</v>
      </c>
      <c r="U48" s="132"/>
      <c r="V48" s="132"/>
      <c r="W48" s="132"/>
      <c r="X48" s="132"/>
      <c r="Y48" s="132"/>
      <c r="Z48" s="132"/>
    </row>
    <row r="49">
      <c r="A49" s="136"/>
      <c r="B49" s="132" t="str">
        <f>IFERROR(__xludf.DUMMYFUNCTION("""COMPUTED_VALUE"""),"Chips")</f>
        <v>Chips</v>
      </c>
      <c r="C49" s="132"/>
      <c r="D49" s="132">
        <f>IFERROR(__xludf.DUMMYFUNCTION("""COMPUTED_VALUE"""),9.028699999999999)</f>
        <v>9.0287</v>
      </c>
      <c r="E49" s="132" t="str">
        <f>IFERROR(__xludf.DUMMYFUNCTION("""COMPUTED_VALUE"""),"Timothy")</f>
        <v>Timothy</v>
      </c>
      <c r="F49" s="132">
        <f>IFERROR(__xludf.DUMMYFUNCTION("""COMPUTED_VALUE"""),1.8057399999999997)</f>
        <v>1.80574</v>
      </c>
      <c r="G49" s="132">
        <f>IFERROR(__xludf.DUMMYFUNCTION("""COMPUTED_VALUE"""),1.8057399999999997)</f>
        <v>1.80574</v>
      </c>
      <c r="H49" s="132">
        <f>IFERROR(__xludf.DUMMYFUNCTION("""COMPUTED_VALUE"""),1.0)</f>
        <v>1</v>
      </c>
      <c r="I49" s="132">
        <f>IFERROR(__xludf.DUMMYFUNCTION("""COMPUTED_VALUE"""),1.0)</f>
        <v>1</v>
      </c>
      <c r="J49" s="132">
        <f>IFERROR(__xludf.DUMMYFUNCTION("""COMPUTED_VALUE"""),1.0)</f>
        <v>1</v>
      </c>
      <c r="K49" s="132">
        <f>IFERROR(__xludf.DUMMYFUNCTION("""COMPUTED_VALUE"""),1.0)</f>
        <v>1</v>
      </c>
      <c r="L49" s="132"/>
      <c r="M49" s="132"/>
      <c r="N49" s="132">
        <f>IFERROR(__xludf.DUMMYFUNCTION("""COMPUTED_VALUE"""),1.0)</f>
        <v>1</v>
      </c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>
      <c r="A50" s="136"/>
      <c r="B50" s="132" t="str">
        <f>IFERROR(__xludf.DUMMYFUNCTION("""COMPUTED_VALUE"""),"Cluc")</f>
        <v>Cluc</v>
      </c>
      <c r="C50" s="132"/>
      <c r="D50" s="132">
        <f>IFERROR(__xludf.DUMMYFUNCTION("""COMPUTED_VALUE"""),37.2787)</f>
        <v>37.2787</v>
      </c>
      <c r="E50" s="132" t="str">
        <f>IFERROR(__xludf.DUMMYFUNCTION("""COMPUTED_VALUE"""),"Timothy")</f>
        <v>Timothy</v>
      </c>
      <c r="F50" s="132">
        <f>IFERROR(__xludf.DUMMYFUNCTION("""COMPUTED_VALUE"""),37.2787)</f>
        <v>37.2787</v>
      </c>
      <c r="G50" s="132">
        <f>IFERROR(__xludf.DUMMYFUNCTION("""COMPUTED_VALUE"""),37.2787)</f>
        <v>37.2787</v>
      </c>
      <c r="H50" s="132">
        <f>IFERROR(__xludf.DUMMYFUNCTION("""COMPUTED_VALUE"""),1.0)</f>
        <v>1</v>
      </c>
      <c r="I50" s="132"/>
      <c r="J50" s="132"/>
      <c r="K50" s="132"/>
      <c r="L50" s="132"/>
      <c r="M50" s="132"/>
      <c r="N50" s="132"/>
      <c r="O50" s="132"/>
      <c r="P50" s="132"/>
      <c r="Q50" s="134">
        <f>IFERROR(__xludf.DUMMYFUNCTION("""COMPUTED_VALUE"""),45292.0)</f>
        <v>45292</v>
      </c>
      <c r="R50" s="132" t="str">
        <f>IFERROR(__xludf.DUMMYFUNCTION("""COMPUTED_VALUE"""),"Rent")</f>
        <v>Rent</v>
      </c>
      <c r="S50" s="132">
        <f>IFERROR(__xludf.DUMMYFUNCTION("""COMPUTED_VALUE"""),3600.0)</f>
        <v>3600</v>
      </c>
      <c r="T50" s="132">
        <f>IFERROR(__xludf.DUMMYFUNCTION("""COMPUTED_VALUE"""),720.0)</f>
        <v>720</v>
      </c>
      <c r="U50" s="132" t="str">
        <f>IFERROR(__xludf.DUMMYFUNCTION("""COMPUTED_VALUE"""),"Paid")</f>
        <v>Paid</v>
      </c>
      <c r="V50" s="132" t="str">
        <f>IFERROR(__xludf.DUMMYFUNCTION("""COMPUTED_VALUE"""),"Paid")</f>
        <v>Paid</v>
      </c>
      <c r="W50" s="132" t="str">
        <f>IFERROR(__xludf.DUMMYFUNCTION("""COMPUTED_VALUE"""),"Paid")</f>
        <v>Paid</v>
      </c>
      <c r="X50" s="132" t="str">
        <f>IFERROR(__xludf.DUMMYFUNCTION("""COMPUTED_VALUE"""),"Paid")</f>
        <v>Paid</v>
      </c>
      <c r="Y50" s="132" t="str">
        <f>IFERROR(__xludf.DUMMYFUNCTION("""COMPUTED_VALUE"""),"Paid")</f>
        <v>Paid</v>
      </c>
      <c r="Z50" s="132"/>
    </row>
    <row r="51">
      <c r="A51" s="136"/>
      <c r="B51" s="132" t="str">
        <f>IFERROR(__xludf.DUMMYFUNCTION("""COMPUTED_VALUE"""),"Garlic")</f>
        <v>Garlic</v>
      </c>
      <c r="C51" s="132"/>
      <c r="D51" s="132">
        <f>IFERROR(__xludf.DUMMYFUNCTION("""COMPUTED_VALUE"""),8.99)</f>
        <v>8.99</v>
      </c>
      <c r="E51" s="132" t="str">
        <f>IFERROR(__xludf.DUMMYFUNCTION("""COMPUTED_VALUE"""),"Timothy")</f>
        <v>Timothy</v>
      </c>
      <c r="F51" s="132">
        <f>IFERROR(__xludf.DUMMYFUNCTION("""COMPUTED_VALUE"""),1.798)</f>
        <v>1.798</v>
      </c>
      <c r="G51" s="132">
        <f>IFERROR(__xludf.DUMMYFUNCTION("""COMPUTED_VALUE"""),1.798)</f>
        <v>1.798</v>
      </c>
      <c r="H51" s="132">
        <f>IFERROR(__xludf.DUMMYFUNCTION("""COMPUTED_VALUE"""),1.0)</f>
        <v>1</v>
      </c>
      <c r="I51" s="132">
        <f>IFERROR(__xludf.DUMMYFUNCTION("""COMPUTED_VALUE"""),1.0)</f>
        <v>1</v>
      </c>
      <c r="J51" s="132">
        <f>IFERROR(__xludf.DUMMYFUNCTION("""COMPUTED_VALUE"""),1.0)</f>
        <v>1</v>
      </c>
      <c r="K51" s="132">
        <f>IFERROR(__xludf.DUMMYFUNCTION("""COMPUTED_VALUE"""),1.0)</f>
        <v>1</v>
      </c>
      <c r="L51" s="132"/>
      <c r="M51" s="132"/>
      <c r="N51" s="132">
        <f>IFERROR(__xludf.DUMMYFUNCTION("""COMPUTED_VALUE"""),1.0)</f>
        <v>1</v>
      </c>
      <c r="O51" s="132"/>
      <c r="P51" s="132"/>
      <c r="Q51" s="132"/>
      <c r="R51" s="132" t="str">
        <f>IFERROR(__xludf.DUMMYFUNCTION("""COMPUTED_VALUE"""),"Water")</f>
        <v>Water</v>
      </c>
      <c r="S51" s="132"/>
      <c r="T51" s="132"/>
      <c r="U51" s="132"/>
      <c r="V51" s="132"/>
      <c r="W51" s="132"/>
      <c r="X51" s="132"/>
      <c r="Y51" s="132"/>
      <c r="Z51" s="132"/>
    </row>
    <row r="52">
      <c r="A52" s="133"/>
      <c r="B52" s="132" t="str">
        <f>IFERROR(__xludf.DUMMYFUNCTION("""COMPUTED_VALUE"""),"Pepsi")</f>
        <v>Pepsi</v>
      </c>
      <c r="C52" s="132"/>
      <c r="D52" s="135">
        <f>IFERROR(__xludf.DUMMYFUNCTION("""COMPUTED_VALUE"""),17.5037)</f>
        <v>17.5037</v>
      </c>
      <c r="E52" s="132" t="str">
        <f>IFERROR(__xludf.DUMMYFUNCTION("""COMPUTED_VALUE"""),"Timothy")</f>
        <v>Timothy</v>
      </c>
      <c r="F52" s="132">
        <f>IFERROR(__xludf.DUMMYFUNCTION("""COMPUTED_VALUE"""),3.5007399999999995)</f>
        <v>3.50074</v>
      </c>
      <c r="G52" s="132">
        <f>IFERROR(__xludf.DUMMYFUNCTION("""COMPUTED_VALUE"""),3.5007399999999995)</f>
        <v>3.50074</v>
      </c>
      <c r="H52" s="132">
        <f>IFERROR(__xludf.DUMMYFUNCTION("""COMPUTED_VALUE"""),1.0)</f>
        <v>1</v>
      </c>
      <c r="I52" s="132">
        <f>IFERROR(__xludf.DUMMYFUNCTION("""COMPUTED_VALUE"""),1.0)</f>
        <v>1</v>
      </c>
      <c r="J52" s="132">
        <f>IFERROR(__xludf.DUMMYFUNCTION("""COMPUTED_VALUE"""),1.0)</f>
        <v>1</v>
      </c>
      <c r="K52" s="132">
        <f>IFERROR(__xludf.DUMMYFUNCTION("""COMPUTED_VALUE"""),1.0)</f>
        <v>1</v>
      </c>
      <c r="L52" s="132"/>
      <c r="M52" s="132"/>
      <c r="N52" s="132">
        <f>IFERROR(__xludf.DUMMYFUNCTION("""COMPUTED_VALUE"""),1.0)</f>
        <v>1</v>
      </c>
      <c r="O52" s="132"/>
      <c r="P52" s="132"/>
      <c r="Q52" s="132"/>
      <c r="R52" s="132" t="str">
        <f>IFERROR(__xludf.DUMMYFUNCTION("""COMPUTED_VALUE"""),"Heat")</f>
        <v>Heat</v>
      </c>
      <c r="S52" s="132">
        <f>IFERROR(__xludf.DUMMYFUNCTION("""COMPUTED_VALUE"""),210.09)</f>
        <v>210.09</v>
      </c>
      <c r="T52" s="132">
        <f>IFERROR(__xludf.DUMMYFUNCTION("""COMPUTED_VALUE"""),42.018)</f>
        <v>42.018</v>
      </c>
      <c r="U52" s="132" t="str">
        <f>IFERROR(__xludf.DUMMYFUNCTION("""COMPUTED_VALUE"""),"Paid")</f>
        <v>Paid</v>
      </c>
      <c r="V52" s="132" t="str">
        <f>IFERROR(__xludf.DUMMYFUNCTION("""COMPUTED_VALUE"""),"Paid")</f>
        <v>Paid</v>
      </c>
      <c r="W52" s="132" t="str">
        <f>IFERROR(__xludf.DUMMYFUNCTION("""COMPUTED_VALUE"""),"Paid")</f>
        <v>Paid</v>
      </c>
      <c r="X52" s="132" t="str">
        <f>IFERROR(__xludf.DUMMYFUNCTION("""COMPUTED_VALUE"""),"Paid")</f>
        <v>Paid</v>
      </c>
      <c r="Y52" s="132" t="str">
        <f>IFERROR(__xludf.DUMMYFUNCTION("""COMPUTED_VALUE"""),"Paid")</f>
        <v>Paid</v>
      </c>
      <c r="Z52" s="132"/>
    </row>
    <row r="53">
      <c r="A53" s="136"/>
      <c r="B53" s="132" t="str">
        <f>IFERROR(__xludf.DUMMYFUNCTION("""COMPUTED_VALUE"""),"Milkis")</f>
        <v>Milkis</v>
      </c>
      <c r="C53" s="132"/>
      <c r="D53" s="132">
        <f>IFERROR(__xludf.DUMMYFUNCTION("""COMPUTED_VALUE"""),14.1137)</f>
        <v>14.1137</v>
      </c>
      <c r="E53" s="132" t="str">
        <f>IFERROR(__xludf.DUMMYFUNCTION("""COMPUTED_VALUE"""),"Timothy")</f>
        <v>Timothy</v>
      </c>
      <c r="F53" s="132">
        <f>IFERROR(__xludf.DUMMYFUNCTION("""COMPUTED_VALUE"""),2.82274)</f>
        <v>2.82274</v>
      </c>
      <c r="G53" s="132">
        <f>IFERROR(__xludf.DUMMYFUNCTION("""COMPUTED_VALUE"""),2.82274)</f>
        <v>2.82274</v>
      </c>
      <c r="H53" s="132">
        <f>IFERROR(__xludf.DUMMYFUNCTION("""COMPUTED_VALUE"""),1.0)</f>
        <v>1</v>
      </c>
      <c r="I53" s="132">
        <f>IFERROR(__xludf.DUMMYFUNCTION("""COMPUTED_VALUE"""),1.0)</f>
        <v>1</v>
      </c>
      <c r="J53" s="132">
        <f>IFERROR(__xludf.DUMMYFUNCTION("""COMPUTED_VALUE"""),1.0)</f>
        <v>1</v>
      </c>
      <c r="K53" s="132">
        <f>IFERROR(__xludf.DUMMYFUNCTION("""COMPUTED_VALUE"""),1.0)</f>
        <v>1</v>
      </c>
      <c r="L53" s="132"/>
      <c r="M53" s="132"/>
      <c r="N53" s="132">
        <f>IFERROR(__xludf.DUMMYFUNCTION("""COMPUTED_VALUE"""),1.0)</f>
        <v>1</v>
      </c>
      <c r="O53" s="132"/>
      <c r="P53" s="132"/>
      <c r="Q53" s="132"/>
      <c r="R53" s="132" t="str">
        <f>IFERROR(__xludf.DUMMYFUNCTION("""COMPUTED_VALUE"""),"Electricity")</f>
        <v>Electricity</v>
      </c>
      <c r="S53" s="132">
        <f>IFERROR(__xludf.DUMMYFUNCTION("""COMPUTED_VALUE"""),111.7)</f>
        <v>111.7</v>
      </c>
      <c r="T53" s="132">
        <f>IFERROR(__xludf.DUMMYFUNCTION("""COMPUTED_VALUE"""),22.34)</f>
        <v>22.34</v>
      </c>
      <c r="U53" s="132" t="str">
        <f>IFERROR(__xludf.DUMMYFUNCTION("""COMPUTED_VALUE"""),"Paid")</f>
        <v>Paid</v>
      </c>
      <c r="V53" s="132" t="str">
        <f>IFERROR(__xludf.DUMMYFUNCTION("""COMPUTED_VALUE"""),"Paid")</f>
        <v>Paid</v>
      </c>
      <c r="W53" s="132" t="str">
        <f>IFERROR(__xludf.DUMMYFUNCTION("""COMPUTED_VALUE"""),"Paid")</f>
        <v>Paid</v>
      </c>
      <c r="X53" s="132" t="str">
        <f>IFERROR(__xludf.DUMMYFUNCTION("""COMPUTED_VALUE"""),"Paid")</f>
        <v>Paid</v>
      </c>
      <c r="Y53" s="132" t="str">
        <f>IFERROR(__xludf.DUMMYFUNCTION("""COMPUTED_VALUE"""),"Paid")</f>
        <v>Paid</v>
      </c>
      <c r="Z53" s="132"/>
    </row>
    <row r="54">
      <c r="A54" s="136"/>
      <c r="B54" s="132" t="str">
        <f>IFERROR(__xludf.DUMMYFUNCTION("""COMPUTED_VALUE"""),"Shampoo")</f>
        <v>Shampoo</v>
      </c>
      <c r="C54" s="132"/>
      <c r="D54" s="132">
        <f>IFERROR(__xludf.DUMMYFUNCTION("""COMPUTED_VALUE"""),22.588699999999996)</f>
        <v>22.5887</v>
      </c>
      <c r="E54" s="132" t="str">
        <f>IFERROR(__xludf.DUMMYFUNCTION("""COMPUTED_VALUE"""),"Timothy")</f>
        <v>Timothy</v>
      </c>
      <c r="F54" s="132">
        <f>IFERROR(__xludf.DUMMYFUNCTION("""COMPUTED_VALUE"""),7.529566666666665)</f>
        <v>7.529566667</v>
      </c>
      <c r="G54" s="132">
        <f>IFERROR(__xludf.DUMMYFUNCTION("""COMPUTED_VALUE"""),7.529566666666665)</f>
        <v>7.529566667</v>
      </c>
      <c r="H54" s="132"/>
      <c r="I54" s="132"/>
      <c r="J54" s="132">
        <f>IFERROR(__xludf.DUMMYFUNCTION("""COMPUTED_VALUE"""),1.0)</f>
        <v>1</v>
      </c>
      <c r="K54" s="132">
        <f>IFERROR(__xludf.DUMMYFUNCTION("""COMPUTED_VALUE"""),1.0)</f>
        <v>1</v>
      </c>
      <c r="L54" s="132"/>
      <c r="M54" s="132"/>
      <c r="N54" s="132">
        <f>IFERROR(__xludf.DUMMYFUNCTION("""COMPUTED_VALUE"""),1.0)</f>
        <v>1</v>
      </c>
      <c r="O54" s="132"/>
      <c r="P54" s="132"/>
      <c r="Q54" s="132"/>
      <c r="R54" s="132" t="str">
        <f>IFERROR(__xludf.DUMMYFUNCTION("""COMPUTED_VALUE"""),"Internet")</f>
        <v>Internet</v>
      </c>
      <c r="S54" s="132">
        <f>IFERROR(__xludf.DUMMYFUNCTION("""COMPUTED_VALUE"""),56.5)</f>
        <v>56.5</v>
      </c>
      <c r="T54" s="132">
        <f>IFERROR(__xludf.DUMMYFUNCTION("""COMPUTED_VALUE"""),11.3)</f>
        <v>11.3</v>
      </c>
      <c r="U54" s="132" t="str">
        <f>IFERROR(__xludf.DUMMYFUNCTION("""COMPUTED_VALUE"""),"Paid")</f>
        <v>Paid</v>
      </c>
      <c r="V54" s="132" t="str">
        <f>IFERROR(__xludf.DUMMYFUNCTION("""COMPUTED_VALUE"""),"Paid")</f>
        <v>Paid</v>
      </c>
      <c r="W54" s="132" t="str">
        <f>IFERROR(__xludf.DUMMYFUNCTION("""COMPUTED_VALUE"""),"Paid")</f>
        <v>Paid</v>
      </c>
      <c r="X54" s="132" t="str">
        <f>IFERROR(__xludf.DUMMYFUNCTION("""COMPUTED_VALUE"""),"Paid")</f>
        <v>Paid</v>
      </c>
      <c r="Y54" s="132" t="str">
        <f>IFERROR(__xludf.DUMMYFUNCTION("""COMPUTED_VALUE"""),"Paid")</f>
        <v>Paid</v>
      </c>
      <c r="Z54" s="132"/>
    </row>
    <row r="55">
      <c r="A55" s="136">
        <f>IFERROR(__xludf.DUMMYFUNCTION("""COMPUTED_VALUE"""),45381.0)</f>
        <v>45381</v>
      </c>
      <c r="B55" s="132" t="str">
        <f>IFERROR(__xludf.DUMMYFUNCTION("""COMPUTED_VALUE"""),"Tamjai dinner")</f>
        <v>Tamjai dinner</v>
      </c>
      <c r="C55" s="132" t="str">
        <f>IFERROR(__xludf.DUMMYFUNCTION("""COMPUTED_VALUE"""),"食物")</f>
        <v>食物</v>
      </c>
      <c r="D55" s="132">
        <f>IFERROR(__xludf.DUMMYFUNCTION("""COMPUTED_VALUE"""),51.55)</f>
        <v>51.55</v>
      </c>
      <c r="E55" s="132" t="str">
        <f>IFERROR(__xludf.DUMMYFUNCTION("""COMPUTED_VALUE"""),"Timothy")</f>
        <v>Timothy</v>
      </c>
      <c r="F55" s="132">
        <f>IFERROR(__xludf.DUMMYFUNCTION("""COMPUTED_VALUE"""),5.727777777777778)</f>
        <v>5.727777778</v>
      </c>
      <c r="G55" s="132">
        <f>IFERROR(__xludf.DUMMYFUNCTION("""COMPUTED_VALUE"""),5.727777777777778)</f>
        <v>5.727777778</v>
      </c>
      <c r="H55" s="132">
        <f>IFERROR(__xludf.DUMMYFUNCTION("""COMPUTED_VALUE"""),1.0)</f>
        <v>1</v>
      </c>
      <c r="I55" s="132">
        <f>IFERROR(__xludf.DUMMYFUNCTION("""COMPUTED_VALUE"""),1.0)</f>
        <v>1</v>
      </c>
      <c r="J55" s="132">
        <f>IFERROR(__xludf.DUMMYFUNCTION("""COMPUTED_VALUE"""),1.0)</f>
        <v>1</v>
      </c>
      <c r="K55" s="132">
        <f>IFERROR(__xludf.DUMMYFUNCTION("""COMPUTED_VALUE"""),1.0)</f>
        <v>1</v>
      </c>
      <c r="L55" s="132">
        <f>IFERROR(__xludf.DUMMYFUNCTION("""COMPUTED_VALUE"""),1.0)</f>
        <v>1</v>
      </c>
      <c r="M55" s="132">
        <f>IFERROR(__xludf.DUMMYFUNCTION("""COMPUTED_VALUE"""),1.0)</f>
        <v>1</v>
      </c>
      <c r="N55" s="132">
        <f>IFERROR(__xludf.DUMMYFUNCTION("""COMPUTED_VALUE"""),1.0)</f>
        <v>1</v>
      </c>
      <c r="O55" s="132"/>
      <c r="P55" s="132"/>
      <c r="Q55" s="132"/>
      <c r="R55" s="132"/>
      <c r="S55" s="132">
        <f>IFERROR(__xludf.DUMMYFUNCTION("""COMPUTED_VALUE"""),3978.29)</f>
        <v>3978.29</v>
      </c>
      <c r="T55" s="132">
        <f>IFERROR(__xludf.DUMMYFUNCTION("""COMPUTED_VALUE"""),795.658)</f>
        <v>795.658</v>
      </c>
      <c r="U55" s="132"/>
      <c r="V55" s="132"/>
      <c r="W55" s="132"/>
      <c r="X55" s="132"/>
      <c r="Y55" s="132"/>
      <c r="Z55" s="132"/>
    </row>
    <row r="56">
      <c r="A56" s="136">
        <f>IFERROR(__xludf.DUMMYFUNCTION("""COMPUTED_VALUE"""),45380.0)</f>
        <v>45380</v>
      </c>
      <c r="B56" s="132" t="str">
        <f>IFERROR(__xludf.DUMMYFUNCTION("""COMPUTED_VALUE"""),"Tamjai dinner")</f>
        <v>Tamjai dinner</v>
      </c>
      <c r="C56" s="132" t="str">
        <f>IFERROR(__xludf.DUMMYFUNCTION("""COMPUTED_VALUE"""),"食物")</f>
        <v>食物</v>
      </c>
      <c r="D56" s="132">
        <f>IFERROR(__xludf.DUMMYFUNCTION("""COMPUTED_VALUE"""),9.38)</f>
        <v>9.38</v>
      </c>
      <c r="E56" s="132" t="str">
        <f>IFERROR(__xludf.DUMMYFUNCTION("""COMPUTED_VALUE"""),"Rachel")</f>
        <v>Rachel</v>
      </c>
      <c r="F56" s="132">
        <f>IFERROR(__xludf.DUMMYFUNCTION("""COMPUTED_VALUE"""),1.0422222222222224)</f>
        <v>1.042222222</v>
      </c>
      <c r="G56" s="132">
        <f>IFERROR(__xludf.DUMMYFUNCTION("""COMPUTED_VALUE"""),1.0422222222222224)</f>
        <v>1.042222222</v>
      </c>
      <c r="H56" s="132">
        <f>IFERROR(__xludf.DUMMYFUNCTION("""COMPUTED_VALUE"""),1.0)</f>
        <v>1</v>
      </c>
      <c r="I56" s="132">
        <f>IFERROR(__xludf.DUMMYFUNCTION("""COMPUTED_VALUE"""),1.0)</f>
        <v>1</v>
      </c>
      <c r="J56" s="132">
        <f>IFERROR(__xludf.DUMMYFUNCTION("""COMPUTED_VALUE"""),1.0)</f>
        <v>1</v>
      </c>
      <c r="K56" s="132">
        <f>IFERROR(__xludf.DUMMYFUNCTION("""COMPUTED_VALUE"""),1.0)</f>
        <v>1</v>
      </c>
      <c r="L56" s="132">
        <f>IFERROR(__xludf.DUMMYFUNCTION("""COMPUTED_VALUE"""),1.0)</f>
        <v>1</v>
      </c>
      <c r="M56" s="132">
        <f>IFERROR(__xludf.DUMMYFUNCTION("""COMPUTED_VALUE"""),1.0)</f>
        <v>1</v>
      </c>
      <c r="N56" s="132">
        <f>IFERROR(__xludf.DUMMYFUNCTION("""COMPUTED_VALUE"""),1.0)</f>
        <v>1</v>
      </c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6">
        <f>IFERROR(__xludf.DUMMYFUNCTION("""COMPUTED_VALUE"""),45379.0)</f>
        <v>45379</v>
      </c>
      <c r="B57" s="132" t="str">
        <f>IFERROR(__xludf.DUMMYFUNCTION("""COMPUTED_VALUE"""),"Food Basic ")</f>
        <v>Food Basic </v>
      </c>
      <c r="C57" s="132" t="str">
        <f>IFERROR(__xludf.DUMMYFUNCTION("""COMPUTED_VALUE"""),"食物")</f>
        <v>食物</v>
      </c>
      <c r="D57" s="132">
        <f>IFERROR(__xludf.DUMMYFUNCTION("""COMPUTED_VALUE"""),18.72)</f>
        <v>18.72</v>
      </c>
      <c r="E57" s="132" t="str">
        <f>IFERROR(__xludf.DUMMYFUNCTION("""COMPUTED_VALUE"""),"Pigskin")</f>
        <v>Pigskin</v>
      </c>
      <c r="F57" s="132">
        <f>IFERROR(__xludf.DUMMYFUNCTION("""COMPUTED_VALUE"""),3.7439999999999998)</f>
        <v>3.744</v>
      </c>
      <c r="G57" s="132">
        <f>IFERROR(__xludf.DUMMYFUNCTION("""COMPUTED_VALUE"""),3.7439999999999998)</f>
        <v>3.744</v>
      </c>
      <c r="H57" s="132">
        <f>IFERROR(__xludf.DUMMYFUNCTION("""COMPUTED_VALUE"""),1.0)</f>
        <v>1</v>
      </c>
      <c r="I57" s="132">
        <f>IFERROR(__xludf.DUMMYFUNCTION("""COMPUTED_VALUE"""),1.0)</f>
        <v>1</v>
      </c>
      <c r="J57" s="132">
        <f>IFERROR(__xludf.DUMMYFUNCTION("""COMPUTED_VALUE"""),1.0)</f>
        <v>1</v>
      </c>
      <c r="K57" s="132">
        <f>IFERROR(__xludf.DUMMYFUNCTION("""COMPUTED_VALUE"""),1.0)</f>
        <v>1</v>
      </c>
      <c r="L57" s="132"/>
      <c r="M57" s="132">
        <f>IFERROR(__xludf.DUMMYFUNCTION("""COMPUTED_VALUE"""),1.0)</f>
        <v>1</v>
      </c>
      <c r="N57" s="132"/>
      <c r="O57" s="132"/>
      <c r="P57" s="132"/>
      <c r="Q57" s="134">
        <f>IFERROR(__xludf.DUMMYFUNCTION("""COMPUTED_VALUE"""),45323.0)</f>
        <v>45323</v>
      </c>
      <c r="R57" s="132" t="str">
        <f>IFERROR(__xludf.DUMMYFUNCTION("""COMPUTED_VALUE"""),"Rent")</f>
        <v>Rent</v>
      </c>
      <c r="S57" s="132">
        <f>IFERROR(__xludf.DUMMYFUNCTION("""COMPUTED_VALUE"""),3600.0)</f>
        <v>3600</v>
      </c>
      <c r="T57" s="132">
        <f>IFERROR(__xludf.DUMMYFUNCTION("""COMPUTED_VALUE"""),720.0)</f>
        <v>720</v>
      </c>
      <c r="U57" s="132" t="str">
        <f>IFERROR(__xludf.DUMMYFUNCTION("""COMPUTED_VALUE"""),"Paid")</f>
        <v>Paid</v>
      </c>
      <c r="V57" s="132" t="str">
        <f>IFERROR(__xludf.DUMMYFUNCTION("""COMPUTED_VALUE"""),"Paid")</f>
        <v>Paid</v>
      </c>
      <c r="W57" s="132" t="str">
        <f>IFERROR(__xludf.DUMMYFUNCTION("""COMPUTED_VALUE"""),"Paid")</f>
        <v>Paid</v>
      </c>
      <c r="X57" s="132" t="str">
        <f>IFERROR(__xludf.DUMMYFUNCTION("""COMPUTED_VALUE"""),"Paid")</f>
        <v>Paid</v>
      </c>
      <c r="Y57" s="132" t="str">
        <f>IFERROR(__xludf.DUMMYFUNCTION("""COMPUTED_VALUE"""),"Paid")</f>
        <v>Paid</v>
      </c>
      <c r="Z57" s="132"/>
    </row>
    <row r="58">
      <c r="A58" s="136">
        <f>IFERROR(__xludf.DUMMYFUNCTION("""COMPUTED_VALUE"""),45380.0)</f>
        <v>45380</v>
      </c>
      <c r="B58" s="132" t="str">
        <f>IFERROR(__xludf.DUMMYFUNCTION("""COMPUTED_VALUE"""),"Foody dinner")</f>
        <v>Foody dinner</v>
      </c>
      <c r="C58" s="132" t="str">
        <f>IFERROR(__xludf.DUMMYFUNCTION("""COMPUTED_VALUE"""),"食物")</f>
        <v>食物</v>
      </c>
      <c r="D58" s="132">
        <f>IFERROR(__xludf.DUMMYFUNCTION("""COMPUTED_VALUE"""),2.99)</f>
        <v>2.99</v>
      </c>
      <c r="E58" s="132" t="str">
        <f>IFERROR(__xludf.DUMMYFUNCTION("""COMPUTED_VALUE"""),"Rachel")</f>
        <v>Rachel</v>
      </c>
      <c r="F58" s="132">
        <f>IFERROR(__xludf.DUMMYFUNCTION("""COMPUTED_VALUE"""),0.5980000000000001)</f>
        <v>0.598</v>
      </c>
      <c r="G58" s="132">
        <f>IFERROR(__xludf.DUMMYFUNCTION("""COMPUTED_VALUE"""),0.5980000000000001)</f>
        <v>0.598</v>
      </c>
      <c r="H58" s="132">
        <f>IFERROR(__xludf.DUMMYFUNCTION("""COMPUTED_VALUE"""),1.0)</f>
        <v>1</v>
      </c>
      <c r="I58" s="132">
        <f>IFERROR(__xludf.DUMMYFUNCTION("""COMPUTED_VALUE"""),1.0)</f>
        <v>1</v>
      </c>
      <c r="J58" s="132">
        <f>IFERROR(__xludf.DUMMYFUNCTION("""COMPUTED_VALUE"""),1.0)</f>
        <v>1</v>
      </c>
      <c r="K58" s="132">
        <f>IFERROR(__xludf.DUMMYFUNCTION("""COMPUTED_VALUE"""),1.0)</f>
        <v>1</v>
      </c>
      <c r="L58" s="132"/>
      <c r="M58" s="132"/>
      <c r="N58" s="132">
        <f>IFERROR(__xludf.DUMMYFUNCTION("""COMPUTED_VALUE"""),1.0)</f>
        <v>1</v>
      </c>
      <c r="O58" s="132"/>
      <c r="P58" s="132"/>
      <c r="Q58" s="132"/>
      <c r="R58" s="132" t="str">
        <f>IFERROR(__xludf.DUMMYFUNCTION("""COMPUTED_VALUE"""),"Water")</f>
        <v>Water</v>
      </c>
      <c r="S58" s="132"/>
      <c r="T58" s="132"/>
      <c r="U58" s="132"/>
      <c r="V58" s="132"/>
      <c r="W58" s="132"/>
      <c r="X58" s="132"/>
      <c r="Y58" s="132"/>
      <c r="Z58" s="132"/>
    </row>
    <row r="59">
      <c r="A59" s="136">
        <f>IFERROR(__xludf.DUMMYFUNCTION("""COMPUTED_VALUE"""),45380.0)</f>
        <v>45380</v>
      </c>
      <c r="B59" s="132" t="str">
        <f>IFERROR(__xludf.DUMMYFUNCTION("""COMPUTED_VALUE"""),"Foody dinner")</f>
        <v>Foody dinner</v>
      </c>
      <c r="C59" s="132" t="str">
        <f>IFERROR(__xludf.DUMMYFUNCTION("""COMPUTED_VALUE"""),"食物")</f>
        <v>食物</v>
      </c>
      <c r="D59" s="132">
        <f>IFERROR(__xludf.DUMMYFUNCTION("""COMPUTED_VALUE"""),58.21)</f>
        <v>58.21</v>
      </c>
      <c r="E59" s="132" t="str">
        <f>IFERROR(__xludf.DUMMYFUNCTION("""COMPUTED_VALUE"""),"Rachel")</f>
        <v>Rachel</v>
      </c>
      <c r="F59" s="132">
        <f>IFERROR(__xludf.DUMMYFUNCTION("""COMPUTED_VALUE"""),11.642)</f>
        <v>11.642</v>
      </c>
      <c r="G59" s="132">
        <f>IFERROR(__xludf.DUMMYFUNCTION("""COMPUTED_VALUE"""),11.642)</f>
        <v>11.642</v>
      </c>
      <c r="H59" s="132">
        <f>IFERROR(__xludf.DUMMYFUNCTION("""COMPUTED_VALUE"""),1.0)</f>
        <v>1</v>
      </c>
      <c r="I59" s="132">
        <f>IFERROR(__xludf.DUMMYFUNCTION("""COMPUTED_VALUE"""),1.0)</f>
        <v>1</v>
      </c>
      <c r="J59" s="132">
        <f>IFERROR(__xludf.DUMMYFUNCTION("""COMPUTED_VALUE"""),1.0)</f>
        <v>1</v>
      </c>
      <c r="K59" s="132">
        <f>IFERROR(__xludf.DUMMYFUNCTION("""COMPUTED_VALUE"""),1.0)</f>
        <v>1</v>
      </c>
      <c r="L59" s="132"/>
      <c r="M59" s="132"/>
      <c r="N59" s="132">
        <f>IFERROR(__xludf.DUMMYFUNCTION("""COMPUTED_VALUE"""),1.0)</f>
        <v>1</v>
      </c>
      <c r="O59" s="132"/>
      <c r="P59" s="132"/>
      <c r="Q59" s="132"/>
      <c r="R59" s="132" t="str">
        <f>IFERROR(__xludf.DUMMYFUNCTION("""COMPUTED_VALUE"""),"Heat")</f>
        <v>Heat</v>
      </c>
      <c r="S59" s="132">
        <f>IFERROR(__xludf.DUMMYFUNCTION("""COMPUTED_VALUE"""),198.76)</f>
        <v>198.76</v>
      </c>
      <c r="T59" s="135">
        <f>IFERROR(__xludf.DUMMYFUNCTION("""COMPUTED_VALUE"""),33.126666666666665)</f>
        <v>33.12666667</v>
      </c>
      <c r="U59" s="132" t="str">
        <f>IFERROR(__xludf.DUMMYFUNCTION("""COMPUTED_VALUE"""),"Paid")</f>
        <v>Paid</v>
      </c>
      <c r="V59" s="132" t="str">
        <f>IFERROR(__xludf.DUMMYFUNCTION("""COMPUTED_VALUE"""),"Paid")</f>
        <v>Paid</v>
      </c>
      <c r="W59" s="132" t="str">
        <f>IFERROR(__xludf.DUMMYFUNCTION("""COMPUTED_VALUE"""),"Paid")</f>
        <v>Paid</v>
      </c>
      <c r="X59" s="132" t="str">
        <f>IFERROR(__xludf.DUMMYFUNCTION("""COMPUTED_VALUE"""),"Paid")</f>
        <v>Paid</v>
      </c>
      <c r="Y59" s="132" t="str">
        <f>IFERROR(__xludf.DUMMYFUNCTION("""COMPUTED_VALUE"""),"Paid")</f>
        <v>Paid</v>
      </c>
      <c r="Z59" s="132"/>
    </row>
    <row r="60">
      <c r="A60" s="136">
        <f>IFERROR(__xludf.DUMMYFUNCTION("""COMPUTED_VALUE"""),45376.0)</f>
        <v>45376</v>
      </c>
      <c r="B60" s="132" t="str">
        <f>IFERROR(__xludf.DUMMYFUNCTION("""COMPUTED_VALUE"""),"Foody dinner")</f>
        <v>Foody dinner</v>
      </c>
      <c r="C60" s="132" t="str">
        <f>IFERROR(__xludf.DUMMYFUNCTION("""COMPUTED_VALUE"""),"食物")</f>
        <v>食物</v>
      </c>
      <c r="D60" s="132">
        <f>IFERROR(__xludf.DUMMYFUNCTION("""COMPUTED_VALUE"""),3.59)</f>
        <v>3.59</v>
      </c>
      <c r="E60" s="132" t="str">
        <f>IFERROR(__xludf.DUMMYFUNCTION("""COMPUTED_VALUE"""),"Pigskin")</f>
        <v>Pigskin</v>
      </c>
      <c r="F60" s="132">
        <f>IFERROR(__xludf.DUMMYFUNCTION("""COMPUTED_VALUE"""),0.5983333333333333)</f>
        <v>0.5983333333</v>
      </c>
      <c r="G60" s="132">
        <f>IFERROR(__xludf.DUMMYFUNCTION("""COMPUTED_VALUE"""),0.5983333333333333)</f>
        <v>0.5983333333</v>
      </c>
      <c r="H60" s="132">
        <f>IFERROR(__xludf.DUMMYFUNCTION("""COMPUTED_VALUE"""),1.0)</f>
        <v>1</v>
      </c>
      <c r="I60" s="132">
        <f>IFERROR(__xludf.DUMMYFUNCTION("""COMPUTED_VALUE"""),1.0)</f>
        <v>1</v>
      </c>
      <c r="J60" s="132">
        <f>IFERROR(__xludf.DUMMYFUNCTION("""COMPUTED_VALUE"""),1.0)</f>
        <v>1</v>
      </c>
      <c r="K60" s="132">
        <f>IFERROR(__xludf.DUMMYFUNCTION("""COMPUTED_VALUE"""),1.0)</f>
        <v>1</v>
      </c>
      <c r="L60" s="132"/>
      <c r="M60" s="132">
        <f>IFERROR(__xludf.DUMMYFUNCTION("""COMPUTED_VALUE"""),1.0)</f>
        <v>1</v>
      </c>
      <c r="N60" s="132">
        <f>IFERROR(__xludf.DUMMYFUNCTION("""COMPUTED_VALUE"""),1.0)</f>
        <v>1</v>
      </c>
      <c r="O60" s="132"/>
      <c r="P60" s="132"/>
      <c r="Q60" s="132"/>
      <c r="R60" s="132" t="str">
        <f>IFERROR(__xludf.DUMMYFUNCTION("""COMPUTED_VALUE"""),"Electricity")</f>
        <v>Electricity</v>
      </c>
      <c r="S60" s="132">
        <f>IFERROR(__xludf.DUMMYFUNCTION("""COMPUTED_VALUE"""),117.83)</f>
        <v>117.83</v>
      </c>
      <c r="T60" s="135">
        <f>IFERROR(__xludf.DUMMYFUNCTION("""COMPUTED_VALUE"""),19.638333333333332)</f>
        <v>19.63833333</v>
      </c>
      <c r="U60" s="132" t="str">
        <f>IFERROR(__xludf.DUMMYFUNCTION("""COMPUTED_VALUE"""),"Paid")</f>
        <v>Paid</v>
      </c>
      <c r="V60" s="132" t="str">
        <f>IFERROR(__xludf.DUMMYFUNCTION("""COMPUTED_VALUE"""),"Paid")</f>
        <v>Paid</v>
      </c>
      <c r="W60" s="132" t="str">
        <f>IFERROR(__xludf.DUMMYFUNCTION("""COMPUTED_VALUE"""),"Paid")</f>
        <v>Paid</v>
      </c>
      <c r="X60" s="132" t="str">
        <f>IFERROR(__xludf.DUMMYFUNCTION("""COMPUTED_VALUE"""),"Paid")</f>
        <v>Paid</v>
      </c>
      <c r="Y60" s="132" t="str">
        <f>IFERROR(__xludf.DUMMYFUNCTION("""COMPUTED_VALUE"""),"Paid")</f>
        <v>Paid</v>
      </c>
      <c r="Z60" s="132"/>
    </row>
    <row r="61">
      <c r="A61" s="136">
        <f>IFERROR(__xludf.DUMMYFUNCTION("""COMPUTED_VALUE"""),45378.0)</f>
        <v>45378</v>
      </c>
      <c r="B61" s="132" t="str">
        <f>IFERROR(__xludf.DUMMYFUNCTION("""COMPUTED_VALUE"""),"Tnt seafood dinner")</f>
        <v>Tnt seafood dinner</v>
      </c>
      <c r="C61" s="132" t="str">
        <f>IFERROR(__xludf.DUMMYFUNCTION("""COMPUTED_VALUE"""),"食物")</f>
        <v>食物</v>
      </c>
      <c r="D61" s="132">
        <f>IFERROR(__xludf.DUMMYFUNCTION("""COMPUTED_VALUE"""),74.0059)</f>
        <v>74.0059</v>
      </c>
      <c r="E61" s="132" t="str">
        <f>IFERROR(__xludf.DUMMYFUNCTION("""COMPUTED_VALUE"""),"Pigskin")</f>
        <v>Pigskin</v>
      </c>
      <c r="F61" s="132">
        <f>IFERROR(__xludf.DUMMYFUNCTION("""COMPUTED_VALUE"""),14.801179999999999)</f>
        <v>14.80118</v>
      </c>
      <c r="G61" s="132">
        <f>IFERROR(__xludf.DUMMYFUNCTION("""COMPUTED_VALUE"""),14.801179999999999)</f>
        <v>14.80118</v>
      </c>
      <c r="H61" s="132">
        <f>IFERROR(__xludf.DUMMYFUNCTION("""COMPUTED_VALUE"""),1.0)</f>
        <v>1</v>
      </c>
      <c r="I61" s="132">
        <f>IFERROR(__xludf.DUMMYFUNCTION("""COMPUTED_VALUE"""),1.0)</f>
        <v>1</v>
      </c>
      <c r="J61" s="132">
        <f>IFERROR(__xludf.DUMMYFUNCTION("""COMPUTED_VALUE"""),1.0)</f>
        <v>1</v>
      </c>
      <c r="K61" s="132">
        <f>IFERROR(__xludf.DUMMYFUNCTION("""COMPUTED_VALUE"""),1.0)</f>
        <v>1</v>
      </c>
      <c r="L61" s="132"/>
      <c r="M61" s="132">
        <f>IFERROR(__xludf.DUMMYFUNCTION("""COMPUTED_VALUE"""),1.0)</f>
        <v>1</v>
      </c>
      <c r="N61" s="132"/>
      <c r="O61" s="132"/>
      <c r="P61" s="132"/>
      <c r="Q61" s="132"/>
      <c r="R61" s="132" t="str">
        <f>IFERROR(__xludf.DUMMYFUNCTION("""COMPUTED_VALUE"""),"Internet")</f>
        <v>Internet</v>
      </c>
      <c r="S61" s="132">
        <f>IFERROR(__xludf.DUMMYFUNCTION("""COMPUTED_VALUE"""),56.5)</f>
        <v>56.5</v>
      </c>
      <c r="T61" s="135">
        <f>IFERROR(__xludf.DUMMYFUNCTION("""COMPUTED_VALUE"""),9.416666666666666)</f>
        <v>9.416666667</v>
      </c>
      <c r="U61" s="132" t="str">
        <f>IFERROR(__xludf.DUMMYFUNCTION("""COMPUTED_VALUE"""),"Paid")</f>
        <v>Paid</v>
      </c>
      <c r="V61" s="132" t="str">
        <f>IFERROR(__xludf.DUMMYFUNCTION("""COMPUTED_VALUE"""),"Paid")</f>
        <v>Paid</v>
      </c>
      <c r="W61" s="132" t="str">
        <f>IFERROR(__xludf.DUMMYFUNCTION("""COMPUTED_VALUE"""),"Paid")</f>
        <v>Paid</v>
      </c>
      <c r="X61" s="132" t="str">
        <f>IFERROR(__xludf.DUMMYFUNCTION("""COMPUTED_VALUE"""),"Paid")</f>
        <v>Paid</v>
      </c>
      <c r="Y61" s="132" t="str">
        <f>IFERROR(__xludf.DUMMYFUNCTION("""COMPUTED_VALUE"""),"Paid")</f>
        <v>Paid</v>
      </c>
      <c r="Z61" s="132"/>
    </row>
    <row r="62">
      <c r="A62" s="136">
        <f>IFERROR(__xludf.DUMMYFUNCTION("""COMPUTED_VALUE"""),45378.0)</f>
        <v>45378</v>
      </c>
      <c r="B62" s="132" t="str">
        <f>IFERROR(__xludf.DUMMYFUNCTION("""COMPUTED_VALUE"""),"instant noodles")</f>
        <v>instant noodles</v>
      </c>
      <c r="C62" s="132" t="str">
        <f>IFERROR(__xludf.DUMMYFUNCTION("""COMPUTED_VALUE"""),"食物")</f>
        <v>食物</v>
      </c>
      <c r="D62" s="132">
        <f>IFERROR(__xludf.DUMMYFUNCTION("""COMPUTED_VALUE"""),11.0853)</f>
        <v>11.0853</v>
      </c>
      <c r="E62" s="132" t="str">
        <f>IFERROR(__xludf.DUMMYFUNCTION("""COMPUTED_VALUE"""),"Pigskin")</f>
        <v>Pigskin</v>
      </c>
      <c r="F62" s="132">
        <f>IFERROR(__xludf.DUMMYFUNCTION("""COMPUTED_VALUE"""),5.54265)</f>
        <v>5.54265</v>
      </c>
      <c r="G62" s="132">
        <f>IFERROR(__xludf.DUMMYFUNCTION("""COMPUTED_VALUE"""),5.54265)</f>
        <v>5.54265</v>
      </c>
      <c r="H62" s="132"/>
      <c r="I62" s="132"/>
      <c r="J62" s="132">
        <f>IFERROR(__xludf.DUMMYFUNCTION("""COMPUTED_VALUE"""),1.0)</f>
        <v>1</v>
      </c>
      <c r="K62" s="132">
        <f>IFERROR(__xludf.DUMMYFUNCTION("""COMPUTED_VALUE"""),1.0)</f>
        <v>1</v>
      </c>
      <c r="L62" s="132"/>
      <c r="M62" s="132"/>
      <c r="N62" s="132"/>
      <c r="O62" s="132"/>
      <c r="P62" s="132"/>
      <c r="Q62" s="132"/>
      <c r="R62" s="132"/>
      <c r="S62" s="132">
        <f>IFERROR(__xludf.DUMMYFUNCTION("""COMPUTED_VALUE"""),3973.09)</f>
        <v>3973.09</v>
      </c>
      <c r="T62" s="132">
        <f>IFERROR(__xludf.DUMMYFUNCTION("""COMPUTED_VALUE"""),782.1816666666666)</f>
        <v>782.1816667</v>
      </c>
      <c r="U62" s="132"/>
      <c r="V62" s="132"/>
      <c r="W62" s="132"/>
      <c r="X62" s="132"/>
      <c r="Y62" s="132"/>
      <c r="Z62" s="132"/>
    </row>
    <row r="63">
      <c r="A63" s="136">
        <f>IFERROR(__xludf.DUMMYFUNCTION("""COMPUTED_VALUE"""),45378.0)</f>
        <v>45378</v>
      </c>
      <c r="B63" s="132" t="str">
        <f>IFERROR(__xludf.DUMMYFUNCTION("""COMPUTED_VALUE"""),"Ice cream")</f>
        <v>Ice cream</v>
      </c>
      <c r="C63" s="132" t="str">
        <f>IFERROR(__xludf.DUMMYFUNCTION("""COMPUTED_VALUE"""),"食物")</f>
        <v>食物</v>
      </c>
      <c r="D63" s="132">
        <f>IFERROR(__xludf.DUMMYFUNCTION("""COMPUTED_VALUE"""),11.028799999999999)</f>
        <v>11.0288</v>
      </c>
      <c r="E63" s="132" t="str">
        <f>IFERROR(__xludf.DUMMYFUNCTION("""COMPUTED_VALUE"""),"Pigskin")</f>
        <v>Pigskin</v>
      </c>
      <c r="F63" s="132">
        <f>IFERROR(__xludf.DUMMYFUNCTION("""COMPUTED_VALUE"""),2.2057599999999997)</f>
        <v>2.20576</v>
      </c>
      <c r="G63" s="132">
        <f>IFERROR(__xludf.DUMMYFUNCTION("""COMPUTED_VALUE"""),2.2057599999999997)</f>
        <v>2.20576</v>
      </c>
      <c r="H63" s="132">
        <f>IFERROR(__xludf.DUMMYFUNCTION("""COMPUTED_VALUE"""),1.0)</f>
        <v>1</v>
      </c>
      <c r="I63" s="132">
        <f>IFERROR(__xludf.DUMMYFUNCTION("""COMPUTED_VALUE"""),1.0)</f>
        <v>1</v>
      </c>
      <c r="J63" s="132">
        <f>IFERROR(__xludf.DUMMYFUNCTION("""COMPUTED_VALUE"""),1.0)</f>
        <v>1</v>
      </c>
      <c r="K63" s="132">
        <f>IFERROR(__xludf.DUMMYFUNCTION("""COMPUTED_VALUE"""),1.0)</f>
        <v>1</v>
      </c>
      <c r="L63" s="132"/>
      <c r="M63" s="132"/>
      <c r="N63" s="132">
        <f>IFERROR(__xludf.DUMMYFUNCTION("""COMPUTED_VALUE"""),1.0)</f>
        <v>1</v>
      </c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3">
        <f>IFERROR(__xludf.DUMMYFUNCTION("""COMPUTED_VALUE"""),45377.0)</f>
        <v>45377</v>
      </c>
      <c r="B64" s="132" t="str">
        <f>IFERROR(__xludf.DUMMYFUNCTION("""COMPUTED_VALUE"""),"Tnt ")</f>
        <v>Tnt </v>
      </c>
      <c r="C64" s="132" t="str">
        <f>IFERROR(__xludf.DUMMYFUNCTION("""COMPUTED_VALUE"""),"食物")</f>
        <v>食物</v>
      </c>
      <c r="D64" s="132">
        <f>IFERROR(__xludf.DUMMYFUNCTION("""COMPUTED_VALUE"""),9.17)</f>
        <v>9.17</v>
      </c>
      <c r="E64" s="132" t="str">
        <f>IFERROR(__xludf.DUMMYFUNCTION("""COMPUTED_VALUE"""),"Pigskin")</f>
        <v>Pigskin</v>
      </c>
      <c r="F64" s="132">
        <f>IFERROR(__xludf.DUMMYFUNCTION("""COMPUTED_VALUE"""),1.834)</f>
        <v>1.834</v>
      </c>
      <c r="G64" s="132">
        <f>IFERROR(__xludf.DUMMYFUNCTION("""COMPUTED_VALUE"""),1.834)</f>
        <v>1.834</v>
      </c>
      <c r="H64" s="132">
        <f>IFERROR(__xludf.DUMMYFUNCTION("""COMPUTED_VALUE"""),1.0)</f>
        <v>1</v>
      </c>
      <c r="I64" s="132">
        <f>IFERROR(__xludf.DUMMYFUNCTION("""COMPUTED_VALUE"""),1.0)</f>
        <v>1</v>
      </c>
      <c r="J64" s="132">
        <f>IFERROR(__xludf.DUMMYFUNCTION("""COMPUTED_VALUE"""),1.0)</f>
        <v>1</v>
      </c>
      <c r="K64" s="132">
        <f>IFERROR(__xludf.DUMMYFUNCTION("""COMPUTED_VALUE"""),1.0)</f>
        <v>1</v>
      </c>
      <c r="L64" s="132"/>
      <c r="M64" s="132"/>
      <c r="N64" s="132">
        <f>IFERROR(__xludf.DUMMYFUNCTION("""COMPUTED_VALUE"""),1.0)</f>
        <v>1</v>
      </c>
      <c r="O64" s="132"/>
      <c r="P64" s="132"/>
      <c r="Q64" s="134">
        <f>IFERROR(__xludf.DUMMYFUNCTION("""COMPUTED_VALUE"""),45352.0)</f>
        <v>45352</v>
      </c>
      <c r="R64" s="132" t="str">
        <f>IFERROR(__xludf.DUMMYFUNCTION("""COMPUTED_VALUE"""),"Rent")</f>
        <v>Rent</v>
      </c>
      <c r="S64" s="132">
        <f>IFERROR(__xludf.DUMMYFUNCTION("""COMPUTED_VALUE"""),3600.0)</f>
        <v>3600</v>
      </c>
      <c r="T64" s="132">
        <f>IFERROR(__xludf.DUMMYFUNCTION("""COMPUTED_VALUE"""),720.0)</f>
        <v>720</v>
      </c>
      <c r="U64" s="132" t="str">
        <f>IFERROR(__xludf.DUMMYFUNCTION("""COMPUTED_VALUE"""),"Paid")</f>
        <v>Paid</v>
      </c>
      <c r="V64" s="132" t="str">
        <f>IFERROR(__xludf.DUMMYFUNCTION("""COMPUTED_VALUE"""),"Paid")</f>
        <v>Paid</v>
      </c>
      <c r="W64" s="132" t="str">
        <f>IFERROR(__xludf.DUMMYFUNCTION("""COMPUTED_VALUE"""),"Paid")</f>
        <v>Paid</v>
      </c>
      <c r="X64" s="132" t="str">
        <f>IFERROR(__xludf.DUMMYFUNCTION("""COMPUTED_VALUE"""),"Paid")</f>
        <v>Paid</v>
      </c>
      <c r="Y64" s="132" t="str">
        <f>IFERROR(__xludf.DUMMYFUNCTION("""COMPUTED_VALUE"""),"Paid")</f>
        <v>Paid</v>
      </c>
      <c r="Z64" s="132"/>
    </row>
    <row r="65">
      <c r="A65" s="136">
        <f>IFERROR(__xludf.DUMMYFUNCTION("""COMPUTED_VALUE"""),45379.0)</f>
        <v>45379</v>
      </c>
      <c r="B65" s="132" t="str">
        <f>IFERROR(__xludf.DUMMYFUNCTION("""COMPUTED_VALUE"""),"Foody dinner")</f>
        <v>Foody dinner</v>
      </c>
      <c r="C65" s="132" t="str">
        <f>IFERROR(__xludf.DUMMYFUNCTION("""COMPUTED_VALUE"""),"食物")</f>
        <v>食物</v>
      </c>
      <c r="D65" s="132">
        <f>IFERROR(__xludf.DUMMYFUNCTION("""COMPUTED_VALUE"""),3.33)</f>
        <v>3.33</v>
      </c>
      <c r="E65" s="132" t="str">
        <f>IFERROR(__xludf.DUMMYFUNCTION("""COMPUTED_VALUE"""),"Pigskin")</f>
        <v>Pigskin</v>
      </c>
      <c r="F65" s="132">
        <f>IFERROR(__xludf.DUMMYFUNCTION("""COMPUTED_VALUE"""),0.666)</f>
        <v>0.666</v>
      </c>
      <c r="G65" s="132">
        <f>IFERROR(__xludf.DUMMYFUNCTION("""COMPUTED_VALUE"""),0.666)</f>
        <v>0.666</v>
      </c>
      <c r="H65" s="132">
        <f>IFERROR(__xludf.DUMMYFUNCTION("""COMPUTED_VALUE"""),1.0)</f>
        <v>1</v>
      </c>
      <c r="I65" s="132">
        <f>IFERROR(__xludf.DUMMYFUNCTION("""COMPUTED_VALUE"""),1.0)</f>
        <v>1</v>
      </c>
      <c r="J65" s="132">
        <f>IFERROR(__xludf.DUMMYFUNCTION("""COMPUTED_VALUE"""),1.0)</f>
        <v>1</v>
      </c>
      <c r="K65" s="132">
        <f>IFERROR(__xludf.DUMMYFUNCTION("""COMPUTED_VALUE"""),1.0)</f>
        <v>1</v>
      </c>
      <c r="L65" s="132"/>
      <c r="M65" s="132">
        <f>IFERROR(__xludf.DUMMYFUNCTION("""COMPUTED_VALUE"""),1.0)</f>
        <v>1</v>
      </c>
      <c r="N65" s="132"/>
      <c r="O65" s="132"/>
      <c r="P65" s="132"/>
      <c r="Q65" s="132"/>
      <c r="R65" s="132" t="str">
        <f>IFERROR(__xludf.DUMMYFUNCTION("""COMPUTED_VALUE"""),"Water")</f>
        <v>Water</v>
      </c>
      <c r="S65" s="132"/>
      <c r="T65" s="132">
        <f>IFERROR(__xludf.DUMMYFUNCTION("""COMPUTED_VALUE"""),0.0)</f>
        <v>0</v>
      </c>
      <c r="U65" s="132"/>
      <c r="V65" s="132"/>
      <c r="W65" s="132"/>
      <c r="X65" s="132"/>
      <c r="Y65" s="132"/>
      <c r="Z65" s="132"/>
    </row>
    <row r="66">
      <c r="A66" s="136">
        <f>IFERROR(__xludf.DUMMYFUNCTION("""COMPUTED_VALUE"""),45372.0)</f>
        <v>45372</v>
      </c>
      <c r="B66" s="132" t="str">
        <f>IFERROR(__xludf.DUMMYFUNCTION("""COMPUTED_VALUE"""),"Food basic ")</f>
        <v>Food basic </v>
      </c>
      <c r="C66" s="132" t="str">
        <f>IFERROR(__xludf.DUMMYFUNCTION("""COMPUTED_VALUE"""),"食物")</f>
        <v>食物</v>
      </c>
      <c r="D66" s="132">
        <f>IFERROR(__xludf.DUMMYFUNCTION("""COMPUTED_VALUE"""),1.88)</f>
        <v>1.88</v>
      </c>
      <c r="E66" s="132" t="str">
        <f>IFERROR(__xludf.DUMMYFUNCTION("""COMPUTED_VALUE"""),"Pigskin")</f>
        <v>Pigskin</v>
      </c>
      <c r="F66" s="132">
        <f>IFERROR(__xludf.DUMMYFUNCTION("""COMPUTED_VALUE"""),0.376)</f>
        <v>0.376</v>
      </c>
      <c r="G66" s="132">
        <f>IFERROR(__xludf.DUMMYFUNCTION("""COMPUTED_VALUE"""),0.376)</f>
        <v>0.376</v>
      </c>
      <c r="H66" s="132">
        <f>IFERROR(__xludf.DUMMYFUNCTION("""COMPUTED_VALUE"""),1.0)</f>
        <v>1</v>
      </c>
      <c r="I66" s="132">
        <f>IFERROR(__xludf.DUMMYFUNCTION("""COMPUTED_VALUE"""),1.0)</f>
        <v>1</v>
      </c>
      <c r="J66" s="132">
        <f>IFERROR(__xludf.DUMMYFUNCTION("""COMPUTED_VALUE"""),1.0)</f>
        <v>1</v>
      </c>
      <c r="K66" s="132">
        <f>IFERROR(__xludf.DUMMYFUNCTION("""COMPUTED_VALUE"""),1.0)</f>
        <v>1</v>
      </c>
      <c r="L66" s="132"/>
      <c r="M66" s="132"/>
      <c r="N66" s="132">
        <f>IFERROR(__xludf.DUMMYFUNCTION("""COMPUTED_VALUE"""),1.0)</f>
        <v>1</v>
      </c>
      <c r="O66" s="132"/>
      <c r="P66" s="132"/>
      <c r="Q66" s="132"/>
      <c r="R66" s="132" t="str">
        <f>IFERROR(__xludf.DUMMYFUNCTION("""COMPUTED_VALUE"""),"Heat")</f>
        <v>Heat</v>
      </c>
      <c r="S66" s="132">
        <f>IFERROR(__xludf.DUMMYFUNCTION("""COMPUTED_VALUE"""),173.22)</f>
        <v>173.22</v>
      </c>
      <c r="T66" s="132">
        <f>IFERROR(__xludf.DUMMYFUNCTION("""COMPUTED_VALUE"""),34.644)</f>
        <v>34.644</v>
      </c>
      <c r="U66" s="132" t="str">
        <f>IFERROR(__xludf.DUMMYFUNCTION("""COMPUTED_VALUE"""),"Paid")</f>
        <v>Paid</v>
      </c>
      <c r="V66" s="132" t="str">
        <f>IFERROR(__xludf.DUMMYFUNCTION("""COMPUTED_VALUE"""),"Paid")</f>
        <v>Paid</v>
      </c>
      <c r="W66" s="132" t="str">
        <f>IFERROR(__xludf.DUMMYFUNCTION("""COMPUTED_VALUE"""),"Paid")</f>
        <v>Paid</v>
      </c>
      <c r="X66" s="132" t="str">
        <f>IFERROR(__xludf.DUMMYFUNCTION("""COMPUTED_VALUE"""),"Paid")</f>
        <v>Paid</v>
      </c>
      <c r="Y66" s="132" t="str">
        <f>IFERROR(__xludf.DUMMYFUNCTION("""COMPUTED_VALUE"""),"Paid")</f>
        <v>Paid</v>
      </c>
      <c r="Z66" s="132"/>
    </row>
    <row r="67">
      <c r="A67" s="133">
        <f>IFERROR(__xludf.DUMMYFUNCTION("""COMPUTED_VALUE"""),45375.0)</f>
        <v>45375</v>
      </c>
      <c r="B67" s="132" t="str">
        <f>IFERROR(__xludf.DUMMYFUNCTION("""COMPUTED_VALUE"""),"Foody dinner")</f>
        <v>Foody dinner</v>
      </c>
      <c r="C67" s="132" t="str">
        <f>IFERROR(__xludf.DUMMYFUNCTION("""COMPUTED_VALUE"""),"食物")</f>
        <v>食物</v>
      </c>
      <c r="D67" s="132">
        <f>IFERROR(__xludf.DUMMYFUNCTION("""COMPUTED_VALUE"""),13.18)</f>
        <v>13.18</v>
      </c>
      <c r="E67" s="132" t="str">
        <f>IFERROR(__xludf.DUMMYFUNCTION("""COMPUTED_VALUE"""),"Pigskin")</f>
        <v>Pigskin</v>
      </c>
      <c r="F67" s="132">
        <f>IFERROR(__xludf.DUMMYFUNCTION("""COMPUTED_VALUE"""),2.636)</f>
        <v>2.636</v>
      </c>
      <c r="G67" s="132">
        <f>IFERROR(__xludf.DUMMYFUNCTION("""COMPUTED_VALUE"""),2.636)</f>
        <v>2.636</v>
      </c>
      <c r="H67" s="132">
        <f>IFERROR(__xludf.DUMMYFUNCTION("""COMPUTED_VALUE"""),1.0)</f>
        <v>1</v>
      </c>
      <c r="I67" s="132">
        <f>IFERROR(__xludf.DUMMYFUNCTION("""COMPUTED_VALUE"""),1.0)</f>
        <v>1</v>
      </c>
      <c r="J67" s="132">
        <f>IFERROR(__xludf.DUMMYFUNCTION("""COMPUTED_VALUE"""),1.0)</f>
        <v>1</v>
      </c>
      <c r="K67" s="132">
        <f>IFERROR(__xludf.DUMMYFUNCTION("""COMPUTED_VALUE"""),1.0)</f>
        <v>1</v>
      </c>
      <c r="L67" s="132"/>
      <c r="M67" s="132"/>
      <c r="N67" s="132">
        <f>IFERROR(__xludf.DUMMYFUNCTION("""COMPUTED_VALUE"""),1.0)</f>
        <v>1</v>
      </c>
      <c r="O67" s="132"/>
      <c r="P67" s="132"/>
      <c r="Q67" s="132"/>
      <c r="R67" s="132" t="str">
        <f>IFERROR(__xludf.DUMMYFUNCTION("""COMPUTED_VALUE"""),"Electricity")</f>
        <v>Electricity</v>
      </c>
      <c r="S67" s="132">
        <f>IFERROR(__xludf.DUMMYFUNCTION("""COMPUTED_VALUE"""),97.82)</f>
        <v>97.82</v>
      </c>
      <c r="T67" s="132">
        <f>IFERROR(__xludf.DUMMYFUNCTION("""COMPUTED_VALUE"""),19.564)</f>
        <v>19.564</v>
      </c>
      <c r="U67" s="132" t="str">
        <f>IFERROR(__xludf.DUMMYFUNCTION("""COMPUTED_VALUE"""),"Paid")</f>
        <v>Paid</v>
      </c>
      <c r="V67" s="132" t="str">
        <f>IFERROR(__xludf.DUMMYFUNCTION("""COMPUTED_VALUE"""),"Paid")</f>
        <v>Paid</v>
      </c>
      <c r="W67" s="132" t="str">
        <f>IFERROR(__xludf.DUMMYFUNCTION("""COMPUTED_VALUE"""),"Paid")</f>
        <v>Paid</v>
      </c>
      <c r="X67" s="132" t="str">
        <f>IFERROR(__xludf.DUMMYFUNCTION("""COMPUTED_VALUE"""),"Paid")</f>
        <v>Paid</v>
      </c>
      <c r="Y67" s="132" t="str">
        <f>IFERROR(__xludf.DUMMYFUNCTION("""COMPUTED_VALUE"""),"Paid")</f>
        <v>Paid</v>
      </c>
      <c r="Z67" s="132"/>
    </row>
    <row r="68">
      <c r="A68" s="133">
        <f>IFERROR(__xludf.DUMMYFUNCTION("""COMPUTED_VALUE"""),45375.0)</f>
        <v>45375</v>
      </c>
      <c r="B68" s="132" t="str">
        <f>IFERROR(__xludf.DUMMYFUNCTION("""COMPUTED_VALUE"""),"Food badic")</f>
        <v>Food badic</v>
      </c>
      <c r="C68" s="132" t="str">
        <f>IFERROR(__xludf.DUMMYFUNCTION("""COMPUTED_VALUE"""),"食物")</f>
        <v>食物</v>
      </c>
      <c r="D68" s="132">
        <f>IFERROR(__xludf.DUMMYFUNCTION("""COMPUTED_VALUE"""),11.22)</f>
        <v>11.22</v>
      </c>
      <c r="E68" s="132" t="str">
        <f>IFERROR(__xludf.DUMMYFUNCTION("""COMPUTED_VALUE"""),"Pigskin")</f>
        <v>Pigskin</v>
      </c>
      <c r="F68" s="132">
        <f>IFERROR(__xludf.DUMMYFUNCTION("""COMPUTED_VALUE"""),2.244)</f>
        <v>2.244</v>
      </c>
      <c r="G68" s="132">
        <f>IFERROR(__xludf.DUMMYFUNCTION("""COMPUTED_VALUE"""),2.244)</f>
        <v>2.244</v>
      </c>
      <c r="H68" s="132">
        <f>IFERROR(__xludf.DUMMYFUNCTION("""COMPUTED_VALUE"""),1.0)</f>
        <v>1</v>
      </c>
      <c r="I68" s="132">
        <f>IFERROR(__xludf.DUMMYFUNCTION("""COMPUTED_VALUE"""),1.0)</f>
        <v>1</v>
      </c>
      <c r="J68" s="132">
        <f>IFERROR(__xludf.DUMMYFUNCTION("""COMPUTED_VALUE"""),1.0)</f>
        <v>1</v>
      </c>
      <c r="K68" s="132">
        <f>IFERROR(__xludf.DUMMYFUNCTION("""COMPUTED_VALUE"""),1.0)</f>
        <v>1</v>
      </c>
      <c r="L68" s="132"/>
      <c r="M68" s="132"/>
      <c r="N68" s="132">
        <f>IFERROR(__xludf.DUMMYFUNCTION("""COMPUTED_VALUE"""),1.0)</f>
        <v>1</v>
      </c>
      <c r="O68" s="132"/>
      <c r="P68" s="132"/>
      <c r="Q68" s="132"/>
      <c r="R68" s="132" t="str">
        <f>IFERROR(__xludf.DUMMYFUNCTION("""COMPUTED_VALUE"""),"Internet")</f>
        <v>Internet</v>
      </c>
      <c r="S68" s="132">
        <f>IFERROR(__xludf.DUMMYFUNCTION("""COMPUTED_VALUE"""),56.5)</f>
        <v>56.5</v>
      </c>
      <c r="T68" s="132">
        <f>IFERROR(__xludf.DUMMYFUNCTION("""COMPUTED_VALUE"""),11.3)</f>
        <v>11.3</v>
      </c>
      <c r="U68" s="132" t="str">
        <f>IFERROR(__xludf.DUMMYFUNCTION("""COMPUTED_VALUE"""),"Paid")</f>
        <v>Paid</v>
      </c>
      <c r="V68" s="132" t="str">
        <f>IFERROR(__xludf.DUMMYFUNCTION("""COMPUTED_VALUE"""),"Paid")</f>
        <v>Paid</v>
      </c>
      <c r="W68" s="132" t="str">
        <f>IFERROR(__xludf.DUMMYFUNCTION("""COMPUTED_VALUE"""),"Paid")</f>
        <v>Paid</v>
      </c>
      <c r="X68" s="132" t="str">
        <f>IFERROR(__xludf.DUMMYFUNCTION("""COMPUTED_VALUE"""),"Paid")</f>
        <v>Paid</v>
      </c>
      <c r="Y68" s="132" t="str">
        <f>IFERROR(__xludf.DUMMYFUNCTION("""COMPUTED_VALUE"""),"Paid")</f>
        <v>Paid</v>
      </c>
      <c r="Z68" s="132"/>
    </row>
    <row r="69">
      <c r="A69" s="133">
        <f>IFERROR(__xludf.DUMMYFUNCTION("""COMPUTED_VALUE"""),45375.0)</f>
        <v>45375</v>
      </c>
      <c r="B69" s="132" t="str">
        <f>IFERROR(__xludf.DUMMYFUNCTION("""COMPUTED_VALUE"""),"Foody dinner")</f>
        <v>Foody dinner</v>
      </c>
      <c r="C69" s="132" t="str">
        <f>IFERROR(__xludf.DUMMYFUNCTION("""COMPUTED_VALUE"""),"食物")</f>
        <v>食物</v>
      </c>
      <c r="D69" s="132">
        <f>IFERROR(__xludf.DUMMYFUNCTION("""COMPUTED_VALUE"""),21.52)</f>
        <v>21.52</v>
      </c>
      <c r="E69" s="132" t="str">
        <f>IFERROR(__xludf.DUMMYFUNCTION("""COMPUTED_VALUE"""),"Rachel")</f>
        <v>Rachel</v>
      </c>
      <c r="F69" s="132">
        <f>IFERROR(__xludf.DUMMYFUNCTION("""COMPUTED_VALUE"""),4.304)</f>
        <v>4.304</v>
      </c>
      <c r="G69" s="132">
        <f>IFERROR(__xludf.DUMMYFUNCTION("""COMPUTED_VALUE"""),4.304)</f>
        <v>4.304</v>
      </c>
      <c r="H69" s="132">
        <f>IFERROR(__xludf.DUMMYFUNCTION("""COMPUTED_VALUE"""),1.0)</f>
        <v>1</v>
      </c>
      <c r="I69" s="132">
        <f>IFERROR(__xludf.DUMMYFUNCTION("""COMPUTED_VALUE"""),1.0)</f>
        <v>1</v>
      </c>
      <c r="J69" s="132">
        <f>IFERROR(__xludf.DUMMYFUNCTION("""COMPUTED_VALUE"""),1.0)</f>
        <v>1</v>
      </c>
      <c r="K69" s="132">
        <f>IFERROR(__xludf.DUMMYFUNCTION("""COMPUTED_VALUE"""),1.0)</f>
        <v>1</v>
      </c>
      <c r="L69" s="132"/>
      <c r="M69" s="132"/>
      <c r="N69" s="132">
        <f>IFERROR(__xludf.DUMMYFUNCTION("""COMPUTED_VALUE"""),1.0)</f>
        <v>1</v>
      </c>
      <c r="O69" s="132"/>
      <c r="P69" s="132"/>
      <c r="Q69" s="132"/>
      <c r="R69" s="132"/>
      <c r="S69" s="132">
        <f>IFERROR(__xludf.DUMMYFUNCTION("""COMPUTED_VALUE"""),3927.54)</f>
        <v>3927.54</v>
      </c>
      <c r="T69" s="132">
        <f>IFERROR(__xludf.DUMMYFUNCTION("""COMPUTED_VALUE"""),785.5079999999999)</f>
        <v>785.508</v>
      </c>
      <c r="U69" s="132"/>
      <c r="V69" s="132"/>
      <c r="W69" s="132"/>
      <c r="X69" s="132"/>
      <c r="Y69" s="132"/>
      <c r="Z69" s="132"/>
    </row>
    <row r="70">
      <c r="A70" s="133">
        <f>IFERROR(__xludf.DUMMYFUNCTION("""COMPUTED_VALUE"""),45374.0)</f>
        <v>45374</v>
      </c>
      <c r="B70" s="132" t="str">
        <f>IFERROR(__xludf.DUMMYFUNCTION("""COMPUTED_VALUE"""),"Foody dinner")</f>
        <v>Foody dinner</v>
      </c>
      <c r="C70" s="132" t="str">
        <f>IFERROR(__xludf.DUMMYFUNCTION("""COMPUTED_VALUE"""),"食物")</f>
        <v>食物</v>
      </c>
      <c r="D70" s="132">
        <f>IFERROR(__xludf.DUMMYFUNCTION("""COMPUTED_VALUE"""),9.49)</f>
        <v>9.49</v>
      </c>
      <c r="E70" s="132" t="str">
        <f>IFERROR(__xludf.DUMMYFUNCTION("""COMPUTED_VALUE"""),"BL")</f>
        <v>BL</v>
      </c>
      <c r="F70" s="132">
        <f>IFERROR(__xludf.DUMMYFUNCTION("""COMPUTED_VALUE"""),1.8980000000000001)</f>
        <v>1.898</v>
      </c>
      <c r="G70" s="132">
        <f>IFERROR(__xludf.DUMMYFUNCTION("""COMPUTED_VALUE"""),1.8980000000000001)</f>
        <v>1.898</v>
      </c>
      <c r="H70" s="132">
        <f>IFERROR(__xludf.DUMMYFUNCTION("""COMPUTED_VALUE"""),1.0)</f>
        <v>1</v>
      </c>
      <c r="I70" s="132">
        <f>IFERROR(__xludf.DUMMYFUNCTION("""COMPUTED_VALUE"""),1.0)</f>
        <v>1</v>
      </c>
      <c r="J70" s="132">
        <f>IFERROR(__xludf.DUMMYFUNCTION("""COMPUTED_VALUE"""),1.0)</f>
        <v>1</v>
      </c>
      <c r="K70" s="132">
        <f>IFERROR(__xludf.DUMMYFUNCTION("""COMPUTED_VALUE"""),1.0)</f>
        <v>1</v>
      </c>
      <c r="L70" s="132"/>
      <c r="M70" s="132">
        <f>IFERROR(__xludf.DUMMYFUNCTION("""COMPUTED_VALUE"""),1.0)</f>
        <v>1</v>
      </c>
      <c r="N70" s="132"/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6">
        <f>IFERROR(__xludf.DUMMYFUNCTION("""COMPUTED_VALUE"""),45374.0)</f>
        <v>45374</v>
      </c>
      <c r="B71" s="132" t="str">
        <f>IFERROR(__xludf.DUMMYFUNCTION("""COMPUTED_VALUE"""),"Foody dinner")</f>
        <v>Foody dinner</v>
      </c>
      <c r="C71" s="132" t="str">
        <f>IFERROR(__xludf.DUMMYFUNCTION("""COMPUTED_VALUE"""),"食物")</f>
        <v>食物</v>
      </c>
      <c r="D71" s="132">
        <f>IFERROR(__xludf.DUMMYFUNCTION("""COMPUTED_VALUE"""),31.61)</f>
        <v>31.61</v>
      </c>
      <c r="E71" s="132" t="str">
        <f>IFERROR(__xludf.DUMMYFUNCTION("""COMPUTED_VALUE"""),"Rachel")</f>
        <v>Rachel</v>
      </c>
      <c r="F71" s="132">
        <f>IFERROR(__xludf.DUMMYFUNCTION("""COMPUTED_VALUE"""),6.322)</f>
        <v>6.322</v>
      </c>
      <c r="G71" s="132">
        <f>IFERROR(__xludf.DUMMYFUNCTION("""COMPUTED_VALUE"""),6.322)</f>
        <v>6.322</v>
      </c>
      <c r="H71" s="132">
        <f>IFERROR(__xludf.DUMMYFUNCTION("""COMPUTED_VALUE"""),1.0)</f>
        <v>1</v>
      </c>
      <c r="I71" s="132">
        <f>IFERROR(__xludf.DUMMYFUNCTION("""COMPUTED_VALUE"""),1.0)</f>
        <v>1</v>
      </c>
      <c r="J71" s="132">
        <f>IFERROR(__xludf.DUMMYFUNCTION("""COMPUTED_VALUE"""),1.0)</f>
        <v>1</v>
      </c>
      <c r="K71" s="132">
        <f>IFERROR(__xludf.DUMMYFUNCTION("""COMPUTED_VALUE"""),1.0)</f>
        <v>1</v>
      </c>
      <c r="L71" s="132"/>
      <c r="M71" s="132">
        <f>IFERROR(__xludf.DUMMYFUNCTION("""COMPUTED_VALUE"""),1.0)</f>
        <v>1</v>
      </c>
      <c r="N71" s="132"/>
      <c r="O71" s="132"/>
      <c r="P71" s="132"/>
      <c r="Q71" s="134">
        <f>IFERROR(__xludf.DUMMYFUNCTION("""COMPUTED_VALUE"""),45383.0)</f>
        <v>45383</v>
      </c>
      <c r="R71" s="132" t="str">
        <f>IFERROR(__xludf.DUMMYFUNCTION("""COMPUTED_VALUE"""),"Rent")</f>
        <v>Rent</v>
      </c>
      <c r="S71" s="132">
        <f>IFERROR(__xludf.DUMMYFUNCTION("""COMPUTED_VALUE"""),3600.0)</f>
        <v>3600</v>
      </c>
      <c r="T71" s="132">
        <f>IFERROR(__xludf.DUMMYFUNCTION("""COMPUTED_VALUE"""),720.0)</f>
        <v>720</v>
      </c>
      <c r="U71" s="132" t="str">
        <f>IFERROR(__xludf.DUMMYFUNCTION("""COMPUTED_VALUE"""),"Paid")</f>
        <v>Paid</v>
      </c>
      <c r="V71" s="132" t="str">
        <f>IFERROR(__xludf.DUMMYFUNCTION("""COMPUTED_VALUE"""),"Paid")</f>
        <v>Paid</v>
      </c>
      <c r="W71" s="132" t="str">
        <f>IFERROR(__xludf.DUMMYFUNCTION("""COMPUTED_VALUE"""),"Paid")</f>
        <v>Paid</v>
      </c>
      <c r="X71" s="132" t="str">
        <f>IFERROR(__xludf.DUMMYFUNCTION("""COMPUTED_VALUE"""),"Paid")</f>
        <v>Paid</v>
      </c>
      <c r="Y71" s="132" t="str">
        <f>IFERROR(__xludf.DUMMYFUNCTION("""COMPUTED_VALUE"""),"Paid")</f>
        <v>Paid</v>
      </c>
      <c r="Z71" s="132"/>
    </row>
    <row r="72">
      <c r="A72" s="136">
        <f>IFERROR(__xludf.DUMMYFUNCTION("""COMPUTED_VALUE"""),45372.0)</f>
        <v>45372</v>
      </c>
      <c r="B72" s="132" t="str">
        <f>IFERROR(__xludf.DUMMYFUNCTION("""COMPUTED_VALUE"""),"Oh cake")</f>
        <v>Oh cake</v>
      </c>
      <c r="C72" s="132" t="str">
        <f>IFERROR(__xludf.DUMMYFUNCTION("""COMPUTED_VALUE"""),"食物")</f>
        <v>食物</v>
      </c>
      <c r="D72" s="132">
        <f>IFERROR(__xludf.DUMMYFUNCTION("""COMPUTED_VALUE"""),49.5)</f>
        <v>49.5</v>
      </c>
      <c r="E72" s="132" t="str">
        <f>IFERROR(__xludf.DUMMYFUNCTION("""COMPUTED_VALUE"""),"BL")</f>
        <v>BL</v>
      </c>
      <c r="F72" s="132">
        <f>IFERROR(__xludf.DUMMYFUNCTION("""COMPUTED_VALUE"""),8.25)</f>
        <v>8.25</v>
      </c>
      <c r="G72" s="132">
        <f>IFERROR(__xludf.DUMMYFUNCTION("""COMPUTED_VALUE"""),8.25)</f>
        <v>8.25</v>
      </c>
      <c r="H72" s="132">
        <f>IFERROR(__xludf.DUMMYFUNCTION("""COMPUTED_VALUE"""),1.0)</f>
        <v>1</v>
      </c>
      <c r="I72" s="132">
        <f>IFERROR(__xludf.DUMMYFUNCTION("""COMPUTED_VALUE"""),1.0)</f>
        <v>1</v>
      </c>
      <c r="J72" s="132">
        <f>IFERROR(__xludf.DUMMYFUNCTION("""COMPUTED_VALUE"""),1.0)</f>
        <v>1</v>
      </c>
      <c r="K72" s="132">
        <f>IFERROR(__xludf.DUMMYFUNCTION("""COMPUTED_VALUE"""),1.0)</f>
        <v>1</v>
      </c>
      <c r="L72" s="132"/>
      <c r="M72" s="132">
        <f>IFERROR(__xludf.DUMMYFUNCTION("""COMPUTED_VALUE"""),1.0)</f>
        <v>1</v>
      </c>
      <c r="N72" s="132">
        <f>IFERROR(__xludf.DUMMYFUNCTION("""COMPUTED_VALUE"""),1.0)</f>
        <v>1</v>
      </c>
      <c r="O72" s="132"/>
      <c r="P72" s="132"/>
      <c r="Q72" s="132"/>
      <c r="R72" s="132" t="str">
        <f>IFERROR(__xludf.DUMMYFUNCTION("""COMPUTED_VALUE"""),"o")</f>
        <v>o</v>
      </c>
      <c r="S72" s="132"/>
      <c r="T72" s="132"/>
      <c r="U72" s="132"/>
      <c r="V72" s="132"/>
      <c r="W72" s="132"/>
      <c r="X72" s="132"/>
      <c r="Y72" s="132"/>
      <c r="Z72" s="132"/>
    </row>
    <row r="73">
      <c r="A73" s="136">
        <f>IFERROR(__xludf.DUMMYFUNCTION("""COMPUTED_VALUE"""),45371.0)</f>
        <v>45371</v>
      </c>
      <c r="B73" s="132" t="str">
        <f>IFERROR(__xludf.DUMMYFUNCTION("""COMPUTED_VALUE"""),"Foody dinner")</f>
        <v>Foody dinner</v>
      </c>
      <c r="C73" s="132" t="str">
        <f>IFERROR(__xludf.DUMMYFUNCTION("""COMPUTED_VALUE"""),"食物")</f>
        <v>食物</v>
      </c>
      <c r="D73" s="132">
        <f>IFERROR(__xludf.DUMMYFUNCTION("""COMPUTED_VALUE"""),31.91)</f>
        <v>31.91</v>
      </c>
      <c r="E73" s="132" t="str">
        <f>IFERROR(__xludf.DUMMYFUNCTION("""COMPUTED_VALUE"""),"Pigskin")</f>
        <v>Pigskin</v>
      </c>
      <c r="F73" s="132">
        <f>IFERROR(__xludf.DUMMYFUNCTION("""COMPUTED_VALUE"""),7.9775)</f>
        <v>7.9775</v>
      </c>
      <c r="G73" s="132">
        <f>IFERROR(__xludf.DUMMYFUNCTION("""COMPUTED_VALUE"""),7.9775)</f>
        <v>7.9775</v>
      </c>
      <c r="H73" s="132">
        <f>IFERROR(__xludf.DUMMYFUNCTION("""COMPUTED_VALUE"""),1.0)</f>
        <v>1</v>
      </c>
      <c r="I73" s="132">
        <f>IFERROR(__xludf.DUMMYFUNCTION("""COMPUTED_VALUE"""),1.0)</f>
        <v>1</v>
      </c>
      <c r="J73" s="132">
        <f>IFERROR(__xludf.DUMMYFUNCTION("""COMPUTED_VALUE"""),1.0)</f>
        <v>1</v>
      </c>
      <c r="K73" s="132">
        <f>IFERROR(__xludf.DUMMYFUNCTION("""COMPUTED_VALUE"""),1.0)</f>
        <v>1</v>
      </c>
      <c r="L73" s="132"/>
      <c r="M73" s="132"/>
      <c r="N73" s="132"/>
      <c r="O73" s="132"/>
      <c r="P73" s="132"/>
      <c r="Q73" s="132"/>
      <c r="R73" s="132" t="str">
        <f>IFERROR(__xludf.DUMMYFUNCTION("""COMPUTED_VALUE"""),"Heat")</f>
        <v>Heat</v>
      </c>
      <c r="S73" s="132">
        <f>IFERROR(__xludf.DUMMYFUNCTION("""COMPUTED_VALUE"""),169.33)</f>
        <v>169.33</v>
      </c>
      <c r="T73" s="132">
        <f>IFERROR(__xludf.DUMMYFUNCTION("""COMPUTED_VALUE"""),33.866)</f>
        <v>33.866</v>
      </c>
      <c r="U73" s="132" t="str">
        <f>IFERROR(__xludf.DUMMYFUNCTION("""COMPUTED_VALUE"""),"Paid")</f>
        <v>Paid</v>
      </c>
      <c r="V73" s="132" t="str">
        <f>IFERROR(__xludf.DUMMYFUNCTION("""COMPUTED_VALUE"""),"Paid")</f>
        <v>Paid</v>
      </c>
      <c r="W73" s="132" t="str">
        <f>IFERROR(__xludf.DUMMYFUNCTION("""COMPUTED_VALUE"""),"Paid")</f>
        <v>Paid</v>
      </c>
      <c r="X73" s="132" t="str">
        <f>IFERROR(__xludf.DUMMYFUNCTION("""COMPUTED_VALUE"""),"Paid")</f>
        <v>Paid</v>
      </c>
      <c r="Y73" s="132" t="str">
        <f>IFERROR(__xludf.DUMMYFUNCTION("""COMPUTED_VALUE"""),"Paid")</f>
        <v>Paid</v>
      </c>
      <c r="Z73" s="132"/>
    </row>
    <row r="74">
      <c r="A74" s="136">
        <f>IFERROR(__xludf.DUMMYFUNCTION("""COMPUTED_VALUE"""),45371.0)</f>
        <v>45371</v>
      </c>
      <c r="B74" s="132" t="str">
        <f>IFERROR(__xludf.DUMMYFUNCTION("""COMPUTED_VALUE"""),"Nofrills")</f>
        <v>Nofrills</v>
      </c>
      <c r="C74" s="132" t="str">
        <f>IFERROR(__xludf.DUMMYFUNCTION("""COMPUTED_VALUE"""),"食物")</f>
        <v>食物</v>
      </c>
      <c r="D74" s="132">
        <f>IFERROR(__xludf.DUMMYFUNCTION("""COMPUTED_VALUE"""),8.99)</f>
        <v>8.99</v>
      </c>
      <c r="E74" s="132" t="str">
        <f>IFERROR(__xludf.DUMMYFUNCTION("""COMPUTED_VALUE"""),"Pigskin")</f>
        <v>Pigskin</v>
      </c>
      <c r="F74" s="132">
        <f>IFERROR(__xludf.DUMMYFUNCTION("""COMPUTED_VALUE"""),1.798)</f>
        <v>1.798</v>
      </c>
      <c r="G74" s="132">
        <f>IFERROR(__xludf.DUMMYFUNCTION("""COMPUTED_VALUE"""),1.798)</f>
        <v>1.798</v>
      </c>
      <c r="H74" s="132">
        <f>IFERROR(__xludf.DUMMYFUNCTION("""COMPUTED_VALUE"""),1.0)</f>
        <v>1</v>
      </c>
      <c r="I74" s="132">
        <f>IFERROR(__xludf.DUMMYFUNCTION("""COMPUTED_VALUE"""),1.0)</f>
        <v>1</v>
      </c>
      <c r="J74" s="132">
        <f>IFERROR(__xludf.DUMMYFUNCTION("""COMPUTED_VALUE"""),1.0)</f>
        <v>1</v>
      </c>
      <c r="K74" s="132">
        <f>IFERROR(__xludf.DUMMYFUNCTION("""COMPUTED_VALUE"""),1.0)</f>
        <v>1</v>
      </c>
      <c r="L74" s="132"/>
      <c r="M74" s="132"/>
      <c r="N74" s="132">
        <f>IFERROR(__xludf.DUMMYFUNCTION("""COMPUTED_VALUE"""),1.0)</f>
        <v>1</v>
      </c>
      <c r="O74" s="132"/>
      <c r="P74" s="132"/>
      <c r="Q74" s="132"/>
      <c r="R74" s="132" t="str">
        <f>IFERROR(__xludf.DUMMYFUNCTION("""COMPUTED_VALUE"""),"Electricity")</f>
        <v>Electricity</v>
      </c>
      <c r="S74" s="132">
        <f>IFERROR(__xludf.DUMMYFUNCTION("""COMPUTED_VALUE"""),104.26)</f>
        <v>104.26</v>
      </c>
      <c r="T74" s="132">
        <f>IFERROR(__xludf.DUMMYFUNCTION("""COMPUTED_VALUE"""),20.852)</f>
        <v>20.852</v>
      </c>
      <c r="U74" s="132" t="str">
        <f>IFERROR(__xludf.DUMMYFUNCTION("""COMPUTED_VALUE"""),"Paid")</f>
        <v>Paid</v>
      </c>
      <c r="V74" s="132" t="str">
        <f>IFERROR(__xludf.DUMMYFUNCTION("""COMPUTED_VALUE"""),"Paid")</f>
        <v>Paid</v>
      </c>
      <c r="W74" s="132" t="str">
        <f>IFERROR(__xludf.DUMMYFUNCTION("""COMPUTED_VALUE"""),"Paid")</f>
        <v>Paid</v>
      </c>
      <c r="X74" s="132" t="str">
        <f>IFERROR(__xludf.DUMMYFUNCTION("""COMPUTED_VALUE"""),"Paid")</f>
        <v>Paid</v>
      </c>
      <c r="Y74" s="132" t="str">
        <f>IFERROR(__xludf.DUMMYFUNCTION("""COMPUTED_VALUE"""),"Paid")</f>
        <v>Paid</v>
      </c>
      <c r="Z74" s="132"/>
    </row>
    <row r="75">
      <c r="A75" s="136">
        <f>IFERROR(__xludf.DUMMYFUNCTION("""COMPUTED_VALUE"""),45370.0)</f>
        <v>45370</v>
      </c>
      <c r="B75" s="132" t="str">
        <f>IFERROR(__xludf.DUMMYFUNCTION("""COMPUTED_VALUE"""),"Foody dinner")</f>
        <v>Foody dinner</v>
      </c>
      <c r="C75" s="132" t="str">
        <f>IFERROR(__xludf.DUMMYFUNCTION("""COMPUTED_VALUE"""),"食物")</f>
        <v>食物</v>
      </c>
      <c r="D75" s="132">
        <f>IFERROR(__xludf.DUMMYFUNCTION("""COMPUTED_VALUE"""),12.78)</f>
        <v>12.78</v>
      </c>
      <c r="E75" s="132" t="str">
        <f>IFERROR(__xludf.DUMMYFUNCTION("""COMPUTED_VALUE"""),"Pigskin")</f>
        <v>Pigskin</v>
      </c>
      <c r="F75" s="132">
        <f>IFERROR(__xludf.DUMMYFUNCTION("""COMPUTED_VALUE"""),2.556)</f>
        <v>2.556</v>
      </c>
      <c r="G75" s="132">
        <f>IFERROR(__xludf.DUMMYFUNCTION("""COMPUTED_VALUE"""),2.556)</f>
        <v>2.556</v>
      </c>
      <c r="H75" s="132">
        <f>IFERROR(__xludf.DUMMYFUNCTION("""COMPUTED_VALUE"""),1.0)</f>
        <v>1</v>
      </c>
      <c r="I75" s="132">
        <f>IFERROR(__xludf.DUMMYFUNCTION("""COMPUTED_VALUE"""),1.0)</f>
        <v>1</v>
      </c>
      <c r="J75" s="132">
        <f>IFERROR(__xludf.DUMMYFUNCTION("""COMPUTED_VALUE"""),1.0)</f>
        <v>1</v>
      </c>
      <c r="K75" s="132">
        <f>IFERROR(__xludf.DUMMYFUNCTION("""COMPUTED_VALUE"""),1.0)</f>
        <v>1</v>
      </c>
      <c r="L75" s="132"/>
      <c r="M75" s="132">
        <f>IFERROR(__xludf.DUMMYFUNCTION("""COMPUTED_VALUE"""),1.0)</f>
        <v>1</v>
      </c>
      <c r="N75" s="132"/>
      <c r="O75" s="132"/>
      <c r="P75" s="132"/>
      <c r="Q75" s="132"/>
      <c r="R75" s="132" t="str">
        <f>IFERROR(__xludf.DUMMYFUNCTION("""COMPUTED_VALUE"""),"Internet")</f>
        <v>Internet</v>
      </c>
      <c r="S75" s="132">
        <f>IFERROR(__xludf.DUMMYFUNCTION("""COMPUTED_VALUE"""),56.5)</f>
        <v>56.5</v>
      </c>
      <c r="T75" s="132">
        <f>IFERROR(__xludf.DUMMYFUNCTION("""COMPUTED_VALUE"""),11.3)</f>
        <v>11.3</v>
      </c>
      <c r="U75" s="132" t="str">
        <f>IFERROR(__xludf.DUMMYFUNCTION("""COMPUTED_VALUE"""),"Paid")</f>
        <v>Paid</v>
      </c>
      <c r="V75" s="132" t="str">
        <f>IFERROR(__xludf.DUMMYFUNCTION("""COMPUTED_VALUE"""),"Paid")</f>
        <v>Paid</v>
      </c>
      <c r="W75" s="132" t="str">
        <f>IFERROR(__xludf.DUMMYFUNCTION("""COMPUTED_VALUE"""),"Paid")</f>
        <v>Paid</v>
      </c>
      <c r="X75" s="132" t="str">
        <f>IFERROR(__xludf.DUMMYFUNCTION("""COMPUTED_VALUE"""),"Paid")</f>
        <v>Paid</v>
      </c>
      <c r="Y75" s="132" t="str">
        <f>IFERROR(__xludf.DUMMYFUNCTION("""COMPUTED_VALUE"""),"Paid")</f>
        <v>Paid</v>
      </c>
      <c r="Z75" s="132"/>
    </row>
    <row r="76">
      <c r="A76" s="136">
        <f>IFERROR(__xludf.DUMMYFUNCTION("""COMPUTED_VALUE"""),45373.0)</f>
        <v>45373</v>
      </c>
      <c r="B76" s="132" t="str">
        <f>IFERROR(__xludf.DUMMYFUNCTION("""COMPUTED_VALUE"""),"Foody dinner")</f>
        <v>Foody dinner</v>
      </c>
      <c r="C76" s="132" t="str">
        <f>IFERROR(__xludf.DUMMYFUNCTION("""COMPUTED_VALUE"""),"食物")</f>
        <v>食物</v>
      </c>
      <c r="D76" s="132">
        <f>IFERROR(__xludf.DUMMYFUNCTION("""COMPUTED_VALUE"""),54.21)</f>
        <v>54.21</v>
      </c>
      <c r="E76" s="132" t="str">
        <f>IFERROR(__xludf.DUMMYFUNCTION("""COMPUTED_VALUE"""),"Pigskin")</f>
        <v>Pigskin</v>
      </c>
      <c r="F76" s="132">
        <f>IFERROR(__xludf.DUMMYFUNCTION("""COMPUTED_VALUE"""),9.035)</f>
        <v>9.035</v>
      </c>
      <c r="G76" s="132">
        <f>IFERROR(__xludf.DUMMYFUNCTION("""COMPUTED_VALUE"""),9.035)</f>
        <v>9.035</v>
      </c>
      <c r="H76" s="132">
        <f>IFERROR(__xludf.DUMMYFUNCTION("""COMPUTED_VALUE"""),1.0)</f>
        <v>1</v>
      </c>
      <c r="I76" s="132">
        <f>IFERROR(__xludf.DUMMYFUNCTION("""COMPUTED_VALUE"""),1.0)</f>
        <v>1</v>
      </c>
      <c r="J76" s="132">
        <f>IFERROR(__xludf.DUMMYFUNCTION("""COMPUTED_VALUE"""),1.0)</f>
        <v>1</v>
      </c>
      <c r="K76" s="132">
        <f>IFERROR(__xludf.DUMMYFUNCTION("""COMPUTED_VALUE"""),1.0)</f>
        <v>1</v>
      </c>
      <c r="L76" s="132"/>
      <c r="M76" s="132">
        <f>IFERROR(__xludf.DUMMYFUNCTION("""COMPUTED_VALUE"""),1.0)</f>
        <v>1</v>
      </c>
      <c r="N76" s="132">
        <f>IFERROR(__xludf.DUMMYFUNCTION("""COMPUTED_VALUE"""),1.0)</f>
        <v>1</v>
      </c>
      <c r="O76" s="132"/>
      <c r="P76" s="132"/>
      <c r="Q76" s="132"/>
      <c r="R76" s="132"/>
      <c r="S76" s="132">
        <f>IFERROR(__xludf.DUMMYFUNCTION("""COMPUTED_VALUE"""),3930.09)</f>
        <v>3930.09</v>
      </c>
      <c r="T76" s="132">
        <f>IFERROR(__xludf.DUMMYFUNCTION("""COMPUTED_VALUE"""),786.0179999999999)</f>
        <v>786.018</v>
      </c>
      <c r="U76" s="132"/>
      <c r="V76" s="132"/>
      <c r="W76" s="132"/>
      <c r="X76" s="132"/>
      <c r="Y76" s="132"/>
      <c r="Z76" s="132"/>
    </row>
    <row r="77">
      <c r="A77" s="136">
        <f>IFERROR(__xludf.DUMMYFUNCTION("""COMPUTED_VALUE"""),45369.0)</f>
        <v>45369</v>
      </c>
      <c r="B77" s="132" t="str">
        <f>IFERROR(__xludf.DUMMYFUNCTION("""COMPUTED_VALUE"""),"Soup")</f>
        <v>Soup</v>
      </c>
      <c r="C77" s="132" t="str">
        <f>IFERROR(__xludf.DUMMYFUNCTION("""COMPUTED_VALUE"""),"食物")</f>
        <v>食物</v>
      </c>
      <c r="D77" s="132">
        <f>IFERROR(__xludf.DUMMYFUNCTION("""COMPUTED_VALUE"""),10.33)</f>
        <v>10.33</v>
      </c>
      <c r="E77" s="132" t="str">
        <f>IFERROR(__xludf.DUMMYFUNCTION("""COMPUTED_VALUE"""),"Pigskin")</f>
        <v>Pigskin</v>
      </c>
      <c r="F77" s="132">
        <f>IFERROR(__xludf.DUMMYFUNCTION("""COMPUTED_VALUE"""),1.7216666666666667)</f>
        <v>1.721666667</v>
      </c>
      <c r="G77" s="132">
        <f>IFERROR(__xludf.DUMMYFUNCTION("""COMPUTED_VALUE"""),1.7216666666666667)</f>
        <v>1.721666667</v>
      </c>
      <c r="H77" s="132">
        <f>IFERROR(__xludf.DUMMYFUNCTION("""COMPUTED_VALUE"""),1.0)</f>
        <v>1</v>
      </c>
      <c r="I77" s="132">
        <f>IFERROR(__xludf.DUMMYFUNCTION("""COMPUTED_VALUE"""),1.0)</f>
        <v>1</v>
      </c>
      <c r="J77" s="132">
        <f>IFERROR(__xludf.DUMMYFUNCTION("""COMPUTED_VALUE"""),1.0)</f>
        <v>1</v>
      </c>
      <c r="K77" s="132">
        <f>IFERROR(__xludf.DUMMYFUNCTION("""COMPUTED_VALUE"""),1.0)</f>
        <v>1</v>
      </c>
      <c r="L77" s="132"/>
      <c r="M77" s="132">
        <f>IFERROR(__xludf.DUMMYFUNCTION("""COMPUTED_VALUE"""),1.0)</f>
        <v>1</v>
      </c>
      <c r="N77" s="132">
        <f>IFERROR(__xludf.DUMMYFUNCTION("""COMPUTED_VALUE"""),1.0)</f>
        <v>1</v>
      </c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6">
        <f>IFERROR(__xludf.DUMMYFUNCTION("""COMPUTED_VALUE"""),45368.0)</f>
        <v>45368</v>
      </c>
      <c r="B78" s="132" t="str">
        <f>IFERROR(__xludf.DUMMYFUNCTION("""COMPUTED_VALUE"""),"Tnt")</f>
        <v>Tnt</v>
      </c>
      <c r="C78" s="132" t="str">
        <f>IFERROR(__xludf.DUMMYFUNCTION("""COMPUTED_VALUE"""),"食物")</f>
        <v>食物</v>
      </c>
      <c r="D78" s="132">
        <f>IFERROR(__xludf.DUMMYFUNCTION("""COMPUTED_VALUE"""),65.93)</f>
        <v>65.93</v>
      </c>
      <c r="E78" s="132" t="str">
        <f>IFERROR(__xludf.DUMMYFUNCTION("""COMPUTED_VALUE"""),"Timothy")</f>
        <v>Timothy</v>
      </c>
      <c r="F78" s="132">
        <f>IFERROR(__xludf.DUMMYFUNCTION("""COMPUTED_VALUE"""),10.988333333333335)</f>
        <v>10.98833333</v>
      </c>
      <c r="G78" s="132">
        <f>IFERROR(__xludf.DUMMYFUNCTION("""COMPUTED_VALUE"""),10.988333333333335)</f>
        <v>10.98833333</v>
      </c>
      <c r="H78" s="132">
        <f>IFERROR(__xludf.DUMMYFUNCTION("""COMPUTED_VALUE"""),1.0)</f>
        <v>1</v>
      </c>
      <c r="I78" s="132">
        <f>IFERROR(__xludf.DUMMYFUNCTION("""COMPUTED_VALUE"""),1.0)</f>
        <v>1</v>
      </c>
      <c r="J78" s="132">
        <f>IFERROR(__xludf.DUMMYFUNCTION("""COMPUTED_VALUE"""),1.0)</f>
        <v>1</v>
      </c>
      <c r="K78" s="132">
        <f>IFERROR(__xludf.DUMMYFUNCTION("""COMPUTED_VALUE"""),1.0)</f>
        <v>1</v>
      </c>
      <c r="L78" s="132"/>
      <c r="M78" s="132">
        <f>IFERROR(__xludf.DUMMYFUNCTION("""COMPUTED_VALUE"""),1.0)</f>
        <v>1</v>
      </c>
      <c r="N78" s="132">
        <f>IFERROR(__xludf.DUMMYFUNCTION("""COMPUTED_VALUE"""),1.0)</f>
        <v>1</v>
      </c>
      <c r="O78" s="132"/>
      <c r="P78" s="132"/>
      <c r="Q78" s="134">
        <f>IFERROR(__xludf.DUMMYFUNCTION("""COMPUTED_VALUE"""),45413.0)</f>
        <v>45413</v>
      </c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6">
        <f>IFERROR(__xludf.DUMMYFUNCTION("""COMPUTED_VALUE"""),45366.0)</f>
        <v>45366</v>
      </c>
      <c r="B79" s="132" t="str">
        <f>IFERROR(__xludf.DUMMYFUNCTION("""COMPUTED_VALUE"""),"Food basic")</f>
        <v>Food basic</v>
      </c>
      <c r="C79" s="132" t="str">
        <f>IFERROR(__xludf.DUMMYFUNCTION("""COMPUTED_VALUE"""),"食物")</f>
        <v>食物</v>
      </c>
      <c r="D79" s="132">
        <f>IFERROR(__xludf.DUMMYFUNCTION("""COMPUTED_VALUE"""),5.11)</f>
        <v>5.11</v>
      </c>
      <c r="E79" s="132" t="str">
        <f>IFERROR(__xludf.DUMMYFUNCTION("""COMPUTED_VALUE"""),"Pigskin")</f>
        <v>Pigskin</v>
      </c>
      <c r="F79" s="132">
        <f>IFERROR(__xludf.DUMMYFUNCTION("""COMPUTED_VALUE"""),1.2775)</f>
        <v>1.2775</v>
      </c>
      <c r="G79" s="132">
        <f>IFERROR(__xludf.DUMMYFUNCTION("""COMPUTED_VALUE"""),1.2775)</f>
        <v>1.2775</v>
      </c>
      <c r="H79" s="132"/>
      <c r="I79" s="132">
        <f>IFERROR(__xludf.DUMMYFUNCTION("""COMPUTED_VALUE"""),1.0)</f>
        <v>1</v>
      </c>
      <c r="J79" s="132">
        <f>IFERROR(__xludf.DUMMYFUNCTION("""COMPUTED_VALUE"""),1.0)</f>
        <v>1</v>
      </c>
      <c r="K79" s="132">
        <f>IFERROR(__xludf.DUMMYFUNCTION("""COMPUTED_VALUE"""),1.0)</f>
        <v>1</v>
      </c>
      <c r="L79" s="132"/>
      <c r="M79" s="132"/>
      <c r="N79" s="132">
        <f>IFERROR(__xludf.DUMMYFUNCTION("""COMPUTED_VALUE"""),1.0)</f>
        <v>1</v>
      </c>
      <c r="O79" s="132"/>
      <c r="P79" s="132"/>
      <c r="Q79" s="132"/>
      <c r="R79" s="132" t="str">
        <f>IFERROR(__xludf.DUMMYFUNCTION("""COMPUTED_VALUE"""),"Water")</f>
        <v>Water</v>
      </c>
      <c r="S79" s="132">
        <f>IFERROR(__xludf.DUMMYFUNCTION("""COMPUTED_VALUE"""),428.7)</f>
        <v>428.7</v>
      </c>
      <c r="T79" s="132">
        <f>IFERROR(__xludf.DUMMYFUNCTION("""COMPUTED_VALUE"""),85.74)</f>
        <v>85.74</v>
      </c>
      <c r="U79" s="132" t="str">
        <f>IFERROR(__xludf.DUMMYFUNCTION("""COMPUTED_VALUE"""),"Paid")</f>
        <v>Paid</v>
      </c>
      <c r="V79" s="132" t="str">
        <f>IFERROR(__xludf.DUMMYFUNCTION("""COMPUTED_VALUE"""),"Paid")</f>
        <v>Paid</v>
      </c>
      <c r="W79" s="132" t="str">
        <f>IFERROR(__xludf.DUMMYFUNCTION("""COMPUTED_VALUE"""),"Paid")</f>
        <v>Paid</v>
      </c>
      <c r="X79" s="132" t="str">
        <f>IFERROR(__xludf.DUMMYFUNCTION("""COMPUTED_VALUE"""),"Paid")</f>
        <v>Paid</v>
      </c>
      <c r="Y79" s="132" t="str">
        <f>IFERROR(__xludf.DUMMYFUNCTION("""COMPUTED_VALUE"""),"Paid")</f>
        <v>Paid</v>
      </c>
      <c r="Z79" s="132"/>
    </row>
    <row r="80">
      <c r="A80" s="136">
        <f>IFERROR(__xludf.DUMMYFUNCTION("""COMPUTED_VALUE"""),45367.0)</f>
        <v>45367</v>
      </c>
      <c r="B80" s="132" t="str">
        <f>IFERROR(__xludf.DUMMYFUNCTION("""COMPUTED_VALUE"""),"Food basic ")</f>
        <v>Food basic </v>
      </c>
      <c r="C80" s="132" t="str">
        <f>IFERROR(__xludf.DUMMYFUNCTION("""COMPUTED_VALUE"""),"食物")</f>
        <v>食物</v>
      </c>
      <c r="D80" s="132">
        <f>IFERROR(__xludf.DUMMYFUNCTION("""COMPUTED_VALUE"""),42.08)</f>
        <v>42.08</v>
      </c>
      <c r="E80" s="132" t="str">
        <f>IFERROR(__xludf.DUMMYFUNCTION("""COMPUTED_VALUE"""),"Pigskin")</f>
        <v>Pigskin</v>
      </c>
      <c r="F80" s="132">
        <f>IFERROR(__xludf.DUMMYFUNCTION("""COMPUTED_VALUE"""),7.013333333333333)</f>
        <v>7.013333333</v>
      </c>
      <c r="G80" s="132">
        <f>IFERROR(__xludf.DUMMYFUNCTION("""COMPUTED_VALUE"""),7.013333333333333)</f>
        <v>7.013333333</v>
      </c>
      <c r="H80" s="132">
        <f>IFERROR(__xludf.DUMMYFUNCTION("""COMPUTED_VALUE"""),1.0)</f>
        <v>1</v>
      </c>
      <c r="I80" s="132">
        <f>IFERROR(__xludf.DUMMYFUNCTION("""COMPUTED_VALUE"""),1.0)</f>
        <v>1</v>
      </c>
      <c r="J80" s="132">
        <f>IFERROR(__xludf.DUMMYFUNCTION("""COMPUTED_VALUE"""),1.0)</f>
        <v>1</v>
      </c>
      <c r="K80" s="132">
        <f>IFERROR(__xludf.DUMMYFUNCTION("""COMPUTED_VALUE"""),1.0)</f>
        <v>1</v>
      </c>
      <c r="L80" s="132"/>
      <c r="M80" s="132">
        <f>IFERROR(__xludf.DUMMYFUNCTION("""COMPUTED_VALUE"""),1.0)</f>
        <v>1</v>
      </c>
      <c r="N80" s="132">
        <f>IFERROR(__xludf.DUMMYFUNCTION("""COMPUTED_VALUE"""),1.0)</f>
        <v>1</v>
      </c>
      <c r="O80" s="132"/>
      <c r="P80" s="132"/>
      <c r="Q80" s="132"/>
      <c r="R80" s="132" t="str">
        <f>IFERROR(__xludf.DUMMYFUNCTION("""COMPUTED_VALUE"""),"Heat")</f>
        <v>Heat</v>
      </c>
      <c r="S80" s="132">
        <f>IFERROR(__xludf.DUMMYFUNCTION("""COMPUTED_VALUE"""),109.38)</f>
        <v>109.38</v>
      </c>
      <c r="T80" s="132">
        <f>IFERROR(__xludf.DUMMYFUNCTION("""COMPUTED_VALUE"""),21.875999999999998)</f>
        <v>21.876</v>
      </c>
      <c r="U80" s="132" t="str">
        <f>IFERROR(__xludf.DUMMYFUNCTION("""COMPUTED_VALUE"""),"Paid")</f>
        <v>Paid</v>
      </c>
      <c r="V80" s="132" t="str">
        <f>IFERROR(__xludf.DUMMYFUNCTION("""COMPUTED_VALUE"""),"Paid")</f>
        <v>Paid</v>
      </c>
      <c r="W80" s="132" t="str">
        <f>IFERROR(__xludf.DUMMYFUNCTION("""COMPUTED_VALUE"""),"Paid")</f>
        <v>Paid</v>
      </c>
      <c r="X80" s="132" t="str">
        <f>IFERROR(__xludf.DUMMYFUNCTION("""COMPUTED_VALUE"""),"Paid")</f>
        <v>Paid</v>
      </c>
      <c r="Y80" s="132" t="str">
        <f>IFERROR(__xludf.DUMMYFUNCTION("""COMPUTED_VALUE"""),"Paid")</f>
        <v>Paid</v>
      </c>
      <c r="Z80" s="132"/>
    </row>
    <row r="81">
      <c r="A81" s="136">
        <f>IFERROR(__xludf.DUMMYFUNCTION("""COMPUTED_VALUE"""),45362.0)</f>
        <v>45362</v>
      </c>
      <c r="B81" s="132" t="str">
        <f>IFERROR(__xludf.DUMMYFUNCTION("""COMPUTED_VALUE"""),"Metro")</f>
        <v>Metro</v>
      </c>
      <c r="C81" s="132" t="str">
        <f>IFERROR(__xludf.DUMMYFUNCTION("""COMPUTED_VALUE"""),"食物")</f>
        <v>食物</v>
      </c>
      <c r="D81" s="132">
        <f>IFERROR(__xludf.DUMMYFUNCTION("""COMPUTED_VALUE"""),10.45)</f>
        <v>10.45</v>
      </c>
      <c r="E81" s="132" t="str">
        <f>IFERROR(__xludf.DUMMYFUNCTION("""COMPUTED_VALUE"""),"Rachel")</f>
        <v>Rachel</v>
      </c>
      <c r="F81" s="132">
        <f>IFERROR(__xludf.DUMMYFUNCTION("""COMPUTED_VALUE"""),1.4928571428571427)</f>
        <v>1.492857143</v>
      </c>
      <c r="G81" s="132">
        <f>IFERROR(__xludf.DUMMYFUNCTION("""COMPUTED_VALUE"""),1.4928571428571427)</f>
        <v>1.492857143</v>
      </c>
      <c r="H81" s="132">
        <f>IFERROR(__xludf.DUMMYFUNCTION("""COMPUTED_VALUE"""),1.0)</f>
        <v>1</v>
      </c>
      <c r="I81" s="132">
        <f>IFERROR(__xludf.DUMMYFUNCTION("""COMPUTED_VALUE"""),1.0)</f>
        <v>1</v>
      </c>
      <c r="J81" s="132">
        <f>IFERROR(__xludf.DUMMYFUNCTION("""COMPUTED_VALUE"""),1.0)</f>
        <v>1</v>
      </c>
      <c r="K81" s="132">
        <f>IFERROR(__xludf.DUMMYFUNCTION("""COMPUTED_VALUE"""),1.0)</f>
        <v>1</v>
      </c>
      <c r="L81" s="132"/>
      <c r="M81" s="132"/>
      <c r="N81" s="132"/>
      <c r="O81" s="132"/>
      <c r="P81" s="132"/>
      <c r="Q81" s="132"/>
      <c r="R81" s="132" t="str">
        <f>IFERROR(__xludf.DUMMYFUNCTION("""COMPUTED_VALUE"""),"Electricity")</f>
        <v>Electricity</v>
      </c>
      <c r="S81" s="132">
        <f>IFERROR(__xludf.DUMMYFUNCTION("""COMPUTED_VALUE"""),97.82)</f>
        <v>97.82</v>
      </c>
      <c r="T81" s="132">
        <f>IFERROR(__xludf.DUMMYFUNCTION("""COMPUTED_VALUE"""),19.564)</f>
        <v>19.564</v>
      </c>
      <c r="U81" s="132" t="str">
        <f>IFERROR(__xludf.DUMMYFUNCTION("""COMPUTED_VALUE"""),"Paid")</f>
        <v>Paid</v>
      </c>
      <c r="V81" s="132" t="str">
        <f>IFERROR(__xludf.DUMMYFUNCTION("""COMPUTED_VALUE"""),"Paid")</f>
        <v>Paid</v>
      </c>
      <c r="W81" s="132" t="str">
        <f>IFERROR(__xludf.DUMMYFUNCTION("""COMPUTED_VALUE"""),"Paid")</f>
        <v>Paid</v>
      </c>
      <c r="X81" s="132" t="str">
        <f>IFERROR(__xludf.DUMMYFUNCTION("""COMPUTED_VALUE"""),"Paid")</f>
        <v>Paid</v>
      </c>
      <c r="Y81" s="132" t="str">
        <f>IFERROR(__xludf.DUMMYFUNCTION("""COMPUTED_VALUE"""),"Paid")</f>
        <v>Paid</v>
      </c>
      <c r="Z81" s="132"/>
    </row>
    <row r="82">
      <c r="A82" s="136">
        <f>IFERROR(__xludf.DUMMYFUNCTION("""COMPUTED_VALUE"""),45363.0)</f>
        <v>45363</v>
      </c>
      <c r="B82" s="132" t="str">
        <f>IFERROR(__xludf.DUMMYFUNCTION("""COMPUTED_VALUE"""),"Foody dinner")</f>
        <v>Foody dinner</v>
      </c>
      <c r="C82" s="132" t="str">
        <f>IFERROR(__xludf.DUMMYFUNCTION("""COMPUTED_VALUE"""),"食物")</f>
        <v>食物</v>
      </c>
      <c r="D82" s="132">
        <f>IFERROR(__xludf.DUMMYFUNCTION("""COMPUTED_VALUE"""),7.59)</f>
        <v>7.59</v>
      </c>
      <c r="E82" s="132" t="str">
        <f>IFERROR(__xludf.DUMMYFUNCTION("""COMPUTED_VALUE"""),"Pigskin")</f>
        <v>Pigskin</v>
      </c>
      <c r="F82" s="132">
        <f>IFERROR(__xludf.DUMMYFUNCTION("""COMPUTED_VALUE"""),1.0842857142857143)</f>
        <v>1.084285714</v>
      </c>
      <c r="G82" s="132">
        <f>IFERROR(__xludf.DUMMYFUNCTION("""COMPUTED_VALUE"""),1.0842857142857143)</f>
        <v>1.084285714</v>
      </c>
      <c r="H82" s="132">
        <f>IFERROR(__xludf.DUMMYFUNCTION("""COMPUTED_VALUE"""),1.0)</f>
        <v>1</v>
      </c>
      <c r="I82" s="132">
        <f>IFERROR(__xludf.DUMMYFUNCTION("""COMPUTED_VALUE"""),1.0)</f>
        <v>1</v>
      </c>
      <c r="J82" s="132">
        <f>IFERROR(__xludf.DUMMYFUNCTION("""COMPUTED_VALUE"""),1.0)</f>
        <v>1</v>
      </c>
      <c r="K82" s="132">
        <f>IFERROR(__xludf.DUMMYFUNCTION("""COMPUTED_VALUE"""),1.0)</f>
        <v>1</v>
      </c>
      <c r="L82" s="132"/>
      <c r="M82" s="132"/>
      <c r="N82" s="132"/>
      <c r="O82" s="132"/>
      <c r="P82" s="132"/>
      <c r="Q82" s="132"/>
      <c r="R82" s="132" t="str">
        <f>IFERROR(__xludf.DUMMYFUNCTION("""COMPUTED_VALUE"""),"Internet")</f>
        <v>Internet</v>
      </c>
      <c r="S82" s="132">
        <f>IFERROR(__xludf.DUMMYFUNCTION("""COMPUTED_VALUE"""),56.5)</f>
        <v>56.5</v>
      </c>
      <c r="T82" s="132">
        <f>IFERROR(__xludf.DUMMYFUNCTION("""COMPUTED_VALUE"""),11.3)</f>
        <v>11.3</v>
      </c>
      <c r="U82" s="132" t="str">
        <f>IFERROR(__xludf.DUMMYFUNCTION("""COMPUTED_VALUE"""),"Paid")</f>
        <v>Paid</v>
      </c>
      <c r="V82" s="132" t="str">
        <f>IFERROR(__xludf.DUMMYFUNCTION("""COMPUTED_VALUE"""),"Paid")</f>
        <v>Paid</v>
      </c>
      <c r="W82" s="132" t="str">
        <f>IFERROR(__xludf.DUMMYFUNCTION("""COMPUTED_VALUE"""),"Paid")</f>
        <v>Paid</v>
      </c>
      <c r="X82" s="132" t="str">
        <f>IFERROR(__xludf.DUMMYFUNCTION("""COMPUTED_VALUE"""),"Paid")</f>
        <v>Paid</v>
      </c>
      <c r="Y82" s="132" t="str">
        <f>IFERROR(__xludf.DUMMYFUNCTION("""COMPUTED_VALUE"""),"Paid")</f>
        <v>Paid</v>
      </c>
      <c r="Z82" s="132"/>
    </row>
    <row r="83">
      <c r="A83" s="136">
        <f>IFERROR(__xludf.DUMMYFUNCTION("""COMPUTED_VALUE"""),45362.0)</f>
        <v>45362</v>
      </c>
      <c r="B83" s="132" t="str">
        <f>IFERROR(__xludf.DUMMYFUNCTION("""COMPUTED_VALUE"""),"Foody dinner")</f>
        <v>Foody dinner</v>
      </c>
      <c r="C83" s="132" t="str">
        <f>IFERROR(__xludf.DUMMYFUNCTION("""COMPUTED_VALUE"""),"食物")</f>
        <v>食物</v>
      </c>
      <c r="D83" s="132">
        <f>IFERROR(__xludf.DUMMYFUNCTION("""COMPUTED_VALUE"""),54.6)</f>
        <v>54.6</v>
      </c>
      <c r="E83" s="132" t="str">
        <f>IFERROR(__xludf.DUMMYFUNCTION("""COMPUTED_VALUE"""),"BL")</f>
        <v>BL</v>
      </c>
      <c r="F83" s="132">
        <f>IFERROR(__xludf.DUMMYFUNCTION("""COMPUTED_VALUE"""),7.8)</f>
        <v>7.8</v>
      </c>
      <c r="G83" s="132">
        <f>IFERROR(__xludf.DUMMYFUNCTION("""COMPUTED_VALUE"""),7.8)</f>
        <v>7.8</v>
      </c>
      <c r="H83" s="132">
        <f>IFERROR(__xludf.DUMMYFUNCTION("""COMPUTED_VALUE"""),1.0)</f>
        <v>1</v>
      </c>
      <c r="I83" s="132">
        <f>IFERROR(__xludf.DUMMYFUNCTION("""COMPUTED_VALUE"""),1.0)</f>
        <v>1</v>
      </c>
      <c r="J83" s="132">
        <f>IFERROR(__xludf.DUMMYFUNCTION("""COMPUTED_VALUE"""),1.0)</f>
        <v>1</v>
      </c>
      <c r="K83" s="132">
        <f>IFERROR(__xludf.DUMMYFUNCTION("""COMPUTED_VALUE"""),1.0)</f>
        <v>1</v>
      </c>
      <c r="L83" s="132"/>
      <c r="M83" s="132"/>
      <c r="N83" s="132"/>
      <c r="O83" s="132"/>
      <c r="P83" s="132"/>
      <c r="Q83" s="132"/>
      <c r="R83" s="132"/>
      <c r="S83" s="132">
        <f>IFERROR(__xludf.DUMMYFUNCTION("""COMPUTED_VALUE"""),692.3999999999999)</f>
        <v>692.4</v>
      </c>
      <c r="T83" s="132">
        <f>IFERROR(__xludf.DUMMYFUNCTION("""COMPUTED_VALUE"""),138.48)</f>
        <v>138.48</v>
      </c>
      <c r="U83" s="132"/>
      <c r="V83" s="132"/>
      <c r="W83" s="132"/>
      <c r="X83" s="132"/>
      <c r="Y83" s="132"/>
      <c r="Z83" s="132"/>
    </row>
    <row r="84">
      <c r="A84" s="136">
        <f>IFERROR(__xludf.DUMMYFUNCTION("""COMPUTED_VALUE"""),45364.0)</f>
        <v>45364</v>
      </c>
      <c r="B84" s="132" t="str">
        <f>IFERROR(__xludf.DUMMYFUNCTION("""COMPUTED_VALUE"""),"Uber")</f>
        <v>Uber</v>
      </c>
      <c r="C84" s="132" t="str">
        <f>IFERROR(__xludf.DUMMYFUNCTION("""COMPUTED_VALUE"""),"交通")</f>
        <v>交通</v>
      </c>
      <c r="D84" s="132">
        <f>IFERROR(__xludf.DUMMYFUNCTION("""COMPUTED_VALUE"""),13.23)</f>
        <v>13.23</v>
      </c>
      <c r="E84" s="132" t="str">
        <f>IFERROR(__xludf.DUMMYFUNCTION("""COMPUTED_VALUE"""),"Pigskin")</f>
        <v>Pigskin</v>
      </c>
      <c r="F84" s="132">
        <f>IFERROR(__xludf.DUMMYFUNCTION("""COMPUTED_VALUE"""),4.41)</f>
        <v>4.41</v>
      </c>
      <c r="G84" s="132">
        <f>IFERROR(__xludf.DUMMYFUNCTION("""COMPUTED_VALUE"""),4.41)</f>
        <v>4.41</v>
      </c>
      <c r="H84" s="132"/>
      <c r="I84" s="132">
        <f>IFERROR(__xludf.DUMMYFUNCTION("""COMPUTED_VALUE"""),1.0)</f>
        <v>1</v>
      </c>
      <c r="J84" s="132"/>
      <c r="K84" s="132">
        <f>IFERROR(__xludf.DUMMYFUNCTION("""COMPUTED_VALUE"""),1.0)</f>
        <v>1</v>
      </c>
      <c r="L84" s="132"/>
      <c r="M84" s="132"/>
      <c r="N84" s="132">
        <f>IFERROR(__xludf.DUMMYFUNCTION("""COMPUTED_VALUE"""),1.0)</f>
        <v>1</v>
      </c>
      <c r="O84" s="132"/>
      <c r="P84" s="132"/>
      <c r="Q84" s="134">
        <f>IFERROR(__xludf.DUMMYFUNCTION("""COMPUTED_VALUE"""),45444.0)</f>
        <v>45444</v>
      </c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3">
        <f>IFERROR(__xludf.DUMMYFUNCTION("""COMPUTED_VALUE"""),45364.0)</f>
        <v>45364</v>
      </c>
      <c r="B85" s="132" t="str">
        <f>IFERROR(__xludf.DUMMYFUNCTION("""COMPUTED_VALUE"""),"Uber")</f>
        <v>Uber</v>
      </c>
      <c r="C85" s="132" t="str">
        <f>IFERROR(__xludf.DUMMYFUNCTION("""COMPUTED_VALUE"""),"交通")</f>
        <v>交通</v>
      </c>
      <c r="D85" s="132">
        <f>IFERROR(__xludf.DUMMYFUNCTION("""COMPUTED_VALUE"""),18.81)</f>
        <v>18.81</v>
      </c>
      <c r="E85" s="132" t="str">
        <f>IFERROR(__xludf.DUMMYFUNCTION("""COMPUTED_VALUE"""),"Pigskin")</f>
        <v>Pigskin</v>
      </c>
      <c r="F85" s="132">
        <f>IFERROR(__xludf.DUMMYFUNCTION("""COMPUTED_VALUE"""),4.7025)</f>
        <v>4.7025</v>
      </c>
      <c r="G85" s="132">
        <f>IFERROR(__xludf.DUMMYFUNCTION("""COMPUTED_VALUE"""),4.7025)</f>
        <v>4.7025</v>
      </c>
      <c r="H85" s="132"/>
      <c r="I85" s="132">
        <f>IFERROR(__xludf.DUMMYFUNCTION("""COMPUTED_VALUE"""),1.0)</f>
        <v>1</v>
      </c>
      <c r="J85" s="132">
        <f>IFERROR(__xludf.DUMMYFUNCTION("""COMPUTED_VALUE"""),1.0)</f>
        <v>1</v>
      </c>
      <c r="K85" s="132">
        <f>IFERROR(__xludf.DUMMYFUNCTION("""COMPUTED_VALUE"""),1.0)</f>
        <v>1</v>
      </c>
      <c r="L85" s="132"/>
      <c r="M85" s="132"/>
      <c r="N85" s="132">
        <f>IFERROR(__xludf.DUMMYFUNCTION("""COMPUTED_VALUE"""),1.0)</f>
        <v>1</v>
      </c>
      <c r="O85" s="132"/>
      <c r="P85" s="132"/>
      <c r="Q85" s="132"/>
      <c r="R85" s="132" t="str">
        <f>IFERROR(__xludf.DUMMYFUNCTION("""COMPUTED_VALUE"""),"Water")</f>
        <v>Water</v>
      </c>
      <c r="S85" s="132"/>
      <c r="T85" s="132">
        <f>IFERROR(__xludf.DUMMYFUNCTION("""COMPUTED_VALUE"""),0.0)</f>
        <v>0</v>
      </c>
      <c r="U85" s="132"/>
      <c r="V85" s="132"/>
      <c r="W85" s="132"/>
      <c r="X85" s="132"/>
      <c r="Y85" s="132"/>
      <c r="Z85" s="132"/>
    </row>
    <row r="86">
      <c r="A86" s="133">
        <f>IFERROR(__xludf.DUMMYFUNCTION("""COMPUTED_VALUE"""),45360.0)</f>
        <v>45360</v>
      </c>
      <c r="B86" s="132" t="str">
        <f>IFERROR(__xludf.DUMMYFUNCTION("""COMPUTED_VALUE"""),"Pizza")</f>
        <v>Pizza</v>
      </c>
      <c r="C86" s="132" t="str">
        <f>IFERROR(__xludf.DUMMYFUNCTION("""COMPUTED_VALUE"""),"食物")</f>
        <v>食物</v>
      </c>
      <c r="D86" s="132">
        <f>IFERROR(__xludf.DUMMYFUNCTION("""COMPUTED_VALUE"""),110.0)</f>
        <v>110</v>
      </c>
      <c r="E86" s="132" t="str">
        <f>IFERROR(__xludf.DUMMYFUNCTION("""COMPUTED_VALUE"""),"Pigskin")</f>
        <v>Pigskin</v>
      </c>
      <c r="F86" s="132">
        <f>IFERROR(__xludf.DUMMYFUNCTION("""COMPUTED_VALUE"""),18.333333333333332)</f>
        <v>18.33333333</v>
      </c>
      <c r="G86" s="132">
        <f>IFERROR(__xludf.DUMMYFUNCTION("""COMPUTED_VALUE"""),18.333333333333332)</f>
        <v>18.33333333</v>
      </c>
      <c r="H86" s="132">
        <f>IFERROR(__xludf.DUMMYFUNCTION("""COMPUTED_VALUE"""),1.0)</f>
        <v>1</v>
      </c>
      <c r="I86" s="132">
        <f>IFERROR(__xludf.DUMMYFUNCTION("""COMPUTED_VALUE"""),1.0)</f>
        <v>1</v>
      </c>
      <c r="J86" s="132">
        <f>IFERROR(__xludf.DUMMYFUNCTION("""COMPUTED_VALUE"""),1.0)</f>
        <v>1</v>
      </c>
      <c r="K86" s="132">
        <f>IFERROR(__xludf.DUMMYFUNCTION("""COMPUTED_VALUE"""),1.0)</f>
        <v>1</v>
      </c>
      <c r="L86" s="132">
        <f>IFERROR(__xludf.DUMMYFUNCTION("""COMPUTED_VALUE"""),1.0)</f>
        <v>1</v>
      </c>
      <c r="M86" s="132"/>
      <c r="N86" s="132">
        <f>IFERROR(__xludf.DUMMYFUNCTION("""COMPUTED_VALUE"""),1.0)</f>
        <v>1</v>
      </c>
      <c r="O86" s="132"/>
      <c r="P86" s="132"/>
      <c r="Q86" s="132"/>
      <c r="R86" s="132" t="str">
        <f>IFERROR(__xludf.DUMMYFUNCTION("""COMPUTED_VALUE"""),"Heat")</f>
        <v>Heat</v>
      </c>
      <c r="S86" s="132">
        <f>IFERROR(__xludf.DUMMYFUNCTION("""COMPUTED_VALUE"""),91.03)</f>
        <v>91.03</v>
      </c>
      <c r="T86" s="132">
        <f>IFERROR(__xludf.DUMMYFUNCTION("""COMPUTED_VALUE"""),18.206)</f>
        <v>18.206</v>
      </c>
      <c r="U86" s="132" t="str">
        <f>IFERROR(__xludf.DUMMYFUNCTION("""COMPUTED_VALUE"""),"Paid")</f>
        <v>Paid</v>
      </c>
      <c r="V86" s="132" t="str">
        <f>IFERROR(__xludf.DUMMYFUNCTION("""COMPUTED_VALUE"""),"Paid")</f>
        <v>Paid</v>
      </c>
      <c r="W86" s="132" t="str">
        <f>IFERROR(__xludf.DUMMYFUNCTION("""COMPUTED_VALUE"""),"Paid")</f>
        <v>Paid</v>
      </c>
      <c r="X86" s="132" t="str">
        <f>IFERROR(__xludf.DUMMYFUNCTION("""COMPUTED_VALUE"""),"Paid")</f>
        <v>Paid</v>
      </c>
      <c r="Y86" s="132" t="str">
        <f>IFERROR(__xludf.DUMMYFUNCTION("""COMPUTED_VALUE"""),"Paid")</f>
        <v>Paid</v>
      </c>
      <c r="Z86" s="132"/>
    </row>
    <row r="87">
      <c r="A87" s="136">
        <f>IFERROR(__xludf.DUMMYFUNCTION("""COMPUTED_VALUE"""),45372.0)</f>
        <v>45372</v>
      </c>
      <c r="B87" s="132" t="str">
        <f>IFERROR(__xludf.DUMMYFUNCTION("""COMPUTED_VALUE"""),"Noodles")</f>
        <v>Noodles</v>
      </c>
      <c r="C87" s="132" t="str">
        <f>IFERROR(__xludf.DUMMYFUNCTION("""COMPUTED_VALUE"""),"食物")</f>
        <v>食物</v>
      </c>
      <c r="D87" s="132">
        <f>IFERROR(__xludf.DUMMYFUNCTION("""COMPUTED_VALUE"""),100.0)</f>
        <v>100</v>
      </c>
      <c r="E87" s="132" t="str">
        <f>IFERROR(__xludf.DUMMYFUNCTION("""COMPUTED_VALUE"""),"BL")</f>
        <v>BL</v>
      </c>
      <c r="F87" s="132">
        <f>IFERROR(__xludf.DUMMYFUNCTION("""COMPUTED_VALUE"""),20.0)</f>
        <v>20</v>
      </c>
      <c r="G87" s="132">
        <f>IFERROR(__xludf.DUMMYFUNCTION("""COMPUTED_VALUE"""),20.0)</f>
        <v>20</v>
      </c>
      <c r="H87" s="132">
        <f>IFERROR(__xludf.DUMMYFUNCTION("""COMPUTED_VALUE"""),1.0)</f>
        <v>1</v>
      </c>
      <c r="I87" s="132">
        <f>IFERROR(__xludf.DUMMYFUNCTION("""COMPUTED_VALUE"""),1.0)</f>
        <v>1</v>
      </c>
      <c r="J87" s="132">
        <f>IFERROR(__xludf.DUMMYFUNCTION("""COMPUTED_VALUE"""),1.0)</f>
        <v>1</v>
      </c>
      <c r="K87" s="132">
        <f>IFERROR(__xludf.DUMMYFUNCTION("""COMPUTED_VALUE"""),1.0)</f>
        <v>1</v>
      </c>
      <c r="L87" s="132"/>
      <c r="M87" s="132">
        <f>IFERROR(__xludf.DUMMYFUNCTION("""COMPUTED_VALUE"""),1.0)</f>
        <v>1</v>
      </c>
      <c r="N87" s="132"/>
      <c r="O87" s="132"/>
      <c r="P87" s="132"/>
      <c r="Q87" s="132"/>
      <c r="R87" s="132" t="str">
        <f>IFERROR(__xludf.DUMMYFUNCTION("""COMPUTED_VALUE"""),"Electricity")</f>
        <v>Electricity</v>
      </c>
      <c r="S87" s="132">
        <f>IFERROR(__xludf.DUMMYFUNCTION("""COMPUTED_VALUE"""),122.11)</f>
        <v>122.11</v>
      </c>
      <c r="T87" s="132">
        <f>IFERROR(__xludf.DUMMYFUNCTION("""COMPUTED_VALUE"""),24.422)</f>
        <v>24.422</v>
      </c>
      <c r="U87" s="132" t="str">
        <f>IFERROR(__xludf.DUMMYFUNCTION("""COMPUTED_VALUE"""),"Paid")</f>
        <v>Paid</v>
      </c>
      <c r="V87" s="132" t="str">
        <f>IFERROR(__xludf.DUMMYFUNCTION("""COMPUTED_VALUE"""),"Paid")</f>
        <v>Paid</v>
      </c>
      <c r="W87" s="132" t="str">
        <f>IFERROR(__xludf.DUMMYFUNCTION("""COMPUTED_VALUE"""),"Paid")</f>
        <v>Paid</v>
      </c>
      <c r="X87" s="132" t="str">
        <f>IFERROR(__xludf.DUMMYFUNCTION("""COMPUTED_VALUE"""),"Paid")</f>
        <v>Paid</v>
      </c>
      <c r="Y87" s="132" t="str">
        <f>IFERROR(__xludf.DUMMYFUNCTION("""COMPUTED_VALUE"""),"Paid")</f>
        <v>Paid</v>
      </c>
      <c r="Z87" s="132"/>
    </row>
    <row r="88">
      <c r="A88" s="136">
        <f>IFERROR(__xludf.DUMMYFUNCTION("""COMPUTED_VALUE"""),-619361.0)</f>
        <v>-619361</v>
      </c>
      <c r="B88" s="132" t="str">
        <f>IFERROR(__xludf.DUMMYFUNCTION("""COMPUTED_VALUE"""),"Foody dinner")</f>
        <v>Foody dinner</v>
      </c>
      <c r="C88" s="132" t="str">
        <f>IFERROR(__xludf.DUMMYFUNCTION("""COMPUTED_VALUE"""),"食物")</f>
        <v>食物</v>
      </c>
      <c r="D88" s="132">
        <f>IFERROR(__xludf.DUMMYFUNCTION("""COMPUTED_VALUE"""),51.55)</f>
        <v>51.55</v>
      </c>
      <c r="E88" s="132" t="str">
        <f>IFERROR(__xludf.DUMMYFUNCTION("""COMPUTED_VALUE"""),"Timothy")</f>
        <v>Timothy</v>
      </c>
      <c r="F88" s="132">
        <f>IFERROR(__xludf.DUMMYFUNCTION("""COMPUTED_VALUE"""),10.309999999999999)</f>
        <v>10.31</v>
      </c>
      <c r="G88" s="132">
        <f>IFERROR(__xludf.DUMMYFUNCTION("""COMPUTED_VALUE"""),10.309999999999999)</f>
        <v>10.31</v>
      </c>
      <c r="H88" s="132">
        <f>IFERROR(__xludf.DUMMYFUNCTION("""COMPUTED_VALUE"""),1.0)</f>
        <v>1</v>
      </c>
      <c r="I88" s="132">
        <f>IFERROR(__xludf.DUMMYFUNCTION("""COMPUTED_VALUE"""),1.0)</f>
        <v>1</v>
      </c>
      <c r="J88" s="132">
        <f>IFERROR(__xludf.DUMMYFUNCTION("""COMPUTED_VALUE"""),1.0)</f>
        <v>1</v>
      </c>
      <c r="K88" s="132">
        <f>IFERROR(__xludf.DUMMYFUNCTION("""COMPUTED_VALUE"""),1.0)</f>
        <v>1</v>
      </c>
      <c r="L88" s="132"/>
      <c r="M88" s="132"/>
      <c r="N88" s="132">
        <f>IFERROR(__xludf.DUMMYFUNCTION("""COMPUTED_VALUE"""),1.0)</f>
        <v>1</v>
      </c>
      <c r="O88" s="132"/>
      <c r="P88" s="132"/>
      <c r="Q88" s="132"/>
      <c r="R88" s="132" t="str">
        <f>IFERROR(__xludf.DUMMYFUNCTION("""COMPUTED_VALUE"""),"Internet")</f>
        <v>Internet</v>
      </c>
      <c r="S88" s="132">
        <f>IFERROR(__xludf.DUMMYFUNCTION("""COMPUTED_VALUE"""),56.5)</f>
        <v>56.5</v>
      </c>
      <c r="T88" s="132">
        <f>IFERROR(__xludf.DUMMYFUNCTION("""COMPUTED_VALUE"""),11.3)</f>
        <v>11.3</v>
      </c>
      <c r="U88" s="132" t="str">
        <f>IFERROR(__xludf.DUMMYFUNCTION("""COMPUTED_VALUE"""),"Paid")</f>
        <v>Paid</v>
      </c>
      <c r="V88" s="132" t="str">
        <f>IFERROR(__xludf.DUMMYFUNCTION("""COMPUTED_VALUE"""),"Paid")</f>
        <v>Paid</v>
      </c>
      <c r="W88" s="132" t="str">
        <f>IFERROR(__xludf.DUMMYFUNCTION("""COMPUTED_VALUE"""),"Paid")</f>
        <v>Paid</v>
      </c>
      <c r="X88" s="132" t="str">
        <f>IFERROR(__xludf.DUMMYFUNCTION("""COMPUTED_VALUE"""),"Paid")</f>
        <v>Paid</v>
      </c>
      <c r="Y88" s="132" t="str">
        <f>IFERROR(__xludf.DUMMYFUNCTION("""COMPUTED_VALUE"""),"Paid")</f>
        <v>Paid</v>
      </c>
      <c r="Z88" s="132"/>
    </row>
    <row r="89">
      <c r="A89" s="136">
        <f>IFERROR(__xludf.DUMMYFUNCTION("""COMPUTED_VALUE"""),45379.0)</f>
        <v>45379</v>
      </c>
      <c r="B89" s="132" t="str">
        <f>IFERROR(__xludf.DUMMYFUNCTION("""COMPUTED_VALUE"""),"Costco")</f>
        <v>Costco</v>
      </c>
      <c r="C89" s="132"/>
      <c r="D89" s="132"/>
      <c r="E89" s="132"/>
      <c r="F89" s="132" t="str">
        <f>IFERROR(__xludf.DUMMYFUNCTION("""COMPUTED_VALUE"""),"#DIV/0!")</f>
        <v>#DIV/0!</v>
      </c>
      <c r="G89" s="132" t="str">
        <f>IFERROR(__xludf.DUMMYFUNCTION("""COMPUTED_VALUE"""),"#DIV/0!")</f>
        <v>#DIV/0!</v>
      </c>
      <c r="H89" s="132"/>
      <c r="I89" s="132"/>
      <c r="J89" s="132"/>
      <c r="K89" s="132"/>
      <c r="L89" s="132"/>
      <c r="M89" s="132"/>
      <c r="N89" s="132"/>
      <c r="O89" s="132"/>
      <c r="P89" s="132"/>
      <c r="Q89" s="132"/>
      <c r="R89" s="132"/>
      <c r="S89" s="132">
        <f>IFERROR(__xludf.DUMMYFUNCTION("""COMPUTED_VALUE"""),269.64)</f>
        <v>269.64</v>
      </c>
      <c r="T89" s="132">
        <f>IFERROR(__xludf.DUMMYFUNCTION("""COMPUTED_VALUE"""),53.928)</f>
        <v>53.928</v>
      </c>
      <c r="U89" s="132"/>
      <c r="V89" s="132"/>
      <c r="W89" s="132"/>
      <c r="X89" s="132"/>
      <c r="Y89" s="132"/>
      <c r="Z89" s="132"/>
    </row>
    <row r="90">
      <c r="A90" s="136"/>
      <c r="B90" s="132" t="str">
        <f>IFERROR(__xludf.DUMMYFUNCTION("""COMPUTED_VALUE"""),"sweeper")</f>
        <v>sweeper</v>
      </c>
      <c r="C90" s="132"/>
      <c r="D90" s="132">
        <f>IFERROR(__xludf.DUMMYFUNCTION("""COMPUTED_VALUE"""),18.0687)</f>
        <v>18.0687</v>
      </c>
      <c r="E90" s="132" t="str">
        <f>IFERROR(__xludf.DUMMYFUNCTION("""COMPUTED_VALUE"""),"Timothy")</f>
        <v>Timothy</v>
      </c>
      <c r="F90" s="132">
        <f>IFERROR(__xludf.DUMMYFUNCTION("""COMPUTED_VALUE"""),3.61374)</f>
        <v>3.61374</v>
      </c>
      <c r="G90" s="132">
        <f>IFERROR(__xludf.DUMMYFUNCTION("""COMPUTED_VALUE"""),3.61374)</f>
        <v>3.61374</v>
      </c>
      <c r="H90" s="132">
        <f>IFERROR(__xludf.DUMMYFUNCTION("""COMPUTED_VALUE"""),1.0)</f>
        <v>1</v>
      </c>
      <c r="I90" s="132">
        <f>IFERROR(__xludf.DUMMYFUNCTION("""COMPUTED_VALUE"""),1.0)</f>
        <v>1</v>
      </c>
      <c r="J90" s="132">
        <f>IFERROR(__xludf.DUMMYFUNCTION("""COMPUTED_VALUE"""),1.0)</f>
        <v>1</v>
      </c>
      <c r="K90" s="132">
        <f>IFERROR(__xludf.DUMMYFUNCTION("""COMPUTED_VALUE"""),1.0)</f>
        <v>1</v>
      </c>
      <c r="L90" s="132"/>
      <c r="M90" s="132"/>
      <c r="N90" s="132">
        <f>IFERROR(__xludf.DUMMYFUNCTION("""COMPUTED_VALUE"""),1.0)</f>
        <v>1</v>
      </c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3"/>
      <c r="B91" s="132" t="str">
        <f>IFERROR(__xludf.DUMMYFUNCTION("""COMPUTED_VALUE"""),"Shrimp")</f>
        <v>Shrimp</v>
      </c>
      <c r="C91" s="132" t="str">
        <f>IFERROR(__xludf.DUMMYFUNCTION("""COMPUTED_VALUE"""),"食物")</f>
        <v>食物</v>
      </c>
      <c r="D91" s="132">
        <f>IFERROR(__xludf.DUMMYFUNCTION("""COMPUTED_VALUE"""),14.99)</f>
        <v>14.99</v>
      </c>
      <c r="E91" s="132" t="str">
        <f>IFERROR(__xludf.DUMMYFUNCTION("""COMPUTED_VALUE"""),"Timothy")</f>
        <v>Timothy</v>
      </c>
      <c r="F91" s="132">
        <f>IFERROR(__xludf.DUMMYFUNCTION("""COMPUTED_VALUE"""),2.998)</f>
        <v>2.998</v>
      </c>
      <c r="G91" s="132">
        <f>IFERROR(__xludf.DUMMYFUNCTION("""COMPUTED_VALUE"""),2.998)</f>
        <v>2.998</v>
      </c>
      <c r="H91" s="132">
        <f>IFERROR(__xludf.DUMMYFUNCTION("""COMPUTED_VALUE"""),1.0)</f>
        <v>1</v>
      </c>
      <c r="I91" s="132">
        <f>IFERROR(__xludf.DUMMYFUNCTION("""COMPUTED_VALUE"""),1.0)</f>
        <v>1</v>
      </c>
      <c r="J91" s="132">
        <f>IFERROR(__xludf.DUMMYFUNCTION("""COMPUTED_VALUE"""),1.0)</f>
        <v>1</v>
      </c>
      <c r="K91" s="132">
        <f>IFERROR(__xludf.DUMMYFUNCTION("""COMPUTED_VALUE"""),1.0)</f>
        <v>1</v>
      </c>
      <c r="L91" s="132"/>
      <c r="M91" s="132"/>
      <c r="N91" s="132">
        <f>IFERROR(__xludf.DUMMYFUNCTION("""COMPUTED_VALUE"""),1.0)</f>
        <v>1</v>
      </c>
      <c r="O91" s="132"/>
      <c r="P91" s="132"/>
      <c r="Q91" s="134">
        <f>IFERROR(__xludf.DUMMYFUNCTION("""COMPUTED_VALUE"""),45474.0)</f>
        <v>45474</v>
      </c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6"/>
      <c r="B92" s="132" t="str">
        <f>IFERROR(__xludf.DUMMYFUNCTION("""COMPUTED_VALUE"""),"Mr clean")</f>
        <v>Mr clean</v>
      </c>
      <c r="C92" s="132" t="str">
        <f>IFERROR(__xludf.DUMMYFUNCTION("""COMPUTED_VALUE"""),"居家")</f>
        <v>居家</v>
      </c>
      <c r="D92" s="132">
        <f>IFERROR(__xludf.DUMMYFUNCTION("""COMPUTED_VALUE"""),10.1587)</f>
        <v>10.1587</v>
      </c>
      <c r="E92" s="132" t="str">
        <f>IFERROR(__xludf.DUMMYFUNCTION("""COMPUTED_VALUE"""),"Timothy")</f>
        <v>Timothy</v>
      </c>
      <c r="F92" s="132">
        <f>IFERROR(__xludf.DUMMYFUNCTION("""COMPUTED_VALUE"""),2.03174)</f>
        <v>2.03174</v>
      </c>
      <c r="G92" s="132">
        <f>IFERROR(__xludf.DUMMYFUNCTION("""COMPUTED_VALUE"""),2.03174)</f>
        <v>2.03174</v>
      </c>
      <c r="H92" s="132">
        <f>IFERROR(__xludf.DUMMYFUNCTION("""COMPUTED_VALUE"""),1.0)</f>
        <v>1</v>
      </c>
      <c r="I92" s="132">
        <f>IFERROR(__xludf.DUMMYFUNCTION("""COMPUTED_VALUE"""),1.0)</f>
        <v>1</v>
      </c>
      <c r="J92" s="132">
        <f>IFERROR(__xludf.DUMMYFUNCTION("""COMPUTED_VALUE"""),1.0)</f>
        <v>1</v>
      </c>
      <c r="K92" s="132">
        <f>IFERROR(__xludf.DUMMYFUNCTION("""COMPUTED_VALUE"""),1.0)</f>
        <v>1</v>
      </c>
      <c r="L92" s="132"/>
      <c r="M92" s="132"/>
      <c r="N92" s="132">
        <f>IFERROR(__xludf.DUMMYFUNCTION("""COMPUTED_VALUE"""),1.0)</f>
        <v>1</v>
      </c>
      <c r="O92" s="132"/>
      <c r="P92" s="132"/>
      <c r="Q92" s="132"/>
      <c r="R92" s="132" t="str">
        <f>IFERROR(__xludf.DUMMYFUNCTION("""COMPUTED_VALUE"""),"Water")</f>
        <v>Water</v>
      </c>
      <c r="S92" s="132"/>
      <c r="T92" s="132">
        <f>IFERROR(__xludf.DUMMYFUNCTION("""COMPUTED_VALUE"""),0.0)</f>
        <v>0</v>
      </c>
      <c r="U92" s="132"/>
      <c r="V92" s="132"/>
      <c r="W92" s="132"/>
      <c r="X92" s="132"/>
      <c r="Y92" s="132"/>
      <c r="Z92" s="132"/>
    </row>
    <row r="93">
      <c r="A93" s="136"/>
      <c r="B93" s="132" t="str">
        <f>IFERROR(__xludf.DUMMYFUNCTION("""COMPUTED_VALUE"""),"Shock")</f>
        <v>Shock</v>
      </c>
      <c r="C93" s="132" t="str">
        <f>IFERROR(__xludf.DUMMYFUNCTION("""COMPUTED_VALUE"""),"衣服")</f>
        <v>衣服</v>
      </c>
      <c r="D93" s="132">
        <f>IFERROR(__xludf.DUMMYFUNCTION("""COMPUTED_VALUE"""),19.198699999999995)</f>
        <v>19.1987</v>
      </c>
      <c r="E93" s="132" t="str">
        <f>IFERROR(__xludf.DUMMYFUNCTION("""COMPUTED_VALUE"""),"Timothy")</f>
        <v>Timothy</v>
      </c>
      <c r="F93" s="132">
        <f>IFERROR(__xludf.DUMMYFUNCTION("""COMPUTED_VALUE"""),19.198699999999995)</f>
        <v>19.1987</v>
      </c>
      <c r="G93" s="132">
        <f>IFERROR(__xludf.DUMMYFUNCTION("""COMPUTED_VALUE"""),19.198699999999995)</f>
        <v>19.1987</v>
      </c>
      <c r="H93" s="132">
        <f>IFERROR(__xludf.DUMMYFUNCTION("""COMPUTED_VALUE"""),1.0)</f>
        <v>1</v>
      </c>
      <c r="I93" s="132"/>
      <c r="J93" s="132"/>
      <c r="K93" s="132"/>
      <c r="L93" s="132"/>
      <c r="M93" s="132"/>
      <c r="N93" s="132"/>
      <c r="O93" s="132"/>
      <c r="P93" s="132"/>
      <c r="Q93" s="132"/>
      <c r="R93" s="132" t="str">
        <f>IFERROR(__xludf.DUMMYFUNCTION("""COMPUTED_VALUE"""),"Heat")</f>
        <v>Heat</v>
      </c>
      <c r="S93" s="132">
        <f>IFERROR(__xludf.DUMMYFUNCTION("""COMPUTED_VALUE"""),101.27)</f>
        <v>101.27</v>
      </c>
      <c r="T93" s="132">
        <f>IFERROR(__xludf.DUMMYFUNCTION("""COMPUTED_VALUE"""),20.253999999999998)</f>
        <v>20.254</v>
      </c>
      <c r="U93" s="132" t="str">
        <f>IFERROR(__xludf.DUMMYFUNCTION("""COMPUTED_VALUE"""),"Paid")</f>
        <v>Paid</v>
      </c>
      <c r="V93" s="132" t="str">
        <f>IFERROR(__xludf.DUMMYFUNCTION("""COMPUTED_VALUE"""),"Paid")</f>
        <v>Paid</v>
      </c>
      <c r="W93" s="132" t="str">
        <f>IFERROR(__xludf.DUMMYFUNCTION("""COMPUTED_VALUE"""),"Paid")</f>
        <v>Paid</v>
      </c>
      <c r="X93" s="132" t="str">
        <f>IFERROR(__xludf.DUMMYFUNCTION("""COMPUTED_VALUE"""),"Paid")</f>
        <v>Paid</v>
      </c>
      <c r="Y93" s="132" t="str">
        <f>IFERROR(__xludf.DUMMYFUNCTION("""COMPUTED_VALUE"""),"Paid")</f>
        <v>Paid</v>
      </c>
      <c r="Z93" s="132"/>
    </row>
    <row r="94">
      <c r="A94" s="133"/>
      <c r="B94" s="132" t="str">
        <f>IFERROR(__xludf.DUMMYFUNCTION("""COMPUTED_VALUE"""),"Blue Berry")</f>
        <v>Blue Berry</v>
      </c>
      <c r="C94" s="132" t="str">
        <f>IFERROR(__xludf.DUMMYFUNCTION("""COMPUTED_VALUE"""),"食物")</f>
        <v>食物</v>
      </c>
      <c r="D94" s="132">
        <f>IFERROR(__xludf.DUMMYFUNCTION("""COMPUTED_VALUE"""),8.79)</f>
        <v>8.79</v>
      </c>
      <c r="E94" s="132" t="str">
        <f>IFERROR(__xludf.DUMMYFUNCTION("""COMPUTED_VALUE"""),"Timothy")</f>
        <v>Timothy</v>
      </c>
      <c r="F94" s="132">
        <f>IFERROR(__xludf.DUMMYFUNCTION("""COMPUTED_VALUE"""),8.79)</f>
        <v>8.79</v>
      </c>
      <c r="G94" s="132">
        <f>IFERROR(__xludf.DUMMYFUNCTION("""COMPUTED_VALUE"""),8.79)</f>
        <v>8.79</v>
      </c>
      <c r="H94" s="132"/>
      <c r="I94" s="132"/>
      <c r="J94" s="132"/>
      <c r="K94" s="132"/>
      <c r="L94" s="132"/>
      <c r="M94" s="132">
        <f>IFERROR(__xludf.DUMMYFUNCTION("""COMPUTED_VALUE"""),1.0)</f>
        <v>1</v>
      </c>
      <c r="N94" s="132"/>
      <c r="O94" s="132"/>
      <c r="P94" s="132"/>
      <c r="Q94" s="132"/>
      <c r="R94" s="132" t="str">
        <f>IFERROR(__xludf.DUMMYFUNCTION("""COMPUTED_VALUE"""),"Electricity")</f>
        <v>Electricity</v>
      </c>
      <c r="S94" s="132">
        <f>IFERROR(__xludf.DUMMYFUNCTION("""COMPUTED_VALUE"""),170.93)</f>
        <v>170.93</v>
      </c>
      <c r="T94" s="132">
        <f>IFERROR(__xludf.DUMMYFUNCTION("""COMPUTED_VALUE"""),34.186)</f>
        <v>34.186</v>
      </c>
      <c r="U94" s="132" t="str">
        <f>IFERROR(__xludf.DUMMYFUNCTION("""COMPUTED_VALUE"""),"Paid")</f>
        <v>Paid</v>
      </c>
      <c r="V94" s="132" t="str">
        <f>IFERROR(__xludf.DUMMYFUNCTION("""COMPUTED_VALUE"""),"Paid")</f>
        <v>Paid</v>
      </c>
      <c r="W94" s="132" t="str">
        <f>IFERROR(__xludf.DUMMYFUNCTION("""COMPUTED_VALUE"""),"Paid")</f>
        <v>Paid</v>
      </c>
      <c r="X94" s="132" t="str">
        <f>IFERROR(__xludf.DUMMYFUNCTION("""COMPUTED_VALUE"""),"Paid")</f>
        <v>Paid</v>
      </c>
      <c r="Y94" s="132" t="str">
        <f>IFERROR(__xludf.DUMMYFUNCTION("""COMPUTED_VALUE"""),"Paid")</f>
        <v>Paid</v>
      </c>
      <c r="Z94" s="132"/>
    </row>
    <row r="95">
      <c r="A95" s="133"/>
      <c r="B95" s="132" t="str">
        <f>IFERROR(__xludf.DUMMYFUNCTION("""COMPUTED_VALUE"""),"Tomato")</f>
        <v>Tomato</v>
      </c>
      <c r="C95" s="132" t="str">
        <f>IFERROR(__xludf.DUMMYFUNCTION("""COMPUTED_VALUE"""),"食物")</f>
        <v>食物</v>
      </c>
      <c r="D95" s="132">
        <f>IFERROR(__xludf.DUMMYFUNCTION("""COMPUTED_VALUE"""),5.89)</f>
        <v>5.89</v>
      </c>
      <c r="E95" s="132" t="str">
        <f>IFERROR(__xludf.DUMMYFUNCTION("""COMPUTED_VALUE"""),"Timothy")</f>
        <v>Timothy</v>
      </c>
      <c r="F95" s="132">
        <f>IFERROR(__xludf.DUMMYFUNCTION("""COMPUTED_VALUE"""),1.178)</f>
        <v>1.178</v>
      </c>
      <c r="G95" s="132">
        <f>IFERROR(__xludf.DUMMYFUNCTION("""COMPUTED_VALUE"""),1.178)</f>
        <v>1.178</v>
      </c>
      <c r="H95" s="132">
        <f>IFERROR(__xludf.DUMMYFUNCTION("""COMPUTED_VALUE"""),1.0)</f>
        <v>1</v>
      </c>
      <c r="I95" s="132">
        <f>IFERROR(__xludf.DUMMYFUNCTION("""COMPUTED_VALUE"""),1.0)</f>
        <v>1</v>
      </c>
      <c r="J95" s="132">
        <f>IFERROR(__xludf.DUMMYFUNCTION("""COMPUTED_VALUE"""),1.0)</f>
        <v>1</v>
      </c>
      <c r="K95" s="132">
        <f>IFERROR(__xludf.DUMMYFUNCTION("""COMPUTED_VALUE"""),1.0)</f>
        <v>1</v>
      </c>
      <c r="L95" s="132"/>
      <c r="M95" s="132"/>
      <c r="N95" s="132">
        <f>IFERROR(__xludf.DUMMYFUNCTION("""COMPUTED_VALUE"""),1.0)</f>
        <v>1</v>
      </c>
      <c r="O95" s="132"/>
      <c r="P95" s="132"/>
      <c r="Q95" s="132"/>
      <c r="R95" s="132" t="str">
        <f>IFERROR(__xludf.DUMMYFUNCTION("""COMPUTED_VALUE"""),"Internet")</f>
        <v>Internet</v>
      </c>
      <c r="S95" s="132">
        <f>IFERROR(__xludf.DUMMYFUNCTION("""COMPUTED_VALUE"""),56.5)</f>
        <v>56.5</v>
      </c>
      <c r="T95" s="132">
        <f>IFERROR(__xludf.DUMMYFUNCTION("""COMPUTED_VALUE"""),11.3)</f>
        <v>11.3</v>
      </c>
      <c r="U95" s="132" t="str">
        <f>IFERROR(__xludf.DUMMYFUNCTION("""COMPUTED_VALUE"""),"Paid")</f>
        <v>Paid</v>
      </c>
      <c r="V95" s="132" t="str">
        <f>IFERROR(__xludf.DUMMYFUNCTION("""COMPUTED_VALUE"""),"Paid")</f>
        <v>Paid</v>
      </c>
      <c r="W95" s="132" t="str">
        <f>IFERROR(__xludf.DUMMYFUNCTION("""COMPUTED_VALUE"""),"Paid")</f>
        <v>Paid</v>
      </c>
      <c r="X95" s="132" t="str">
        <f>IFERROR(__xludf.DUMMYFUNCTION("""COMPUTED_VALUE"""),"Paid")</f>
        <v>Paid</v>
      </c>
      <c r="Y95" s="132" t="str">
        <f>IFERROR(__xludf.DUMMYFUNCTION("""COMPUTED_VALUE"""),"Paid")</f>
        <v>Paid</v>
      </c>
      <c r="Z95" s="132"/>
    </row>
    <row r="96">
      <c r="A96" s="133"/>
      <c r="B96" s="132" t="str">
        <f>IFERROR(__xludf.DUMMYFUNCTION("""COMPUTED_VALUE"""),"Sugar")</f>
        <v>Sugar</v>
      </c>
      <c r="C96" s="132" t="str">
        <f>IFERROR(__xludf.DUMMYFUNCTION("""COMPUTED_VALUE"""),"食物")</f>
        <v>食物</v>
      </c>
      <c r="D96" s="132">
        <f>IFERROR(__xludf.DUMMYFUNCTION("""COMPUTED_VALUE"""),5.49)</f>
        <v>5.49</v>
      </c>
      <c r="E96" s="132" t="str">
        <f>IFERROR(__xludf.DUMMYFUNCTION("""COMPUTED_VALUE"""),"Timothy")</f>
        <v>Timothy</v>
      </c>
      <c r="F96" s="132">
        <f>IFERROR(__xludf.DUMMYFUNCTION("""COMPUTED_VALUE"""),1.098)</f>
        <v>1.098</v>
      </c>
      <c r="G96" s="132">
        <f>IFERROR(__xludf.DUMMYFUNCTION("""COMPUTED_VALUE"""),1.098)</f>
        <v>1.098</v>
      </c>
      <c r="H96" s="132">
        <f>IFERROR(__xludf.DUMMYFUNCTION("""COMPUTED_VALUE"""),1.0)</f>
        <v>1</v>
      </c>
      <c r="I96" s="132">
        <f>IFERROR(__xludf.DUMMYFUNCTION("""COMPUTED_VALUE"""),1.0)</f>
        <v>1</v>
      </c>
      <c r="J96" s="132">
        <f>IFERROR(__xludf.DUMMYFUNCTION("""COMPUTED_VALUE"""),1.0)</f>
        <v>1</v>
      </c>
      <c r="K96" s="132">
        <f>IFERROR(__xludf.DUMMYFUNCTION("""COMPUTED_VALUE"""),1.0)</f>
        <v>1</v>
      </c>
      <c r="L96" s="132"/>
      <c r="M96" s="132"/>
      <c r="N96" s="132">
        <f>IFERROR(__xludf.DUMMYFUNCTION("""COMPUTED_VALUE"""),1.0)</f>
        <v>1</v>
      </c>
      <c r="O96" s="132"/>
      <c r="P96" s="132"/>
      <c r="Q96" s="132"/>
      <c r="R96" s="132"/>
      <c r="S96" s="132">
        <f>IFERROR(__xludf.DUMMYFUNCTION("""COMPUTED_VALUE"""),328.7)</f>
        <v>328.7</v>
      </c>
      <c r="T96" s="132">
        <f>IFERROR(__xludf.DUMMYFUNCTION("""COMPUTED_VALUE"""),65.74)</f>
        <v>65.74</v>
      </c>
      <c r="U96" s="132"/>
      <c r="V96" s="132"/>
      <c r="W96" s="132"/>
      <c r="X96" s="132"/>
      <c r="Y96" s="132"/>
      <c r="Z96" s="132"/>
    </row>
    <row r="97">
      <c r="A97" s="133"/>
      <c r="B97" s="132" t="str">
        <f>IFERROR(__xludf.DUMMYFUNCTION("""COMPUTED_VALUE"""),"Lotion")</f>
        <v>Lotion</v>
      </c>
      <c r="C97" s="132" t="str">
        <f>IFERROR(__xludf.DUMMYFUNCTION("""COMPUTED_VALUE"""),"居家")</f>
        <v>居家</v>
      </c>
      <c r="D97" s="132">
        <f>IFERROR(__xludf.DUMMYFUNCTION("""COMPUTED_VALUE"""),25.978699999999996)</f>
        <v>25.9787</v>
      </c>
      <c r="E97" s="132" t="str">
        <f>IFERROR(__xludf.DUMMYFUNCTION("""COMPUTED_VALUE"""),"Timothy")</f>
        <v>Timothy</v>
      </c>
      <c r="F97" s="132">
        <f>IFERROR(__xludf.DUMMYFUNCTION("""COMPUTED_VALUE"""),25.978699999999996)</f>
        <v>25.9787</v>
      </c>
      <c r="G97" s="132">
        <f>IFERROR(__xludf.DUMMYFUNCTION("""COMPUTED_VALUE"""),25.978699999999996)</f>
        <v>25.9787</v>
      </c>
      <c r="H97" s="132"/>
      <c r="I97" s="132"/>
      <c r="J97" s="132">
        <f>IFERROR(__xludf.DUMMYFUNCTION("""COMPUTED_VALUE"""),1.0)</f>
        <v>1</v>
      </c>
      <c r="K97" s="132"/>
      <c r="L97" s="132"/>
      <c r="M97" s="132"/>
      <c r="N97" s="132"/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3"/>
      <c r="B98" s="132" t="str">
        <f>IFERROR(__xludf.DUMMYFUNCTION("""COMPUTED_VALUE"""),"Chicken Breast")</f>
        <v>Chicken Breast</v>
      </c>
      <c r="C98" s="132" t="str">
        <f>IFERROR(__xludf.DUMMYFUNCTION("""COMPUTED_VALUE"""),"食物")</f>
        <v>食物</v>
      </c>
      <c r="D98" s="132">
        <f>IFERROR(__xludf.DUMMYFUNCTION("""COMPUTED_VALUE"""),116.56)</f>
        <v>116.56</v>
      </c>
      <c r="E98" s="132" t="str">
        <f>IFERROR(__xludf.DUMMYFUNCTION("""COMPUTED_VALUE"""),"Timothy")</f>
        <v>Timothy</v>
      </c>
      <c r="F98" s="132">
        <f>IFERROR(__xludf.DUMMYFUNCTION("""COMPUTED_VALUE"""),29.14)</f>
        <v>29.14</v>
      </c>
      <c r="G98" s="132">
        <f>IFERROR(__xludf.DUMMYFUNCTION("""COMPUTED_VALUE"""),29.14)</f>
        <v>29.14</v>
      </c>
      <c r="H98" s="132"/>
      <c r="I98" s="132"/>
      <c r="J98" s="132">
        <f>IFERROR(__xludf.DUMMYFUNCTION("""COMPUTED_VALUE"""),1.0)</f>
        <v>1</v>
      </c>
      <c r="K98" s="132"/>
      <c r="L98" s="132">
        <f>IFERROR(__xludf.DUMMYFUNCTION("""COMPUTED_VALUE"""),1.0)</f>
        <v>1</v>
      </c>
      <c r="M98" s="132">
        <f>IFERROR(__xludf.DUMMYFUNCTION("""COMPUTED_VALUE"""),1.0)</f>
        <v>1</v>
      </c>
      <c r="N98" s="132">
        <f>IFERROR(__xludf.DUMMYFUNCTION("""COMPUTED_VALUE"""),1.0)</f>
        <v>1</v>
      </c>
      <c r="O98" s="132"/>
      <c r="P98" s="132"/>
      <c r="Q98" s="134">
        <f>IFERROR(__xludf.DUMMYFUNCTION("""COMPUTED_VALUE"""),45505.0)</f>
        <v>45505</v>
      </c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3"/>
      <c r="B99" s="132" t="str">
        <f>IFERROR(__xludf.DUMMYFUNCTION("""COMPUTED_VALUE"""),"Stawberry")</f>
        <v>Stawberry</v>
      </c>
      <c r="C99" s="132" t="str">
        <f>IFERROR(__xludf.DUMMYFUNCTION("""COMPUTED_VALUE"""),"食物")</f>
        <v>食物</v>
      </c>
      <c r="D99" s="132">
        <f>IFERROR(__xludf.DUMMYFUNCTION("""COMPUTED_VALUE"""),5.99)</f>
        <v>5.99</v>
      </c>
      <c r="E99" s="132" t="str">
        <f>IFERROR(__xludf.DUMMYFUNCTION("""COMPUTED_VALUE"""),"Timothy")</f>
        <v>Timothy</v>
      </c>
      <c r="F99" s="132">
        <f>IFERROR(__xludf.DUMMYFUNCTION("""COMPUTED_VALUE"""),1.198)</f>
        <v>1.198</v>
      </c>
      <c r="G99" s="132">
        <f>IFERROR(__xludf.DUMMYFUNCTION("""COMPUTED_VALUE"""),1.198)</f>
        <v>1.198</v>
      </c>
      <c r="H99" s="132">
        <f>IFERROR(__xludf.DUMMYFUNCTION("""COMPUTED_VALUE"""),1.0)</f>
        <v>1</v>
      </c>
      <c r="I99" s="132">
        <f>IFERROR(__xludf.DUMMYFUNCTION("""COMPUTED_VALUE"""),1.0)</f>
        <v>1</v>
      </c>
      <c r="J99" s="132">
        <f>IFERROR(__xludf.DUMMYFUNCTION("""COMPUTED_VALUE"""),1.0)</f>
        <v>1</v>
      </c>
      <c r="K99" s="132">
        <f>IFERROR(__xludf.DUMMYFUNCTION("""COMPUTED_VALUE"""),1.0)</f>
        <v>1</v>
      </c>
      <c r="L99" s="132"/>
      <c r="M99" s="132"/>
      <c r="N99" s="132">
        <f>IFERROR(__xludf.DUMMYFUNCTION("""COMPUTED_VALUE"""),1.0)</f>
        <v>1</v>
      </c>
      <c r="O99" s="132"/>
      <c r="P99" s="132"/>
      <c r="Q99" s="132"/>
      <c r="R99" s="132" t="str">
        <f>IFERROR(__xludf.DUMMYFUNCTION("""COMPUTED_VALUE"""),"Water (Pay by Rachel)")</f>
        <v>Water (Pay by Rachel)</v>
      </c>
      <c r="S99" s="132">
        <f>IFERROR(__xludf.DUMMYFUNCTION("""COMPUTED_VALUE"""),375.27)</f>
        <v>375.27</v>
      </c>
      <c r="T99" s="132">
        <f>IFERROR(__xludf.DUMMYFUNCTION("""COMPUTED_VALUE"""),75.054)</f>
        <v>75.054</v>
      </c>
      <c r="U99" s="132" t="str">
        <f>IFERROR(__xludf.DUMMYFUNCTION("""COMPUTED_VALUE"""),"Paid")</f>
        <v>Paid</v>
      </c>
      <c r="V99" s="132" t="str">
        <f>IFERROR(__xludf.DUMMYFUNCTION("""COMPUTED_VALUE"""),"Paid")</f>
        <v>Paid</v>
      </c>
      <c r="W99" s="132" t="str">
        <f>IFERROR(__xludf.DUMMYFUNCTION("""COMPUTED_VALUE"""),"Paid")</f>
        <v>Paid</v>
      </c>
      <c r="X99" s="132" t="str">
        <f>IFERROR(__xludf.DUMMYFUNCTION("""COMPUTED_VALUE"""),"Paid")</f>
        <v>Paid</v>
      </c>
      <c r="Y99" s="132" t="str">
        <f>IFERROR(__xludf.DUMMYFUNCTION("""COMPUTED_VALUE"""),"Paid")</f>
        <v>Paid</v>
      </c>
      <c r="Z99" s="132"/>
    </row>
    <row r="100">
      <c r="A100" s="133"/>
      <c r="B100" s="132" t="str">
        <f>IFERROR(__xludf.DUMMYFUNCTION("""COMPUTED_VALUE"""),"Toilet paper")</f>
        <v>Toilet paper</v>
      </c>
      <c r="C100" s="132" t="str">
        <f>IFERROR(__xludf.DUMMYFUNCTION("""COMPUTED_VALUE"""),"居家")</f>
        <v>居家</v>
      </c>
      <c r="D100" s="132">
        <f>IFERROR(__xludf.DUMMYFUNCTION("""COMPUTED_VALUE"""),27.108699999999995)</f>
        <v>27.1087</v>
      </c>
      <c r="E100" s="132" t="str">
        <f>IFERROR(__xludf.DUMMYFUNCTION("""COMPUTED_VALUE"""),"Timothy")</f>
        <v>Timothy</v>
      </c>
      <c r="F100" s="132">
        <f>IFERROR(__xludf.DUMMYFUNCTION("""COMPUTED_VALUE"""),5.421739999999999)</f>
        <v>5.42174</v>
      </c>
      <c r="G100" s="132">
        <f>IFERROR(__xludf.DUMMYFUNCTION("""COMPUTED_VALUE"""),5.421739999999999)</f>
        <v>5.42174</v>
      </c>
      <c r="H100" s="132">
        <f>IFERROR(__xludf.DUMMYFUNCTION("""COMPUTED_VALUE"""),1.0)</f>
        <v>1</v>
      </c>
      <c r="I100" s="132">
        <f>IFERROR(__xludf.DUMMYFUNCTION("""COMPUTED_VALUE"""),1.0)</f>
        <v>1</v>
      </c>
      <c r="J100" s="132">
        <f>IFERROR(__xludf.DUMMYFUNCTION("""COMPUTED_VALUE"""),1.0)</f>
        <v>1</v>
      </c>
      <c r="K100" s="132">
        <f>IFERROR(__xludf.DUMMYFUNCTION("""COMPUTED_VALUE"""),1.0)</f>
        <v>1</v>
      </c>
      <c r="L100" s="132"/>
      <c r="M100" s="132"/>
      <c r="N100" s="132">
        <f>IFERROR(__xludf.DUMMYFUNCTION("""COMPUTED_VALUE"""),1.0)</f>
        <v>1</v>
      </c>
      <c r="O100" s="132"/>
      <c r="P100" s="132"/>
      <c r="Q100" s="132"/>
      <c r="R100" s="132" t="str">
        <f>IFERROR(__xludf.DUMMYFUNCTION("""COMPUTED_VALUE"""),"Heat")</f>
        <v>Heat</v>
      </c>
      <c r="S100" s="132">
        <f>IFERROR(__xludf.DUMMYFUNCTION("""COMPUTED_VALUE"""),47.34)</f>
        <v>47.34</v>
      </c>
      <c r="T100" s="132">
        <f>IFERROR(__xludf.DUMMYFUNCTION("""COMPUTED_VALUE"""),9.468)</f>
        <v>9.468</v>
      </c>
      <c r="U100" s="132" t="str">
        <f>IFERROR(__xludf.DUMMYFUNCTION("""COMPUTED_VALUE"""),"Paid")</f>
        <v>Paid</v>
      </c>
      <c r="V100" s="132" t="str">
        <f>IFERROR(__xludf.DUMMYFUNCTION("""COMPUTED_VALUE"""),"Paid")</f>
        <v>Paid</v>
      </c>
      <c r="W100" s="132" t="str">
        <f>IFERROR(__xludf.DUMMYFUNCTION("""COMPUTED_VALUE"""),"Paid")</f>
        <v>Paid</v>
      </c>
      <c r="X100" s="132" t="str">
        <f>IFERROR(__xludf.DUMMYFUNCTION("""COMPUTED_VALUE"""),"Paid")</f>
        <v>Paid</v>
      </c>
      <c r="Y100" s="132" t="str">
        <f>IFERROR(__xludf.DUMMYFUNCTION("""COMPUTED_VALUE"""),"Paid")</f>
        <v>Paid</v>
      </c>
      <c r="Z100" s="132"/>
    </row>
    <row r="101">
      <c r="A101" s="133"/>
      <c r="B101" s="132" t="str">
        <f>IFERROR(__xludf.DUMMYFUNCTION("""COMPUTED_VALUE"""),"Egg")</f>
        <v>Egg</v>
      </c>
      <c r="C101" s="132" t="str">
        <f>IFERROR(__xludf.DUMMYFUNCTION("""COMPUTED_VALUE"""),"食物")</f>
        <v>食物</v>
      </c>
      <c r="D101" s="132">
        <f>IFERROR(__xludf.DUMMYFUNCTION("""COMPUTED_VALUE"""),8.89)</f>
        <v>8.89</v>
      </c>
      <c r="E101" s="132" t="str">
        <f>IFERROR(__xludf.DUMMYFUNCTION("""COMPUTED_VALUE"""),"Timothy")</f>
        <v>Timothy</v>
      </c>
      <c r="F101" s="132">
        <f>IFERROR(__xludf.DUMMYFUNCTION("""COMPUTED_VALUE"""),1.778)</f>
        <v>1.778</v>
      </c>
      <c r="G101" s="132">
        <f>IFERROR(__xludf.DUMMYFUNCTION("""COMPUTED_VALUE"""),1.778)</f>
        <v>1.778</v>
      </c>
      <c r="H101" s="132">
        <f>IFERROR(__xludf.DUMMYFUNCTION("""COMPUTED_VALUE"""),1.0)</f>
        <v>1</v>
      </c>
      <c r="I101" s="132">
        <f>IFERROR(__xludf.DUMMYFUNCTION("""COMPUTED_VALUE"""),1.0)</f>
        <v>1</v>
      </c>
      <c r="J101" s="132">
        <f>IFERROR(__xludf.DUMMYFUNCTION("""COMPUTED_VALUE"""),1.0)</f>
        <v>1</v>
      </c>
      <c r="K101" s="132">
        <f>IFERROR(__xludf.DUMMYFUNCTION("""COMPUTED_VALUE"""),1.0)</f>
        <v>1</v>
      </c>
      <c r="L101" s="132"/>
      <c r="M101" s="132"/>
      <c r="N101" s="132">
        <f>IFERROR(__xludf.DUMMYFUNCTION("""COMPUTED_VALUE"""),1.0)</f>
        <v>1</v>
      </c>
      <c r="O101" s="132"/>
      <c r="P101" s="132"/>
      <c r="Q101" s="132"/>
      <c r="R101" s="132" t="str">
        <f>IFERROR(__xludf.DUMMYFUNCTION("""COMPUTED_VALUE"""),"Electricity")</f>
        <v>Electricity</v>
      </c>
      <c r="S101" s="132">
        <f>IFERROR(__xludf.DUMMYFUNCTION("""COMPUTED_VALUE"""),208.04)</f>
        <v>208.04</v>
      </c>
      <c r="T101" s="132">
        <f>IFERROR(__xludf.DUMMYFUNCTION("""COMPUTED_VALUE"""),41.608)</f>
        <v>41.608</v>
      </c>
      <c r="U101" s="132" t="str">
        <f>IFERROR(__xludf.DUMMYFUNCTION("""COMPUTED_VALUE"""),"Paid")</f>
        <v>Paid</v>
      </c>
      <c r="V101" s="132" t="str">
        <f>IFERROR(__xludf.DUMMYFUNCTION("""COMPUTED_VALUE"""),"Paid")</f>
        <v>Paid</v>
      </c>
      <c r="W101" s="132" t="str">
        <f>IFERROR(__xludf.DUMMYFUNCTION("""COMPUTED_VALUE"""),"Paid")</f>
        <v>Paid</v>
      </c>
      <c r="X101" s="132" t="str">
        <f>IFERROR(__xludf.DUMMYFUNCTION("""COMPUTED_VALUE"""),"Paid")</f>
        <v>Paid</v>
      </c>
      <c r="Y101" s="132" t="str">
        <f>IFERROR(__xludf.DUMMYFUNCTION("""COMPUTED_VALUE"""),"Paid")</f>
        <v>Paid</v>
      </c>
      <c r="Z101" s="132"/>
    </row>
    <row r="102">
      <c r="A102" s="133"/>
      <c r="B102" s="132" t="str">
        <f>IFERROR(__xludf.DUMMYFUNCTION("""COMPUTED_VALUE"""),"Banana")</f>
        <v>Banana</v>
      </c>
      <c r="C102" s="132" t="str">
        <f>IFERROR(__xludf.DUMMYFUNCTION("""COMPUTED_VALUE"""),"食物")</f>
        <v>食物</v>
      </c>
      <c r="D102" s="132">
        <f>IFERROR(__xludf.DUMMYFUNCTION("""COMPUTED_VALUE"""),3.38)</f>
        <v>3.38</v>
      </c>
      <c r="E102" s="132" t="str">
        <f>IFERROR(__xludf.DUMMYFUNCTION("""COMPUTED_VALUE"""),"Timothy")</f>
        <v>Timothy</v>
      </c>
      <c r="F102" s="132">
        <f>IFERROR(__xludf.DUMMYFUNCTION("""COMPUTED_VALUE"""),3.38)</f>
        <v>3.38</v>
      </c>
      <c r="G102" s="132">
        <f>IFERROR(__xludf.DUMMYFUNCTION("""COMPUTED_VALUE"""),3.38)</f>
        <v>3.38</v>
      </c>
      <c r="H102" s="132"/>
      <c r="I102" s="132"/>
      <c r="J102" s="132"/>
      <c r="K102" s="132"/>
      <c r="L102" s="132"/>
      <c r="M102" s="132">
        <f>IFERROR(__xludf.DUMMYFUNCTION("""COMPUTED_VALUE"""),1.0)</f>
        <v>1</v>
      </c>
      <c r="N102" s="132"/>
      <c r="O102" s="132"/>
      <c r="P102" s="132"/>
      <c r="Q102" s="132"/>
      <c r="R102" s="132" t="str">
        <f>IFERROR(__xludf.DUMMYFUNCTION("""COMPUTED_VALUE"""),"Internet")</f>
        <v>Internet</v>
      </c>
      <c r="S102" s="132">
        <f>IFERROR(__xludf.DUMMYFUNCTION("""COMPUTED_VALUE"""),56.5)</f>
        <v>56.5</v>
      </c>
      <c r="T102" s="132">
        <f>IFERROR(__xludf.DUMMYFUNCTION("""COMPUTED_VALUE"""),11.3)</f>
        <v>11.3</v>
      </c>
      <c r="U102" s="132" t="str">
        <f>IFERROR(__xludf.DUMMYFUNCTION("""COMPUTED_VALUE"""),"Paid")</f>
        <v>Paid</v>
      </c>
      <c r="V102" s="132" t="str">
        <f>IFERROR(__xludf.DUMMYFUNCTION("""COMPUTED_VALUE"""),"Paid")</f>
        <v>Paid</v>
      </c>
      <c r="W102" s="132" t="str">
        <f>IFERROR(__xludf.DUMMYFUNCTION("""COMPUTED_VALUE"""),"Paid")</f>
        <v>Paid</v>
      </c>
      <c r="X102" s="132" t="str">
        <f>IFERROR(__xludf.DUMMYFUNCTION("""COMPUTED_VALUE"""),"Paid")</f>
        <v>Paid</v>
      </c>
      <c r="Y102" s="132" t="str">
        <f>IFERROR(__xludf.DUMMYFUNCTION("""COMPUTED_VALUE"""),"Paid")</f>
        <v>Paid</v>
      </c>
      <c r="Z102" s="132"/>
    </row>
    <row r="103">
      <c r="A103" s="133"/>
      <c r="B103" s="132" t="str">
        <f>IFERROR(__xludf.DUMMYFUNCTION("""COMPUTED_VALUE"""),"Coke")</f>
        <v>Coke</v>
      </c>
      <c r="C103" s="132" t="str">
        <f>IFERROR(__xludf.DUMMYFUNCTION("""COMPUTED_VALUE"""),"食物")</f>
        <v>食物</v>
      </c>
      <c r="D103" s="132">
        <f>IFERROR(__xludf.DUMMYFUNCTION("""COMPUTED_VALUE"""),12.859399999999999)</f>
        <v>12.8594</v>
      </c>
      <c r="E103" s="132" t="str">
        <f>IFERROR(__xludf.DUMMYFUNCTION("""COMPUTED_VALUE"""),"Timothy")</f>
        <v>Timothy</v>
      </c>
      <c r="F103" s="132">
        <f>IFERROR(__xludf.DUMMYFUNCTION("""COMPUTED_VALUE"""),2.5718799999999997)</f>
        <v>2.57188</v>
      </c>
      <c r="G103" s="132">
        <f>IFERROR(__xludf.DUMMYFUNCTION("""COMPUTED_VALUE"""),2.5718799999999997)</f>
        <v>2.57188</v>
      </c>
      <c r="H103" s="132">
        <f>IFERROR(__xludf.DUMMYFUNCTION("""COMPUTED_VALUE"""),1.0)</f>
        <v>1</v>
      </c>
      <c r="I103" s="132">
        <f>IFERROR(__xludf.DUMMYFUNCTION("""COMPUTED_VALUE"""),1.0)</f>
        <v>1</v>
      </c>
      <c r="J103" s="132">
        <f>IFERROR(__xludf.DUMMYFUNCTION("""COMPUTED_VALUE"""),1.0)</f>
        <v>1</v>
      </c>
      <c r="K103" s="132">
        <f>IFERROR(__xludf.DUMMYFUNCTION("""COMPUTED_VALUE"""),1.0)</f>
        <v>1</v>
      </c>
      <c r="L103" s="132"/>
      <c r="M103" s="132"/>
      <c r="N103" s="132">
        <f>IFERROR(__xludf.DUMMYFUNCTION("""COMPUTED_VALUE"""),1.0)</f>
        <v>1</v>
      </c>
      <c r="O103" s="132"/>
      <c r="P103" s="132"/>
      <c r="Q103" s="132"/>
      <c r="R103" s="132"/>
      <c r="S103" s="132">
        <f>IFERROR(__xludf.DUMMYFUNCTION("""COMPUTED_VALUE"""),687.15)</f>
        <v>687.15</v>
      </c>
      <c r="T103" s="132">
        <f>IFERROR(__xludf.DUMMYFUNCTION("""COMPUTED_VALUE"""),137.43)</f>
        <v>137.43</v>
      </c>
      <c r="U103" s="132"/>
      <c r="V103" s="132"/>
      <c r="W103" s="132"/>
      <c r="X103" s="132"/>
      <c r="Y103" s="132"/>
      <c r="Z103" s="132"/>
    </row>
    <row r="104">
      <c r="A104" s="133"/>
      <c r="B104" s="132" t="str">
        <f>IFERROR(__xludf.DUMMYFUNCTION("""COMPUTED_VALUE"""),"Yourk")</f>
        <v>Yourk</v>
      </c>
      <c r="C104" s="132" t="str">
        <f>IFERROR(__xludf.DUMMYFUNCTION("""COMPUTED_VALUE"""),"食物")</f>
        <v>食物</v>
      </c>
      <c r="D104" s="132">
        <f>IFERROR(__xludf.DUMMYFUNCTION("""COMPUTED_VALUE"""),22.98)</f>
        <v>22.98</v>
      </c>
      <c r="E104" s="132" t="str">
        <f>IFERROR(__xludf.DUMMYFUNCTION("""COMPUTED_VALUE"""),"Timothy")</f>
        <v>Timothy</v>
      </c>
      <c r="F104" s="132">
        <f>IFERROR(__xludf.DUMMYFUNCTION("""COMPUTED_VALUE"""),11.49)</f>
        <v>11.49</v>
      </c>
      <c r="G104" s="132">
        <f>IFERROR(__xludf.DUMMYFUNCTION("""COMPUTED_VALUE"""),11.49)</f>
        <v>11.49</v>
      </c>
      <c r="H104" s="132"/>
      <c r="I104" s="132"/>
      <c r="J104" s="132">
        <f>IFERROR(__xludf.DUMMYFUNCTION("""COMPUTED_VALUE"""),1.0)</f>
        <v>1</v>
      </c>
      <c r="K104" s="132"/>
      <c r="L104" s="132"/>
      <c r="M104" s="132">
        <f>IFERROR(__xludf.DUMMYFUNCTION("""COMPUTED_VALUE"""),1.0)</f>
        <v>1</v>
      </c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3">
        <f>IFERROR(__xludf.DUMMYFUNCTION("""COMPUTED_VALUE"""),45377.0)</f>
        <v>45377</v>
      </c>
      <c r="B105" s="132" t="str">
        <f>IFERROR(__xludf.DUMMYFUNCTION("""COMPUTED_VALUE"""),"Foodie Dinner")</f>
        <v>Foodie Dinner</v>
      </c>
      <c r="C105" s="132" t="str">
        <f>IFERROR(__xludf.DUMMYFUNCTION("""COMPUTED_VALUE"""),"食物")</f>
        <v>食物</v>
      </c>
      <c r="D105" s="132">
        <f>IFERROR(__xludf.DUMMYFUNCTION("""COMPUTED_VALUE"""),15.45)</f>
        <v>15.45</v>
      </c>
      <c r="E105" s="132" t="str">
        <f>IFERROR(__xludf.DUMMYFUNCTION("""COMPUTED_VALUE"""),"Esther")</f>
        <v>Esther</v>
      </c>
      <c r="F105" s="132">
        <f>IFERROR(__xludf.DUMMYFUNCTION("""COMPUTED_VALUE"""),3.09)</f>
        <v>3.09</v>
      </c>
      <c r="G105" s="132">
        <f>IFERROR(__xludf.DUMMYFUNCTION("""COMPUTED_VALUE"""),3.09)</f>
        <v>3.09</v>
      </c>
      <c r="H105" s="132">
        <f>IFERROR(__xludf.DUMMYFUNCTION("""COMPUTED_VALUE"""),1.0)</f>
        <v>1</v>
      </c>
      <c r="I105" s="132">
        <f>IFERROR(__xludf.DUMMYFUNCTION("""COMPUTED_VALUE"""),1.0)</f>
        <v>1</v>
      </c>
      <c r="J105" s="132">
        <f>IFERROR(__xludf.DUMMYFUNCTION("""COMPUTED_VALUE"""),1.0)</f>
        <v>1</v>
      </c>
      <c r="K105" s="132">
        <f>IFERROR(__xludf.DUMMYFUNCTION("""COMPUTED_VALUE"""),1.0)</f>
        <v>1</v>
      </c>
      <c r="L105" s="132"/>
      <c r="M105" s="132"/>
      <c r="N105" s="132">
        <f>IFERROR(__xludf.DUMMYFUNCTION("""COMPUTED_VALUE"""),1.0)</f>
        <v>1</v>
      </c>
      <c r="O105" s="132"/>
      <c r="P105" s="132"/>
      <c r="Q105" s="134">
        <f>IFERROR(__xludf.DUMMYFUNCTION("""COMPUTED_VALUE"""),45536.0)</f>
        <v>45536</v>
      </c>
      <c r="R105" s="132" t="str">
        <f>IFERROR(__xludf.DUMMYFUNCTION("""COMPUTED_VALUE"""),"Water ")</f>
        <v>Water </v>
      </c>
      <c r="S105" s="132">
        <f>IFERROR(__xludf.DUMMYFUNCTION("""COMPUTED_VALUE"""),100.0)</f>
        <v>100</v>
      </c>
      <c r="T105" s="132" t="str">
        <f>IFERROR(__xludf.DUMMYFUNCTION("""COMPUTED_VALUE"""),"喺key deposit退咗")</f>
        <v>喺key deposit退咗</v>
      </c>
      <c r="U105" s="132" t="str">
        <f>IFERROR(__xludf.DUMMYFUNCTION("""COMPUTED_VALUE"""),"Paid")</f>
        <v>Paid</v>
      </c>
      <c r="V105" s="132" t="str">
        <f>IFERROR(__xludf.DUMMYFUNCTION("""COMPUTED_VALUE"""),"Paid")</f>
        <v>Paid</v>
      </c>
      <c r="W105" s="132" t="str">
        <f>IFERROR(__xludf.DUMMYFUNCTION("""COMPUTED_VALUE"""),"Paid")</f>
        <v>Paid</v>
      </c>
      <c r="X105" s="132" t="str">
        <f>IFERROR(__xludf.DUMMYFUNCTION("""COMPUTED_VALUE"""),"Paid")</f>
        <v>Paid</v>
      </c>
      <c r="Y105" s="132" t="str">
        <f>IFERROR(__xludf.DUMMYFUNCTION("""COMPUTED_VALUE"""),"Paid")</f>
        <v>Paid</v>
      </c>
      <c r="Z105" s="132"/>
    </row>
    <row r="106">
      <c r="A106" s="133"/>
      <c r="B106" s="132" t="str">
        <f>IFERROR(__xludf.DUMMYFUNCTION("""COMPUTED_VALUE"""),"退黑素")</f>
        <v>退黑素</v>
      </c>
      <c r="C106" s="132" t="str">
        <f>IFERROR(__xludf.DUMMYFUNCTION("""COMPUTED_VALUE"""),"醫藥")</f>
        <v>醫藥</v>
      </c>
      <c r="D106" s="132">
        <f>IFERROR(__xludf.DUMMYFUNCTION("""COMPUTED_VALUE"""),12.0)</f>
        <v>12</v>
      </c>
      <c r="E106" s="132" t="str">
        <f>IFERROR(__xludf.DUMMYFUNCTION("""COMPUTED_VALUE"""),"BL")</f>
        <v>BL</v>
      </c>
      <c r="F106" s="132">
        <f>IFERROR(__xludf.DUMMYFUNCTION("""COMPUTED_VALUE"""),12.0)</f>
        <v>12</v>
      </c>
      <c r="G106" s="132">
        <f>IFERROR(__xludf.DUMMYFUNCTION("""COMPUTED_VALUE"""),12.0)</f>
        <v>12</v>
      </c>
      <c r="H106" s="132"/>
      <c r="I106" s="132"/>
      <c r="J106" s="132"/>
      <c r="K106" s="132"/>
      <c r="L106" s="132"/>
      <c r="M106" s="132"/>
      <c r="N106" s="132">
        <f>IFERROR(__xludf.DUMMYFUNCTION("""COMPUTED_VALUE"""),1.0)</f>
        <v>1</v>
      </c>
      <c r="O106" s="132"/>
      <c r="P106" s="132"/>
      <c r="Q106" s="132"/>
      <c r="R106" s="132" t="str">
        <f>IFERROR(__xludf.DUMMYFUNCTION("""COMPUTED_VALUE"""),"Key deposit (退俾大家）")</f>
        <v>Key deposit (退俾大家）</v>
      </c>
      <c r="S106" s="132">
        <f>IFERROR(__xludf.DUMMYFUNCTION("""COMPUTED_VALUE"""),-900.0)</f>
        <v>-900</v>
      </c>
      <c r="T106" s="132">
        <f>IFERROR(__xludf.DUMMYFUNCTION("""COMPUTED_VALUE"""),-180.0)</f>
        <v>-180</v>
      </c>
      <c r="U106" s="132" t="str">
        <f>IFERROR(__xludf.DUMMYFUNCTION("""COMPUTED_VALUE"""),"Paid")</f>
        <v>Paid</v>
      </c>
      <c r="V106" s="132" t="str">
        <f>IFERROR(__xludf.DUMMYFUNCTION("""COMPUTED_VALUE"""),"Paid")</f>
        <v>Paid</v>
      </c>
      <c r="W106" s="132" t="str">
        <f>IFERROR(__xludf.DUMMYFUNCTION("""COMPUTED_VALUE"""),"Paid")</f>
        <v>Paid</v>
      </c>
      <c r="X106" s="132" t="str">
        <f>IFERROR(__xludf.DUMMYFUNCTION("""COMPUTED_VALUE"""),"Paid")</f>
        <v>Paid</v>
      </c>
      <c r="Y106" s="132" t="str">
        <f>IFERROR(__xludf.DUMMYFUNCTION("""COMPUTED_VALUE"""),"Paid")</f>
        <v>Paid</v>
      </c>
      <c r="Z106" s="132"/>
    </row>
    <row r="107">
      <c r="A107" s="133"/>
      <c r="B107" s="132"/>
      <c r="C107" s="132"/>
      <c r="D107" s="132"/>
      <c r="E107" s="132"/>
      <c r="F107" s="132" t="str">
        <f>IFERROR(__xludf.DUMMYFUNCTION("""COMPUTED_VALUE"""),"#DIV/0!")</f>
        <v>#DIV/0!</v>
      </c>
      <c r="G107" s="132" t="str">
        <f>IFERROR(__xludf.DUMMYFUNCTION("""COMPUTED_VALUE"""),"#DIV/0!")</f>
        <v>#DIV/0!</v>
      </c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 t="str">
        <f>IFERROR(__xludf.DUMMYFUNCTION("""COMPUTED_VALUE"""),"Heat")</f>
        <v>Heat</v>
      </c>
      <c r="S107" s="132">
        <f>IFERROR(__xludf.DUMMYFUNCTION("""COMPUTED_VALUE"""),68.81)</f>
        <v>68.81</v>
      </c>
      <c r="T107" s="132">
        <f>IFERROR(__xludf.DUMMYFUNCTION("""COMPUTED_VALUE"""),13.762)</f>
        <v>13.762</v>
      </c>
      <c r="U107" s="132" t="str">
        <f>IFERROR(__xludf.DUMMYFUNCTION("""COMPUTED_VALUE"""),"Paid")</f>
        <v>Paid</v>
      </c>
      <c r="V107" s="132" t="str">
        <f>IFERROR(__xludf.DUMMYFUNCTION("""COMPUTED_VALUE"""),"Paid")</f>
        <v>Paid</v>
      </c>
      <c r="W107" s="132" t="str">
        <f>IFERROR(__xludf.DUMMYFUNCTION("""COMPUTED_VALUE"""),"Paid")</f>
        <v>Paid</v>
      </c>
      <c r="X107" s="132" t="str">
        <f>IFERROR(__xludf.DUMMYFUNCTION("""COMPUTED_VALUE"""),"Paid")</f>
        <v>Paid</v>
      </c>
      <c r="Y107" s="132" t="str">
        <f>IFERROR(__xludf.DUMMYFUNCTION("""COMPUTED_VALUE"""),"Paid")</f>
        <v>Paid</v>
      </c>
      <c r="Z107" s="132"/>
    </row>
    <row r="108">
      <c r="A108" s="133"/>
      <c r="B108" s="132"/>
      <c r="C108" s="132"/>
      <c r="D108" s="132"/>
      <c r="E108" s="132"/>
      <c r="F108" s="132" t="str">
        <f>IFERROR(__xludf.DUMMYFUNCTION("""COMPUTED_VALUE"""),"#DIV/0!")</f>
        <v>#DIV/0!</v>
      </c>
      <c r="G108" s="132" t="str">
        <f>IFERROR(__xludf.DUMMYFUNCTION("""COMPUTED_VALUE"""),"#DIV/0!")</f>
        <v>#DIV/0!</v>
      </c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 t="str">
        <f>IFERROR(__xludf.DUMMYFUNCTION("""COMPUTED_VALUE"""),"Electricity")</f>
        <v>Electricity</v>
      </c>
      <c r="S108" s="132">
        <f>IFERROR(__xludf.DUMMYFUNCTION("""COMPUTED_VALUE"""),185.28)</f>
        <v>185.28</v>
      </c>
      <c r="T108" s="132">
        <f>IFERROR(__xludf.DUMMYFUNCTION("""COMPUTED_VALUE"""),37.056)</f>
        <v>37.056</v>
      </c>
      <c r="U108" s="132" t="str">
        <f>IFERROR(__xludf.DUMMYFUNCTION("""COMPUTED_VALUE"""),"Paid")</f>
        <v>Paid</v>
      </c>
      <c r="V108" s="132" t="str">
        <f>IFERROR(__xludf.DUMMYFUNCTION("""COMPUTED_VALUE"""),"Paid")</f>
        <v>Paid</v>
      </c>
      <c r="W108" s="132" t="str">
        <f>IFERROR(__xludf.DUMMYFUNCTION("""COMPUTED_VALUE"""),"Paid")</f>
        <v>Paid</v>
      </c>
      <c r="X108" s="132" t="str">
        <f>IFERROR(__xludf.DUMMYFUNCTION("""COMPUTED_VALUE"""),"Paid")</f>
        <v>Paid</v>
      </c>
      <c r="Y108" s="132" t="str">
        <f>IFERROR(__xludf.DUMMYFUNCTION("""COMPUTED_VALUE"""),"Paid")</f>
        <v>Paid</v>
      </c>
      <c r="Z108" s="132"/>
    </row>
    <row r="109">
      <c r="A109" s="133"/>
      <c r="B109" s="132"/>
      <c r="C109" s="132"/>
      <c r="D109" s="132"/>
      <c r="E109" s="132"/>
      <c r="F109" s="132" t="str">
        <f>IFERROR(__xludf.DUMMYFUNCTION("""COMPUTED_VALUE"""),"#DIV/0!")</f>
        <v>#DIV/0!</v>
      </c>
      <c r="G109" s="132" t="str">
        <f>IFERROR(__xludf.DUMMYFUNCTION("""COMPUTED_VALUE"""),"#DIV/0!")</f>
        <v>#DIV/0!</v>
      </c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 t="str">
        <f>IFERROR(__xludf.DUMMYFUNCTION("""COMPUTED_VALUE"""),"Internet")</f>
        <v>Internet</v>
      </c>
      <c r="S109" s="132">
        <f>IFERROR(__xludf.DUMMYFUNCTION("""COMPUTED_VALUE"""),56.5)</f>
        <v>56.5</v>
      </c>
      <c r="T109" s="132">
        <f>IFERROR(__xludf.DUMMYFUNCTION("""COMPUTED_VALUE"""),11.3)</f>
        <v>11.3</v>
      </c>
      <c r="U109" s="132" t="str">
        <f>IFERROR(__xludf.DUMMYFUNCTION("""COMPUTED_VALUE"""),"Paid")</f>
        <v>Paid</v>
      </c>
      <c r="V109" s="132" t="str">
        <f>IFERROR(__xludf.DUMMYFUNCTION("""COMPUTED_VALUE"""),"Paid")</f>
        <v>Paid</v>
      </c>
      <c r="W109" s="132" t="str">
        <f>IFERROR(__xludf.DUMMYFUNCTION("""COMPUTED_VALUE"""),"Paid")</f>
        <v>Paid</v>
      </c>
      <c r="X109" s="132" t="str">
        <f>IFERROR(__xludf.DUMMYFUNCTION("""COMPUTED_VALUE"""),"Paid")</f>
        <v>Paid</v>
      </c>
      <c r="Y109" s="132" t="str">
        <f>IFERROR(__xludf.DUMMYFUNCTION("""COMPUTED_VALUE"""),"Paid")</f>
        <v>Paid</v>
      </c>
      <c r="Z109" s="132"/>
    </row>
    <row r="110">
      <c r="A110" s="133"/>
      <c r="B110" s="132"/>
      <c r="C110" s="132"/>
      <c r="D110" s="132"/>
      <c r="E110" s="132"/>
      <c r="F110" s="132" t="str">
        <f>IFERROR(__xludf.DUMMYFUNCTION("""COMPUTED_VALUE"""),"#DIV/0!")</f>
        <v>#DIV/0!</v>
      </c>
      <c r="G110" s="132" t="str">
        <f>IFERROR(__xludf.DUMMYFUNCTION("""COMPUTED_VALUE"""),"#DIV/0!")</f>
        <v>#DIV/0!</v>
      </c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>
        <f>IFERROR(__xludf.DUMMYFUNCTION("""COMPUTED_VALUE"""),-489.4100000000001)</f>
        <v>-489.41</v>
      </c>
      <c r="T110" s="132">
        <f>IFERROR(__xludf.DUMMYFUNCTION("""COMPUTED_VALUE"""),-117.88200000000002)</f>
        <v>-117.882</v>
      </c>
      <c r="U110" s="132"/>
      <c r="V110" s="132"/>
      <c r="W110" s="132"/>
      <c r="X110" s="132"/>
      <c r="Y110" s="132"/>
      <c r="Z110" s="132"/>
    </row>
    <row r="111">
      <c r="A111" s="133"/>
      <c r="B111" s="132"/>
      <c r="C111" s="132"/>
      <c r="D111" s="132"/>
      <c r="E111" s="132"/>
      <c r="F111" s="132" t="str">
        <f>IFERROR(__xludf.DUMMYFUNCTION("""COMPUTED_VALUE"""),"#DIV/0!")</f>
        <v>#DIV/0!</v>
      </c>
      <c r="G111" s="132" t="str">
        <f>IFERROR(__xludf.DUMMYFUNCTION("""COMPUTED_VALUE"""),"#DIV/0!")</f>
        <v>#DIV/0!</v>
      </c>
      <c r="H111" s="132"/>
      <c r="I111" s="132"/>
      <c r="J111" s="132"/>
      <c r="K111" s="132"/>
      <c r="L111" s="132"/>
      <c r="M111" s="132"/>
      <c r="N111" s="132"/>
      <c r="O111" s="132"/>
      <c r="P111" s="132"/>
      <c r="Q111" s="134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3"/>
      <c r="B112" s="132"/>
      <c r="C112" s="132"/>
      <c r="D112" s="132"/>
      <c r="E112" s="132"/>
      <c r="F112" s="132" t="str">
        <f>IFERROR(__xludf.DUMMYFUNCTION("""COMPUTED_VALUE"""),"#DIV/0!")</f>
        <v>#DIV/0!</v>
      </c>
      <c r="G112" s="132" t="str">
        <f>IFERROR(__xludf.DUMMYFUNCTION("""COMPUTED_VALUE"""),"#DIV/0!")</f>
        <v>#DIV/0!</v>
      </c>
      <c r="H112" s="132"/>
      <c r="I112" s="132"/>
      <c r="J112" s="132"/>
      <c r="K112" s="132"/>
      <c r="L112" s="132"/>
      <c r="M112" s="132"/>
      <c r="N112" s="132"/>
      <c r="O112" s="132"/>
      <c r="P112" s="132"/>
      <c r="Q112" s="134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3"/>
      <c r="B113" s="132"/>
      <c r="C113" s="132"/>
      <c r="D113" s="132"/>
      <c r="E113" s="132"/>
      <c r="F113" s="132" t="str">
        <f>IFERROR(__xludf.DUMMYFUNCTION("""COMPUTED_VALUE"""),"#DIV/0!")</f>
        <v>#DIV/0!</v>
      </c>
      <c r="G113" s="132" t="str">
        <f>IFERROR(__xludf.DUMMYFUNCTION("""COMPUTED_VALUE"""),"#DIV/0!")</f>
        <v>#DIV/0!</v>
      </c>
      <c r="H113" s="132"/>
      <c r="I113" s="132"/>
      <c r="J113" s="132"/>
      <c r="K113" s="132"/>
      <c r="L113" s="132"/>
      <c r="M113" s="132"/>
      <c r="N113" s="132"/>
      <c r="O113" s="132"/>
      <c r="P113" s="132"/>
      <c r="Q113" s="134">
        <f>IFERROR(__xludf.DUMMYFUNCTION("""COMPUTED_VALUE"""),45566.0)</f>
        <v>45566</v>
      </c>
      <c r="R113" s="132" t="str">
        <f>IFERROR(__xludf.DUMMYFUNCTION("""COMPUTED_VALUE"""),"Heat")</f>
        <v>Heat</v>
      </c>
      <c r="S113" s="132">
        <f>IFERROR(__xludf.DUMMYFUNCTION("""COMPUTED_VALUE"""),68.81)</f>
        <v>68.81</v>
      </c>
      <c r="T113" s="132">
        <f>IFERROR(__xludf.DUMMYFUNCTION("""COMPUTED_VALUE"""),11.468333333333334)</f>
        <v>11.46833333</v>
      </c>
      <c r="U113" s="132" t="str">
        <f>IFERROR(__xludf.DUMMYFUNCTION("""COMPUTED_VALUE"""),"Paid")</f>
        <v>Paid</v>
      </c>
      <c r="V113" s="132" t="str">
        <f>IFERROR(__xludf.DUMMYFUNCTION("""COMPUTED_VALUE"""),"Paid")</f>
        <v>Paid</v>
      </c>
      <c r="W113" s="132" t="str">
        <f>IFERROR(__xludf.DUMMYFUNCTION("""COMPUTED_VALUE"""),"Paid")</f>
        <v>Paid</v>
      </c>
      <c r="X113" s="132" t="str">
        <f>IFERROR(__xludf.DUMMYFUNCTION("""COMPUTED_VALUE"""),"Paid")</f>
        <v>Paid</v>
      </c>
      <c r="Y113" s="132" t="str">
        <f>IFERROR(__xludf.DUMMYFUNCTION("""COMPUTED_VALUE"""),"Paid")</f>
        <v>Paid</v>
      </c>
      <c r="Z113" s="132"/>
    </row>
    <row r="114">
      <c r="A114" s="133"/>
      <c r="B114" s="132"/>
      <c r="C114" s="132"/>
      <c r="D114" s="132"/>
      <c r="E114" s="132"/>
      <c r="F114" s="132" t="str">
        <f>IFERROR(__xludf.DUMMYFUNCTION("""COMPUTED_VALUE"""),"#DIV/0!")</f>
        <v>#DIV/0!</v>
      </c>
      <c r="G114" s="132" t="str">
        <f>IFERROR(__xludf.DUMMYFUNCTION("""COMPUTED_VALUE"""),"#DIV/0!")</f>
        <v>#DIV/0!</v>
      </c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 t="str">
        <f>IFERROR(__xludf.DUMMYFUNCTION("""COMPUTED_VALUE"""),"Electricity")</f>
        <v>Electricity</v>
      </c>
      <c r="S114" s="132">
        <f>IFERROR(__xludf.DUMMYFUNCTION("""COMPUTED_VALUE"""),128.04)</f>
        <v>128.04</v>
      </c>
      <c r="T114" s="132">
        <f>IFERROR(__xludf.DUMMYFUNCTION("""COMPUTED_VALUE"""),21.34)</f>
        <v>21.34</v>
      </c>
      <c r="U114" s="132" t="str">
        <f>IFERROR(__xludf.DUMMYFUNCTION("""COMPUTED_VALUE"""),"Paid")</f>
        <v>Paid</v>
      </c>
      <c r="V114" s="132" t="str">
        <f>IFERROR(__xludf.DUMMYFUNCTION("""COMPUTED_VALUE"""),"Paid")</f>
        <v>Paid</v>
      </c>
      <c r="W114" s="132" t="str">
        <f>IFERROR(__xludf.DUMMYFUNCTION("""COMPUTED_VALUE"""),"Paid")</f>
        <v>Paid</v>
      </c>
      <c r="X114" s="132" t="str">
        <f>IFERROR(__xludf.DUMMYFUNCTION("""COMPUTED_VALUE"""),"Paid")</f>
        <v>Paid</v>
      </c>
      <c r="Y114" s="132" t="str">
        <f>IFERROR(__xludf.DUMMYFUNCTION("""COMPUTED_VALUE"""),"Paid")</f>
        <v>Paid</v>
      </c>
      <c r="Z114" s="132"/>
    </row>
    <row r="115">
      <c r="A115" s="133"/>
      <c r="B115" s="132"/>
      <c r="C115" s="132"/>
      <c r="D115" s="132"/>
      <c r="E115" s="132"/>
      <c r="F115" s="132" t="str">
        <f>IFERROR(__xludf.DUMMYFUNCTION("""COMPUTED_VALUE"""),"#DIV/0!")</f>
        <v>#DIV/0!</v>
      </c>
      <c r="G115" s="132" t="str">
        <f>IFERROR(__xludf.DUMMYFUNCTION("""COMPUTED_VALUE"""),"#DIV/0!")</f>
        <v>#DIV/0!</v>
      </c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 t="str">
        <f>IFERROR(__xludf.DUMMYFUNCTION("""COMPUTED_VALUE"""),"Internet")</f>
        <v>Internet</v>
      </c>
      <c r="S115" s="132">
        <f>IFERROR(__xludf.DUMMYFUNCTION("""COMPUTED_VALUE"""),56.5)</f>
        <v>56.5</v>
      </c>
      <c r="T115" s="132">
        <f>IFERROR(__xludf.DUMMYFUNCTION("""COMPUTED_VALUE"""),9.416666666666666)</f>
        <v>9.416666667</v>
      </c>
      <c r="U115" s="132" t="str">
        <f>IFERROR(__xludf.DUMMYFUNCTION("""COMPUTED_VALUE"""),"Paid")</f>
        <v>Paid</v>
      </c>
      <c r="V115" s="132" t="str">
        <f>IFERROR(__xludf.DUMMYFUNCTION("""COMPUTED_VALUE"""),"Paid")</f>
        <v>Paid</v>
      </c>
      <c r="W115" s="132" t="str">
        <f>IFERROR(__xludf.DUMMYFUNCTION("""COMPUTED_VALUE"""),"Paid")</f>
        <v>Paid</v>
      </c>
      <c r="X115" s="132" t="str">
        <f>IFERROR(__xludf.DUMMYFUNCTION("""COMPUTED_VALUE"""),"Paid")</f>
        <v>Paid</v>
      </c>
      <c r="Y115" s="132" t="str">
        <f>IFERROR(__xludf.DUMMYFUNCTION("""COMPUTED_VALUE"""),"Paid")</f>
        <v>Paid</v>
      </c>
      <c r="Z115" s="132"/>
    </row>
    <row r="116">
      <c r="A116" s="133"/>
      <c r="B116" s="132"/>
      <c r="C116" s="132"/>
      <c r="D116" s="132"/>
      <c r="E116" s="132"/>
      <c r="F116" s="132" t="str">
        <f>IFERROR(__xludf.DUMMYFUNCTION("""COMPUTED_VALUE"""),"#DIV/0!")</f>
        <v>#DIV/0!</v>
      </c>
      <c r="G116" s="132" t="str">
        <f>IFERROR(__xludf.DUMMYFUNCTION("""COMPUTED_VALUE"""),"#DIV/0!")</f>
        <v>#DIV/0!</v>
      </c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 t="str">
        <f>IFERROR(__xludf.DUMMYFUNCTION("""COMPUTED_VALUE"""),"Rent for 2 months")</f>
        <v>Rent for 2 months</v>
      </c>
      <c r="S116" s="132">
        <f>IFERROR(__xludf.DUMMYFUNCTION("""COMPUTED_VALUE"""),7800.0)</f>
        <v>7800</v>
      </c>
      <c r="T116" s="132">
        <f>IFERROR(__xludf.DUMMYFUNCTION("""COMPUTED_VALUE"""),1300.0)</f>
        <v>1300</v>
      </c>
      <c r="U116" s="132" t="str">
        <f>IFERROR(__xludf.DUMMYFUNCTION("""COMPUTED_VALUE"""),"Paid")</f>
        <v>Paid</v>
      </c>
      <c r="V116" s="132" t="str">
        <f>IFERROR(__xludf.DUMMYFUNCTION("""COMPUTED_VALUE"""),"Paid")</f>
        <v>Paid</v>
      </c>
      <c r="W116" s="132" t="str">
        <f>IFERROR(__xludf.DUMMYFUNCTION("""COMPUTED_VALUE"""),"Paid")</f>
        <v>Paid</v>
      </c>
      <c r="X116" s="132" t="str">
        <f>IFERROR(__xludf.DUMMYFUNCTION("""COMPUTED_VALUE"""),"Paid")</f>
        <v>Paid</v>
      </c>
      <c r="Y116" s="132" t="str">
        <f>IFERROR(__xludf.DUMMYFUNCTION("""COMPUTED_VALUE"""),"Paid")</f>
        <v>Paid</v>
      </c>
      <c r="Z116" s="132"/>
    </row>
    <row r="117">
      <c r="A117" s="133"/>
      <c r="B117" s="132"/>
      <c r="C117" s="132"/>
      <c r="D117" s="132"/>
      <c r="E117" s="132"/>
      <c r="F117" s="132" t="str">
        <f>IFERROR(__xludf.DUMMYFUNCTION("""COMPUTED_VALUE"""),"#DIV/0!")</f>
        <v>#DIV/0!</v>
      </c>
      <c r="G117" s="132" t="str">
        <f>IFERROR(__xludf.DUMMYFUNCTION("""COMPUTED_VALUE"""),"#DIV/0!")</f>
        <v>#DIV/0!</v>
      </c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 t="str">
        <f>IFERROR(__xludf.DUMMYFUNCTION("""COMPUTED_VALUE"""),"Key deposit")</f>
        <v>Key deposit</v>
      </c>
      <c r="S117" s="132">
        <f>IFERROR(__xludf.DUMMYFUNCTION("""COMPUTED_VALUE"""),500.0)</f>
        <v>500</v>
      </c>
      <c r="T117" s="132">
        <f>IFERROR(__xludf.DUMMYFUNCTION("""COMPUTED_VALUE"""),83.33333333333333)</f>
        <v>83.33333333</v>
      </c>
      <c r="U117" s="132" t="str">
        <f>IFERROR(__xludf.DUMMYFUNCTION("""COMPUTED_VALUE"""),"Paid")</f>
        <v>Paid</v>
      </c>
      <c r="V117" s="132" t="str">
        <f>IFERROR(__xludf.DUMMYFUNCTION("""COMPUTED_VALUE"""),"Paid")</f>
        <v>Paid</v>
      </c>
      <c r="W117" s="132" t="str">
        <f>IFERROR(__xludf.DUMMYFUNCTION("""COMPUTED_VALUE"""),"Paid")</f>
        <v>Paid</v>
      </c>
      <c r="X117" s="132" t="str">
        <f>IFERROR(__xludf.DUMMYFUNCTION("""COMPUTED_VALUE"""),"Paid")</f>
        <v>Paid</v>
      </c>
      <c r="Y117" s="132" t="str">
        <f>IFERROR(__xludf.DUMMYFUNCTION("""COMPUTED_VALUE"""),"Paid")</f>
        <v>Paid</v>
      </c>
      <c r="Z117" s="132"/>
    </row>
    <row r="118">
      <c r="A118" s="133"/>
      <c r="B118" s="132"/>
      <c r="C118" s="132"/>
      <c r="D118" s="132"/>
      <c r="E118" s="132"/>
      <c r="F118" s="132" t="str">
        <f>IFERROR(__xludf.DUMMYFUNCTION("""COMPUTED_VALUE"""),"#DIV/0!")</f>
        <v>#DIV/0!</v>
      </c>
      <c r="G118" s="132" t="str">
        <f>IFERROR(__xludf.DUMMYFUNCTION("""COMPUTED_VALUE"""),"#DIV/0!")</f>
        <v>#DIV/0!</v>
      </c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3"/>
      <c r="B119" s="132"/>
      <c r="C119" s="132"/>
      <c r="D119" s="132"/>
      <c r="E119" s="132"/>
      <c r="F119" s="132" t="str">
        <f>IFERROR(__xludf.DUMMYFUNCTION("""COMPUTED_VALUE"""),"#DIV/0!")</f>
        <v>#DIV/0!</v>
      </c>
      <c r="G119" s="132" t="str">
        <f>IFERROR(__xludf.DUMMYFUNCTION("""COMPUTED_VALUE"""),"#DIV/0!")</f>
        <v>#DIV/0!</v>
      </c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3"/>
      <c r="B120" s="132"/>
      <c r="C120" s="132"/>
      <c r="D120" s="132"/>
      <c r="E120" s="132"/>
      <c r="F120" s="132" t="str">
        <f>IFERROR(__xludf.DUMMYFUNCTION("""COMPUTED_VALUE"""),"#DIV/0!")</f>
        <v>#DIV/0!</v>
      </c>
      <c r="G120" s="132" t="str">
        <f>IFERROR(__xludf.DUMMYFUNCTION("""COMPUTED_VALUE"""),"#DIV/0!")</f>
        <v>#DIV/0!</v>
      </c>
      <c r="H120" s="132"/>
      <c r="I120" s="132"/>
      <c r="J120" s="132"/>
      <c r="K120" s="132"/>
      <c r="L120" s="132"/>
      <c r="M120" s="132"/>
      <c r="N120" s="132"/>
      <c r="O120" s="132"/>
      <c r="P120" s="132"/>
      <c r="Q120" s="134">
        <f>IFERROR(__xludf.DUMMYFUNCTION("""COMPUTED_VALUE"""),45597.0)</f>
        <v>45597</v>
      </c>
      <c r="R120" s="132" t="str">
        <f>IFERROR(__xludf.DUMMYFUNCTION("""COMPUTED_VALUE"""),"Rent")</f>
        <v>Rent</v>
      </c>
      <c r="S120" s="132">
        <f>IFERROR(__xludf.DUMMYFUNCTION("""COMPUTED_VALUE"""),3900.0)</f>
        <v>3900</v>
      </c>
      <c r="T120" s="132">
        <f>IFERROR(__xludf.DUMMYFUNCTION("""COMPUTED_VALUE"""),650.0)</f>
        <v>650</v>
      </c>
      <c r="U120" s="132" t="str">
        <f>IFERROR(__xludf.DUMMYFUNCTION("""COMPUTED_VALUE"""),"Paid")</f>
        <v>Paid</v>
      </c>
      <c r="V120" s="132" t="str">
        <f>IFERROR(__xludf.DUMMYFUNCTION("""COMPUTED_VALUE"""),"Paid")</f>
        <v>Paid</v>
      </c>
      <c r="W120" s="132" t="str">
        <f>IFERROR(__xludf.DUMMYFUNCTION("""COMPUTED_VALUE"""),"Paid")</f>
        <v>Paid</v>
      </c>
      <c r="X120" s="132" t="str">
        <f>IFERROR(__xludf.DUMMYFUNCTION("""COMPUTED_VALUE"""),"Paid")</f>
        <v>Paid</v>
      </c>
      <c r="Y120" s="132" t="str">
        <f>IFERROR(__xludf.DUMMYFUNCTION("""COMPUTED_VALUE"""),"Paid")</f>
        <v>Paid</v>
      </c>
      <c r="Z120" s="132"/>
    </row>
    <row r="121">
      <c r="A121" s="133"/>
      <c r="B121" s="132"/>
      <c r="C121" s="132"/>
      <c r="D121" s="132"/>
      <c r="E121" s="132"/>
      <c r="F121" s="132" t="str">
        <f>IFERROR(__xludf.DUMMYFUNCTION("""COMPUTED_VALUE"""),"#DIV/0!")</f>
        <v>#DIV/0!</v>
      </c>
      <c r="G121" s="132" t="str">
        <f>IFERROR(__xludf.DUMMYFUNCTION("""COMPUTED_VALUE"""),"#DIV/0!")</f>
        <v>#DIV/0!</v>
      </c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 t="str">
        <f>IFERROR(__xludf.DUMMYFUNCTION("""COMPUTED_VALUE"""),"Heat")</f>
        <v>Heat</v>
      </c>
      <c r="S121" s="132">
        <f>IFERROR(__xludf.DUMMYFUNCTION("""COMPUTED_VALUE"""),158.95)</f>
        <v>158.95</v>
      </c>
      <c r="T121" s="132">
        <f>IFERROR(__xludf.DUMMYFUNCTION("""COMPUTED_VALUE"""),26.491666666666664)</f>
        <v>26.49166667</v>
      </c>
      <c r="U121" s="132" t="str">
        <f>IFERROR(__xludf.DUMMYFUNCTION("""COMPUTED_VALUE"""),"Paid")</f>
        <v>Paid</v>
      </c>
      <c r="V121" s="132" t="str">
        <f>IFERROR(__xludf.DUMMYFUNCTION("""COMPUTED_VALUE"""),"Paid")</f>
        <v>Paid</v>
      </c>
      <c r="W121" s="132" t="str">
        <f>IFERROR(__xludf.DUMMYFUNCTION("""COMPUTED_VALUE"""),"Paid")</f>
        <v>Paid</v>
      </c>
      <c r="X121" s="132" t="str">
        <f>IFERROR(__xludf.DUMMYFUNCTION("""COMPUTED_VALUE"""),"Paid")</f>
        <v>Paid</v>
      </c>
      <c r="Y121" s="132" t="str">
        <f>IFERROR(__xludf.DUMMYFUNCTION("""COMPUTED_VALUE"""),"Paid")</f>
        <v>Paid</v>
      </c>
      <c r="Z121" s="132"/>
    </row>
    <row r="122">
      <c r="A122" s="133"/>
      <c r="B122" s="132"/>
      <c r="C122" s="132"/>
      <c r="D122" s="132"/>
      <c r="E122" s="132"/>
      <c r="F122" s="132" t="str">
        <f>IFERROR(__xludf.DUMMYFUNCTION("""COMPUTED_VALUE"""),"#DIV/0!")</f>
        <v>#DIV/0!</v>
      </c>
      <c r="G122" s="132" t="str">
        <f>IFERROR(__xludf.DUMMYFUNCTION("""COMPUTED_VALUE"""),"#DIV/0!")</f>
        <v>#DIV/0!</v>
      </c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 t="str">
        <f>IFERROR(__xludf.DUMMYFUNCTION("""COMPUTED_VALUE"""),"Electricity")</f>
        <v>Electricity</v>
      </c>
      <c r="S122" s="132">
        <f>IFERROR(__xludf.DUMMYFUNCTION("""COMPUTED_VALUE"""),167.9)</f>
        <v>167.9</v>
      </c>
      <c r="T122" s="132">
        <f>IFERROR(__xludf.DUMMYFUNCTION("""COMPUTED_VALUE"""),27.983333333333334)</f>
        <v>27.98333333</v>
      </c>
      <c r="U122" s="132" t="str">
        <f>IFERROR(__xludf.DUMMYFUNCTION("""COMPUTED_VALUE"""),"Paid")</f>
        <v>Paid</v>
      </c>
      <c r="V122" s="132" t="str">
        <f>IFERROR(__xludf.DUMMYFUNCTION("""COMPUTED_VALUE"""),"Paid")</f>
        <v>Paid</v>
      </c>
      <c r="W122" s="132" t="str">
        <f>IFERROR(__xludf.DUMMYFUNCTION("""COMPUTED_VALUE"""),"Paid")</f>
        <v>Paid</v>
      </c>
      <c r="X122" s="132" t="str">
        <f>IFERROR(__xludf.DUMMYFUNCTION("""COMPUTED_VALUE"""),"Paid")</f>
        <v>Paid</v>
      </c>
      <c r="Y122" s="132" t="str">
        <f>IFERROR(__xludf.DUMMYFUNCTION("""COMPUTED_VALUE"""),"Paid")</f>
        <v>Paid</v>
      </c>
      <c r="Z122" s="132"/>
    </row>
    <row r="123">
      <c r="A123" s="133"/>
      <c r="B123" s="132"/>
      <c r="C123" s="132"/>
      <c r="D123" s="132"/>
      <c r="E123" s="132"/>
      <c r="F123" s="132" t="str">
        <f>IFERROR(__xludf.DUMMYFUNCTION("""COMPUTED_VALUE"""),"#DIV/0!")</f>
        <v>#DIV/0!</v>
      </c>
      <c r="G123" s="132" t="str">
        <f>IFERROR(__xludf.DUMMYFUNCTION("""COMPUTED_VALUE"""),"#DIV/0!")</f>
        <v>#DIV/0!</v>
      </c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 t="str">
        <f>IFERROR(__xludf.DUMMYFUNCTION("""COMPUTED_VALUE"""),"Internet")</f>
        <v>Internet</v>
      </c>
      <c r="S123" s="132">
        <f>IFERROR(__xludf.DUMMYFUNCTION("""COMPUTED_VALUE"""),56.5)</f>
        <v>56.5</v>
      </c>
      <c r="T123" s="132">
        <f>IFERROR(__xludf.DUMMYFUNCTION("""COMPUTED_VALUE"""),9.416666666666666)</f>
        <v>9.416666667</v>
      </c>
      <c r="U123" s="132" t="str">
        <f>IFERROR(__xludf.DUMMYFUNCTION("""COMPUTED_VALUE"""),"Paid")</f>
        <v>Paid</v>
      </c>
      <c r="V123" s="132" t="str">
        <f>IFERROR(__xludf.DUMMYFUNCTION("""COMPUTED_VALUE"""),"Paid")</f>
        <v>Paid</v>
      </c>
      <c r="W123" s="132" t="str">
        <f>IFERROR(__xludf.DUMMYFUNCTION("""COMPUTED_VALUE"""),"Paid")</f>
        <v>Paid</v>
      </c>
      <c r="X123" s="132" t="str">
        <f>IFERROR(__xludf.DUMMYFUNCTION("""COMPUTED_VALUE"""),"Paid")</f>
        <v>Paid</v>
      </c>
      <c r="Y123" s="132" t="str">
        <f>IFERROR(__xludf.DUMMYFUNCTION("""COMPUTED_VALUE"""),"Paid")</f>
        <v>Paid</v>
      </c>
      <c r="Z123" s="132"/>
    </row>
    <row r="124">
      <c r="A124" s="133"/>
      <c r="B124" s="132"/>
      <c r="C124" s="132"/>
      <c r="D124" s="132"/>
      <c r="E124" s="132"/>
      <c r="F124" s="132" t="str">
        <f>IFERROR(__xludf.DUMMYFUNCTION("""COMPUTED_VALUE"""),"#DIV/0!")</f>
        <v>#DIV/0!</v>
      </c>
      <c r="G124" s="132" t="str">
        <f>IFERROR(__xludf.DUMMYFUNCTION("""COMPUTED_VALUE"""),"#DIV/0!")</f>
        <v>#DIV/0!</v>
      </c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3"/>
      <c r="B125" s="132"/>
      <c r="C125" s="132"/>
      <c r="D125" s="132"/>
      <c r="E125" s="132"/>
      <c r="F125" s="132" t="str">
        <f>IFERROR(__xludf.DUMMYFUNCTION("""COMPUTED_VALUE"""),"#DIV/0!")</f>
        <v>#DIV/0!</v>
      </c>
      <c r="G125" s="132" t="str">
        <f>IFERROR(__xludf.DUMMYFUNCTION("""COMPUTED_VALUE"""),"#DIV/0!")</f>
        <v>#DIV/0!</v>
      </c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3"/>
      <c r="B126" s="132"/>
      <c r="C126" s="132"/>
      <c r="D126" s="132"/>
      <c r="E126" s="132"/>
      <c r="F126" s="132" t="str">
        <f>IFERROR(__xludf.DUMMYFUNCTION("""COMPUTED_VALUE"""),"#DIV/0!")</f>
        <v>#DIV/0!</v>
      </c>
      <c r="G126" s="132" t="str">
        <f>IFERROR(__xludf.DUMMYFUNCTION("""COMPUTED_VALUE"""),"#DIV/0!")</f>
        <v>#DIV/0!</v>
      </c>
      <c r="H126" s="132"/>
      <c r="I126" s="132"/>
      <c r="J126" s="132"/>
      <c r="K126" s="132"/>
      <c r="L126" s="132"/>
      <c r="M126" s="132"/>
      <c r="N126" s="132"/>
      <c r="O126" s="132"/>
      <c r="P126" s="132"/>
      <c r="Q126" s="134">
        <f>IFERROR(__xludf.DUMMYFUNCTION("""COMPUTED_VALUE"""),45627.0)</f>
        <v>45627</v>
      </c>
      <c r="R126" s="132" t="str">
        <f>IFERROR(__xludf.DUMMYFUNCTION("""COMPUTED_VALUE"""),"Rent")</f>
        <v>Rent</v>
      </c>
      <c r="S126" s="132">
        <f>IFERROR(__xludf.DUMMYFUNCTION("""COMPUTED_VALUE"""),3900.0)</f>
        <v>3900</v>
      </c>
      <c r="T126" s="132">
        <f>IFERROR(__xludf.DUMMYFUNCTION("""COMPUTED_VALUE"""),650.0)</f>
        <v>650</v>
      </c>
      <c r="U126" s="132" t="str">
        <f>IFERROR(__xludf.DUMMYFUNCTION("""COMPUTED_VALUE"""),"Paid")</f>
        <v>Paid</v>
      </c>
      <c r="V126" s="132" t="str">
        <f>IFERROR(__xludf.DUMMYFUNCTION("""COMPUTED_VALUE"""),"Paid")</f>
        <v>Paid</v>
      </c>
      <c r="W126" s="132" t="str">
        <f>IFERROR(__xludf.DUMMYFUNCTION("""COMPUTED_VALUE"""),"Paid")</f>
        <v>Paid</v>
      </c>
      <c r="X126" s="132" t="str">
        <f>IFERROR(__xludf.DUMMYFUNCTION("""COMPUTED_VALUE"""),"Paid")</f>
        <v>Paid</v>
      </c>
      <c r="Y126" s="132" t="str">
        <f>IFERROR(__xludf.DUMMYFUNCTION("""COMPUTED_VALUE"""),"Paid")</f>
        <v>Paid</v>
      </c>
      <c r="Z126" s="132"/>
    </row>
    <row r="127">
      <c r="A127" s="133"/>
      <c r="B127" s="132"/>
      <c r="C127" s="132"/>
      <c r="D127" s="132"/>
      <c r="E127" s="132"/>
      <c r="F127" s="132" t="str">
        <f>IFERROR(__xludf.DUMMYFUNCTION("""COMPUTED_VALUE"""),"#DIV/0!")</f>
        <v>#DIV/0!</v>
      </c>
      <c r="G127" s="132" t="str">
        <f>IFERROR(__xludf.DUMMYFUNCTION("""COMPUTED_VALUE"""),"#DIV/0!")</f>
        <v>#DIV/0!</v>
      </c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 t="str">
        <f>IFERROR(__xludf.DUMMYFUNCTION("""COMPUTED_VALUE"""),"Heat")</f>
        <v>Heat</v>
      </c>
      <c r="S127" s="132">
        <f>IFERROR(__xludf.DUMMYFUNCTION("""COMPUTED_VALUE"""),182.8)</f>
        <v>182.8</v>
      </c>
      <c r="T127" s="132">
        <f>IFERROR(__xludf.DUMMYFUNCTION("""COMPUTED_VALUE"""),30.46666666666667)</f>
        <v>30.46666667</v>
      </c>
      <c r="U127" s="132" t="str">
        <f>IFERROR(__xludf.DUMMYFUNCTION("""COMPUTED_VALUE"""),"Paid")</f>
        <v>Paid</v>
      </c>
      <c r="V127" s="132" t="str">
        <f>IFERROR(__xludf.DUMMYFUNCTION("""COMPUTED_VALUE"""),"Paid")</f>
        <v>Paid</v>
      </c>
      <c r="W127" s="132" t="str">
        <f>IFERROR(__xludf.DUMMYFUNCTION("""COMPUTED_VALUE"""),"Paid")</f>
        <v>Paid</v>
      </c>
      <c r="X127" s="132" t="str">
        <f>IFERROR(__xludf.DUMMYFUNCTION("""COMPUTED_VALUE"""),"Paid")</f>
        <v>Paid</v>
      </c>
      <c r="Y127" s="132" t="str">
        <f>IFERROR(__xludf.DUMMYFUNCTION("""COMPUTED_VALUE"""),"Paid")</f>
        <v>Paid</v>
      </c>
      <c r="Z127" s="132"/>
    </row>
    <row r="128">
      <c r="A128" s="133"/>
      <c r="B128" s="132"/>
      <c r="C128" s="132"/>
      <c r="D128" s="132"/>
      <c r="E128" s="132"/>
      <c r="F128" s="132" t="str">
        <f>IFERROR(__xludf.DUMMYFUNCTION("""COMPUTED_VALUE"""),"#DIV/0!")</f>
        <v>#DIV/0!</v>
      </c>
      <c r="G128" s="132" t="str">
        <f>IFERROR(__xludf.DUMMYFUNCTION("""COMPUTED_VALUE"""),"#DIV/0!")</f>
        <v>#DIV/0!</v>
      </c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 t="str">
        <f>IFERROR(__xludf.DUMMYFUNCTION("""COMPUTED_VALUE"""),"Electricity")</f>
        <v>Electricity</v>
      </c>
      <c r="S128" s="132">
        <f>IFERROR(__xludf.DUMMYFUNCTION("""COMPUTED_VALUE"""),166.37)</f>
        <v>166.37</v>
      </c>
      <c r="T128" s="132">
        <f>IFERROR(__xludf.DUMMYFUNCTION("""COMPUTED_VALUE"""),27.728333333333335)</f>
        <v>27.72833333</v>
      </c>
      <c r="U128" s="132" t="str">
        <f>IFERROR(__xludf.DUMMYFUNCTION("""COMPUTED_VALUE"""),"Paid")</f>
        <v>Paid</v>
      </c>
      <c r="V128" s="132" t="str">
        <f>IFERROR(__xludf.DUMMYFUNCTION("""COMPUTED_VALUE"""),"Paid")</f>
        <v>Paid</v>
      </c>
      <c r="W128" s="132" t="str">
        <f>IFERROR(__xludf.DUMMYFUNCTION("""COMPUTED_VALUE"""),"Paid")</f>
        <v>Paid</v>
      </c>
      <c r="X128" s="132" t="str">
        <f>IFERROR(__xludf.DUMMYFUNCTION("""COMPUTED_VALUE"""),"Paid")</f>
        <v>Paid</v>
      </c>
      <c r="Y128" s="132" t="str">
        <f>IFERROR(__xludf.DUMMYFUNCTION("""COMPUTED_VALUE"""),"Paid")</f>
        <v>Paid</v>
      </c>
      <c r="Z128" s="132"/>
    </row>
    <row r="129">
      <c r="A129" s="137"/>
      <c r="B129" s="88"/>
      <c r="C129" s="88"/>
      <c r="D129" s="88"/>
      <c r="E129" s="88"/>
      <c r="F129" s="88" t="str">
        <f>IFERROR(__xludf.DUMMYFUNCTION("""COMPUTED_VALUE"""),"#DIV/0!")</f>
        <v>#DIV/0!</v>
      </c>
      <c r="G129" s="88" t="str">
        <f>IFERROR(__xludf.DUMMYFUNCTION("""COMPUTED_VALUE"""),"#DIV/0!")</f>
        <v>#DIV/0!</v>
      </c>
      <c r="H129" s="88"/>
      <c r="I129" s="88"/>
      <c r="J129" s="88"/>
      <c r="K129" s="88"/>
      <c r="L129" s="88"/>
      <c r="M129" s="88"/>
      <c r="N129" s="88"/>
      <c r="Q129" s="88"/>
      <c r="R129" s="88" t="str">
        <f>IFERROR(__xludf.DUMMYFUNCTION("""COMPUTED_VALUE"""),"Internet")</f>
        <v>Internet</v>
      </c>
      <c r="S129" s="88">
        <f>IFERROR(__xludf.DUMMYFUNCTION("""COMPUTED_VALUE"""),56.5)</f>
        <v>56.5</v>
      </c>
      <c r="T129" s="88">
        <f>IFERROR(__xludf.DUMMYFUNCTION("""COMPUTED_VALUE"""),9.416666666666666)</f>
        <v>9.416666667</v>
      </c>
      <c r="U129" s="88" t="str">
        <f>IFERROR(__xludf.DUMMYFUNCTION("""COMPUTED_VALUE"""),"Paid")</f>
        <v>Paid</v>
      </c>
      <c r="V129" s="88" t="str">
        <f>IFERROR(__xludf.DUMMYFUNCTION("""COMPUTED_VALUE"""),"Paid")</f>
        <v>Paid</v>
      </c>
      <c r="W129" s="88" t="str">
        <f>IFERROR(__xludf.DUMMYFUNCTION("""COMPUTED_VALUE"""),"Paid")</f>
        <v>Paid</v>
      </c>
      <c r="X129" s="88" t="str">
        <f>IFERROR(__xludf.DUMMYFUNCTION("""COMPUTED_VALUE"""),"Paid")</f>
        <v>Paid</v>
      </c>
      <c r="Y129" s="88" t="str">
        <f>IFERROR(__xludf.DUMMYFUNCTION("""COMPUTED_VALUE"""),"Paid")</f>
        <v>Paid</v>
      </c>
    </row>
    <row r="130">
      <c r="A130" s="137"/>
      <c r="B130" s="88"/>
      <c r="C130" s="88"/>
      <c r="D130" s="88"/>
      <c r="E130" s="88"/>
      <c r="F130" s="88" t="str">
        <f>IFERROR(__xludf.DUMMYFUNCTION("""COMPUTED_VALUE"""),"#DIV/0!")</f>
        <v>#DIV/0!</v>
      </c>
      <c r="G130" s="88" t="str">
        <f>IFERROR(__xludf.DUMMYFUNCTION("""COMPUTED_VALUE"""),"#DIV/0!")</f>
        <v>#DIV/0!</v>
      </c>
      <c r="H130" s="88"/>
      <c r="I130" s="88"/>
      <c r="J130" s="88"/>
      <c r="K130" s="88"/>
      <c r="L130" s="88"/>
      <c r="M130" s="88"/>
      <c r="N130" s="88"/>
      <c r="Q130" s="88"/>
      <c r="R130" s="88"/>
      <c r="S130" s="88"/>
      <c r="T130" s="88"/>
      <c r="U130" s="88"/>
      <c r="V130" s="88"/>
      <c r="W130" s="88"/>
      <c r="X130" s="88"/>
      <c r="Y130" s="88"/>
    </row>
    <row r="131">
      <c r="A131" s="137"/>
      <c r="B131" s="88"/>
      <c r="C131" s="88"/>
      <c r="D131" s="88"/>
      <c r="E131" s="88"/>
      <c r="F131" s="88" t="str">
        <f>IFERROR(__xludf.DUMMYFUNCTION("""COMPUTED_VALUE"""),"#DIV/0!")</f>
        <v>#DIV/0!</v>
      </c>
      <c r="G131" s="88" t="str">
        <f>IFERROR(__xludf.DUMMYFUNCTION("""COMPUTED_VALUE"""),"#DIV/0!")</f>
        <v>#DIV/0!</v>
      </c>
      <c r="H131" s="88"/>
      <c r="I131" s="88"/>
      <c r="J131" s="88"/>
      <c r="K131" s="88"/>
      <c r="L131" s="88"/>
      <c r="M131" s="88"/>
      <c r="N131" s="88"/>
      <c r="Q131" s="138">
        <f>IFERROR(__xludf.DUMMYFUNCTION("""COMPUTED_VALUE"""),45658.0)</f>
        <v>45658</v>
      </c>
      <c r="R131" s="88" t="str">
        <f>IFERROR(__xludf.DUMMYFUNCTION("""COMPUTED_VALUE"""),"Rent")</f>
        <v>Rent</v>
      </c>
      <c r="S131" s="88">
        <f>IFERROR(__xludf.DUMMYFUNCTION("""COMPUTED_VALUE"""),3900.0)</f>
        <v>3900</v>
      </c>
      <c r="T131" s="88">
        <f>IFERROR(__xludf.DUMMYFUNCTION("""COMPUTED_VALUE"""),650.0)</f>
        <v>650</v>
      </c>
      <c r="U131" s="88" t="str">
        <f>IFERROR(__xludf.DUMMYFUNCTION("""COMPUTED_VALUE"""),"Paid")</f>
        <v>Paid</v>
      </c>
      <c r="V131" s="88" t="str">
        <f>IFERROR(__xludf.DUMMYFUNCTION("""COMPUTED_VALUE"""),"Paid")</f>
        <v>Paid</v>
      </c>
      <c r="W131" s="88" t="str">
        <f>IFERROR(__xludf.DUMMYFUNCTION("""COMPUTED_VALUE"""),"Paid")</f>
        <v>Paid</v>
      </c>
      <c r="X131" s="88" t="str">
        <f>IFERROR(__xludf.DUMMYFUNCTION("""COMPUTED_VALUE"""),"Paid")</f>
        <v>Paid</v>
      </c>
      <c r="Y131" s="88" t="str">
        <f>IFERROR(__xludf.DUMMYFUNCTION("""COMPUTED_VALUE"""),"Paid")</f>
        <v>Paid</v>
      </c>
    </row>
    <row r="132">
      <c r="A132" s="88"/>
      <c r="B132" s="88"/>
      <c r="C132" s="88"/>
      <c r="D132" s="88"/>
      <c r="E132" s="88"/>
      <c r="F132" s="88" t="str">
        <f>IFERROR(__xludf.DUMMYFUNCTION("""COMPUTED_VALUE"""),"#DIV/0!")</f>
        <v>#DIV/0!</v>
      </c>
      <c r="G132" s="88" t="str">
        <f>IFERROR(__xludf.DUMMYFUNCTION("""COMPUTED_VALUE"""),"#DIV/0!")</f>
        <v>#DIV/0!</v>
      </c>
      <c r="H132" s="88"/>
      <c r="I132" s="88"/>
      <c r="J132" s="88"/>
      <c r="K132" s="88"/>
      <c r="L132" s="88"/>
      <c r="M132" s="88"/>
      <c r="N132" s="88"/>
      <c r="Q132" s="88"/>
      <c r="R132" s="88" t="str">
        <f>IFERROR(__xludf.DUMMYFUNCTION("""COMPUTED_VALUE"""),"Heat January 17, 2025 - February 18, 2025")</f>
        <v>Heat January 17, 2025 - February 18, 2025</v>
      </c>
      <c r="S132" s="88">
        <f>IFERROR(__xludf.DUMMYFUNCTION("""COMPUTED_VALUE"""),303.55)</f>
        <v>303.55</v>
      </c>
      <c r="T132" s="88">
        <f>IFERROR(__xludf.DUMMYFUNCTION("""COMPUTED_VALUE"""),60.71)</f>
        <v>60.71</v>
      </c>
      <c r="U132" s="88"/>
      <c r="V132" s="88"/>
      <c r="W132" s="88"/>
      <c r="X132" s="88"/>
      <c r="Y132" s="88"/>
    </row>
    <row r="133">
      <c r="A133" s="88"/>
      <c r="B133" s="88"/>
      <c r="C133" s="88"/>
      <c r="D133" s="88"/>
      <c r="E133" s="88"/>
      <c r="F133" s="88" t="str">
        <f>IFERROR(__xludf.DUMMYFUNCTION("""COMPUTED_VALUE"""),"#DIV/0!")</f>
        <v>#DIV/0!</v>
      </c>
      <c r="G133" s="88" t="str">
        <f>IFERROR(__xludf.DUMMYFUNCTION("""COMPUTED_VALUE"""),"#DIV/0!")</f>
        <v>#DIV/0!</v>
      </c>
      <c r="H133" s="88"/>
      <c r="I133" s="88"/>
      <c r="J133" s="88"/>
      <c r="K133" s="88"/>
      <c r="L133" s="88"/>
      <c r="M133" s="88"/>
      <c r="N133" s="88"/>
      <c r="Q133" s="88"/>
      <c r="R133" s="88" t="str">
        <f>IFERROR(__xludf.DUMMYFUNCTION("""COMPUTED_VALUE"""),"Electricity")</f>
        <v>Electricity</v>
      </c>
      <c r="S133" s="88">
        <f>IFERROR(__xludf.DUMMYFUNCTION("""COMPUTED_VALUE"""),202.18)</f>
        <v>202.18</v>
      </c>
      <c r="T133" s="88">
        <f>IFERROR(__xludf.DUMMYFUNCTION("""COMPUTED_VALUE"""),33.696666666666665)</f>
        <v>33.69666667</v>
      </c>
      <c r="U133" s="88"/>
      <c r="V133" s="88"/>
      <c r="W133" s="88"/>
      <c r="X133" s="88"/>
      <c r="Y133" s="88"/>
    </row>
    <row r="134">
      <c r="A134" s="88"/>
      <c r="B134" s="88"/>
      <c r="C134" s="88"/>
      <c r="D134" s="88"/>
      <c r="E134" s="88"/>
      <c r="F134" s="88" t="str">
        <f>IFERROR(__xludf.DUMMYFUNCTION("""COMPUTED_VALUE"""),"#DIV/0!")</f>
        <v>#DIV/0!</v>
      </c>
      <c r="G134" s="88" t="str">
        <f>IFERROR(__xludf.DUMMYFUNCTION("""COMPUTED_VALUE"""),"#DIV/0!")</f>
        <v>#DIV/0!</v>
      </c>
      <c r="H134" s="88"/>
      <c r="I134" s="88"/>
      <c r="J134" s="88"/>
      <c r="K134" s="88"/>
      <c r="L134" s="88"/>
      <c r="M134" s="88"/>
      <c r="N134" s="88"/>
      <c r="Q134" s="88"/>
      <c r="R134" s="88" t="str">
        <f>IFERROR(__xludf.DUMMYFUNCTION("""COMPUTED_VALUE"""),"Internet")</f>
        <v>Internet</v>
      </c>
      <c r="S134" s="88">
        <f>IFERROR(__xludf.DUMMYFUNCTION("""COMPUTED_VALUE"""),56.5)</f>
        <v>56.5</v>
      </c>
      <c r="T134" s="88">
        <f>IFERROR(__xludf.DUMMYFUNCTION("""COMPUTED_VALUE"""),9.416666666666666)</f>
        <v>9.416666667</v>
      </c>
      <c r="U134" s="88"/>
      <c r="V134" s="88"/>
      <c r="W134" s="88"/>
      <c r="X134" s="88"/>
      <c r="Y134" s="88"/>
    </row>
    <row r="135">
      <c r="A135" s="88"/>
      <c r="B135" s="88"/>
      <c r="C135" s="88"/>
      <c r="D135" s="88"/>
      <c r="E135" s="88"/>
      <c r="F135" s="88" t="str">
        <f>IFERROR(__xludf.DUMMYFUNCTION("""COMPUTED_VALUE"""),"#DIV/0!")</f>
        <v>#DIV/0!</v>
      </c>
      <c r="G135" s="88" t="str">
        <f>IFERROR(__xludf.DUMMYFUNCTION("""COMPUTED_VALUE"""),"#DIV/0!")</f>
        <v>#DIV/0!</v>
      </c>
      <c r="H135" s="88"/>
      <c r="I135" s="88"/>
      <c r="J135" s="88"/>
      <c r="K135" s="88"/>
      <c r="L135" s="88"/>
      <c r="M135" s="88"/>
      <c r="N135" s="88"/>
      <c r="Q135" s="88"/>
      <c r="R135" s="88" t="str">
        <f>IFERROR(__xludf.DUMMYFUNCTION("""COMPUTED_VALUE"""),"Water")</f>
        <v>Water</v>
      </c>
      <c r="S135" s="88">
        <f>IFERROR(__xludf.DUMMYFUNCTION("""COMPUTED_VALUE"""),136.32)</f>
        <v>136.32</v>
      </c>
      <c r="T135" s="88">
        <f>IFERROR(__xludf.DUMMYFUNCTION("""COMPUTED_VALUE"""),22.72)</f>
        <v>22.72</v>
      </c>
      <c r="U135" s="88"/>
      <c r="V135" s="88"/>
      <c r="W135" s="88"/>
      <c r="X135" s="88"/>
      <c r="Y135" s="88"/>
    </row>
    <row r="136">
      <c r="A136" s="88"/>
      <c r="B136" s="88"/>
      <c r="C136" s="88"/>
      <c r="D136" s="88"/>
      <c r="E136" s="88"/>
      <c r="F136" s="88" t="str">
        <f>IFERROR(__xludf.DUMMYFUNCTION("""COMPUTED_VALUE"""),"#DIV/0!")</f>
        <v>#DIV/0!</v>
      </c>
      <c r="G136" s="88" t="str">
        <f>IFERROR(__xludf.DUMMYFUNCTION("""COMPUTED_VALUE"""),"#DIV/0!")</f>
        <v>#DIV/0!</v>
      </c>
      <c r="H136" s="88"/>
      <c r="I136" s="88"/>
      <c r="J136" s="88"/>
      <c r="K136" s="88"/>
      <c r="L136" s="88"/>
      <c r="M136" s="88"/>
      <c r="N136" s="88"/>
      <c r="Q136" s="88"/>
      <c r="R136" s="88"/>
      <c r="S136" s="88"/>
      <c r="T136" s="88"/>
      <c r="U136" s="88"/>
      <c r="V136" s="88"/>
      <c r="W136" s="88"/>
      <c r="X136" s="88"/>
      <c r="Y136" s="88"/>
    </row>
    <row r="137">
      <c r="A137" s="88"/>
      <c r="B137" s="88"/>
      <c r="C137" s="88"/>
      <c r="D137" s="88"/>
      <c r="E137" s="88"/>
      <c r="F137" s="88" t="str">
        <f>IFERROR(__xludf.DUMMYFUNCTION("""COMPUTED_VALUE"""),"#DIV/0!")</f>
        <v>#DIV/0!</v>
      </c>
      <c r="G137" s="88"/>
      <c r="H137" s="88"/>
      <c r="I137" s="88"/>
      <c r="J137" s="88"/>
      <c r="K137" s="88"/>
      <c r="L137" s="88"/>
      <c r="M137" s="88"/>
      <c r="N137" s="88"/>
      <c r="Q137" s="138">
        <f>IFERROR(__xludf.DUMMYFUNCTION("""COMPUTED_VALUE"""),45689.0)</f>
        <v>45689</v>
      </c>
      <c r="R137" s="88" t="str">
        <f>IFERROR(__xludf.DUMMYFUNCTION("""COMPUTED_VALUE"""),"Rent")</f>
        <v>Rent</v>
      </c>
      <c r="S137" s="88">
        <f>IFERROR(__xludf.DUMMYFUNCTION("""COMPUTED_VALUE"""),3900.0)</f>
        <v>3900</v>
      </c>
      <c r="T137" s="88">
        <f>IFERROR(__xludf.DUMMYFUNCTION("""COMPUTED_VALUE"""),650.0)</f>
        <v>650</v>
      </c>
      <c r="U137" s="88" t="str">
        <f>IFERROR(__xludf.DUMMYFUNCTION("""COMPUTED_VALUE"""),"Paid")</f>
        <v>Paid</v>
      </c>
      <c r="V137" s="88" t="str">
        <f>IFERROR(__xludf.DUMMYFUNCTION("""COMPUTED_VALUE"""),"Paid")</f>
        <v>Paid</v>
      </c>
      <c r="W137" s="88" t="str">
        <f>IFERROR(__xludf.DUMMYFUNCTION("""COMPUTED_VALUE"""),"Paid")</f>
        <v>Paid</v>
      </c>
      <c r="X137" s="88" t="str">
        <f>IFERROR(__xludf.DUMMYFUNCTION("""COMPUTED_VALUE"""),"Paid")</f>
        <v>Paid</v>
      </c>
      <c r="Y137" s="88" t="str">
        <f>IFERROR(__xludf.DUMMYFUNCTION("""COMPUTED_VALUE"""),"Paid")</f>
        <v>Paid</v>
      </c>
    </row>
    <row r="138">
      <c r="A138" s="88"/>
      <c r="B138" s="88"/>
      <c r="C138" s="88"/>
      <c r="D138" s="88"/>
      <c r="E138" s="88"/>
      <c r="F138" s="88" t="str">
        <f>IFERROR(__xludf.DUMMYFUNCTION("""COMPUTED_VALUE"""),"#DIV/0!")</f>
        <v>#DIV/0!</v>
      </c>
      <c r="G138" s="88"/>
      <c r="H138" s="88"/>
      <c r="I138" s="88"/>
      <c r="J138" s="88"/>
      <c r="K138" s="88"/>
      <c r="L138" s="88"/>
      <c r="M138" s="88"/>
      <c r="N138" s="88"/>
      <c r="Q138" s="88"/>
      <c r="R138" s="88" t="str">
        <f>IFERROR(__xludf.DUMMYFUNCTION("""COMPUTED_VALUE"""),"Heat Feb 19 - Mar 18")</f>
        <v>Heat Feb 19 - Mar 18</v>
      </c>
      <c r="S138" s="88">
        <f>IFERROR(__xludf.DUMMYFUNCTION("""COMPUTED_VALUE"""),146.59)</f>
        <v>146.59</v>
      </c>
      <c r="T138" s="88">
        <f>IFERROR(__xludf.DUMMYFUNCTION("""COMPUTED_VALUE"""),48.86333333333334)</f>
        <v>48.86333333</v>
      </c>
      <c r="U138" s="88"/>
      <c r="V138" s="88"/>
      <c r="W138" s="88"/>
      <c r="X138" s="88"/>
      <c r="Y138" s="88"/>
    </row>
    <row r="139">
      <c r="A139" s="88"/>
      <c r="B139" s="88"/>
      <c r="C139" s="88"/>
      <c r="D139" s="88"/>
      <c r="E139" s="88"/>
      <c r="F139" s="88" t="str">
        <f>IFERROR(__xludf.DUMMYFUNCTION("""COMPUTED_VALUE"""),"#DIV/0!")</f>
        <v>#DIV/0!</v>
      </c>
      <c r="G139" s="88"/>
      <c r="H139" s="88"/>
      <c r="I139" s="88"/>
      <c r="J139" s="88"/>
      <c r="K139" s="88"/>
      <c r="L139" s="88"/>
      <c r="M139" s="88"/>
      <c r="N139" s="88"/>
      <c r="Q139" s="88"/>
      <c r="R139" s="88" t="str">
        <f>IFERROR(__xludf.DUMMYFUNCTION("""COMPUTED_VALUE"""),"Electricity")</f>
        <v>Electricity</v>
      </c>
      <c r="S139" s="88">
        <f>IFERROR(__xludf.DUMMYFUNCTION("""COMPUTED_VALUE"""),147.53)</f>
        <v>147.53</v>
      </c>
      <c r="T139" s="88"/>
      <c r="U139" s="88"/>
      <c r="V139" s="88"/>
      <c r="W139" s="88"/>
      <c r="X139" s="88"/>
      <c r="Y139" s="88"/>
    </row>
    <row r="140">
      <c r="A140" s="88"/>
      <c r="B140" s="88"/>
      <c r="C140" s="88"/>
      <c r="D140" s="88"/>
      <c r="E140" s="88"/>
      <c r="F140" s="88" t="str">
        <f>IFERROR(__xludf.DUMMYFUNCTION("""COMPUTED_VALUE"""),"#DIV/0!")</f>
        <v>#DIV/0!</v>
      </c>
      <c r="G140" s="88"/>
      <c r="H140" s="88"/>
      <c r="I140" s="88"/>
      <c r="J140" s="88"/>
      <c r="K140" s="88"/>
      <c r="L140" s="88"/>
      <c r="M140" s="88"/>
      <c r="N140" s="88"/>
      <c r="Q140" s="88"/>
      <c r="R140" s="88" t="str">
        <f>IFERROR(__xludf.DUMMYFUNCTION("""COMPUTED_VALUE"""),"Internet")</f>
        <v>Internet</v>
      </c>
      <c r="S140" s="88">
        <f>IFERROR(__xludf.DUMMYFUNCTION("""COMPUTED_VALUE"""),56.5)</f>
        <v>56.5</v>
      </c>
      <c r="T140" s="88">
        <f>IFERROR(__xludf.DUMMYFUNCTION("""COMPUTED_VALUE"""),9.416666666666666)</f>
        <v>9.416666667</v>
      </c>
      <c r="U140" s="88"/>
      <c r="V140" s="88"/>
      <c r="W140" s="88"/>
      <c r="X140" s="88"/>
      <c r="Y140" s="88"/>
    </row>
    <row r="141">
      <c r="A141" s="88"/>
      <c r="B141" s="88"/>
      <c r="C141" s="88"/>
      <c r="D141" s="88"/>
      <c r="E141" s="88"/>
      <c r="F141" s="88" t="str">
        <f>IFERROR(__xludf.DUMMYFUNCTION("""COMPUTED_VALUE"""),"#DIV/0!")</f>
        <v>#DIV/0!</v>
      </c>
      <c r="G141" s="88"/>
      <c r="H141" s="88"/>
      <c r="I141" s="88"/>
      <c r="J141" s="88"/>
      <c r="K141" s="88"/>
      <c r="L141" s="88"/>
      <c r="M141" s="88"/>
      <c r="N141" s="88"/>
      <c r="Q141" s="88"/>
      <c r="R141" s="88"/>
      <c r="S141" s="88"/>
      <c r="T141" s="88"/>
      <c r="U141" s="88"/>
      <c r="V141" s="88"/>
      <c r="W141" s="88"/>
      <c r="X141" s="88"/>
      <c r="Y141" s="88"/>
    </row>
    <row r="142">
      <c r="A142" s="88"/>
      <c r="B142" s="88"/>
      <c r="C142" s="88"/>
      <c r="D142" s="88"/>
      <c r="E142" s="88"/>
      <c r="F142" s="88" t="str">
        <f>IFERROR(__xludf.DUMMYFUNCTION("""COMPUTED_VALUE"""),"#DIV/0!")</f>
        <v>#DIV/0!</v>
      </c>
      <c r="G142" s="88"/>
      <c r="H142" s="88"/>
      <c r="I142" s="88"/>
      <c r="J142" s="88"/>
      <c r="K142" s="88"/>
      <c r="L142" s="88"/>
      <c r="M142" s="88"/>
      <c r="N142" s="88"/>
      <c r="Q142" s="88"/>
      <c r="R142" s="88"/>
      <c r="S142" s="88"/>
      <c r="T142" s="88"/>
      <c r="U142" s="88"/>
      <c r="V142" s="88"/>
      <c r="W142" s="88"/>
      <c r="X142" s="88"/>
      <c r="Y142" s="88"/>
    </row>
    <row r="143">
      <c r="A143" s="88"/>
      <c r="B143" s="88"/>
      <c r="C143" s="88"/>
      <c r="D143" s="88"/>
      <c r="E143" s="88"/>
      <c r="F143" s="88" t="str">
        <f>IFERROR(__xludf.DUMMYFUNCTION("""COMPUTED_VALUE"""),"#DIV/0!")</f>
        <v>#DIV/0!</v>
      </c>
      <c r="G143" s="88"/>
      <c r="H143" s="88"/>
      <c r="I143" s="88"/>
      <c r="J143" s="88"/>
      <c r="K143" s="88"/>
      <c r="L143" s="88"/>
      <c r="M143" s="88"/>
      <c r="N143" s="88"/>
      <c r="Q143" s="138">
        <f>IFERROR(__xludf.DUMMYFUNCTION("""COMPUTED_VALUE"""),45717.0)</f>
        <v>45717</v>
      </c>
      <c r="R143" s="88" t="str">
        <f>IFERROR(__xludf.DUMMYFUNCTION("""COMPUTED_VALUE"""),"Rent")</f>
        <v>Rent</v>
      </c>
      <c r="S143" s="88">
        <f>IFERROR(__xludf.DUMMYFUNCTION("""COMPUTED_VALUE"""),3900.0)</f>
        <v>3900</v>
      </c>
      <c r="T143" s="88">
        <f>IFERROR(__xludf.DUMMYFUNCTION("""COMPUTED_VALUE"""),650.0)</f>
        <v>650</v>
      </c>
      <c r="U143" s="88" t="str">
        <f>IFERROR(__xludf.DUMMYFUNCTION("""COMPUTED_VALUE"""),"Paid")</f>
        <v>Paid</v>
      </c>
      <c r="V143" s="88" t="str">
        <f>IFERROR(__xludf.DUMMYFUNCTION("""COMPUTED_VALUE"""),"Paid")</f>
        <v>Paid</v>
      </c>
      <c r="W143" s="88"/>
      <c r="X143" s="88" t="str">
        <f>IFERROR(__xludf.DUMMYFUNCTION("""COMPUTED_VALUE"""),"Paid")</f>
        <v>Paid</v>
      </c>
      <c r="Y143" s="88" t="str">
        <f>IFERROR(__xludf.DUMMYFUNCTION("""COMPUTED_VALUE"""),"Paid")</f>
        <v>Paid</v>
      </c>
    </row>
    <row r="144">
      <c r="A144" s="88"/>
      <c r="B144" s="88"/>
      <c r="C144" s="88"/>
      <c r="D144" s="88"/>
      <c r="E144" s="88"/>
      <c r="F144" s="88" t="str">
        <f>IFERROR(__xludf.DUMMYFUNCTION("""COMPUTED_VALUE"""),"#DIV/0!")</f>
        <v>#DIV/0!</v>
      </c>
      <c r="G144" s="88"/>
      <c r="H144" s="88"/>
      <c r="I144" s="88"/>
      <c r="J144" s="88"/>
      <c r="K144" s="88"/>
      <c r="L144" s="88"/>
      <c r="M144" s="88"/>
      <c r="N144" s="88"/>
      <c r="Q144" s="88"/>
      <c r="R144" s="88" t="str">
        <f>IFERROR(__xludf.DUMMYFUNCTION("""COMPUTED_VALUE"""),"Heat")</f>
        <v>Heat</v>
      </c>
      <c r="S144" s="88"/>
      <c r="T144" s="88"/>
      <c r="U144" s="88"/>
      <c r="V144" s="88"/>
      <c r="W144" s="88"/>
      <c r="X144" s="88"/>
      <c r="Y144" s="88"/>
    </row>
    <row r="145">
      <c r="A145" s="88"/>
      <c r="B145" s="88"/>
      <c r="C145" s="88"/>
      <c r="D145" s="88"/>
      <c r="E145" s="88"/>
      <c r="F145" s="88" t="str">
        <f>IFERROR(__xludf.DUMMYFUNCTION("""COMPUTED_VALUE"""),"#DIV/0!")</f>
        <v>#DIV/0!</v>
      </c>
      <c r="G145" s="88"/>
      <c r="H145" s="88"/>
      <c r="I145" s="88"/>
      <c r="J145" s="88"/>
      <c r="K145" s="88"/>
      <c r="L145" s="88"/>
      <c r="M145" s="88"/>
      <c r="N145" s="88"/>
      <c r="Q145" s="88"/>
      <c r="R145" s="88" t="str">
        <f>IFERROR(__xludf.DUMMYFUNCTION("""COMPUTED_VALUE"""),"Electricity")</f>
        <v>Electricity</v>
      </c>
      <c r="S145" s="88">
        <f>IFERROR(__xludf.DUMMYFUNCTION("""COMPUTED_VALUE"""),100.34)</f>
        <v>100.34</v>
      </c>
      <c r="T145" s="88"/>
      <c r="U145" s="88"/>
      <c r="V145" s="88"/>
      <c r="W145" s="88"/>
      <c r="X145" s="88"/>
      <c r="Y145" s="88"/>
    </row>
    <row r="146">
      <c r="A146" s="88"/>
      <c r="B146" s="88"/>
      <c r="C146" s="88"/>
      <c r="D146" s="88"/>
      <c r="E146" s="88"/>
      <c r="F146" s="88" t="str">
        <f>IFERROR(__xludf.DUMMYFUNCTION("""COMPUTED_VALUE"""),"#DIV/0!")</f>
        <v>#DIV/0!</v>
      </c>
      <c r="G146" s="88"/>
      <c r="H146" s="88"/>
      <c r="I146" s="88"/>
      <c r="J146" s="88"/>
      <c r="K146" s="88"/>
      <c r="L146" s="88"/>
      <c r="M146" s="88"/>
      <c r="N146" s="88"/>
      <c r="Q146" s="88"/>
      <c r="R146" s="88" t="str">
        <f>IFERROR(__xludf.DUMMYFUNCTION("""COMPUTED_VALUE"""),"Internet")</f>
        <v>Internet</v>
      </c>
      <c r="S146" s="88">
        <f>IFERROR(__xludf.DUMMYFUNCTION("""COMPUTED_VALUE"""),56.5)</f>
        <v>56.5</v>
      </c>
      <c r="T146" s="88">
        <f>IFERROR(__xludf.DUMMYFUNCTION("""COMPUTED_VALUE"""),9.416666666666666)</f>
        <v>9.416666667</v>
      </c>
      <c r="U146" s="88"/>
      <c r="V146" s="88"/>
      <c r="W146" s="88"/>
      <c r="X146" s="88"/>
      <c r="Y146" s="88"/>
    </row>
    <row r="147">
      <c r="A147" s="88"/>
      <c r="B147" s="88"/>
      <c r="C147" s="88"/>
      <c r="D147" s="88"/>
      <c r="E147" s="88"/>
      <c r="F147" s="88" t="str">
        <f>IFERROR(__xludf.DUMMYFUNCTION("""COMPUTED_VALUE"""),"#DIV/0!")</f>
        <v>#DIV/0!</v>
      </c>
      <c r="G147" s="88"/>
      <c r="H147" s="88"/>
      <c r="I147" s="88"/>
      <c r="J147" s="88"/>
      <c r="K147" s="88"/>
      <c r="L147" s="88"/>
      <c r="M147" s="88"/>
      <c r="N147" s="88"/>
      <c r="Q147" s="88"/>
      <c r="R147" s="88"/>
      <c r="S147" s="88"/>
      <c r="T147" s="88"/>
      <c r="U147" s="88"/>
      <c r="V147" s="88"/>
      <c r="W147" s="88"/>
      <c r="X147" s="88"/>
      <c r="Y147" s="88"/>
    </row>
    <row r="148">
      <c r="A148" s="88"/>
      <c r="B148" s="88"/>
      <c r="C148" s="88"/>
      <c r="D148" s="88"/>
      <c r="E148" s="88"/>
      <c r="F148" s="88" t="str">
        <f>IFERROR(__xludf.DUMMYFUNCTION("""COMPUTED_VALUE"""),"#DIV/0!")</f>
        <v>#DIV/0!</v>
      </c>
      <c r="G148" s="88"/>
      <c r="H148" s="88"/>
      <c r="I148" s="88"/>
      <c r="J148" s="88"/>
      <c r="K148" s="88"/>
      <c r="L148" s="88"/>
      <c r="M148" s="88"/>
      <c r="N148" s="88"/>
      <c r="Q148" s="88"/>
      <c r="R148" s="88"/>
      <c r="S148" s="88"/>
      <c r="T148" s="88"/>
      <c r="U148" s="88"/>
      <c r="V148" s="88"/>
      <c r="W148" s="88"/>
      <c r="X148" s="88"/>
      <c r="Y148" s="88"/>
    </row>
    <row r="149">
      <c r="A149" s="88"/>
      <c r="B149" s="88"/>
      <c r="C149" s="88"/>
      <c r="D149" s="88"/>
      <c r="E149" s="88"/>
      <c r="F149" s="88" t="str">
        <f>IFERROR(__xludf.DUMMYFUNCTION("""COMPUTED_VALUE"""),"#DIV/0!")</f>
        <v>#DIV/0!</v>
      </c>
      <c r="G149" s="88"/>
      <c r="H149" s="88"/>
      <c r="I149" s="88"/>
      <c r="J149" s="88"/>
      <c r="K149" s="88"/>
      <c r="L149" s="88"/>
      <c r="M149" s="88"/>
      <c r="N149" s="88"/>
      <c r="Q149" s="88"/>
      <c r="R149" s="88"/>
      <c r="S149" s="88"/>
      <c r="T149" s="88"/>
      <c r="U149" s="88"/>
      <c r="V149" s="88"/>
      <c r="W149" s="88"/>
      <c r="X149" s="88"/>
      <c r="Y149" s="88"/>
    </row>
    <row r="150">
      <c r="A150" s="88"/>
      <c r="B150" s="88"/>
      <c r="C150" s="88"/>
      <c r="D150" s="88"/>
      <c r="E150" s="88"/>
      <c r="F150" s="88" t="str">
        <f>IFERROR(__xludf.DUMMYFUNCTION("""COMPUTED_VALUE"""),"#DIV/0!")</f>
        <v>#DIV/0!</v>
      </c>
      <c r="G150" s="88"/>
      <c r="H150" s="88"/>
      <c r="I150" s="88"/>
      <c r="J150" s="88"/>
      <c r="K150" s="88"/>
      <c r="L150" s="88"/>
      <c r="M150" s="88"/>
      <c r="N150" s="88"/>
      <c r="Q150" s="88"/>
      <c r="R150" s="88"/>
      <c r="S150" s="88"/>
      <c r="T150" s="88"/>
      <c r="U150" s="88"/>
      <c r="V150" s="88"/>
      <c r="W150" s="88"/>
      <c r="X150" s="88"/>
      <c r="Y150" s="88"/>
    </row>
    <row r="151">
      <c r="A151" s="88"/>
      <c r="B151" s="88"/>
      <c r="C151" s="88"/>
      <c r="D151" s="88"/>
      <c r="E151" s="88"/>
      <c r="F151" s="88" t="str">
        <f>IFERROR(__xludf.DUMMYFUNCTION("""COMPUTED_VALUE"""),"#DIV/0!")</f>
        <v>#DIV/0!</v>
      </c>
      <c r="G151" s="88"/>
      <c r="H151" s="88"/>
      <c r="I151" s="88"/>
      <c r="J151" s="88"/>
      <c r="K151" s="88"/>
      <c r="L151" s="88"/>
      <c r="M151" s="88"/>
      <c r="N151" s="88"/>
      <c r="Q151" s="88"/>
      <c r="R151" s="88"/>
      <c r="S151" s="88"/>
      <c r="T151" s="88"/>
      <c r="U151" s="88"/>
      <c r="V151" s="88"/>
      <c r="W151" s="88"/>
      <c r="X151" s="88"/>
      <c r="Y151" s="88"/>
    </row>
    <row r="152">
      <c r="A152" s="88"/>
      <c r="B152" s="88"/>
      <c r="C152" s="88"/>
      <c r="D152" s="88"/>
      <c r="E152" s="88"/>
      <c r="F152" s="88" t="str">
        <f>IFERROR(__xludf.DUMMYFUNCTION("""COMPUTED_VALUE"""),"#DIV/0!")</f>
        <v>#DIV/0!</v>
      </c>
      <c r="G152" s="88"/>
      <c r="H152" s="88"/>
      <c r="I152" s="88"/>
      <c r="J152" s="88"/>
      <c r="K152" s="88"/>
      <c r="L152" s="88"/>
      <c r="M152" s="88"/>
      <c r="N152" s="88"/>
      <c r="Q152" s="88"/>
      <c r="R152" s="88"/>
      <c r="S152" s="88"/>
      <c r="T152" s="88"/>
      <c r="U152" s="88"/>
      <c r="V152" s="88"/>
      <c r="W152" s="88"/>
      <c r="X152" s="88"/>
      <c r="Y152" s="88"/>
    </row>
    <row r="153">
      <c r="A153" s="88"/>
      <c r="B153" s="88"/>
      <c r="C153" s="88"/>
      <c r="D153" s="88"/>
      <c r="E153" s="88"/>
      <c r="F153" s="88" t="str">
        <f>IFERROR(__xludf.DUMMYFUNCTION("""COMPUTED_VALUE"""),"#DIV/0!")</f>
        <v>#DIV/0!</v>
      </c>
      <c r="G153" s="88"/>
      <c r="H153" s="88"/>
      <c r="I153" s="88"/>
      <c r="J153" s="88"/>
      <c r="K153" s="88"/>
      <c r="L153" s="88"/>
      <c r="M153" s="88"/>
      <c r="N153" s="88"/>
      <c r="Q153" s="88"/>
      <c r="R153" s="88"/>
      <c r="S153" s="88"/>
      <c r="T153" s="88"/>
      <c r="U153" s="88"/>
      <c r="V153" s="88"/>
      <c r="W153" s="88"/>
      <c r="X153" s="88"/>
      <c r="Y153" s="88"/>
    </row>
    <row r="154">
      <c r="A154" s="88"/>
      <c r="B154" s="88"/>
      <c r="C154" s="88"/>
      <c r="D154" s="88"/>
      <c r="E154" s="88"/>
      <c r="F154" s="88" t="str">
        <f>IFERROR(__xludf.DUMMYFUNCTION("""COMPUTED_VALUE"""),"#DIV/0!")</f>
        <v>#DIV/0!</v>
      </c>
      <c r="G154" s="88"/>
      <c r="H154" s="88"/>
      <c r="I154" s="88"/>
      <c r="J154" s="88"/>
      <c r="K154" s="88"/>
      <c r="L154" s="88"/>
      <c r="M154" s="88"/>
      <c r="N154" s="88"/>
      <c r="Q154" s="88"/>
      <c r="R154" s="88"/>
      <c r="S154" s="88"/>
      <c r="T154" s="88"/>
      <c r="U154" s="88"/>
      <c r="V154" s="88"/>
      <c r="W154" s="88"/>
      <c r="X154" s="88"/>
      <c r="Y154" s="88"/>
    </row>
    <row r="155">
      <c r="A155" s="88"/>
      <c r="B155" s="88"/>
      <c r="C155" s="88"/>
      <c r="D155" s="88"/>
      <c r="E155" s="88"/>
      <c r="F155" s="88" t="str">
        <f>IFERROR(__xludf.DUMMYFUNCTION("""COMPUTED_VALUE"""),"#DIV/0!")</f>
        <v>#DIV/0!</v>
      </c>
      <c r="G155" s="88"/>
      <c r="H155" s="88"/>
      <c r="I155" s="88"/>
      <c r="J155" s="88"/>
      <c r="K155" s="88"/>
      <c r="L155" s="88"/>
      <c r="M155" s="88"/>
      <c r="N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>
      <c r="A156" s="88"/>
      <c r="B156" s="88"/>
      <c r="C156" s="88"/>
      <c r="D156" s="88"/>
      <c r="E156" s="88"/>
      <c r="F156" s="88" t="str">
        <f>IFERROR(__xludf.DUMMYFUNCTION("""COMPUTED_VALUE"""),"#DIV/0!")</f>
        <v>#DIV/0!</v>
      </c>
      <c r="G156" s="88"/>
      <c r="H156" s="88"/>
      <c r="I156" s="88"/>
      <c r="J156" s="88"/>
      <c r="K156" s="88"/>
      <c r="L156" s="88"/>
      <c r="M156" s="88"/>
      <c r="N156" s="88"/>
      <c r="Q156" s="88"/>
      <c r="R156" s="88"/>
      <c r="S156" s="88"/>
      <c r="T156" s="88"/>
      <c r="U156" s="88"/>
      <c r="V156" s="88"/>
      <c r="W156" s="88"/>
      <c r="X156" s="88"/>
      <c r="Y156" s="88"/>
    </row>
    <row r="157">
      <c r="A157" s="88"/>
      <c r="B157" s="88"/>
      <c r="C157" s="88"/>
      <c r="D157" s="88"/>
      <c r="E157" s="88"/>
      <c r="F157" s="88" t="str">
        <f>IFERROR(__xludf.DUMMYFUNCTION("""COMPUTED_VALUE"""),"#DIV/0!")</f>
        <v>#DIV/0!</v>
      </c>
      <c r="G157" s="88"/>
      <c r="H157" s="88"/>
      <c r="I157" s="88"/>
      <c r="J157" s="88"/>
      <c r="K157" s="88"/>
      <c r="L157" s="88"/>
      <c r="M157" s="88"/>
      <c r="N157" s="88"/>
      <c r="Q157" s="88"/>
      <c r="R157" s="88"/>
      <c r="S157" s="88"/>
      <c r="T157" s="88"/>
      <c r="U157" s="88"/>
      <c r="V157" s="88"/>
      <c r="W157" s="88"/>
      <c r="X157" s="88"/>
      <c r="Y157" s="88"/>
    </row>
    <row r="158">
      <c r="A158" s="88"/>
      <c r="B158" s="88"/>
      <c r="C158" s="88"/>
      <c r="D158" s="88"/>
      <c r="E158" s="88"/>
      <c r="F158" s="88" t="str">
        <f>IFERROR(__xludf.DUMMYFUNCTION("""COMPUTED_VALUE"""),"#DIV/0!")</f>
        <v>#DIV/0!</v>
      </c>
      <c r="G158" s="88"/>
      <c r="H158" s="88"/>
      <c r="I158" s="88"/>
      <c r="J158" s="88"/>
      <c r="K158" s="88"/>
      <c r="L158" s="88"/>
      <c r="M158" s="88"/>
      <c r="N158" s="88"/>
      <c r="Q158" s="88"/>
      <c r="R158" s="88"/>
      <c r="S158" s="88"/>
      <c r="T158" s="88"/>
      <c r="U158" s="88"/>
      <c r="V158" s="88"/>
      <c r="W158" s="88"/>
      <c r="X158" s="88"/>
      <c r="Y158" s="88"/>
    </row>
    <row r="159">
      <c r="A159" s="88"/>
      <c r="B159" s="88"/>
      <c r="C159" s="88"/>
      <c r="D159" s="88"/>
      <c r="E159" s="88"/>
      <c r="F159" s="88" t="str">
        <f>IFERROR(__xludf.DUMMYFUNCTION("""COMPUTED_VALUE"""),"#DIV/0!")</f>
        <v>#DIV/0!</v>
      </c>
      <c r="G159" s="88"/>
      <c r="H159" s="88"/>
      <c r="I159" s="88"/>
      <c r="J159" s="88"/>
      <c r="K159" s="88"/>
      <c r="L159" s="88"/>
      <c r="M159" s="88"/>
      <c r="N159" s="88"/>
      <c r="Q159" s="88"/>
      <c r="R159" s="88"/>
      <c r="S159" s="88"/>
      <c r="T159" s="88"/>
      <c r="U159" s="88"/>
      <c r="V159" s="88"/>
      <c r="W159" s="88"/>
      <c r="X159" s="88"/>
      <c r="Y159" s="88"/>
    </row>
    <row r="160">
      <c r="A160" s="88"/>
      <c r="B160" s="88"/>
      <c r="C160" s="88"/>
      <c r="D160" s="88"/>
      <c r="E160" s="88"/>
      <c r="F160" s="88" t="str">
        <f>IFERROR(__xludf.DUMMYFUNCTION("""COMPUTED_VALUE"""),"#DIV/0!")</f>
        <v>#DIV/0!</v>
      </c>
      <c r="G160" s="88"/>
      <c r="H160" s="88"/>
      <c r="I160" s="88"/>
      <c r="J160" s="88"/>
      <c r="K160" s="88"/>
      <c r="L160" s="88"/>
      <c r="M160" s="88"/>
      <c r="N160" s="88"/>
      <c r="Q160" s="88"/>
      <c r="R160" s="88"/>
      <c r="S160" s="88"/>
      <c r="T160" s="88"/>
      <c r="U160" s="88"/>
      <c r="V160" s="88"/>
      <c r="W160" s="88"/>
      <c r="X160" s="88"/>
      <c r="Y160" s="88"/>
    </row>
    <row r="161">
      <c r="A161" s="88"/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Q161" s="88"/>
      <c r="R161" s="88"/>
      <c r="S161" s="88"/>
      <c r="T161" s="88"/>
      <c r="U161" s="88"/>
      <c r="V161" s="88"/>
      <c r="W161" s="88"/>
      <c r="X161" s="88"/>
      <c r="Y161" s="88"/>
    </row>
    <row r="162">
      <c r="A162" s="137"/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Q162" s="88"/>
      <c r="R162" s="88"/>
      <c r="S162" s="88"/>
      <c r="T162" s="88"/>
      <c r="U162" s="88"/>
      <c r="V162" s="88"/>
      <c r="W162" s="88"/>
      <c r="X162" s="88"/>
      <c r="Y162" s="88"/>
    </row>
    <row r="163">
      <c r="A163" s="137"/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Q163" s="88"/>
      <c r="R163" s="88"/>
      <c r="S163" s="88"/>
      <c r="T163" s="88"/>
      <c r="U163" s="88"/>
      <c r="V163" s="88"/>
      <c r="W163" s="88"/>
      <c r="X163" s="88"/>
      <c r="Y163" s="88"/>
    </row>
    <row r="164">
      <c r="A164" s="137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Q164" s="88"/>
      <c r="R164" s="88"/>
      <c r="S164" s="88"/>
      <c r="T164" s="88"/>
      <c r="U164" s="88"/>
      <c r="V164" s="88"/>
      <c r="W164" s="88"/>
      <c r="X164" s="88"/>
      <c r="Y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Q165" s="88"/>
      <c r="R165" s="88"/>
      <c r="S165" s="88"/>
      <c r="T165" s="88"/>
      <c r="U165" s="88"/>
      <c r="V165" s="88"/>
      <c r="W165" s="88"/>
      <c r="X165" s="88"/>
      <c r="Y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Q166" s="88"/>
      <c r="R166" s="88"/>
      <c r="S166" s="88"/>
      <c r="T166" s="88"/>
      <c r="U166" s="88"/>
      <c r="V166" s="88"/>
      <c r="W166" s="88"/>
      <c r="X166" s="88"/>
      <c r="Y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Q167" s="88"/>
      <c r="R167" s="88"/>
      <c r="S167" s="88"/>
      <c r="T167" s="88"/>
      <c r="U167" s="88"/>
      <c r="V167" s="88"/>
      <c r="W167" s="88"/>
      <c r="X167" s="88"/>
      <c r="Y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Q168" s="88"/>
      <c r="R168" s="88"/>
      <c r="S168" s="88"/>
      <c r="T168" s="88"/>
      <c r="U168" s="88"/>
      <c r="V168" s="88"/>
      <c r="W168" s="88"/>
      <c r="X168" s="88"/>
      <c r="Y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Q169" s="88"/>
      <c r="R169" s="88"/>
      <c r="S169" s="88"/>
      <c r="T169" s="88"/>
      <c r="U169" s="88"/>
      <c r="V169" s="88"/>
      <c r="W169" s="88"/>
      <c r="X169" s="88"/>
      <c r="Y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Q170" s="88"/>
      <c r="R170" s="88"/>
      <c r="S170" s="88"/>
      <c r="T170" s="88"/>
      <c r="U170" s="88"/>
      <c r="V170" s="88"/>
      <c r="W170" s="88"/>
      <c r="X170" s="88"/>
      <c r="Y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Q171" s="88"/>
      <c r="R171" s="88"/>
      <c r="S171" s="88"/>
      <c r="T171" s="88"/>
      <c r="U171" s="88"/>
      <c r="V171" s="88"/>
      <c r="W171" s="88"/>
      <c r="X171" s="88"/>
      <c r="Y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Q173" s="88"/>
      <c r="R173" s="88"/>
      <c r="S173" s="88"/>
      <c r="T173" s="88"/>
      <c r="U173" s="88"/>
      <c r="V173" s="88"/>
      <c r="W173" s="88"/>
      <c r="X173" s="88"/>
      <c r="Y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Q174" s="88"/>
      <c r="R174" s="88"/>
      <c r="S174" s="88"/>
      <c r="T174" s="88"/>
      <c r="U174" s="88"/>
      <c r="V174" s="88"/>
      <c r="W174" s="88"/>
      <c r="X174" s="88"/>
      <c r="Y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Q176" s="88"/>
      <c r="R176" s="88"/>
      <c r="S176" s="88"/>
      <c r="T176" s="88"/>
      <c r="U176" s="88"/>
      <c r="V176" s="88"/>
      <c r="W176" s="88"/>
      <c r="X176" s="88"/>
      <c r="Y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Q177" s="88"/>
      <c r="R177" s="88"/>
      <c r="S177" s="88"/>
      <c r="T177" s="88"/>
      <c r="U177" s="88"/>
      <c r="V177" s="88"/>
      <c r="W177" s="88"/>
      <c r="X177" s="88"/>
      <c r="Y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Q178" s="88"/>
      <c r="R178" s="88"/>
      <c r="S178" s="88"/>
      <c r="T178" s="88"/>
      <c r="U178" s="88"/>
      <c r="V178" s="88"/>
      <c r="W178" s="88"/>
      <c r="X178" s="88"/>
      <c r="Y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Q179" s="88"/>
      <c r="R179" s="88"/>
      <c r="S179" s="88"/>
      <c r="T179" s="88"/>
      <c r="U179" s="88"/>
      <c r="V179" s="88"/>
      <c r="W179" s="88"/>
      <c r="X179" s="88"/>
      <c r="Y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Q180" s="88"/>
      <c r="R180" s="88"/>
      <c r="S180" s="88"/>
      <c r="T180" s="88"/>
      <c r="U180" s="88"/>
      <c r="V180" s="88"/>
      <c r="W180" s="88"/>
      <c r="X180" s="88"/>
      <c r="Y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Q181" s="88"/>
      <c r="R181" s="88"/>
      <c r="S181" s="88"/>
      <c r="T181" s="88"/>
      <c r="U181" s="88"/>
      <c r="V181" s="88"/>
      <c r="W181" s="88"/>
      <c r="X181" s="88"/>
      <c r="Y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Q183" s="88"/>
      <c r="R183" s="88"/>
      <c r="S183" s="88"/>
      <c r="T183" s="88"/>
      <c r="U183" s="88"/>
      <c r="V183" s="88"/>
      <c r="W183" s="88"/>
      <c r="X183" s="88"/>
      <c r="Y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Q184" s="88"/>
      <c r="R184" s="88"/>
      <c r="S184" s="88"/>
      <c r="T184" s="88"/>
      <c r="U184" s="88"/>
      <c r="V184" s="88"/>
      <c r="W184" s="88"/>
      <c r="X184" s="88"/>
      <c r="Y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Q185" s="88"/>
      <c r="R185" s="88"/>
      <c r="S185" s="88"/>
      <c r="T185" s="88"/>
      <c r="U185" s="88"/>
      <c r="V185" s="88"/>
      <c r="W185" s="88"/>
      <c r="X185" s="88"/>
      <c r="Y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Q186" s="88"/>
      <c r="R186" s="88"/>
      <c r="S186" s="88"/>
      <c r="T186" s="88"/>
      <c r="U186" s="88"/>
      <c r="V186" s="88"/>
      <c r="W186" s="88"/>
      <c r="X186" s="88"/>
      <c r="Y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Q187" s="88"/>
      <c r="R187" s="88"/>
      <c r="S187" s="88"/>
      <c r="T187" s="88"/>
      <c r="U187" s="88"/>
      <c r="V187" s="88"/>
      <c r="W187" s="88"/>
      <c r="X187" s="88"/>
      <c r="Y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Q188" s="88"/>
      <c r="R188" s="88"/>
      <c r="S188" s="88"/>
      <c r="T188" s="88"/>
      <c r="U188" s="88"/>
      <c r="V188" s="88"/>
      <c r="W188" s="88"/>
      <c r="X188" s="88"/>
      <c r="Y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Q189" s="88"/>
      <c r="R189" s="88"/>
      <c r="S189" s="88"/>
      <c r="T189" s="88"/>
      <c r="U189" s="88"/>
      <c r="V189" s="88"/>
      <c r="W189" s="88"/>
      <c r="X189" s="88"/>
      <c r="Y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Q190" s="88"/>
      <c r="R190" s="88"/>
      <c r="S190" s="88"/>
      <c r="T190" s="88"/>
      <c r="U190" s="88"/>
      <c r="V190" s="88"/>
      <c r="W190" s="88"/>
      <c r="X190" s="139"/>
      <c r="Y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Q191" s="88"/>
      <c r="R191" s="88"/>
      <c r="S191" s="88"/>
      <c r="T191" s="88"/>
      <c r="U191" s="88"/>
      <c r="V191" s="88"/>
      <c r="W191" s="88"/>
      <c r="X191" s="139"/>
      <c r="Y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Q193" s="88"/>
      <c r="R193" s="88"/>
      <c r="S193" s="88"/>
      <c r="T193" s="88"/>
      <c r="U193" s="88"/>
      <c r="V193" s="88"/>
      <c r="W193" s="88"/>
      <c r="X193" s="139"/>
      <c r="Y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Q194" s="88"/>
      <c r="R194" s="88"/>
      <c r="S194" s="88"/>
      <c r="T194" s="88"/>
      <c r="U194" s="88"/>
      <c r="V194" s="88"/>
      <c r="W194" s="88"/>
      <c r="X194" s="139"/>
      <c r="Y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Q195" s="88"/>
      <c r="R195" s="88"/>
      <c r="S195" s="88"/>
      <c r="T195" s="88"/>
      <c r="U195" s="88"/>
      <c r="V195" s="88"/>
      <c r="W195" s="88"/>
      <c r="X195" s="139"/>
      <c r="Y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Q196" s="88"/>
      <c r="R196" s="88"/>
      <c r="S196" s="88"/>
      <c r="T196" s="88"/>
      <c r="U196" s="88"/>
      <c r="V196" s="88"/>
      <c r="W196" s="88"/>
      <c r="X196" s="139"/>
      <c r="Y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Q197" s="88"/>
      <c r="R197" s="88"/>
      <c r="S197" s="88"/>
      <c r="T197" s="88"/>
      <c r="U197" s="88"/>
      <c r="V197" s="88"/>
      <c r="W197" s="88"/>
      <c r="X197" s="139"/>
      <c r="Y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Q198" s="88"/>
      <c r="R198" s="88"/>
      <c r="S198" s="88"/>
      <c r="T198" s="88"/>
      <c r="U198" s="88"/>
      <c r="V198" s="88"/>
      <c r="W198" s="88"/>
      <c r="X198" s="139"/>
      <c r="Y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Q199" s="88"/>
      <c r="R199" s="88"/>
      <c r="S199" s="88"/>
      <c r="T199" s="88"/>
      <c r="U199" s="88"/>
      <c r="V199" s="88"/>
      <c r="W199" s="88"/>
      <c r="X199" s="88"/>
      <c r="Y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Q200" s="88"/>
      <c r="R200" s="88"/>
      <c r="S200" s="88"/>
      <c r="T200" s="88"/>
      <c r="U200" s="88"/>
      <c r="V200" s="88"/>
      <c r="W200" s="88"/>
      <c r="X200" s="139"/>
      <c r="Y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Q201" s="88"/>
      <c r="R201" s="88"/>
      <c r="S201" s="88"/>
      <c r="T201" s="88"/>
      <c r="U201" s="88"/>
      <c r="V201" s="88"/>
      <c r="W201" s="88"/>
      <c r="X201" s="88"/>
      <c r="Y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Q202" s="88"/>
      <c r="R202" s="88"/>
      <c r="S202" s="88"/>
      <c r="T202" s="88"/>
      <c r="U202" s="88"/>
      <c r="V202" s="88"/>
      <c r="W202" s="88"/>
      <c r="X202" s="88"/>
      <c r="Y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Q203" s="88"/>
      <c r="R203" s="88"/>
      <c r="S203" s="88"/>
      <c r="T203" s="88"/>
      <c r="U203" s="88"/>
      <c r="V203" s="88"/>
      <c r="W203" s="88"/>
      <c r="X203" s="139"/>
      <c r="Y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Q204" s="88"/>
      <c r="R204" s="88"/>
      <c r="S204" s="88"/>
      <c r="T204" s="88"/>
      <c r="U204" s="88"/>
      <c r="V204" s="88"/>
      <c r="W204" s="88"/>
      <c r="X204" s="88"/>
      <c r="Y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Q205" s="88"/>
      <c r="R205" s="88"/>
      <c r="S205" s="88"/>
      <c r="T205" s="88"/>
      <c r="U205" s="88"/>
      <c r="V205" s="88"/>
      <c r="W205" s="88"/>
      <c r="X205" s="88"/>
      <c r="Y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Q206" s="88"/>
      <c r="R206" s="88"/>
      <c r="S206" s="88"/>
      <c r="T206" s="88"/>
      <c r="U206" s="88"/>
      <c r="V206" s="88"/>
      <c r="W206" s="88"/>
      <c r="X206" s="88"/>
      <c r="Y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Q207" s="88"/>
      <c r="R207" s="88"/>
      <c r="S207" s="88"/>
      <c r="T207" s="88"/>
      <c r="U207" s="88"/>
      <c r="V207" s="88"/>
      <c r="W207" s="88"/>
      <c r="X207" s="88"/>
      <c r="Y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Q208" s="88"/>
      <c r="R208" s="88"/>
      <c r="S208" s="88"/>
      <c r="T208" s="88"/>
      <c r="U208" s="88"/>
      <c r="V208" s="88"/>
      <c r="W208" s="88"/>
      <c r="X208" s="88"/>
      <c r="Y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Q209" s="88"/>
      <c r="R209" s="88"/>
      <c r="S209" s="88"/>
      <c r="T209" s="88"/>
      <c r="U209" s="88"/>
      <c r="V209" s="88"/>
      <c r="W209" s="88"/>
      <c r="X209" s="88"/>
      <c r="Y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Q210" s="88"/>
      <c r="R210" s="88"/>
      <c r="S210" s="88"/>
      <c r="T210" s="88"/>
      <c r="U210" s="88"/>
      <c r="V210" s="88"/>
      <c r="W210" s="88"/>
      <c r="X210" s="88"/>
      <c r="Y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Q211" s="88"/>
      <c r="R211" s="88"/>
      <c r="S211" s="88"/>
      <c r="T211" s="88"/>
      <c r="U211" s="88"/>
      <c r="V211" s="88"/>
      <c r="W211" s="88"/>
      <c r="X211" s="88"/>
      <c r="Y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Q212" s="88"/>
      <c r="R212" s="88"/>
      <c r="S212" s="88"/>
      <c r="T212" s="88"/>
      <c r="U212" s="88"/>
      <c r="V212" s="88"/>
      <c r="W212" s="88"/>
      <c r="X212" s="88"/>
      <c r="Y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Q213" s="88"/>
      <c r="R213" s="88"/>
      <c r="S213" s="88"/>
      <c r="T213" s="88"/>
      <c r="U213" s="88"/>
      <c r="V213" s="88"/>
      <c r="W213" s="88"/>
      <c r="X213" s="88"/>
      <c r="Y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Q214" s="88"/>
      <c r="R214" s="88"/>
      <c r="S214" s="88"/>
      <c r="T214" s="88"/>
      <c r="U214" s="88"/>
      <c r="V214" s="88"/>
      <c r="W214" s="88"/>
      <c r="X214" s="88"/>
      <c r="Y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Q215" s="88"/>
      <c r="R215" s="88"/>
      <c r="S215" s="88"/>
      <c r="T215" s="88"/>
      <c r="U215" s="88"/>
      <c r="V215" s="88"/>
      <c r="W215" s="88"/>
      <c r="X215" s="88"/>
      <c r="Y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Q216" s="88"/>
      <c r="R216" s="88"/>
      <c r="S216" s="88"/>
      <c r="T216" s="88"/>
      <c r="U216" s="88"/>
      <c r="V216" s="88"/>
      <c r="W216" s="88"/>
      <c r="X216" s="88"/>
      <c r="Y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Q217" s="88"/>
      <c r="R217" s="88"/>
      <c r="S217" s="88"/>
      <c r="T217" s="88"/>
      <c r="U217" s="88"/>
      <c r="V217" s="88"/>
      <c r="W217" s="88"/>
      <c r="X217" s="88"/>
      <c r="Y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Q218" s="88"/>
      <c r="R218" s="88"/>
      <c r="S218" s="88"/>
      <c r="T218" s="88"/>
      <c r="U218" s="88"/>
      <c r="V218" s="88"/>
      <c r="W218" s="88"/>
      <c r="X218" s="88"/>
      <c r="Y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Q219" s="88"/>
      <c r="R219" s="88"/>
      <c r="S219" s="88"/>
      <c r="T219" s="88"/>
      <c r="U219" s="88"/>
      <c r="V219" s="88"/>
      <c r="W219" s="88"/>
      <c r="X219" s="88"/>
      <c r="Y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Q220" s="88"/>
      <c r="R220" s="88"/>
      <c r="S220" s="88"/>
      <c r="T220" s="88"/>
      <c r="U220" s="88"/>
      <c r="V220" s="88"/>
      <c r="W220" s="88"/>
      <c r="X220" s="88"/>
      <c r="Y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Q221" s="88"/>
      <c r="R221" s="88"/>
      <c r="S221" s="88"/>
      <c r="T221" s="88"/>
      <c r="U221" s="88"/>
      <c r="V221" s="88"/>
      <c r="W221" s="88"/>
      <c r="X221" s="88"/>
      <c r="Y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Q222" s="88"/>
      <c r="R222" s="88"/>
      <c r="S222" s="88"/>
      <c r="T222" s="88"/>
      <c r="U222" s="88"/>
      <c r="V222" s="88"/>
      <c r="W222" s="88"/>
      <c r="X222" s="88"/>
      <c r="Y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Q223" s="88"/>
      <c r="R223" s="88"/>
      <c r="S223" s="88"/>
      <c r="T223" s="88"/>
      <c r="U223" s="88"/>
      <c r="V223" s="88"/>
      <c r="W223" s="88"/>
      <c r="X223" s="88"/>
      <c r="Y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Q224" s="88"/>
      <c r="R224" s="88"/>
      <c r="S224" s="88"/>
      <c r="T224" s="88"/>
      <c r="U224" s="88"/>
      <c r="V224" s="88"/>
      <c r="W224" s="88"/>
      <c r="X224" s="88"/>
      <c r="Y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Q225" s="88"/>
      <c r="R225" s="88"/>
      <c r="S225" s="88"/>
      <c r="T225" s="88"/>
      <c r="U225" s="88"/>
      <c r="V225" s="88"/>
      <c r="W225" s="88"/>
      <c r="X225" s="88"/>
      <c r="Y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Q226" s="88"/>
      <c r="R226" s="88"/>
      <c r="S226" s="88"/>
      <c r="T226" s="88"/>
      <c r="U226" s="88"/>
      <c r="V226" s="88"/>
      <c r="W226" s="88"/>
      <c r="X226" s="88"/>
      <c r="Y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Q227" s="88"/>
      <c r="R227" s="88"/>
      <c r="S227" s="88"/>
      <c r="T227" s="88"/>
      <c r="U227" s="88"/>
      <c r="V227" s="88"/>
      <c r="W227" s="88"/>
      <c r="X227" s="88"/>
      <c r="Y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Q228" s="88"/>
      <c r="R228" s="88"/>
      <c r="S228" s="88"/>
      <c r="T228" s="88"/>
      <c r="U228" s="88"/>
      <c r="V228" s="88"/>
      <c r="W228" s="88"/>
      <c r="X228" s="88"/>
      <c r="Y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Q229" s="88"/>
      <c r="R229" s="88"/>
      <c r="S229" s="88"/>
      <c r="T229" s="88"/>
      <c r="U229" s="88"/>
      <c r="V229" s="88"/>
      <c r="W229" s="88"/>
      <c r="X229" s="88"/>
      <c r="Y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Q230" s="88"/>
      <c r="R230" s="88"/>
      <c r="S230" s="88"/>
      <c r="T230" s="88"/>
      <c r="U230" s="88"/>
      <c r="V230" s="88"/>
      <c r="W230" s="88"/>
      <c r="X230" s="88"/>
      <c r="Y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Q231" s="88"/>
      <c r="R231" s="88"/>
      <c r="S231" s="88"/>
      <c r="T231" s="88"/>
      <c r="U231" s="88"/>
      <c r="V231" s="88"/>
      <c r="W231" s="88"/>
      <c r="X231" s="88"/>
      <c r="Y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Q232" s="88"/>
      <c r="R232" s="88"/>
      <c r="S232" s="88"/>
      <c r="T232" s="88"/>
      <c r="U232" s="88"/>
      <c r="V232" s="88"/>
      <c r="W232" s="88"/>
      <c r="X232" s="88"/>
      <c r="Y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Q233" s="88"/>
      <c r="R233" s="88"/>
      <c r="S233" s="88"/>
      <c r="T233" s="88"/>
      <c r="U233" s="88"/>
      <c r="V233" s="88"/>
      <c r="W233" s="88"/>
      <c r="X233" s="88"/>
      <c r="Y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Q234" s="88"/>
      <c r="R234" s="88"/>
      <c r="S234" s="88"/>
      <c r="T234" s="88"/>
      <c r="U234" s="88"/>
      <c r="V234" s="88"/>
      <c r="W234" s="88"/>
      <c r="X234" s="88"/>
      <c r="Y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Q235" s="88"/>
      <c r="R235" s="88"/>
      <c r="S235" s="88"/>
      <c r="T235" s="88"/>
      <c r="U235" s="88"/>
      <c r="V235" s="88"/>
      <c r="W235" s="88"/>
      <c r="X235" s="88"/>
      <c r="Y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Q236" s="88"/>
      <c r="R236" s="88"/>
      <c r="S236" s="88"/>
      <c r="T236" s="88"/>
      <c r="U236" s="88"/>
      <c r="V236" s="88"/>
      <c r="W236" s="88"/>
      <c r="X236" s="88"/>
      <c r="Y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Q237" s="88"/>
      <c r="R237" s="88"/>
      <c r="S237" s="88"/>
      <c r="T237" s="88"/>
      <c r="U237" s="88"/>
      <c r="V237" s="88"/>
      <c r="W237" s="88"/>
      <c r="X237" s="88"/>
      <c r="Y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Q238" s="88"/>
      <c r="R238" s="88"/>
      <c r="S238" s="88"/>
      <c r="T238" s="88"/>
      <c r="U238" s="88"/>
      <c r="V238" s="88"/>
      <c r="W238" s="88"/>
      <c r="X238" s="88"/>
      <c r="Y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Q239" s="88"/>
      <c r="R239" s="88"/>
      <c r="S239" s="88"/>
      <c r="T239" s="88"/>
      <c r="U239" s="88"/>
      <c r="V239" s="88"/>
      <c r="W239" s="88"/>
      <c r="X239" s="88"/>
      <c r="Y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Q240" s="88"/>
      <c r="R240" s="88"/>
      <c r="S240" s="88"/>
      <c r="T240" s="88"/>
      <c r="U240" s="88"/>
      <c r="V240" s="88"/>
      <c r="W240" s="88"/>
      <c r="X240" s="88"/>
      <c r="Y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Q241" s="88"/>
      <c r="R241" s="88"/>
      <c r="S241" s="88"/>
      <c r="T241" s="88"/>
      <c r="U241" s="88"/>
      <c r="V241" s="88"/>
      <c r="W241" s="88"/>
      <c r="X241" s="88"/>
      <c r="Y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Q242" s="88"/>
      <c r="R242" s="88"/>
      <c r="S242" s="88"/>
      <c r="T242" s="88"/>
      <c r="U242" s="88"/>
      <c r="V242" s="88"/>
      <c r="W242" s="88"/>
      <c r="X242" s="88"/>
      <c r="Y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Q243" s="88"/>
      <c r="R243" s="88"/>
      <c r="S243" s="88"/>
      <c r="T243" s="88"/>
      <c r="U243" s="88"/>
      <c r="V243" s="88"/>
      <c r="W243" s="88"/>
      <c r="X243" s="88"/>
      <c r="Y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Q244" s="88"/>
      <c r="R244" s="88"/>
      <c r="S244" s="88"/>
      <c r="T244" s="88"/>
      <c r="U244" s="88"/>
      <c r="V244" s="88"/>
      <c r="W244" s="88"/>
      <c r="X244" s="88"/>
      <c r="Y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Q245" s="88"/>
      <c r="R245" s="88"/>
      <c r="S245" s="88"/>
      <c r="T245" s="88"/>
      <c r="U245" s="88"/>
      <c r="V245" s="88"/>
      <c r="W245" s="88"/>
      <c r="X245" s="88"/>
      <c r="Y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Q246" s="88"/>
      <c r="R246" s="88"/>
      <c r="S246" s="88"/>
      <c r="T246" s="88"/>
      <c r="U246" s="88"/>
      <c r="V246" s="88"/>
      <c r="W246" s="88"/>
      <c r="X246" s="88"/>
      <c r="Y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Q247" s="88"/>
      <c r="R247" s="88"/>
      <c r="S247" s="88"/>
      <c r="T247" s="88"/>
      <c r="U247" s="88"/>
      <c r="V247" s="88"/>
      <c r="W247" s="88"/>
      <c r="X247" s="88"/>
      <c r="Y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Q248" s="88"/>
      <c r="R248" s="88"/>
      <c r="S248" s="88"/>
      <c r="T248" s="88"/>
      <c r="U248" s="88"/>
      <c r="V248" s="88"/>
      <c r="W248" s="88"/>
      <c r="X248" s="88"/>
      <c r="Y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Q249" s="88"/>
      <c r="R249" s="88"/>
      <c r="S249" s="88"/>
      <c r="T249" s="88"/>
      <c r="U249" s="88"/>
      <c r="V249" s="88"/>
      <c r="W249" s="88"/>
      <c r="X249" s="88"/>
      <c r="Y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Q250" s="88"/>
      <c r="R250" s="88"/>
      <c r="S250" s="88"/>
      <c r="T250" s="88"/>
      <c r="U250" s="88"/>
      <c r="V250" s="88"/>
      <c r="W250" s="88"/>
      <c r="X250" s="88"/>
      <c r="Y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Q251" s="88"/>
      <c r="R251" s="88"/>
      <c r="S251" s="88"/>
      <c r="T251" s="88"/>
      <c r="U251" s="88"/>
      <c r="V251" s="88"/>
      <c r="W251" s="88"/>
      <c r="X251" s="88"/>
      <c r="Y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Q252" s="88"/>
      <c r="R252" s="88"/>
      <c r="S252" s="88"/>
      <c r="T252" s="88"/>
      <c r="U252" s="88"/>
      <c r="V252" s="88"/>
      <c r="W252" s="88"/>
      <c r="X252" s="88"/>
      <c r="Y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Q253" s="88"/>
      <c r="R253" s="88"/>
      <c r="S253" s="88"/>
      <c r="T253" s="88"/>
      <c r="U253" s="88"/>
      <c r="V253" s="88"/>
      <c r="W253" s="88"/>
      <c r="X253" s="88"/>
      <c r="Y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Q254" s="88"/>
      <c r="R254" s="88"/>
      <c r="S254" s="88"/>
      <c r="T254" s="88"/>
      <c r="U254" s="88"/>
      <c r="V254" s="88"/>
      <c r="W254" s="88"/>
      <c r="X254" s="88"/>
      <c r="Y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Q255" s="88"/>
      <c r="R255" s="88"/>
      <c r="S255" s="88"/>
      <c r="T255" s="88"/>
      <c r="U255" s="88"/>
      <c r="V255" s="88"/>
      <c r="W255" s="88"/>
      <c r="X255" s="88"/>
      <c r="Y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Q256" s="88"/>
      <c r="R256" s="88"/>
      <c r="S256" s="88"/>
      <c r="T256" s="88"/>
      <c r="U256" s="88"/>
      <c r="V256" s="88"/>
      <c r="W256" s="88"/>
      <c r="X256" s="88"/>
      <c r="Y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Q257" s="88"/>
      <c r="R257" s="88"/>
      <c r="S257" s="88"/>
      <c r="T257" s="88"/>
      <c r="U257" s="88"/>
      <c r="V257" s="88"/>
      <c r="W257" s="88"/>
      <c r="X257" s="88"/>
      <c r="Y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Q258" s="88"/>
      <c r="R258" s="88"/>
      <c r="S258" s="88"/>
      <c r="T258" s="88"/>
      <c r="U258" s="88"/>
      <c r="V258" s="88"/>
      <c r="W258" s="88"/>
      <c r="X258" s="88"/>
      <c r="Y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Q259" s="88"/>
      <c r="R259" s="88"/>
      <c r="S259" s="88"/>
      <c r="T259" s="88"/>
      <c r="U259" s="88"/>
      <c r="V259" s="88"/>
      <c r="W259" s="88"/>
      <c r="X259" s="88"/>
      <c r="Y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Q260" s="88"/>
      <c r="R260" s="88"/>
      <c r="S260" s="88"/>
      <c r="T260" s="88"/>
      <c r="U260" s="88"/>
      <c r="V260" s="88"/>
      <c r="W260" s="88"/>
      <c r="X260" s="88"/>
      <c r="Y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Q261" s="88"/>
      <c r="R261" s="88"/>
      <c r="S261" s="88"/>
      <c r="T261" s="88"/>
      <c r="U261" s="88"/>
      <c r="V261" s="88"/>
      <c r="W261" s="88"/>
      <c r="X261" s="88"/>
      <c r="Y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Q262" s="88"/>
      <c r="R262" s="88"/>
      <c r="S262" s="88"/>
      <c r="T262" s="88"/>
      <c r="U262" s="88"/>
      <c r="V262" s="88"/>
      <c r="W262" s="88"/>
      <c r="X262" s="88"/>
      <c r="Y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Q263" s="88"/>
      <c r="R263" s="88"/>
      <c r="S263" s="88"/>
      <c r="T263" s="88"/>
      <c r="U263" s="88"/>
      <c r="V263" s="88"/>
      <c r="W263" s="88"/>
      <c r="X263" s="88"/>
      <c r="Y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Q264" s="88"/>
      <c r="R264" s="88"/>
      <c r="S264" s="88"/>
      <c r="T264" s="88"/>
      <c r="U264" s="88"/>
      <c r="V264" s="88"/>
      <c r="W264" s="88"/>
      <c r="X264" s="88"/>
      <c r="Y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Q266" s="88"/>
      <c r="R266" s="88"/>
      <c r="S266" s="88"/>
      <c r="T266" s="88"/>
      <c r="U266" s="88"/>
      <c r="V266" s="88"/>
      <c r="W266" s="88"/>
      <c r="X266" s="88"/>
      <c r="Y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Q267" s="88"/>
      <c r="R267" s="88"/>
      <c r="S267" s="88"/>
      <c r="T267" s="88"/>
      <c r="U267" s="88"/>
      <c r="V267" s="88"/>
      <c r="W267" s="88"/>
      <c r="X267" s="88"/>
      <c r="Y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Q268" s="88"/>
      <c r="R268" s="88"/>
      <c r="S268" s="88"/>
      <c r="T268" s="88"/>
      <c r="U268" s="88"/>
      <c r="V268" s="88"/>
      <c r="W268" s="88"/>
      <c r="X268" s="88"/>
      <c r="Y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Q269" s="88"/>
      <c r="R269" s="88"/>
      <c r="S269" s="88"/>
      <c r="T269" s="88"/>
      <c r="U269" s="88"/>
      <c r="V269" s="88"/>
      <c r="W269" s="88"/>
      <c r="X269" s="88"/>
      <c r="Y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Q270" s="88"/>
      <c r="R270" s="88"/>
      <c r="S270" s="88"/>
      <c r="T270" s="88"/>
      <c r="U270" s="88"/>
      <c r="V270" s="88"/>
      <c r="W270" s="88"/>
      <c r="X270" s="88"/>
      <c r="Y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Q271" s="88"/>
      <c r="R271" s="88"/>
      <c r="S271" s="88"/>
      <c r="T271" s="88"/>
      <c r="U271" s="88"/>
      <c r="V271" s="88"/>
      <c r="W271" s="88"/>
      <c r="X271" s="88"/>
      <c r="Y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Q272" s="88"/>
      <c r="R272" s="88"/>
      <c r="S272" s="88"/>
      <c r="T272" s="88"/>
      <c r="U272" s="88"/>
      <c r="V272" s="88"/>
      <c r="W272" s="88"/>
      <c r="X272" s="88"/>
      <c r="Y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Q273" s="88"/>
      <c r="R273" s="88"/>
      <c r="S273" s="88"/>
      <c r="T273" s="88"/>
      <c r="U273" s="88"/>
      <c r="V273" s="88"/>
      <c r="W273" s="88"/>
      <c r="X273" s="88"/>
      <c r="Y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Q274" s="88"/>
      <c r="R274" s="88"/>
      <c r="S274" s="88"/>
      <c r="T274" s="88"/>
      <c r="U274" s="88"/>
      <c r="V274" s="88"/>
      <c r="W274" s="88"/>
      <c r="X274" s="88"/>
      <c r="Y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Q275" s="88"/>
      <c r="R275" s="88"/>
      <c r="S275" s="88"/>
      <c r="T275" s="88"/>
      <c r="U275" s="88"/>
      <c r="V275" s="88"/>
      <c r="W275" s="88"/>
      <c r="X275" s="88"/>
      <c r="Y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Q276" s="88"/>
      <c r="R276" s="88"/>
      <c r="S276" s="88"/>
      <c r="T276" s="88"/>
      <c r="U276" s="88"/>
      <c r="V276" s="88"/>
      <c r="W276" s="88"/>
      <c r="X276" s="88"/>
      <c r="Y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Q277" s="88"/>
      <c r="R277" s="88"/>
      <c r="S277" s="88"/>
      <c r="T277" s="88"/>
      <c r="U277" s="88"/>
      <c r="V277" s="88"/>
      <c r="W277" s="88"/>
      <c r="X277" s="88"/>
      <c r="Y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Q278" s="88"/>
      <c r="R278" s="88"/>
      <c r="S278" s="88"/>
      <c r="T278" s="88"/>
      <c r="U278" s="88"/>
      <c r="V278" s="88"/>
      <c r="W278" s="88"/>
      <c r="X278" s="88"/>
      <c r="Y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Q279" s="88"/>
      <c r="R279" s="88"/>
      <c r="S279" s="88"/>
      <c r="T279" s="88"/>
      <c r="U279" s="88"/>
      <c r="V279" s="88"/>
      <c r="W279" s="88"/>
      <c r="X279" s="88"/>
      <c r="Y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Q280" s="88"/>
      <c r="R280" s="88"/>
      <c r="S280" s="88"/>
      <c r="T280" s="88"/>
      <c r="U280" s="88"/>
      <c r="V280" s="88"/>
      <c r="W280" s="88"/>
      <c r="X280" s="88"/>
      <c r="Y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Q281" s="88"/>
      <c r="R281" s="88"/>
      <c r="S281" s="88"/>
      <c r="T281" s="88"/>
      <c r="U281" s="88"/>
      <c r="V281" s="88"/>
      <c r="W281" s="88"/>
      <c r="X281" s="88"/>
      <c r="Y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Q282" s="88"/>
      <c r="R282" s="88"/>
      <c r="S282" s="88"/>
      <c r="T282" s="88"/>
      <c r="U282" s="88"/>
      <c r="V282" s="88"/>
      <c r="W282" s="88"/>
      <c r="X282" s="88"/>
      <c r="Y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Q283" s="88"/>
      <c r="R283" s="88"/>
      <c r="S283" s="88"/>
      <c r="T283" s="88"/>
      <c r="U283" s="88"/>
      <c r="V283" s="88"/>
      <c r="W283" s="88"/>
      <c r="X283" s="88"/>
      <c r="Y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Q284" s="88"/>
      <c r="R284" s="88"/>
      <c r="S284" s="88"/>
      <c r="T284" s="88"/>
      <c r="U284" s="88"/>
      <c r="V284" s="88"/>
      <c r="W284" s="88"/>
      <c r="X284" s="88"/>
      <c r="Y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Q285" s="88"/>
      <c r="R285" s="88"/>
      <c r="S285" s="88"/>
      <c r="T285" s="88"/>
      <c r="U285" s="88"/>
      <c r="V285" s="88"/>
      <c r="W285" s="88"/>
      <c r="X285" s="88"/>
      <c r="Y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Q286" s="88"/>
      <c r="R286" s="88"/>
      <c r="S286" s="88"/>
      <c r="T286" s="88"/>
      <c r="U286" s="88"/>
      <c r="V286" s="88"/>
      <c r="W286" s="88"/>
      <c r="X286" s="88"/>
      <c r="Y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Q287" s="88"/>
      <c r="R287" s="88"/>
      <c r="S287" s="88"/>
      <c r="T287" s="88"/>
      <c r="U287" s="88"/>
      <c r="V287" s="88"/>
      <c r="W287" s="88"/>
      <c r="X287" s="88"/>
      <c r="Y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Q288" s="88"/>
      <c r="R288" s="88"/>
      <c r="S288" s="88"/>
      <c r="T288" s="88"/>
      <c r="U288" s="88"/>
      <c r="V288" s="88"/>
      <c r="W288" s="88"/>
      <c r="X288" s="88"/>
      <c r="Y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Q289" s="88"/>
      <c r="R289" s="88"/>
      <c r="S289" s="88"/>
      <c r="T289" s="88"/>
      <c r="U289" s="88"/>
      <c r="V289" s="88"/>
      <c r="W289" s="88"/>
      <c r="X289" s="88"/>
      <c r="Y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Q290" s="88"/>
      <c r="R290" s="88"/>
      <c r="S290" s="88"/>
      <c r="T290" s="88"/>
      <c r="U290" s="88"/>
      <c r="V290" s="88"/>
      <c r="W290" s="88"/>
      <c r="X290" s="88"/>
      <c r="Y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Q291" s="88"/>
      <c r="R291" s="88"/>
      <c r="S291" s="88"/>
      <c r="T291" s="88"/>
      <c r="U291" s="88"/>
      <c r="V291" s="88"/>
      <c r="W291" s="88"/>
      <c r="X291" s="88"/>
      <c r="Y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Q292" s="88"/>
      <c r="R292" s="88"/>
      <c r="S292" s="88"/>
      <c r="T292" s="88"/>
      <c r="U292" s="88"/>
      <c r="V292" s="88"/>
      <c r="W292" s="88"/>
      <c r="X292" s="88"/>
      <c r="Y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Q293" s="88"/>
      <c r="R293" s="88"/>
      <c r="S293" s="88"/>
      <c r="T293" s="88"/>
      <c r="U293" s="88"/>
      <c r="V293" s="88"/>
      <c r="W293" s="88"/>
      <c r="X293" s="88"/>
      <c r="Y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Q294" s="88"/>
      <c r="R294" s="88"/>
      <c r="S294" s="88"/>
      <c r="T294" s="88"/>
      <c r="U294" s="88"/>
      <c r="V294" s="88"/>
      <c r="W294" s="88"/>
      <c r="X294" s="88"/>
      <c r="Y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Q295" s="88"/>
      <c r="R295" s="88"/>
      <c r="S295" s="88"/>
      <c r="T295" s="88"/>
      <c r="U295" s="88"/>
      <c r="V295" s="88"/>
      <c r="W295" s="88"/>
      <c r="X295" s="88"/>
      <c r="Y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Q296" s="88"/>
      <c r="R296" s="88"/>
      <c r="S296" s="88"/>
      <c r="T296" s="88"/>
      <c r="U296" s="88"/>
      <c r="V296" s="88"/>
      <c r="W296" s="88"/>
      <c r="X296" s="88"/>
      <c r="Y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Q297" s="88"/>
      <c r="R297" s="88"/>
      <c r="S297" s="88"/>
      <c r="T297" s="88"/>
      <c r="U297" s="88"/>
      <c r="V297" s="88"/>
      <c r="W297" s="88"/>
      <c r="X297" s="88"/>
      <c r="Y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Q298" s="88"/>
      <c r="R298" s="88"/>
      <c r="S298" s="88"/>
      <c r="T298" s="88"/>
      <c r="U298" s="88"/>
      <c r="V298" s="88"/>
      <c r="W298" s="88"/>
      <c r="X298" s="88"/>
      <c r="Y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Q299" s="88"/>
      <c r="R299" s="88"/>
      <c r="S299" s="88"/>
      <c r="T299" s="88"/>
      <c r="U299" s="88"/>
      <c r="V299" s="88"/>
      <c r="W299" s="88"/>
      <c r="X299" s="88"/>
      <c r="Y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Q300" s="88"/>
      <c r="R300" s="88"/>
      <c r="S300" s="88"/>
      <c r="T300" s="88"/>
      <c r="U300" s="88"/>
      <c r="V300" s="88"/>
      <c r="W300" s="88"/>
      <c r="X300" s="88"/>
      <c r="Y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Q301" s="88"/>
      <c r="R301" s="88"/>
      <c r="S301" s="88"/>
      <c r="T301" s="88"/>
      <c r="U301" s="88"/>
      <c r="V301" s="88"/>
      <c r="W301" s="88"/>
      <c r="X301" s="88"/>
      <c r="Y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Q302" s="88"/>
      <c r="R302" s="88"/>
      <c r="S302" s="88"/>
      <c r="T302" s="88"/>
      <c r="U302" s="88"/>
      <c r="V302" s="88"/>
      <c r="W302" s="88"/>
      <c r="X302" s="88"/>
      <c r="Y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Q303" s="88"/>
      <c r="R303" s="88"/>
      <c r="S303" s="88"/>
      <c r="T303" s="88"/>
      <c r="U303" s="88"/>
      <c r="V303" s="88"/>
      <c r="W303" s="88"/>
      <c r="X303" s="88"/>
      <c r="Y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Q304" s="88"/>
      <c r="R304" s="88"/>
      <c r="S304" s="88"/>
      <c r="T304" s="88"/>
      <c r="U304" s="88"/>
      <c r="V304" s="88"/>
      <c r="W304" s="88"/>
      <c r="X304" s="88"/>
      <c r="Y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Q305" s="88"/>
      <c r="R305" s="88"/>
      <c r="S305" s="88"/>
      <c r="T305" s="88"/>
      <c r="U305" s="88"/>
      <c r="V305" s="88"/>
      <c r="W305" s="88"/>
      <c r="X305" s="88"/>
      <c r="Y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Q306" s="88"/>
      <c r="R306" s="88"/>
      <c r="S306" s="88"/>
      <c r="T306" s="88"/>
      <c r="U306" s="88"/>
      <c r="V306" s="88"/>
      <c r="W306" s="88"/>
      <c r="X306" s="88"/>
      <c r="Y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Q307" s="88"/>
      <c r="R307" s="88"/>
      <c r="S307" s="88"/>
      <c r="T307" s="88"/>
      <c r="U307" s="88"/>
      <c r="V307" s="88"/>
      <c r="W307" s="88"/>
      <c r="X307" s="88"/>
      <c r="Y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Q308" s="88"/>
      <c r="R308" s="88"/>
      <c r="S308" s="88"/>
      <c r="T308" s="88"/>
      <c r="U308" s="88"/>
      <c r="V308" s="88"/>
      <c r="W308" s="88"/>
      <c r="X308" s="88"/>
      <c r="Y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Q309" s="88"/>
      <c r="R309" s="88"/>
      <c r="S309" s="88"/>
      <c r="T309" s="88"/>
      <c r="U309" s="88"/>
      <c r="V309" s="88"/>
      <c r="W309" s="88"/>
      <c r="X309" s="88"/>
      <c r="Y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Q310" s="88"/>
      <c r="R310" s="88"/>
      <c r="S310" s="88"/>
      <c r="T310" s="88"/>
      <c r="U310" s="88"/>
      <c r="V310" s="88"/>
      <c r="W310" s="88"/>
      <c r="X310" s="88"/>
      <c r="Y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Q311" s="88"/>
      <c r="R311" s="88"/>
      <c r="S311" s="88"/>
      <c r="T311" s="88"/>
      <c r="U311" s="88"/>
      <c r="V311" s="88"/>
      <c r="W311" s="88"/>
      <c r="X311" s="88"/>
      <c r="Y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Q312" s="88"/>
      <c r="R312" s="88"/>
      <c r="S312" s="88"/>
      <c r="T312" s="88"/>
      <c r="U312" s="88"/>
      <c r="V312" s="88"/>
      <c r="W312" s="88"/>
      <c r="X312" s="88"/>
      <c r="Y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Q313" s="88"/>
      <c r="R313" s="88"/>
      <c r="S313" s="88"/>
      <c r="T313" s="88"/>
      <c r="U313" s="88"/>
      <c r="V313" s="88"/>
      <c r="W313" s="88"/>
      <c r="X313" s="88"/>
      <c r="Y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Q314" s="88"/>
      <c r="R314" s="88"/>
      <c r="S314" s="88"/>
      <c r="T314" s="88"/>
      <c r="U314" s="88"/>
      <c r="V314" s="88"/>
      <c r="W314" s="88"/>
      <c r="X314" s="88"/>
      <c r="Y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Q315" s="88"/>
      <c r="R315" s="88"/>
      <c r="S315" s="88"/>
      <c r="T315" s="88"/>
      <c r="U315" s="88"/>
      <c r="V315" s="88"/>
      <c r="W315" s="88"/>
      <c r="X315" s="88"/>
      <c r="Y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Q316" s="88"/>
      <c r="R316" s="88"/>
      <c r="S316" s="88"/>
      <c r="T316" s="88"/>
      <c r="U316" s="88"/>
      <c r="V316" s="88"/>
      <c r="W316" s="88"/>
      <c r="X316" s="88"/>
      <c r="Y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Q317" s="88"/>
      <c r="R317" s="88"/>
      <c r="S317" s="88"/>
      <c r="T317" s="88"/>
      <c r="U317" s="88"/>
      <c r="V317" s="88"/>
      <c r="W317" s="88"/>
      <c r="X317" s="88"/>
      <c r="Y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Q318" s="88"/>
      <c r="R318" s="88"/>
      <c r="S318" s="88"/>
      <c r="T318" s="88"/>
      <c r="U318" s="88"/>
      <c r="V318" s="88"/>
      <c r="W318" s="88"/>
      <c r="X318" s="88"/>
      <c r="Y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Q319" s="88"/>
      <c r="R319" s="88"/>
      <c r="S319" s="88"/>
      <c r="T319" s="88"/>
      <c r="U319" s="88"/>
      <c r="V319" s="88"/>
      <c r="W319" s="88"/>
      <c r="X319" s="88"/>
      <c r="Y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Q320" s="88"/>
      <c r="R320" s="88"/>
      <c r="S320" s="88"/>
      <c r="T320" s="88"/>
      <c r="U320" s="88"/>
      <c r="V320" s="88"/>
      <c r="W320" s="88"/>
      <c r="X320" s="88"/>
      <c r="Y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Q321" s="88"/>
      <c r="R321" s="88"/>
      <c r="S321" s="88"/>
      <c r="T321" s="88"/>
      <c r="U321" s="88"/>
      <c r="V321" s="88"/>
      <c r="W321" s="88"/>
      <c r="X321" s="88"/>
      <c r="Y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Q322" s="88"/>
      <c r="R322" s="88"/>
      <c r="S322" s="88"/>
      <c r="T322" s="88"/>
      <c r="U322" s="88"/>
      <c r="V322" s="88"/>
      <c r="W322" s="88"/>
      <c r="X322" s="88"/>
      <c r="Y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Q323" s="88"/>
      <c r="R323" s="88"/>
      <c r="S323" s="88"/>
      <c r="T323" s="88"/>
      <c r="U323" s="88"/>
      <c r="V323" s="88"/>
      <c r="W323" s="88"/>
      <c r="X323" s="88"/>
      <c r="Y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Q324" s="88"/>
      <c r="R324" s="88"/>
      <c r="S324" s="88"/>
      <c r="T324" s="88"/>
      <c r="U324" s="88"/>
      <c r="V324" s="88"/>
      <c r="W324" s="88"/>
      <c r="X324" s="88"/>
      <c r="Y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Q325" s="88"/>
      <c r="R325" s="88"/>
      <c r="S325" s="88"/>
      <c r="T325" s="88"/>
      <c r="U325" s="88"/>
      <c r="V325" s="88"/>
      <c r="W325" s="88"/>
      <c r="X325" s="88"/>
      <c r="Y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Q326" s="88"/>
      <c r="R326" s="88"/>
      <c r="S326" s="88"/>
      <c r="T326" s="88"/>
      <c r="U326" s="88"/>
      <c r="V326" s="88"/>
      <c r="W326" s="88"/>
      <c r="X326" s="88"/>
      <c r="Y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Q327" s="88"/>
      <c r="R327" s="88"/>
      <c r="S327" s="88"/>
      <c r="T327" s="88"/>
      <c r="U327" s="88"/>
      <c r="V327" s="88"/>
      <c r="W327" s="88"/>
      <c r="X327" s="88"/>
      <c r="Y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Q328" s="88"/>
      <c r="R328" s="88"/>
      <c r="S328" s="88"/>
      <c r="T328" s="88"/>
      <c r="U328" s="88"/>
      <c r="V328" s="88"/>
      <c r="W328" s="88"/>
      <c r="X328" s="88"/>
      <c r="Y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Q329" s="88"/>
      <c r="R329" s="88"/>
      <c r="S329" s="88"/>
      <c r="T329" s="88"/>
      <c r="U329" s="88"/>
      <c r="V329" s="88"/>
      <c r="W329" s="88"/>
      <c r="X329" s="88"/>
      <c r="Y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Q330" s="88"/>
      <c r="R330" s="88"/>
      <c r="S330" s="88"/>
      <c r="T330" s="88"/>
      <c r="U330" s="88"/>
      <c r="V330" s="88"/>
      <c r="W330" s="88"/>
      <c r="X330" s="88"/>
      <c r="Y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Q331" s="88"/>
      <c r="R331" s="88"/>
      <c r="S331" s="88"/>
      <c r="T331" s="88"/>
      <c r="U331" s="88"/>
      <c r="V331" s="88"/>
      <c r="W331" s="88"/>
      <c r="X331" s="88"/>
      <c r="Y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Q332" s="88"/>
      <c r="R332" s="88"/>
      <c r="S332" s="88"/>
      <c r="T332" s="88"/>
      <c r="U332" s="88"/>
      <c r="V332" s="88"/>
      <c r="W332" s="88"/>
      <c r="X332" s="88"/>
      <c r="Y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Q333" s="88"/>
      <c r="R333" s="88"/>
      <c r="S333" s="88"/>
      <c r="T333" s="88"/>
      <c r="U333" s="88"/>
      <c r="V333" s="88"/>
      <c r="W333" s="88"/>
      <c r="X333" s="88"/>
      <c r="Y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Q334" s="88"/>
      <c r="R334" s="88"/>
      <c r="S334" s="88"/>
      <c r="T334" s="88"/>
      <c r="U334" s="88"/>
      <c r="V334" s="88"/>
      <c r="W334" s="88"/>
      <c r="X334" s="88"/>
      <c r="Y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Q335" s="88"/>
      <c r="R335" s="88"/>
      <c r="S335" s="88"/>
      <c r="T335" s="88"/>
      <c r="U335" s="88"/>
      <c r="V335" s="88"/>
      <c r="W335" s="88"/>
      <c r="X335" s="88"/>
      <c r="Y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Q336" s="88"/>
      <c r="R336" s="88"/>
      <c r="S336" s="88"/>
      <c r="T336" s="88"/>
      <c r="U336" s="88"/>
      <c r="V336" s="88"/>
      <c r="W336" s="88"/>
      <c r="X336" s="88"/>
      <c r="Y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Q337" s="88"/>
      <c r="R337" s="88"/>
      <c r="S337" s="88"/>
      <c r="T337" s="88"/>
      <c r="U337" s="88"/>
      <c r="V337" s="88"/>
      <c r="W337" s="88"/>
      <c r="X337" s="88"/>
      <c r="Y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Q338" s="88"/>
      <c r="R338" s="88"/>
      <c r="S338" s="88"/>
      <c r="T338" s="88"/>
      <c r="U338" s="88"/>
      <c r="V338" s="88"/>
      <c r="W338" s="88"/>
      <c r="X338" s="88"/>
      <c r="Y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Q339" s="88"/>
      <c r="R339" s="88"/>
      <c r="S339" s="88"/>
      <c r="T339" s="88"/>
      <c r="U339" s="88"/>
      <c r="V339" s="88"/>
      <c r="W339" s="88"/>
      <c r="X339" s="88"/>
      <c r="Y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Q340" s="88"/>
      <c r="R340" s="88"/>
      <c r="S340" s="88"/>
      <c r="T340" s="88"/>
      <c r="U340" s="88"/>
      <c r="V340" s="88"/>
      <c r="W340" s="88"/>
      <c r="X340" s="88"/>
      <c r="Y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Q341" s="88"/>
      <c r="R341" s="88"/>
      <c r="S341" s="88"/>
      <c r="T341" s="88"/>
      <c r="U341" s="88"/>
      <c r="V341" s="88"/>
      <c r="W341" s="88"/>
      <c r="X341" s="88"/>
      <c r="Y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Q342" s="88"/>
      <c r="R342" s="88"/>
      <c r="S342" s="88"/>
      <c r="T342" s="88"/>
      <c r="U342" s="88"/>
      <c r="V342" s="88"/>
      <c r="W342" s="88"/>
      <c r="X342" s="88"/>
      <c r="Y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Q343" s="88"/>
      <c r="R343" s="88"/>
      <c r="S343" s="88"/>
      <c r="T343" s="88"/>
      <c r="U343" s="88"/>
      <c r="V343" s="88"/>
      <c r="W343" s="88"/>
      <c r="X343" s="88"/>
      <c r="Y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Q344" s="88"/>
      <c r="R344" s="88"/>
      <c r="S344" s="88"/>
      <c r="T344" s="88"/>
      <c r="U344" s="88"/>
      <c r="V344" s="88"/>
      <c r="W344" s="88"/>
      <c r="X344" s="88"/>
      <c r="Y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Q345" s="88"/>
      <c r="R345" s="88"/>
      <c r="S345" s="88"/>
      <c r="T345" s="88"/>
      <c r="U345" s="88"/>
      <c r="V345" s="88"/>
      <c r="W345" s="88"/>
      <c r="X345" s="88"/>
      <c r="Y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Q346" s="88"/>
      <c r="R346" s="88"/>
      <c r="S346" s="88"/>
      <c r="T346" s="88"/>
      <c r="U346" s="88"/>
      <c r="V346" s="88"/>
      <c r="W346" s="88"/>
      <c r="X346" s="88"/>
      <c r="Y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Q347" s="88"/>
      <c r="R347" s="88"/>
      <c r="S347" s="88"/>
      <c r="T347" s="88"/>
      <c r="U347" s="88"/>
      <c r="V347" s="88"/>
      <c r="W347" s="88"/>
      <c r="X347" s="88"/>
      <c r="Y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Q348" s="88"/>
      <c r="R348" s="88"/>
      <c r="S348" s="88"/>
      <c r="T348" s="88"/>
      <c r="U348" s="88"/>
      <c r="V348" s="88"/>
      <c r="W348" s="88"/>
      <c r="X348" s="88"/>
      <c r="Y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Q349" s="88"/>
      <c r="R349" s="88"/>
      <c r="S349" s="88"/>
      <c r="T349" s="88"/>
      <c r="U349" s="88"/>
      <c r="V349" s="88"/>
      <c r="W349" s="88"/>
      <c r="X349" s="88"/>
      <c r="Y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Q350" s="88"/>
      <c r="R350" s="88"/>
      <c r="S350" s="88"/>
      <c r="T350" s="88"/>
      <c r="U350" s="88"/>
      <c r="V350" s="88"/>
      <c r="W350" s="88"/>
      <c r="X350" s="88"/>
      <c r="Y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Q351" s="88"/>
      <c r="R351" s="88"/>
      <c r="S351" s="88"/>
      <c r="T351" s="88"/>
      <c r="U351" s="88"/>
      <c r="V351" s="88"/>
      <c r="W351" s="88"/>
      <c r="X351" s="88"/>
      <c r="Y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Q352" s="88"/>
      <c r="R352" s="88"/>
      <c r="S352" s="88"/>
      <c r="T352" s="88"/>
      <c r="U352" s="88"/>
      <c r="V352" s="88"/>
      <c r="W352" s="88"/>
      <c r="X352" s="88"/>
      <c r="Y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Q353" s="88"/>
      <c r="R353" s="88"/>
      <c r="S353" s="88"/>
      <c r="T353" s="88"/>
      <c r="U353" s="88"/>
      <c r="V353" s="88"/>
      <c r="W353" s="88"/>
      <c r="X353" s="88"/>
      <c r="Y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Q354" s="88"/>
      <c r="R354" s="88"/>
      <c r="S354" s="88"/>
      <c r="T354" s="88"/>
      <c r="U354" s="88"/>
      <c r="V354" s="88"/>
      <c r="W354" s="88"/>
      <c r="X354" s="88"/>
      <c r="Y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Q355" s="88"/>
      <c r="R355" s="88"/>
      <c r="S355" s="88"/>
      <c r="T355" s="88"/>
      <c r="U355" s="88"/>
      <c r="V355" s="88"/>
      <c r="W355" s="88"/>
      <c r="X355" s="88"/>
      <c r="Y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Q356" s="88"/>
      <c r="R356" s="88"/>
      <c r="S356" s="88"/>
      <c r="T356" s="88"/>
      <c r="U356" s="88"/>
      <c r="V356" s="88"/>
      <c r="W356" s="88"/>
      <c r="X356" s="88"/>
      <c r="Y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Q357" s="88"/>
      <c r="R357" s="88"/>
      <c r="S357" s="88"/>
      <c r="T357" s="88"/>
      <c r="U357" s="88"/>
      <c r="V357" s="88"/>
      <c r="W357" s="88"/>
      <c r="X357" s="88"/>
      <c r="Y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Q358" s="88"/>
      <c r="R358" s="88"/>
      <c r="S358" s="88"/>
      <c r="T358" s="88"/>
      <c r="U358" s="88"/>
      <c r="V358" s="88"/>
      <c r="W358" s="88"/>
      <c r="X358" s="88"/>
      <c r="Y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Q359" s="88"/>
      <c r="R359" s="88"/>
      <c r="S359" s="88"/>
      <c r="T359" s="88"/>
      <c r="U359" s="88"/>
      <c r="V359" s="88"/>
      <c r="W359" s="88"/>
      <c r="X359" s="88"/>
      <c r="Y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Q360" s="88"/>
      <c r="R360" s="88"/>
      <c r="S360" s="88"/>
      <c r="T360" s="88"/>
      <c r="U360" s="88"/>
      <c r="V360" s="88"/>
      <c r="W360" s="88"/>
      <c r="X360" s="88"/>
      <c r="Y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Q361" s="88"/>
      <c r="R361" s="88"/>
      <c r="S361" s="88"/>
      <c r="T361" s="88"/>
      <c r="U361" s="88"/>
      <c r="V361" s="88"/>
      <c r="W361" s="88"/>
      <c r="X361" s="88"/>
      <c r="Y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Q362" s="88"/>
      <c r="R362" s="88"/>
      <c r="S362" s="88"/>
      <c r="T362" s="88"/>
      <c r="U362" s="88"/>
      <c r="V362" s="88"/>
      <c r="W362" s="88"/>
      <c r="X362" s="88"/>
      <c r="Y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Q363" s="88"/>
      <c r="R363" s="88"/>
      <c r="S363" s="88"/>
      <c r="T363" s="88"/>
      <c r="U363" s="88"/>
      <c r="V363" s="88"/>
      <c r="W363" s="88"/>
      <c r="X363" s="88"/>
      <c r="Y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Q364" s="88"/>
      <c r="R364" s="88"/>
      <c r="S364" s="88"/>
      <c r="T364" s="88"/>
      <c r="U364" s="88"/>
      <c r="V364" s="88"/>
      <c r="W364" s="88"/>
      <c r="X364" s="88"/>
      <c r="Y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Q365" s="88"/>
      <c r="R365" s="88"/>
      <c r="S365" s="88"/>
      <c r="T365" s="88"/>
      <c r="U365" s="88"/>
      <c r="V365" s="88"/>
      <c r="W365" s="88"/>
      <c r="X365" s="88"/>
      <c r="Y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Q366" s="88"/>
      <c r="R366" s="88"/>
      <c r="S366" s="88"/>
      <c r="T366" s="88"/>
      <c r="U366" s="88"/>
      <c r="V366" s="88"/>
      <c r="W366" s="88"/>
      <c r="X366" s="88"/>
      <c r="Y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Q367" s="88"/>
      <c r="R367" s="88"/>
      <c r="S367" s="88"/>
      <c r="T367" s="88"/>
      <c r="U367" s="88"/>
      <c r="V367" s="88"/>
      <c r="W367" s="88"/>
      <c r="X367" s="88"/>
      <c r="Y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Q368" s="88"/>
      <c r="R368" s="88"/>
      <c r="S368" s="88"/>
      <c r="T368" s="88"/>
      <c r="U368" s="88"/>
      <c r="V368" s="88"/>
      <c r="W368" s="88"/>
      <c r="X368" s="88"/>
      <c r="Y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Q369" s="88"/>
      <c r="R369" s="88"/>
      <c r="S369" s="88"/>
      <c r="T369" s="88"/>
      <c r="U369" s="88"/>
      <c r="V369" s="88"/>
      <c r="W369" s="88"/>
      <c r="X369" s="88"/>
      <c r="Y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Q370" s="88"/>
      <c r="R370" s="88"/>
      <c r="S370" s="88"/>
      <c r="T370" s="88"/>
      <c r="U370" s="88"/>
      <c r="V370" s="88"/>
      <c r="W370" s="88"/>
      <c r="X370" s="88"/>
      <c r="Y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Q371" s="88"/>
      <c r="R371" s="88"/>
      <c r="S371" s="88"/>
      <c r="T371" s="88"/>
      <c r="U371" s="88"/>
      <c r="V371" s="88"/>
      <c r="W371" s="88"/>
      <c r="X371" s="88"/>
      <c r="Y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Q372" s="88"/>
      <c r="R372" s="88"/>
      <c r="S372" s="88"/>
      <c r="T372" s="88"/>
      <c r="U372" s="88"/>
      <c r="V372" s="88"/>
      <c r="W372" s="88"/>
      <c r="X372" s="88"/>
      <c r="Y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Q373" s="88"/>
      <c r="R373" s="88"/>
      <c r="S373" s="88"/>
      <c r="T373" s="88"/>
      <c r="U373" s="88"/>
      <c r="V373" s="88"/>
      <c r="W373" s="88"/>
      <c r="X373" s="88"/>
      <c r="Y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Q374" s="88"/>
      <c r="R374" s="88"/>
      <c r="S374" s="88"/>
      <c r="T374" s="88"/>
      <c r="U374" s="88"/>
      <c r="V374" s="88"/>
      <c r="W374" s="88"/>
      <c r="X374" s="88"/>
      <c r="Y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Q375" s="88"/>
      <c r="R375" s="88"/>
      <c r="S375" s="88"/>
      <c r="T375" s="88"/>
      <c r="U375" s="88"/>
      <c r="V375" s="88"/>
      <c r="W375" s="88"/>
      <c r="X375" s="88"/>
      <c r="Y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Q376" s="88"/>
      <c r="R376" s="88"/>
      <c r="S376" s="88"/>
      <c r="T376" s="88"/>
      <c r="U376" s="88"/>
      <c r="V376" s="88"/>
      <c r="W376" s="88"/>
      <c r="X376" s="88"/>
      <c r="Y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Q377" s="88"/>
      <c r="R377" s="88"/>
      <c r="S377" s="88"/>
      <c r="T377" s="88"/>
      <c r="U377" s="88"/>
      <c r="V377" s="88"/>
      <c r="W377" s="88"/>
      <c r="X377" s="88"/>
      <c r="Y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Q378" s="88"/>
      <c r="R378" s="88"/>
      <c r="S378" s="88"/>
      <c r="T378" s="88"/>
      <c r="U378" s="88"/>
      <c r="V378" s="88"/>
      <c r="W378" s="88"/>
      <c r="X378" s="88"/>
      <c r="Y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Q379" s="88"/>
      <c r="R379" s="88"/>
      <c r="S379" s="88"/>
      <c r="T379" s="88"/>
      <c r="U379" s="88"/>
      <c r="V379" s="88"/>
      <c r="W379" s="88"/>
      <c r="X379" s="88"/>
      <c r="Y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Q380" s="88"/>
      <c r="R380" s="88"/>
      <c r="S380" s="88"/>
      <c r="T380" s="88"/>
      <c r="U380" s="88"/>
      <c r="V380" s="88"/>
      <c r="W380" s="88"/>
      <c r="X380" s="88"/>
      <c r="Y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Q381" s="88"/>
      <c r="R381" s="88"/>
      <c r="S381" s="88"/>
      <c r="T381" s="88"/>
      <c r="U381" s="88"/>
      <c r="V381" s="88"/>
      <c r="W381" s="88"/>
      <c r="X381" s="88"/>
      <c r="Y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Q382" s="88"/>
      <c r="R382" s="88"/>
      <c r="S382" s="88"/>
      <c r="T382" s="88"/>
      <c r="U382" s="88"/>
      <c r="V382" s="88"/>
      <c r="W382" s="88"/>
      <c r="X382" s="88"/>
      <c r="Y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Q383" s="88"/>
      <c r="R383" s="88"/>
      <c r="S383" s="88"/>
      <c r="T383" s="88"/>
      <c r="U383" s="88"/>
      <c r="V383" s="88"/>
      <c r="W383" s="88"/>
      <c r="X383" s="88"/>
      <c r="Y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Q384" s="88"/>
      <c r="R384" s="88"/>
      <c r="S384" s="88"/>
      <c r="T384" s="88"/>
      <c r="U384" s="88"/>
      <c r="V384" s="88"/>
      <c r="W384" s="88"/>
      <c r="X384" s="88"/>
      <c r="Y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Q385" s="88"/>
      <c r="R385" s="88"/>
      <c r="S385" s="88"/>
      <c r="T385" s="88"/>
      <c r="U385" s="88"/>
      <c r="V385" s="88"/>
      <c r="W385" s="88"/>
      <c r="X385" s="88"/>
      <c r="Y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Q386" s="88"/>
      <c r="R386" s="88"/>
      <c r="S386" s="88"/>
      <c r="T386" s="88"/>
      <c r="U386" s="88"/>
      <c r="V386" s="88"/>
      <c r="W386" s="88"/>
      <c r="X386" s="88"/>
      <c r="Y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Q387" s="88"/>
      <c r="R387" s="88"/>
      <c r="S387" s="88"/>
      <c r="T387" s="88"/>
      <c r="U387" s="88"/>
      <c r="V387" s="88"/>
      <c r="W387" s="88"/>
      <c r="X387" s="88"/>
      <c r="Y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Q388" s="88"/>
      <c r="R388" s="88"/>
      <c r="S388" s="88"/>
      <c r="T388" s="88"/>
      <c r="U388" s="88"/>
      <c r="V388" s="88"/>
      <c r="W388" s="88"/>
      <c r="X388" s="88"/>
      <c r="Y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Q389" s="88"/>
      <c r="R389" s="88"/>
      <c r="S389" s="88"/>
      <c r="T389" s="88"/>
      <c r="U389" s="88"/>
      <c r="V389" s="88"/>
      <c r="W389" s="88"/>
      <c r="X389" s="88"/>
      <c r="Y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Q390" s="88"/>
      <c r="R390" s="88"/>
      <c r="S390" s="88"/>
      <c r="T390" s="88"/>
      <c r="U390" s="88"/>
      <c r="V390" s="88"/>
      <c r="W390" s="88"/>
      <c r="X390" s="88"/>
      <c r="Y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Q391" s="88"/>
      <c r="R391" s="88"/>
      <c r="S391" s="88"/>
      <c r="T391" s="88"/>
      <c r="U391" s="88"/>
      <c r="V391" s="88"/>
      <c r="W391" s="88"/>
      <c r="X391" s="88"/>
      <c r="Y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Q392" s="88"/>
      <c r="R392" s="88"/>
      <c r="S392" s="88"/>
      <c r="T392" s="88"/>
      <c r="U392" s="88"/>
      <c r="V392" s="88"/>
      <c r="W392" s="88"/>
      <c r="X392" s="88"/>
      <c r="Y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Q393" s="88"/>
      <c r="R393" s="88"/>
      <c r="S393" s="88"/>
      <c r="T393" s="88"/>
      <c r="U393" s="88"/>
      <c r="V393" s="88"/>
      <c r="W393" s="88"/>
      <c r="X393" s="88"/>
      <c r="Y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Q394" s="88"/>
      <c r="R394" s="88"/>
      <c r="S394" s="88"/>
      <c r="T394" s="88"/>
      <c r="U394" s="88"/>
      <c r="V394" s="88"/>
      <c r="W394" s="88"/>
      <c r="X394" s="88"/>
      <c r="Y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Q395" s="88"/>
      <c r="R395" s="88"/>
      <c r="S395" s="88"/>
      <c r="T395" s="88"/>
      <c r="U395" s="88"/>
      <c r="V395" s="88"/>
      <c r="W395" s="88"/>
      <c r="X395" s="88"/>
      <c r="Y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Q396" s="88"/>
      <c r="R396" s="88"/>
      <c r="S396" s="88"/>
      <c r="T396" s="88"/>
      <c r="U396" s="88"/>
      <c r="V396" s="88"/>
      <c r="W396" s="88"/>
      <c r="X396" s="88"/>
      <c r="Y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Q397" s="88"/>
      <c r="R397" s="88"/>
      <c r="S397" s="88"/>
      <c r="T397" s="88"/>
      <c r="U397" s="88"/>
      <c r="V397" s="88"/>
      <c r="W397" s="88"/>
      <c r="X397" s="88"/>
      <c r="Y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Q398" s="88"/>
      <c r="R398" s="88"/>
      <c r="S398" s="88"/>
      <c r="T398" s="88"/>
      <c r="U398" s="88"/>
      <c r="V398" s="88"/>
      <c r="W398" s="88"/>
      <c r="X398" s="88"/>
      <c r="Y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Q399" s="88"/>
      <c r="R399" s="88"/>
      <c r="S399" s="88"/>
      <c r="T399" s="88"/>
      <c r="U399" s="88"/>
      <c r="V399" s="88"/>
      <c r="W399" s="88"/>
      <c r="X399" s="88"/>
      <c r="Y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Q400" s="88"/>
      <c r="R400" s="88"/>
      <c r="S400" s="88"/>
      <c r="T400" s="88"/>
      <c r="U400" s="88"/>
      <c r="V400" s="88"/>
      <c r="W400" s="88"/>
      <c r="X400" s="88"/>
      <c r="Y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Q401" s="88"/>
      <c r="R401" s="88"/>
      <c r="S401" s="88"/>
      <c r="T401" s="88"/>
      <c r="U401" s="88"/>
      <c r="V401" s="88"/>
      <c r="W401" s="88"/>
      <c r="X401" s="88"/>
      <c r="Y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Q402" s="88"/>
      <c r="R402" s="88"/>
      <c r="S402" s="88"/>
      <c r="T402" s="88"/>
      <c r="U402" s="88"/>
      <c r="V402" s="88"/>
      <c r="W402" s="88"/>
      <c r="X402" s="88"/>
      <c r="Y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Q403" s="88"/>
      <c r="R403" s="88"/>
      <c r="S403" s="88"/>
      <c r="T403" s="88"/>
      <c r="U403" s="88"/>
      <c r="V403" s="88"/>
      <c r="W403" s="88"/>
      <c r="X403" s="88"/>
      <c r="Y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Q404" s="88"/>
      <c r="R404" s="88"/>
      <c r="S404" s="88"/>
      <c r="T404" s="88"/>
      <c r="U404" s="88"/>
      <c r="V404" s="88"/>
      <c r="W404" s="88"/>
      <c r="X404" s="88"/>
      <c r="Y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Q405" s="88"/>
      <c r="R405" s="88"/>
      <c r="S405" s="88"/>
      <c r="T405" s="88"/>
      <c r="U405" s="88"/>
      <c r="V405" s="88"/>
      <c r="W405" s="88"/>
      <c r="X405" s="88"/>
      <c r="Y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Q406" s="88"/>
      <c r="R406" s="88"/>
      <c r="S406" s="88"/>
      <c r="T406" s="88"/>
      <c r="U406" s="88"/>
      <c r="V406" s="88"/>
      <c r="W406" s="88"/>
      <c r="X406" s="88"/>
      <c r="Y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Q407" s="88"/>
      <c r="R407" s="88"/>
      <c r="S407" s="88"/>
      <c r="T407" s="88"/>
      <c r="U407" s="88"/>
      <c r="V407" s="88"/>
      <c r="W407" s="88"/>
      <c r="X407" s="88"/>
      <c r="Y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Q408" s="88"/>
      <c r="R408" s="88"/>
      <c r="S408" s="88"/>
      <c r="T408" s="88"/>
      <c r="U408" s="88"/>
      <c r="V408" s="88"/>
      <c r="W408" s="88"/>
      <c r="X408" s="88"/>
      <c r="Y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Q409" s="88"/>
      <c r="R409" s="88"/>
      <c r="S409" s="88"/>
      <c r="T409" s="88"/>
      <c r="U409" s="88"/>
      <c r="V409" s="88"/>
      <c r="W409" s="88"/>
      <c r="X409" s="88"/>
      <c r="Y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Q410" s="88"/>
      <c r="R410" s="88"/>
      <c r="S410" s="88"/>
      <c r="T410" s="88"/>
      <c r="U410" s="88"/>
      <c r="V410" s="88"/>
      <c r="W410" s="88"/>
      <c r="X410" s="88"/>
      <c r="Y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Q411" s="88"/>
      <c r="R411" s="88"/>
      <c r="S411" s="88"/>
      <c r="T411" s="88"/>
      <c r="U411" s="88"/>
      <c r="V411" s="88"/>
      <c r="W411" s="88"/>
      <c r="X411" s="88"/>
      <c r="Y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Q412" s="88"/>
      <c r="R412" s="88"/>
      <c r="S412" s="88"/>
      <c r="T412" s="88"/>
      <c r="U412" s="88"/>
      <c r="V412" s="88"/>
      <c r="W412" s="88"/>
      <c r="X412" s="88"/>
      <c r="Y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Q413" s="88"/>
      <c r="R413" s="88"/>
      <c r="S413" s="88"/>
      <c r="T413" s="88"/>
      <c r="U413" s="88"/>
      <c r="V413" s="88"/>
      <c r="W413" s="88"/>
      <c r="X413" s="88"/>
      <c r="Y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Q414" s="88"/>
      <c r="R414" s="88"/>
      <c r="S414" s="88"/>
      <c r="T414" s="88"/>
      <c r="U414" s="88"/>
      <c r="V414" s="88"/>
      <c r="W414" s="88"/>
      <c r="X414" s="88"/>
      <c r="Y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Q415" s="88"/>
      <c r="R415" s="88"/>
      <c r="S415" s="88"/>
      <c r="T415" s="88"/>
      <c r="U415" s="88"/>
      <c r="V415" s="88"/>
      <c r="W415" s="88"/>
      <c r="X415" s="88"/>
      <c r="Y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Q416" s="88"/>
      <c r="R416" s="88"/>
      <c r="S416" s="88"/>
      <c r="T416" s="88"/>
      <c r="U416" s="88"/>
      <c r="V416" s="88"/>
      <c r="W416" s="88"/>
      <c r="X416" s="88"/>
      <c r="Y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Q417" s="88"/>
      <c r="R417" s="88"/>
      <c r="S417" s="88"/>
      <c r="T417" s="88"/>
      <c r="U417" s="88"/>
      <c r="V417" s="88"/>
      <c r="W417" s="88"/>
      <c r="X417" s="88"/>
      <c r="Y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Q418" s="88"/>
      <c r="R418" s="88"/>
      <c r="S418" s="88"/>
      <c r="T418" s="88"/>
      <c r="U418" s="88"/>
      <c r="V418" s="88"/>
      <c r="W418" s="88"/>
      <c r="X418" s="88"/>
      <c r="Y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Q419" s="88"/>
      <c r="R419" s="88"/>
      <c r="S419" s="88"/>
      <c r="T419" s="88"/>
      <c r="U419" s="88"/>
      <c r="V419" s="88"/>
      <c r="W419" s="88"/>
      <c r="X419" s="88"/>
      <c r="Y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Q420" s="88"/>
      <c r="R420" s="88"/>
      <c r="S420" s="88"/>
      <c r="T420" s="88"/>
      <c r="U420" s="88"/>
      <c r="V420" s="88"/>
      <c r="W420" s="88"/>
      <c r="X420" s="88"/>
      <c r="Y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Q421" s="88"/>
      <c r="R421" s="88"/>
      <c r="S421" s="88"/>
      <c r="T421" s="88"/>
      <c r="U421" s="88"/>
      <c r="V421" s="88"/>
      <c r="W421" s="88"/>
      <c r="X421" s="88"/>
      <c r="Y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Q422" s="88"/>
      <c r="R422" s="88"/>
      <c r="S422" s="88"/>
      <c r="T422" s="88"/>
      <c r="U422" s="88"/>
      <c r="V422" s="88"/>
      <c r="W422" s="88"/>
      <c r="X422" s="88"/>
      <c r="Y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Q423" s="88"/>
      <c r="R423" s="88"/>
      <c r="S423" s="88"/>
      <c r="T423" s="88"/>
      <c r="U423" s="88"/>
      <c r="V423" s="88"/>
      <c r="W423" s="88"/>
      <c r="X423" s="88"/>
      <c r="Y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Q424" s="88"/>
      <c r="R424" s="88"/>
      <c r="S424" s="88"/>
      <c r="T424" s="88"/>
      <c r="U424" s="88"/>
      <c r="V424" s="88"/>
      <c r="W424" s="88"/>
      <c r="X424" s="88"/>
      <c r="Y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Q425" s="88"/>
      <c r="R425" s="88"/>
      <c r="S425" s="88"/>
      <c r="T425" s="88"/>
      <c r="U425" s="88"/>
      <c r="V425" s="88"/>
      <c r="W425" s="88"/>
      <c r="X425" s="88"/>
      <c r="Y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Q426" s="88"/>
      <c r="R426" s="88"/>
      <c r="S426" s="88"/>
      <c r="T426" s="88"/>
      <c r="U426" s="88"/>
      <c r="V426" s="88"/>
      <c r="W426" s="88"/>
      <c r="X426" s="88"/>
      <c r="Y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Q427" s="88"/>
      <c r="R427" s="88"/>
      <c r="S427" s="88"/>
      <c r="T427" s="88"/>
      <c r="U427" s="88"/>
      <c r="V427" s="88"/>
      <c r="W427" s="88"/>
      <c r="X427" s="88"/>
      <c r="Y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Q428" s="88"/>
      <c r="R428" s="88"/>
      <c r="S428" s="88"/>
      <c r="T428" s="88"/>
      <c r="U428" s="88"/>
      <c r="V428" s="88"/>
      <c r="W428" s="88"/>
      <c r="X428" s="88"/>
      <c r="Y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Q429" s="88"/>
      <c r="R429" s="88"/>
      <c r="S429" s="88"/>
      <c r="T429" s="88"/>
      <c r="U429" s="88"/>
      <c r="V429" s="88"/>
      <c r="W429" s="88"/>
      <c r="X429" s="88"/>
      <c r="Y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Q430" s="88"/>
      <c r="R430" s="88"/>
      <c r="S430" s="88"/>
      <c r="T430" s="88"/>
      <c r="U430" s="88"/>
      <c r="V430" s="88"/>
      <c r="W430" s="88"/>
      <c r="X430" s="88"/>
      <c r="Y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Q431" s="88"/>
      <c r="R431" s="88"/>
      <c r="S431" s="88"/>
      <c r="T431" s="88"/>
      <c r="U431" s="88"/>
      <c r="V431" s="88"/>
      <c r="W431" s="88"/>
      <c r="X431" s="88"/>
      <c r="Y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Q432" s="88"/>
      <c r="R432" s="88"/>
      <c r="S432" s="88"/>
      <c r="T432" s="88"/>
      <c r="U432" s="88"/>
      <c r="V432" s="88"/>
      <c r="W432" s="88"/>
      <c r="X432" s="88"/>
      <c r="Y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Q433" s="88"/>
      <c r="R433" s="88"/>
      <c r="S433" s="88"/>
      <c r="T433" s="88"/>
      <c r="U433" s="88"/>
      <c r="V433" s="88"/>
      <c r="W433" s="88"/>
      <c r="X433" s="88"/>
      <c r="Y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Q434" s="88"/>
      <c r="R434" s="88"/>
      <c r="S434" s="88"/>
      <c r="T434" s="88"/>
      <c r="U434" s="88"/>
      <c r="V434" s="88"/>
      <c r="W434" s="88"/>
      <c r="X434" s="88"/>
      <c r="Y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Q435" s="88"/>
      <c r="R435" s="88"/>
      <c r="S435" s="88"/>
      <c r="T435" s="88"/>
      <c r="U435" s="88"/>
      <c r="V435" s="88"/>
      <c r="W435" s="88"/>
      <c r="X435" s="88"/>
      <c r="Y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Q436" s="88"/>
      <c r="R436" s="88"/>
      <c r="S436" s="88"/>
      <c r="T436" s="88"/>
      <c r="U436" s="88"/>
      <c r="V436" s="88"/>
      <c r="W436" s="88"/>
      <c r="X436" s="88"/>
      <c r="Y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Q437" s="88"/>
      <c r="R437" s="88"/>
      <c r="S437" s="88"/>
      <c r="T437" s="88"/>
      <c r="U437" s="88"/>
      <c r="V437" s="88"/>
      <c r="W437" s="88"/>
      <c r="X437" s="88"/>
      <c r="Y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Q454" s="88"/>
      <c r="R454" s="88"/>
      <c r="S454" s="88"/>
      <c r="T454" s="88"/>
      <c r="U454" s="88"/>
      <c r="V454" s="88"/>
      <c r="W454" s="88"/>
      <c r="X454" s="88"/>
      <c r="Y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Q455" s="88"/>
      <c r="R455" s="88"/>
      <c r="S455" s="88"/>
      <c r="T455" s="88"/>
      <c r="U455" s="88"/>
      <c r="V455" s="88"/>
      <c r="W455" s="88"/>
      <c r="X455" s="88"/>
      <c r="Y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Q456" s="88"/>
      <c r="R456" s="88"/>
      <c r="S456" s="88"/>
      <c r="T456" s="88"/>
      <c r="U456" s="88"/>
      <c r="V456" s="88"/>
      <c r="W456" s="88"/>
      <c r="X456" s="88"/>
      <c r="Y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Q457" s="88"/>
      <c r="R457" s="88"/>
      <c r="S457" s="88"/>
      <c r="T457" s="88"/>
      <c r="U457" s="88"/>
      <c r="V457" s="88"/>
      <c r="W457" s="88"/>
      <c r="X457" s="88"/>
      <c r="Y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Q458" s="88"/>
      <c r="R458" s="88"/>
      <c r="S458" s="88"/>
      <c r="T458" s="88"/>
      <c r="U458" s="88"/>
      <c r="V458" s="88"/>
      <c r="W458" s="88"/>
      <c r="X458" s="88"/>
      <c r="Y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Q459" s="88"/>
      <c r="R459" s="88"/>
      <c r="S459" s="88"/>
      <c r="T459" s="88"/>
      <c r="U459" s="88"/>
      <c r="V459" s="88"/>
      <c r="W459" s="88"/>
      <c r="X459" s="88"/>
      <c r="Y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Q460" s="88"/>
      <c r="R460" s="88"/>
      <c r="S460" s="88"/>
      <c r="T460" s="88"/>
      <c r="U460" s="88"/>
      <c r="V460" s="88"/>
      <c r="W460" s="88"/>
      <c r="X460" s="88"/>
      <c r="Y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Q461" s="88"/>
      <c r="R461" s="88"/>
      <c r="S461" s="88"/>
      <c r="T461" s="88"/>
      <c r="U461" s="88"/>
      <c r="V461" s="88"/>
      <c r="W461" s="88"/>
      <c r="X461" s="88"/>
      <c r="Y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Q462" s="88"/>
      <c r="R462" s="88"/>
      <c r="S462" s="88"/>
      <c r="T462" s="88"/>
      <c r="U462" s="88"/>
      <c r="V462" s="88"/>
      <c r="W462" s="88"/>
      <c r="X462" s="88"/>
      <c r="Y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Q463" s="88"/>
      <c r="R463" s="88"/>
      <c r="S463" s="88"/>
      <c r="T463" s="88"/>
      <c r="U463" s="88"/>
      <c r="V463" s="88"/>
      <c r="W463" s="88"/>
      <c r="X463" s="88"/>
      <c r="Y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Q464" s="88"/>
      <c r="R464" s="88"/>
      <c r="S464" s="88"/>
      <c r="T464" s="88"/>
      <c r="U464" s="88"/>
      <c r="V464" s="88"/>
      <c r="W464" s="88"/>
      <c r="X464" s="88"/>
      <c r="Y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Q465" s="88"/>
      <c r="R465" s="88"/>
      <c r="S465" s="88"/>
      <c r="T465" s="88"/>
      <c r="U465" s="88"/>
      <c r="V465" s="88"/>
      <c r="W465" s="88"/>
      <c r="X465" s="88"/>
      <c r="Y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Q466" s="88"/>
      <c r="R466" s="88"/>
      <c r="S466" s="88"/>
      <c r="T466" s="88"/>
      <c r="U466" s="88"/>
      <c r="V466" s="88"/>
      <c r="W466" s="88"/>
      <c r="X466" s="88"/>
      <c r="Y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Q467" s="88"/>
      <c r="R467" s="88"/>
      <c r="S467" s="88"/>
      <c r="T467" s="88"/>
      <c r="U467" s="88"/>
      <c r="V467" s="88"/>
      <c r="W467" s="88"/>
      <c r="X467" s="88"/>
      <c r="Y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Q468" s="88"/>
      <c r="R468" s="88"/>
      <c r="S468" s="88"/>
      <c r="T468" s="88"/>
      <c r="U468" s="88"/>
      <c r="V468" s="88"/>
      <c r="W468" s="88"/>
      <c r="X468" s="88"/>
      <c r="Y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Q469" s="88"/>
      <c r="R469" s="88"/>
      <c r="S469" s="88"/>
      <c r="T469" s="88"/>
      <c r="U469" s="88"/>
      <c r="V469" s="88"/>
      <c r="W469" s="88"/>
      <c r="X469" s="88"/>
      <c r="Y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Q470" s="88"/>
      <c r="R470" s="88"/>
      <c r="S470" s="88"/>
      <c r="T470" s="88"/>
      <c r="U470" s="88"/>
      <c r="V470" s="88"/>
      <c r="W470" s="88"/>
      <c r="X470" s="88"/>
      <c r="Y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Q471" s="88"/>
      <c r="R471" s="88"/>
      <c r="S471" s="88"/>
      <c r="T471" s="88"/>
      <c r="U471" s="88"/>
      <c r="V471" s="88"/>
      <c r="W471" s="88"/>
      <c r="X471" s="88"/>
      <c r="Y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Q472" s="88"/>
      <c r="R472" s="88"/>
      <c r="S472" s="88"/>
      <c r="T472" s="88"/>
      <c r="U472" s="88"/>
      <c r="V472" s="88"/>
      <c r="W472" s="88"/>
      <c r="X472" s="88"/>
      <c r="Y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Q473" s="88"/>
      <c r="R473" s="88"/>
      <c r="S473" s="88"/>
      <c r="T473" s="88"/>
      <c r="U473" s="88"/>
      <c r="V473" s="88"/>
      <c r="W473" s="88"/>
      <c r="X473" s="88"/>
      <c r="Y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Q474" s="88"/>
      <c r="R474" s="88"/>
      <c r="S474" s="88"/>
      <c r="T474" s="88"/>
      <c r="U474" s="88"/>
      <c r="V474" s="88"/>
      <c r="W474" s="88"/>
      <c r="X474" s="88"/>
      <c r="Y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Q475" s="88"/>
      <c r="R475" s="88"/>
      <c r="S475" s="88"/>
      <c r="T475" s="88"/>
      <c r="U475" s="88"/>
      <c r="V475" s="88"/>
      <c r="W475" s="88"/>
      <c r="X475" s="88"/>
      <c r="Y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Q476" s="88"/>
      <c r="R476" s="88"/>
      <c r="S476" s="88"/>
      <c r="T476" s="88"/>
      <c r="U476" s="88"/>
      <c r="V476" s="88"/>
      <c r="W476" s="88"/>
      <c r="X476" s="88"/>
      <c r="Y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Q477" s="88"/>
      <c r="R477" s="88"/>
      <c r="S477" s="88"/>
      <c r="T477" s="88"/>
      <c r="U477" s="88"/>
      <c r="V477" s="88"/>
      <c r="W477" s="88"/>
      <c r="X477" s="88"/>
      <c r="Y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Q478" s="88"/>
      <c r="R478" s="88"/>
      <c r="S478" s="88"/>
      <c r="T478" s="88"/>
      <c r="U478" s="88"/>
      <c r="V478" s="88"/>
      <c r="W478" s="88"/>
      <c r="X478" s="88"/>
      <c r="Y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Q479" s="88"/>
      <c r="R479" s="88"/>
      <c r="S479" s="88"/>
      <c r="T479" s="88"/>
      <c r="U479" s="88"/>
      <c r="V479" s="88"/>
      <c r="W479" s="88"/>
      <c r="X479" s="88"/>
      <c r="Y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Q480" s="88"/>
      <c r="R480" s="88"/>
      <c r="S480" s="88"/>
      <c r="T480" s="88"/>
      <c r="U480" s="88"/>
      <c r="V480" s="88"/>
      <c r="W480" s="88"/>
      <c r="X480" s="88"/>
      <c r="Y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Q481" s="88"/>
      <c r="R481" s="88"/>
      <c r="S481" s="88"/>
      <c r="T481" s="88"/>
      <c r="U481" s="88"/>
      <c r="V481" s="88"/>
      <c r="W481" s="88"/>
      <c r="X481" s="88"/>
      <c r="Y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Q482" s="88"/>
      <c r="R482" s="88"/>
      <c r="S482" s="88"/>
      <c r="T482" s="88"/>
      <c r="U482" s="88"/>
      <c r="V482" s="88"/>
      <c r="W482" s="88"/>
      <c r="X482" s="88"/>
      <c r="Y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Q483" s="88"/>
      <c r="R483" s="88"/>
      <c r="S483" s="88"/>
      <c r="T483" s="88"/>
      <c r="U483" s="88"/>
      <c r="V483" s="88"/>
      <c r="W483" s="88"/>
      <c r="X483" s="88"/>
      <c r="Y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Q484" s="88"/>
      <c r="R484" s="88"/>
      <c r="S484" s="88"/>
      <c r="T484" s="88"/>
      <c r="U484" s="88"/>
      <c r="V484" s="88"/>
      <c r="W484" s="88"/>
      <c r="X484" s="88"/>
      <c r="Y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Q485" s="88"/>
      <c r="R485" s="88"/>
      <c r="S485" s="88"/>
      <c r="T485" s="88"/>
      <c r="U485" s="88"/>
      <c r="V485" s="88"/>
      <c r="W485" s="88"/>
      <c r="X485" s="88"/>
      <c r="Y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Q486" s="88"/>
      <c r="R486" s="88"/>
      <c r="S486" s="88"/>
      <c r="T486" s="88"/>
      <c r="U486" s="88"/>
      <c r="V486" s="88"/>
      <c r="W486" s="88"/>
      <c r="X486" s="88"/>
      <c r="Y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Q487" s="88"/>
      <c r="R487" s="88"/>
      <c r="S487" s="88"/>
      <c r="T487" s="88"/>
      <c r="U487" s="88"/>
      <c r="V487" s="88"/>
      <c r="W487" s="88"/>
      <c r="X487" s="88"/>
      <c r="Y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Q488" s="88"/>
      <c r="R488" s="88"/>
      <c r="S488" s="88"/>
      <c r="T488" s="88"/>
      <c r="U488" s="88"/>
      <c r="V488" s="88"/>
      <c r="W488" s="88"/>
      <c r="X488" s="88"/>
      <c r="Y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Q489" s="88"/>
      <c r="R489" s="88"/>
      <c r="S489" s="88"/>
      <c r="T489" s="88"/>
      <c r="U489" s="88"/>
      <c r="V489" s="88"/>
      <c r="W489" s="88"/>
      <c r="X489" s="88"/>
      <c r="Y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Q490" s="88"/>
      <c r="R490" s="88"/>
      <c r="S490" s="88"/>
      <c r="T490" s="88"/>
      <c r="U490" s="88"/>
      <c r="V490" s="88"/>
      <c r="W490" s="88"/>
      <c r="X490" s="88"/>
      <c r="Y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Q491" s="88"/>
      <c r="R491" s="88"/>
      <c r="S491" s="88"/>
      <c r="T491" s="88"/>
      <c r="U491" s="88"/>
      <c r="V491" s="88"/>
      <c r="W491" s="88"/>
      <c r="X491" s="88"/>
      <c r="Y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Q492" s="88"/>
      <c r="R492" s="88"/>
      <c r="S492" s="88"/>
      <c r="T492" s="88"/>
      <c r="U492" s="88"/>
      <c r="V492" s="88"/>
      <c r="W492" s="88"/>
      <c r="X492" s="88"/>
      <c r="Y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Q493" s="88"/>
      <c r="R493" s="88"/>
      <c r="S493" s="88"/>
      <c r="T493" s="88"/>
      <c r="U493" s="88"/>
      <c r="V493" s="88"/>
      <c r="W493" s="88"/>
      <c r="X493" s="88"/>
      <c r="Y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Q494" s="88"/>
      <c r="R494" s="88"/>
      <c r="S494" s="88"/>
      <c r="T494" s="88"/>
      <c r="U494" s="88"/>
      <c r="V494" s="88"/>
      <c r="W494" s="88"/>
      <c r="X494" s="88"/>
      <c r="Y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Q495" s="88"/>
      <c r="R495" s="88"/>
      <c r="S495" s="88"/>
      <c r="T495" s="88"/>
      <c r="U495" s="88"/>
      <c r="V495" s="88"/>
      <c r="W495" s="88"/>
      <c r="X495" s="88"/>
      <c r="Y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Q496" s="88"/>
      <c r="R496" s="88"/>
      <c r="S496" s="88"/>
      <c r="T496" s="88"/>
      <c r="U496" s="88"/>
      <c r="V496" s="88"/>
      <c r="W496" s="88"/>
      <c r="X496" s="88"/>
      <c r="Y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Q497" s="88"/>
      <c r="R497" s="88"/>
      <c r="S497" s="88"/>
      <c r="T497" s="88"/>
      <c r="U497" s="88"/>
      <c r="V497" s="88"/>
      <c r="W497" s="88"/>
      <c r="X497" s="88"/>
      <c r="Y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Q498" s="88"/>
      <c r="R498" s="88"/>
      <c r="S498" s="88"/>
      <c r="T498" s="88"/>
      <c r="U498" s="88"/>
      <c r="V498" s="88"/>
      <c r="W498" s="88"/>
      <c r="X498" s="88"/>
      <c r="Y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Q499" s="88"/>
      <c r="R499" s="88"/>
      <c r="S499" s="88"/>
      <c r="T499" s="88"/>
      <c r="U499" s="88"/>
      <c r="V499" s="88"/>
      <c r="W499" s="88"/>
      <c r="X499" s="88"/>
      <c r="Y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Q500" s="88"/>
      <c r="R500" s="88"/>
      <c r="S500" s="88"/>
      <c r="T500" s="88"/>
      <c r="U500" s="88"/>
      <c r="V500" s="88"/>
      <c r="W500" s="88"/>
      <c r="X500" s="88"/>
      <c r="Y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Q501" s="88"/>
      <c r="R501" s="88"/>
      <c r="S501" s="88"/>
      <c r="T501" s="88"/>
      <c r="U501" s="88"/>
      <c r="V501" s="88"/>
      <c r="W501" s="88"/>
      <c r="X501" s="88"/>
      <c r="Y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Q502" s="88"/>
      <c r="R502" s="88"/>
      <c r="S502" s="88"/>
      <c r="T502" s="88"/>
      <c r="U502" s="88"/>
      <c r="V502" s="88"/>
      <c r="W502" s="88"/>
      <c r="X502" s="88"/>
      <c r="Y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Q503" s="88"/>
      <c r="R503" s="88"/>
      <c r="S503" s="88"/>
      <c r="T503" s="88"/>
      <c r="U503" s="88"/>
      <c r="V503" s="88"/>
      <c r="W503" s="88"/>
      <c r="X503" s="88"/>
      <c r="Y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Q504" s="88"/>
      <c r="R504" s="88"/>
      <c r="S504" s="88"/>
      <c r="T504" s="88"/>
      <c r="U504" s="88"/>
      <c r="V504" s="88"/>
      <c r="W504" s="88"/>
      <c r="X504" s="88"/>
      <c r="Y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Q505" s="88"/>
      <c r="R505" s="88"/>
      <c r="S505" s="88"/>
      <c r="T505" s="88"/>
      <c r="U505" s="88"/>
      <c r="V505" s="88"/>
      <c r="W505" s="88"/>
      <c r="X505" s="88"/>
      <c r="Y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Q506" s="88"/>
      <c r="R506" s="88"/>
      <c r="S506" s="88"/>
      <c r="T506" s="88"/>
      <c r="U506" s="88"/>
      <c r="V506" s="88"/>
      <c r="W506" s="88"/>
      <c r="X506" s="88"/>
      <c r="Y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Q507" s="88"/>
      <c r="R507" s="88"/>
      <c r="S507" s="88"/>
      <c r="T507" s="88"/>
      <c r="U507" s="88"/>
      <c r="V507" s="88"/>
      <c r="W507" s="88"/>
      <c r="X507" s="88"/>
      <c r="Y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Q508" s="88"/>
      <c r="R508" s="88"/>
      <c r="S508" s="88"/>
      <c r="T508" s="88"/>
      <c r="U508" s="88"/>
      <c r="V508" s="88"/>
      <c r="W508" s="88"/>
      <c r="X508" s="88"/>
      <c r="Y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Q509" s="88"/>
      <c r="R509" s="88"/>
      <c r="S509" s="88"/>
      <c r="T509" s="88"/>
      <c r="U509" s="88"/>
      <c r="V509" s="88"/>
      <c r="W509" s="88"/>
      <c r="X509" s="88"/>
      <c r="Y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Q510" s="88"/>
      <c r="R510" s="88"/>
      <c r="S510" s="88"/>
      <c r="T510" s="88"/>
      <c r="U510" s="88"/>
      <c r="V510" s="88"/>
      <c r="W510" s="88"/>
      <c r="X510" s="88"/>
      <c r="Y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Q511" s="88"/>
      <c r="R511" s="88"/>
      <c r="S511" s="88"/>
      <c r="T511" s="88"/>
      <c r="U511" s="88"/>
      <c r="V511" s="88"/>
      <c r="W511" s="88"/>
      <c r="X511" s="88"/>
      <c r="Y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Q512" s="88"/>
      <c r="R512" s="88"/>
      <c r="S512" s="88"/>
      <c r="T512" s="88"/>
      <c r="U512" s="88"/>
      <c r="V512" s="88"/>
      <c r="W512" s="88"/>
      <c r="X512" s="88"/>
      <c r="Y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Q513" s="88"/>
      <c r="R513" s="88"/>
      <c r="S513" s="88"/>
      <c r="T513" s="88"/>
      <c r="U513" s="88"/>
      <c r="V513" s="88"/>
      <c r="W513" s="88"/>
      <c r="X513" s="88"/>
      <c r="Y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Q514" s="88"/>
      <c r="R514" s="88"/>
      <c r="S514" s="88"/>
      <c r="T514" s="88"/>
      <c r="U514" s="88"/>
      <c r="V514" s="88"/>
      <c r="W514" s="88"/>
      <c r="X514" s="88"/>
      <c r="Y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Q515" s="88"/>
      <c r="R515" s="88"/>
      <c r="S515" s="88"/>
      <c r="T515" s="88"/>
      <c r="U515" s="88"/>
      <c r="V515" s="88"/>
      <c r="W515" s="88"/>
      <c r="X515" s="88"/>
      <c r="Y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Q516" s="88"/>
      <c r="R516" s="88"/>
      <c r="S516" s="88"/>
      <c r="T516" s="88"/>
      <c r="U516" s="88"/>
      <c r="V516" s="88"/>
      <c r="W516" s="88"/>
      <c r="X516" s="88"/>
      <c r="Y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Q517" s="88"/>
      <c r="R517" s="88"/>
      <c r="S517" s="88"/>
      <c r="T517" s="88"/>
      <c r="U517" s="88"/>
      <c r="V517" s="88"/>
      <c r="W517" s="88"/>
      <c r="X517" s="88"/>
      <c r="Y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Q518" s="88"/>
      <c r="R518" s="88"/>
      <c r="S518" s="88"/>
      <c r="T518" s="88"/>
      <c r="U518" s="88"/>
      <c r="V518" s="88"/>
      <c r="W518" s="88"/>
      <c r="X518" s="88"/>
      <c r="Y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Q519" s="88"/>
      <c r="R519" s="88"/>
      <c r="S519" s="88"/>
      <c r="T519" s="88"/>
      <c r="U519" s="88"/>
      <c r="V519" s="88"/>
      <c r="W519" s="88"/>
      <c r="X519" s="88"/>
      <c r="Y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Q520" s="88"/>
      <c r="R520" s="88"/>
      <c r="S520" s="88"/>
      <c r="T520" s="88"/>
      <c r="U520" s="88"/>
      <c r="V520" s="88"/>
      <c r="W520" s="88"/>
      <c r="X520" s="88"/>
      <c r="Y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Q521" s="88"/>
      <c r="R521" s="88"/>
      <c r="S521" s="88"/>
      <c r="T521" s="88"/>
      <c r="U521" s="88"/>
      <c r="V521" s="88"/>
      <c r="W521" s="88"/>
      <c r="X521" s="88"/>
      <c r="Y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Q522" s="88"/>
      <c r="R522" s="88"/>
      <c r="S522" s="88"/>
      <c r="T522" s="88"/>
      <c r="U522" s="88"/>
      <c r="V522" s="88"/>
      <c r="W522" s="88"/>
      <c r="X522" s="88"/>
      <c r="Y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Q523" s="88"/>
      <c r="R523" s="88"/>
      <c r="S523" s="88"/>
      <c r="T523" s="88"/>
      <c r="U523" s="88"/>
      <c r="V523" s="88"/>
      <c r="W523" s="88"/>
      <c r="X523" s="88"/>
      <c r="Y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Q524" s="88"/>
      <c r="R524" s="88"/>
      <c r="S524" s="88"/>
      <c r="T524" s="88"/>
      <c r="U524" s="88"/>
      <c r="V524" s="88"/>
      <c r="W524" s="88"/>
      <c r="X524" s="88"/>
      <c r="Y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Q525" s="88"/>
      <c r="R525" s="88"/>
      <c r="S525" s="88"/>
      <c r="T525" s="88"/>
      <c r="U525" s="88"/>
      <c r="V525" s="88"/>
      <c r="W525" s="88"/>
      <c r="X525" s="88"/>
      <c r="Y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Q526" s="88"/>
      <c r="R526" s="88"/>
      <c r="S526" s="88"/>
      <c r="T526" s="88"/>
      <c r="U526" s="88"/>
      <c r="V526" s="88"/>
      <c r="W526" s="88"/>
      <c r="X526" s="88"/>
      <c r="Y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Q527" s="88"/>
      <c r="R527" s="88"/>
      <c r="S527" s="88"/>
      <c r="T527" s="88"/>
      <c r="U527" s="88"/>
      <c r="V527" s="88"/>
      <c r="W527" s="88"/>
      <c r="X527" s="88"/>
      <c r="Y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Q528" s="88"/>
      <c r="R528" s="88"/>
      <c r="S528" s="88"/>
      <c r="T528" s="88"/>
      <c r="U528" s="88"/>
      <c r="V528" s="88"/>
      <c r="W528" s="88"/>
      <c r="X528" s="88"/>
      <c r="Y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Q529" s="88"/>
      <c r="R529" s="88"/>
      <c r="S529" s="88"/>
      <c r="T529" s="88"/>
      <c r="U529" s="88"/>
      <c r="V529" s="88"/>
      <c r="W529" s="88"/>
      <c r="X529" s="88"/>
      <c r="Y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Q530" s="88"/>
      <c r="R530" s="88"/>
      <c r="S530" s="88"/>
      <c r="T530" s="88"/>
      <c r="U530" s="88"/>
      <c r="V530" s="88"/>
      <c r="W530" s="88"/>
      <c r="X530" s="88"/>
      <c r="Y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Q531" s="88"/>
      <c r="R531" s="88"/>
      <c r="S531" s="88"/>
      <c r="T531" s="88"/>
      <c r="U531" s="88"/>
      <c r="V531" s="88"/>
      <c r="W531" s="88"/>
      <c r="X531" s="88"/>
      <c r="Y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Q532" s="88"/>
      <c r="R532" s="88"/>
      <c r="S532" s="88"/>
      <c r="T532" s="88"/>
      <c r="U532" s="88"/>
      <c r="V532" s="88"/>
      <c r="W532" s="88"/>
      <c r="X532" s="88"/>
      <c r="Y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Q533" s="88"/>
      <c r="R533" s="88"/>
      <c r="S533" s="88"/>
      <c r="T533" s="88"/>
      <c r="U533" s="88"/>
      <c r="V533" s="88"/>
      <c r="W533" s="88"/>
      <c r="X533" s="88"/>
      <c r="Y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Q534" s="88"/>
      <c r="R534" s="88"/>
      <c r="S534" s="88"/>
      <c r="T534" s="88"/>
      <c r="U534" s="88"/>
      <c r="V534" s="88"/>
      <c r="W534" s="88"/>
      <c r="X534" s="88"/>
      <c r="Y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Q535" s="88"/>
      <c r="R535" s="88"/>
      <c r="S535" s="88"/>
      <c r="T535" s="88"/>
      <c r="U535" s="88"/>
      <c r="V535" s="88"/>
      <c r="W535" s="88"/>
      <c r="X535" s="88"/>
      <c r="Y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Q536" s="88"/>
      <c r="R536" s="88"/>
      <c r="S536" s="88"/>
      <c r="T536" s="88"/>
      <c r="U536" s="88"/>
      <c r="V536" s="88"/>
      <c r="W536" s="88"/>
      <c r="X536" s="88"/>
      <c r="Y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Q537" s="88"/>
      <c r="R537" s="88"/>
      <c r="S537" s="88"/>
      <c r="T537" s="88"/>
      <c r="U537" s="88"/>
      <c r="V537" s="88"/>
      <c r="W537" s="88"/>
      <c r="X537" s="88"/>
      <c r="Y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Q538" s="88"/>
      <c r="R538" s="88"/>
      <c r="S538" s="88"/>
      <c r="T538" s="88"/>
      <c r="U538" s="88"/>
      <c r="V538" s="88"/>
      <c r="W538" s="88"/>
      <c r="X538" s="88"/>
      <c r="Y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Q539" s="88"/>
      <c r="R539" s="88"/>
      <c r="S539" s="88"/>
      <c r="T539" s="88"/>
      <c r="U539" s="88"/>
      <c r="V539" s="88"/>
      <c r="W539" s="88"/>
      <c r="X539" s="88"/>
      <c r="Y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Q540" s="88"/>
      <c r="R540" s="88"/>
      <c r="S540" s="88"/>
      <c r="T540" s="88"/>
      <c r="U540" s="88"/>
      <c r="V540" s="88"/>
      <c r="W540" s="88"/>
      <c r="X540" s="88"/>
      <c r="Y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Q541" s="88"/>
      <c r="R541" s="88"/>
      <c r="S541" s="88"/>
      <c r="T541" s="88"/>
      <c r="U541" s="88"/>
      <c r="V541" s="88"/>
      <c r="W541" s="88"/>
      <c r="X541" s="88"/>
      <c r="Y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Q542" s="88"/>
      <c r="R542" s="88"/>
      <c r="S542" s="88"/>
      <c r="T542" s="88"/>
      <c r="U542" s="88"/>
      <c r="V542" s="88"/>
      <c r="W542" s="88"/>
      <c r="X542" s="88"/>
      <c r="Y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Q543" s="88"/>
      <c r="R543" s="88"/>
      <c r="S543" s="88"/>
      <c r="T543" s="88"/>
      <c r="U543" s="88"/>
      <c r="V543" s="88"/>
      <c r="W543" s="88"/>
      <c r="X543" s="88"/>
      <c r="Y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Q544" s="88"/>
      <c r="R544" s="88"/>
      <c r="S544" s="88"/>
      <c r="T544" s="88"/>
      <c r="U544" s="88"/>
      <c r="V544" s="88"/>
      <c r="W544" s="88"/>
      <c r="X544" s="88"/>
      <c r="Y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Q545" s="88"/>
      <c r="R545" s="88"/>
      <c r="S545" s="88"/>
      <c r="T545" s="88"/>
      <c r="U545" s="88"/>
      <c r="V545" s="88"/>
      <c r="W545" s="88"/>
      <c r="X545" s="88"/>
      <c r="Y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Q546" s="88"/>
      <c r="R546" s="88"/>
      <c r="S546" s="88"/>
      <c r="T546" s="88"/>
      <c r="U546" s="88"/>
      <c r="V546" s="88"/>
      <c r="W546" s="88"/>
      <c r="X546" s="88"/>
      <c r="Y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Q547" s="88"/>
      <c r="R547" s="88"/>
      <c r="S547" s="88"/>
      <c r="T547" s="88"/>
      <c r="U547" s="88"/>
      <c r="V547" s="88"/>
      <c r="W547" s="88"/>
      <c r="X547" s="88"/>
      <c r="Y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Q548" s="88"/>
      <c r="R548" s="88"/>
      <c r="S548" s="88"/>
      <c r="T548" s="88"/>
      <c r="U548" s="88"/>
      <c r="V548" s="88"/>
      <c r="W548" s="88"/>
      <c r="X548" s="88"/>
      <c r="Y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Q549" s="88"/>
      <c r="R549" s="88"/>
      <c r="S549" s="88"/>
      <c r="T549" s="88"/>
      <c r="U549" s="88"/>
      <c r="V549" s="88"/>
      <c r="W549" s="88"/>
      <c r="X549" s="88"/>
      <c r="Y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Q550" s="88"/>
      <c r="R550" s="88"/>
      <c r="S550" s="88"/>
      <c r="T550" s="88"/>
      <c r="U550" s="88"/>
      <c r="V550" s="88"/>
      <c r="W550" s="88"/>
      <c r="X550" s="88"/>
      <c r="Y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Q551" s="88"/>
      <c r="R551" s="88"/>
      <c r="S551" s="88"/>
      <c r="T551" s="88"/>
      <c r="U551" s="88"/>
      <c r="V551" s="88"/>
      <c r="W551" s="88"/>
      <c r="X551" s="88"/>
      <c r="Y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Q552" s="88"/>
      <c r="R552" s="88"/>
      <c r="S552" s="88"/>
      <c r="T552" s="88"/>
      <c r="U552" s="88"/>
      <c r="V552" s="88"/>
      <c r="W552" s="88"/>
      <c r="X552" s="88"/>
      <c r="Y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Q553" s="88"/>
      <c r="R553" s="88"/>
      <c r="S553" s="88"/>
      <c r="T553" s="88"/>
      <c r="U553" s="88"/>
      <c r="V553" s="88"/>
      <c r="W553" s="88"/>
      <c r="X553" s="88"/>
      <c r="Y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Q554" s="88"/>
      <c r="R554" s="88"/>
      <c r="S554" s="88"/>
      <c r="T554" s="88"/>
      <c r="U554" s="88"/>
      <c r="V554" s="88"/>
      <c r="W554" s="88"/>
      <c r="X554" s="88"/>
      <c r="Y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Q555" s="88"/>
      <c r="R555" s="88"/>
      <c r="S555" s="88"/>
      <c r="T555" s="88"/>
      <c r="U555" s="88"/>
      <c r="V555" s="88"/>
      <c r="W555" s="88"/>
      <c r="X555" s="88"/>
      <c r="Y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Q556" s="88"/>
      <c r="R556" s="88"/>
      <c r="S556" s="88"/>
      <c r="T556" s="88"/>
      <c r="U556" s="88"/>
      <c r="V556" s="88"/>
      <c r="W556" s="88"/>
      <c r="X556" s="88"/>
      <c r="Y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Q557" s="88"/>
      <c r="R557" s="88"/>
      <c r="S557" s="88"/>
      <c r="T557" s="88"/>
      <c r="U557" s="88"/>
      <c r="V557" s="88"/>
      <c r="W557" s="88"/>
      <c r="X557" s="88"/>
      <c r="Y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Q558" s="88"/>
      <c r="R558" s="88"/>
      <c r="S558" s="88"/>
      <c r="T558" s="88"/>
      <c r="U558" s="88"/>
      <c r="V558" s="88"/>
      <c r="W558" s="88"/>
      <c r="X558" s="88"/>
      <c r="Y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Q559" s="88"/>
      <c r="R559" s="88"/>
      <c r="S559" s="88"/>
      <c r="T559" s="88"/>
      <c r="U559" s="88"/>
      <c r="V559" s="88"/>
      <c r="W559" s="88"/>
      <c r="X559" s="88"/>
      <c r="Y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Q560" s="88"/>
      <c r="R560" s="88"/>
      <c r="S560" s="88"/>
      <c r="T560" s="88"/>
      <c r="U560" s="88"/>
      <c r="V560" s="88"/>
      <c r="W560" s="88"/>
      <c r="X560" s="88"/>
      <c r="Y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Q561" s="88"/>
      <c r="R561" s="88"/>
      <c r="S561" s="88"/>
      <c r="T561" s="88"/>
      <c r="U561" s="88"/>
      <c r="V561" s="88"/>
      <c r="W561" s="88"/>
      <c r="X561" s="88"/>
      <c r="Y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Q562" s="88"/>
      <c r="R562" s="88"/>
      <c r="S562" s="88"/>
      <c r="T562" s="88"/>
      <c r="U562" s="88"/>
      <c r="V562" s="88"/>
      <c r="W562" s="88"/>
      <c r="X562" s="88"/>
      <c r="Y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Q563" s="88"/>
      <c r="R563" s="88"/>
      <c r="S563" s="88"/>
      <c r="T563" s="88"/>
      <c r="U563" s="88"/>
      <c r="V563" s="88"/>
      <c r="W563" s="88"/>
      <c r="X563" s="88"/>
      <c r="Y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Q564" s="88"/>
      <c r="R564" s="88"/>
      <c r="S564" s="88"/>
      <c r="T564" s="88"/>
      <c r="U564" s="88"/>
      <c r="V564" s="88"/>
      <c r="W564" s="88"/>
      <c r="X564" s="88"/>
      <c r="Y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Q565" s="88"/>
      <c r="R565" s="88"/>
      <c r="S565" s="88"/>
      <c r="T565" s="88"/>
      <c r="U565" s="88"/>
      <c r="V565" s="88"/>
      <c r="W565" s="88"/>
      <c r="X565" s="88"/>
      <c r="Y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Q566" s="88"/>
      <c r="R566" s="88"/>
      <c r="S566" s="88"/>
      <c r="T566" s="88"/>
      <c r="U566" s="88"/>
      <c r="V566" s="88"/>
      <c r="W566" s="88"/>
      <c r="X566" s="88"/>
      <c r="Y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Q567" s="88"/>
      <c r="R567" s="88"/>
      <c r="S567" s="88"/>
      <c r="T567" s="88"/>
      <c r="U567" s="88"/>
      <c r="V567" s="88"/>
      <c r="W567" s="88"/>
      <c r="X567" s="88"/>
      <c r="Y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Q568" s="88"/>
      <c r="R568" s="88"/>
      <c r="S568" s="88"/>
      <c r="T568" s="88"/>
      <c r="U568" s="88"/>
      <c r="V568" s="88"/>
      <c r="W568" s="88"/>
      <c r="X568" s="88"/>
      <c r="Y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Q569" s="88"/>
      <c r="R569" s="88"/>
      <c r="S569" s="88"/>
      <c r="T569" s="88"/>
      <c r="U569" s="88"/>
      <c r="V569" s="88"/>
      <c r="W569" s="88"/>
      <c r="X569" s="88"/>
      <c r="Y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Q570" s="88"/>
      <c r="R570" s="88"/>
      <c r="S570" s="88"/>
      <c r="T570" s="88"/>
      <c r="U570" s="88"/>
      <c r="V570" s="88"/>
      <c r="W570" s="88"/>
      <c r="X570" s="88"/>
      <c r="Y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Q571" s="88"/>
      <c r="R571" s="88"/>
      <c r="S571" s="88"/>
      <c r="T571" s="88"/>
      <c r="U571" s="88"/>
      <c r="V571" s="88"/>
      <c r="W571" s="88"/>
      <c r="X571" s="88"/>
      <c r="Y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Q605" s="88"/>
      <c r="R605" s="88"/>
      <c r="S605" s="88"/>
      <c r="T605" s="88"/>
      <c r="U605" s="88"/>
      <c r="V605" s="88"/>
      <c r="W605" s="88"/>
      <c r="X605" s="88"/>
      <c r="Y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Q606" s="88"/>
      <c r="R606" s="88"/>
      <c r="S606" s="88"/>
      <c r="T606" s="88"/>
      <c r="U606" s="88"/>
      <c r="V606" s="88"/>
      <c r="W606" s="88"/>
      <c r="X606" s="88"/>
      <c r="Y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Q607" s="88"/>
      <c r="R607" s="88"/>
      <c r="S607" s="88"/>
      <c r="T607" s="88"/>
      <c r="U607" s="88"/>
      <c r="V607" s="88"/>
      <c r="W607" s="88"/>
      <c r="X607" s="88"/>
      <c r="Y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Q608" s="88"/>
      <c r="R608" s="88"/>
      <c r="S608" s="88"/>
      <c r="T608" s="88"/>
      <c r="U608" s="88"/>
      <c r="V608" s="88"/>
      <c r="W608" s="88"/>
      <c r="X608" s="88"/>
      <c r="Y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Q609" s="88"/>
      <c r="R609" s="88"/>
      <c r="S609" s="88"/>
      <c r="T609" s="88"/>
      <c r="U609" s="88"/>
      <c r="V609" s="88"/>
      <c r="W609" s="88"/>
      <c r="X609" s="88"/>
      <c r="Y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Q610" s="88"/>
      <c r="R610" s="88"/>
      <c r="S610" s="88"/>
      <c r="T610" s="88"/>
      <c r="U610" s="88"/>
      <c r="V610" s="88"/>
      <c r="W610" s="88"/>
      <c r="X610" s="88"/>
      <c r="Y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Q611" s="88"/>
      <c r="R611" s="88"/>
      <c r="S611" s="88"/>
      <c r="T611" s="88"/>
      <c r="U611" s="88"/>
      <c r="V611" s="88"/>
      <c r="W611" s="88"/>
      <c r="X611" s="88"/>
      <c r="Y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Q612" s="88"/>
      <c r="R612" s="88"/>
      <c r="S612" s="88"/>
      <c r="T612" s="88"/>
      <c r="U612" s="88"/>
      <c r="V612" s="88"/>
      <c r="W612" s="88"/>
      <c r="X612" s="88"/>
      <c r="Y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Q613" s="88"/>
      <c r="R613" s="88"/>
      <c r="S613" s="88"/>
      <c r="T613" s="88"/>
      <c r="U613" s="88"/>
      <c r="V613" s="88"/>
      <c r="W613" s="88"/>
      <c r="X613" s="88"/>
      <c r="Y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Q614" s="88"/>
      <c r="R614" s="88"/>
      <c r="S614" s="88"/>
      <c r="T614" s="88"/>
      <c r="U614" s="88"/>
      <c r="V614" s="88"/>
      <c r="W614" s="88"/>
      <c r="X614" s="88"/>
      <c r="Y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Q615" s="88"/>
      <c r="R615" s="88"/>
      <c r="S615" s="88"/>
      <c r="T615" s="88"/>
      <c r="U615" s="88"/>
      <c r="V615" s="88"/>
      <c r="W615" s="88"/>
      <c r="X615" s="88"/>
      <c r="Y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Q616" s="88"/>
      <c r="R616" s="88"/>
      <c r="S616" s="88"/>
      <c r="T616" s="88"/>
      <c r="U616" s="88"/>
      <c r="V616" s="88"/>
      <c r="W616" s="88"/>
      <c r="X616" s="88"/>
      <c r="Y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Q617" s="88"/>
      <c r="R617" s="88"/>
      <c r="S617" s="88"/>
      <c r="T617" s="88"/>
      <c r="U617" s="88"/>
      <c r="V617" s="88"/>
      <c r="W617" s="88"/>
      <c r="X617" s="88"/>
      <c r="Y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Q618" s="88"/>
      <c r="R618" s="88"/>
      <c r="S618" s="88"/>
      <c r="T618" s="88"/>
      <c r="U618" s="88"/>
      <c r="V618" s="88"/>
      <c r="W618" s="88"/>
      <c r="X618" s="88"/>
      <c r="Y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Q619" s="88"/>
      <c r="R619" s="88"/>
      <c r="S619" s="88"/>
      <c r="T619" s="88"/>
      <c r="U619" s="88"/>
      <c r="V619" s="88"/>
      <c r="W619" s="88"/>
      <c r="X619" s="88"/>
      <c r="Y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Q620" s="88"/>
      <c r="R620" s="88"/>
      <c r="S620" s="88"/>
      <c r="T620" s="88"/>
      <c r="U620" s="88"/>
      <c r="V620" s="88"/>
      <c r="W620" s="88"/>
      <c r="X620" s="88"/>
      <c r="Y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Q621" s="88"/>
      <c r="R621" s="88"/>
      <c r="S621" s="88"/>
      <c r="T621" s="88"/>
      <c r="U621" s="88"/>
      <c r="V621" s="88"/>
      <c r="W621" s="88"/>
      <c r="X621" s="88"/>
      <c r="Y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Q622" s="88"/>
      <c r="R622" s="88"/>
      <c r="S622" s="88"/>
      <c r="T622" s="88"/>
      <c r="U622" s="88"/>
      <c r="V622" s="88"/>
      <c r="W622" s="88"/>
      <c r="X622" s="88"/>
      <c r="Y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Q623" s="88"/>
      <c r="R623" s="88"/>
      <c r="S623" s="88"/>
      <c r="T623" s="88"/>
      <c r="U623" s="88"/>
      <c r="V623" s="88"/>
      <c r="W623" s="88"/>
      <c r="X623" s="88"/>
      <c r="Y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Q624" s="88"/>
      <c r="R624" s="88"/>
      <c r="S624" s="88"/>
      <c r="T624" s="88"/>
      <c r="U624" s="88"/>
      <c r="V624" s="88"/>
      <c r="W624" s="88"/>
      <c r="X624" s="88"/>
      <c r="Y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Q625" s="88"/>
      <c r="R625" s="88"/>
      <c r="S625" s="88"/>
      <c r="T625" s="88"/>
      <c r="U625" s="88"/>
      <c r="V625" s="88"/>
      <c r="W625" s="88"/>
      <c r="X625" s="88"/>
      <c r="Y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Q626" s="88"/>
      <c r="R626" s="88"/>
      <c r="S626" s="88"/>
      <c r="T626" s="88"/>
      <c r="U626" s="88"/>
      <c r="V626" s="88"/>
      <c r="W626" s="88"/>
      <c r="X626" s="88"/>
      <c r="Y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Q627" s="88"/>
      <c r="R627" s="88"/>
      <c r="S627" s="88"/>
      <c r="T627" s="88"/>
      <c r="U627" s="88"/>
      <c r="V627" s="88"/>
      <c r="W627" s="88"/>
      <c r="X627" s="88"/>
      <c r="Y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Q628" s="88"/>
      <c r="R628" s="88"/>
      <c r="S628" s="88"/>
      <c r="T628" s="88"/>
      <c r="U628" s="88"/>
      <c r="V628" s="88"/>
      <c r="W628" s="88"/>
      <c r="X628" s="88"/>
      <c r="Y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Q629" s="88"/>
      <c r="R629" s="88"/>
      <c r="S629" s="88"/>
      <c r="T629" s="88"/>
      <c r="U629" s="88"/>
      <c r="V629" s="88"/>
      <c r="W629" s="88"/>
      <c r="X629" s="88"/>
      <c r="Y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Q630" s="88"/>
      <c r="R630" s="88"/>
      <c r="S630" s="88"/>
      <c r="T630" s="88"/>
      <c r="U630" s="88"/>
      <c r="V630" s="88"/>
      <c r="W630" s="88"/>
      <c r="X630" s="88"/>
      <c r="Y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Q631" s="88"/>
      <c r="R631" s="88"/>
      <c r="S631" s="88"/>
      <c r="T631" s="88"/>
      <c r="U631" s="88"/>
      <c r="V631" s="88"/>
      <c r="W631" s="88"/>
      <c r="X631" s="88"/>
      <c r="Y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Q632" s="88"/>
      <c r="R632" s="88"/>
      <c r="S632" s="88"/>
      <c r="T632" s="88"/>
      <c r="U632" s="88"/>
      <c r="V632" s="88"/>
      <c r="W632" s="88"/>
      <c r="X632" s="88"/>
      <c r="Y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Q633" s="88"/>
      <c r="R633" s="88"/>
      <c r="S633" s="88"/>
      <c r="T633" s="88"/>
      <c r="U633" s="88"/>
      <c r="V633" s="88"/>
      <c r="W633" s="88"/>
      <c r="X633" s="88"/>
      <c r="Y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Q634" s="88"/>
      <c r="R634" s="88"/>
      <c r="S634" s="88"/>
      <c r="T634" s="88"/>
      <c r="U634" s="88"/>
      <c r="V634" s="88"/>
      <c r="W634" s="88"/>
      <c r="X634" s="88"/>
      <c r="Y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Q635" s="88"/>
      <c r="R635" s="88"/>
      <c r="S635" s="88"/>
      <c r="T635" s="88"/>
      <c r="U635" s="88"/>
      <c r="V635" s="88"/>
      <c r="W635" s="88"/>
      <c r="X635" s="88"/>
      <c r="Y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Q636" s="88"/>
      <c r="R636" s="88"/>
      <c r="S636" s="88"/>
      <c r="T636" s="88"/>
      <c r="U636" s="88"/>
      <c r="V636" s="88"/>
      <c r="W636" s="88"/>
      <c r="X636" s="88"/>
      <c r="Y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Q637" s="88"/>
      <c r="R637" s="88"/>
      <c r="S637" s="88"/>
      <c r="T637" s="88"/>
      <c r="U637" s="88"/>
      <c r="V637" s="88"/>
      <c r="W637" s="88"/>
      <c r="X637" s="88"/>
      <c r="Y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Q638" s="88"/>
      <c r="R638" s="88"/>
      <c r="S638" s="88"/>
      <c r="T638" s="88"/>
      <c r="U638" s="88"/>
      <c r="V638" s="88"/>
      <c r="W638" s="88"/>
      <c r="X638" s="88"/>
      <c r="Y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Q639" s="88"/>
      <c r="R639" s="88"/>
      <c r="S639" s="88"/>
      <c r="T639" s="88"/>
      <c r="U639" s="88"/>
      <c r="V639" s="88"/>
      <c r="W639" s="88"/>
      <c r="X639" s="88"/>
      <c r="Y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Q640" s="88"/>
      <c r="R640" s="88"/>
      <c r="S640" s="88"/>
      <c r="T640" s="88"/>
      <c r="U640" s="88"/>
      <c r="V640" s="88"/>
      <c r="W640" s="88"/>
      <c r="X640" s="88"/>
      <c r="Y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Q641" s="88"/>
      <c r="R641" s="88"/>
      <c r="S641" s="88"/>
      <c r="T641" s="88"/>
      <c r="U641" s="88"/>
      <c r="V641" s="88"/>
      <c r="W641" s="88"/>
      <c r="X641" s="88"/>
      <c r="Y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Q642" s="88"/>
      <c r="R642" s="88"/>
      <c r="S642" s="88"/>
      <c r="T642" s="88"/>
      <c r="U642" s="88"/>
      <c r="V642" s="88"/>
      <c r="W642" s="88"/>
      <c r="X642" s="88"/>
      <c r="Y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Q643" s="88"/>
      <c r="R643" s="88"/>
      <c r="S643" s="88"/>
      <c r="T643" s="88"/>
      <c r="U643" s="88"/>
      <c r="V643" s="88"/>
      <c r="W643" s="88"/>
      <c r="X643" s="88"/>
      <c r="Y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Q644" s="88"/>
      <c r="R644" s="88"/>
      <c r="S644" s="88"/>
      <c r="T644" s="88"/>
      <c r="U644" s="88"/>
      <c r="V644" s="88"/>
      <c r="W644" s="88"/>
      <c r="X644" s="88"/>
      <c r="Y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Q645" s="88"/>
      <c r="R645" s="88"/>
      <c r="S645" s="88"/>
      <c r="T645" s="88"/>
      <c r="U645" s="88"/>
      <c r="V645" s="88"/>
      <c r="W645" s="88"/>
      <c r="X645" s="88"/>
      <c r="Y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Q646" s="88"/>
      <c r="R646" s="88"/>
      <c r="S646" s="88"/>
      <c r="T646" s="88"/>
      <c r="U646" s="88"/>
      <c r="V646" s="88"/>
      <c r="W646" s="88"/>
      <c r="X646" s="88"/>
      <c r="Y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Q647" s="88"/>
      <c r="R647" s="88"/>
      <c r="S647" s="88"/>
      <c r="T647" s="88"/>
      <c r="U647" s="88"/>
      <c r="V647" s="88"/>
      <c r="W647" s="88"/>
      <c r="X647" s="88"/>
      <c r="Y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Q648" s="88"/>
      <c r="R648" s="88"/>
      <c r="S648" s="88"/>
      <c r="T648" s="88"/>
      <c r="U648" s="88"/>
      <c r="V648" s="88"/>
      <c r="W648" s="88"/>
      <c r="X648" s="88"/>
      <c r="Y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Q649" s="88"/>
      <c r="R649" s="88"/>
      <c r="S649" s="88"/>
      <c r="T649" s="88"/>
      <c r="U649" s="88"/>
      <c r="V649" s="88"/>
      <c r="W649" s="88"/>
      <c r="X649" s="88"/>
      <c r="Y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Q650" s="88"/>
      <c r="R650" s="88"/>
      <c r="S650" s="88"/>
      <c r="T650" s="88"/>
      <c r="U650" s="88"/>
      <c r="V650" s="88"/>
      <c r="W650" s="88"/>
      <c r="X650" s="88"/>
      <c r="Y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Q651" s="88"/>
      <c r="R651" s="88"/>
      <c r="S651" s="88"/>
      <c r="T651" s="88"/>
      <c r="U651" s="88"/>
      <c r="V651" s="88"/>
      <c r="W651" s="88"/>
      <c r="X651" s="88"/>
      <c r="Y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Q652" s="88"/>
      <c r="R652" s="88"/>
      <c r="S652" s="88"/>
      <c r="T652" s="88"/>
      <c r="U652" s="88"/>
      <c r="V652" s="88"/>
      <c r="W652" s="88"/>
      <c r="X652" s="88"/>
      <c r="Y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Q653" s="88"/>
      <c r="R653" s="88"/>
      <c r="S653" s="88"/>
      <c r="T653" s="88"/>
      <c r="U653" s="88"/>
      <c r="V653" s="88"/>
      <c r="W653" s="88"/>
      <c r="X653" s="88"/>
      <c r="Y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Q654" s="88"/>
      <c r="R654" s="88"/>
      <c r="S654" s="88"/>
      <c r="T654" s="88"/>
      <c r="U654" s="88"/>
      <c r="V654" s="88"/>
      <c r="W654" s="88"/>
      <c r="X654" s="88"/>
      <c r="Y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Q655" s="88"/>
      <c r="R655" s="88"/>
      <c r="S655" s="88"/>
      <c r="T655" s="88"/>
      <c r="U655" s="88"/>
      <c r="V655" s="88"/>
      <c r="W655" s="88"/>
      <c r="X655" s="88"/>
      <c r="Y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Q656" s="88"/>
      <c r="R656" s="88"/>
      <c r="S656" s="88"/>
      <c r="T656" s="88"/>
      <c r="U656" s="88"/>
      <c r="V656" s="88"/>
      <c r="W656" s="88"/>
      <c r="X656" s="88"/>
      <c r="Y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Q657" s="88"/>
      <c r="R657" s="88"/>
      <c r="S657" s="88"/>
      <c r="T657" s="88"/>
      <c r="U657" s="88"/>
      <c r="V657" s="88"/>
      <c r="W657" s="88"/>
      <c r="X657" s="88"/>
      <c r="Y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Q658" s="88"/>
      <c r="R658" s="88"/>
      <c r="S658" s="88"/>
      <c r="T658" s="88"/>
      <c r="U658" s="88"/>
      <c r="V658" s="88"/>
      <c r="W658" s="88"/>
      <c r="X658" s="88"/>
      <c r="Y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Q659" s="88"/>
      <c r="R659" s="88"/>
      <c r="S659" s="88"/>
      <c r="T659" s="88"/>
      <c r="U659" s="88"/>
      <c r="V659" s="88"/>
      <c r="W659" s="88"/>
      <c r="X659" s="88"/>
      <c r="Y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Q660" s="88"/>
      <c r="R660" s="88"/>
      <c r="S660" s="88"/>
      <c r="T660" s="88"/>
      <c r="U660" s="88"/>
      <c r="V660" s="88"/>
      <c r="W660" s="88"/>
      <c r="X660" s="88"/>
      <c r="Y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Q661" s="88"/>
      <c r="R661" s="88"/>
      <c r="S661" s="88"/>
      <c r="T661" s="88"/>
      <c r="U661" s="88"/>
      <c r="V661" s="88"/>
      <c r="W661" s="88"/>
      <c r="X661" s="88"/>
      <c r="Y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Q662" s="88"/>
      <c r="R662" s="88"/>
      <c r="S662" s="88"/>
      <c r="T662" s="88"/>
      <c r="U662" s="88"/>
      <c r="V662" s="88"/>
      <c r="W662" s="88"/>
      <c r="X662" s="88"/>
      <c r="Y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Q663" s="88"/>
      <c r="R663" s="88"/>
      <c r="S663" s="88"/>
      <c r="T663" s="88"/>
      <c r="U663" s="88"/>
      <c r="V663" s="88"/>
      <c r="W663" s="88"/>
      <c r="X663" s="88"/>
      <c r="Y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Q664" s="88"/>
      <c r="R664" s="88"/>
      <c r="S664" s="88"/>
      <c r="T664" s="88"/>
      <c r="U664" s="88"/>
      <c r="V664" s="88"/>
      <c r="W664" s="88"/>
      <c r="X664" s="88"/>
      <c r="Y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Q665" s="88"/>
      <c r="R665" s="88"/>
      <c r="S665" s="88"/>
      <c r="T665" s="88"/>
      <c r="U665" s="88"/>
      <c r="V665" s="88"/>
      <c r="W665" s="88"/>
      <c r="X665" s="88"/>
      <c r="Y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Q666" s="88"/>
      <c r="R666" s="88"/>
      <c r="S666" s="88"/>
      <c r="T666" s="88"/>
      <c r="U666" s="88"/>
      <c r="V666" s="88"/>
      <c r="W666" s="88"/>
      <c r="X666" s="88"/>
      <c r="Y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Q667" s="88"/>
      <c r="R667" s="88"/>
      <c r="S667" s="88"/>
      <c r="T667" s="88"/>
      <c r="U667" s="88"/>
      <c r="V667" s="88"/>
      <c r="W667" s="88"/>
      <c r="X667" s="88"/>
      <c r="Y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Q668" s="88"/>
      <c r="R668" s="88"/>
      <c r="S668" s="88"/>
      <c r="T668" s="88"/>
      <c r="U668" s="88"/>
      <c r="V668" s="88"/>
      <c r="W668" s="88"/>
      <c r="X668" s="88"/>
      <c r="Y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Q669" s="88"/>
      <c r="R669" s="88"/>
      <c r="S669" s="88"/>
      <c r="T669" s="88"/>
      <c r="U669" s="88"/>
      <c r="V669" s="88"/>
      <c r="W669" s="88"/>
      <c r="X669" s="88"/>
      <c r="Y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Q670" s="88"/>
      <c r="R670" s="88"/>
      <c r="S670" s="88"/>
      <c r="T670" s="88"/>
      <c r="U670" s="88"/>
      <c r="V670" s="88"/>
      <c r="W670" s="88"/>
      <c r="X670" s="88"/>
      <c r="Y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Q671" s="88"/>
      <c r="R671" s="88"/>
      <c r="S671" s="88"/>
      <c r="T671" s="88"/>
      <c r="U671" s="88"/>
      <c r="V671" s="88"/>
      <c r="W671" s="88"/>
      <c r="X671" s="88"/>
      <c r="Y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Q672" s="88"/>
      <c r="R672" s="88"/>
      <c r="S672" s="88"/>
      <c r="T672" s="88"/>
      <c r="U672" s="88"/>
      <c r="V672" s="88"/>
      <c r="W672" s="88"/>
      <c r="X672" s="88"/>
      <c r="Y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Q673" s="88"/>
      <c r="R673" s="88"/>
      <c r="S673" s="88"/>
      <c r="T673" s="88"/>
      <c r="U673" s="88"/>
      <c r="V673" s="88"/>
      <c r="W673" s="88"/>
      <c r="X673" s="88"/>
      <c r="Y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Q674" s="88"/>
      <c r="R674" s="88"/>
      <c r="S674" s="88"/>
      <c r="T674" s="88"/>
      <c r="U674" s="88"/>
      <c r="V674" s="88"/>
      <c r="W674" s="88"/>
      <c r="X674" s="88"/>
      <c r="Y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Q675" s="88"/>
      <c r="R675" s="88"/>
      <c r="S675" s="88"/>
      <c r="T675" s="88"/>
      <c r="U675" s="88"/>
      <c r="V675" s="88"/>
      <c r="W675" s="88"/>
      <c r="X675" s="88"/>
      <c r="Y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Q676" s="88"/>
      <c r="R676" s="88"/>
      <c r="S676" s="88"/>
      <c r="T676" s="88"/>
      <c r="U676" s="88"/>
      <c r="V676" s="88"/>
      <c r="W676" s="88"/>
      <c r="X676" s="88"/>
      <c r="Y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Q677" s="88"/>
      <c r="R677" s="88"/>
      <c r="S677" s="88"/>
      <c r="T677" s="88"/>
      <c r="U677" s="88"/>
      <c r="V677" s="88"/>
      <c r="W677" s="88"/>
      <c r="X677" s="88"/>
      <c r="Y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Q678" s="88"/>
      <c r="R678" s="88"/>
      <c r="S678" s="88"/>
      <c r="T678" s="88"/>
      <c r="U678" s="88"/>
      <c r="V678" s="88"/>
      <c r="W678" s="88"/>
      <c r="X678" s="88"/>
      <c r="Y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Q679" s="88"/>
      <c r="R679" s="88"/>
      <c r="S679" s="88"/>
      <c r="T679" s="88"/>
      <c r="U679" s="88"/>
      <c r="V679" s="88"/>
      <c r="W679" s="88"/>
      <c r="X679" s="88"/>
      <c r="Y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Q680" s="88"/>
      <c r="R680" s="88"/>
      <c r="S680" s="88"/>
      <c r="T680" s="88"/>
      <c r="U680" s="88"/>
      <c r="V680" s="88"/>
      <c r="W680" s="88"/>
      <c r="X680" s="88"/>
      <c r="Y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Q681" s="88"/>
      <c r="R681" s="88"/>
      <c r="S681" s="88"/>
      <c r="T681" s="88"/>
      <c r="U681" s="88"/>
      <c r="V681" s="88"/>
      <c r="W681" s="88"/>
      <c r="X681" s="88"/>
      <c r="Y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Q682" s="88"/>
      <c r="R682" s="88"/>
      <c r="S682" s="88"/>
      <c r="T682" s="88"/>
      <c r="U682" s="88"/>
      <c r="V682" s="88"/>
      <c r="W682" s="88"/>
      <c r="X682" s="88"/>
      <c r="Y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Q683" s="88"/>
      <c r="R683" s="88"/>
      <c r="S683" s="88"/>
      <c r="T683" s="88"/>
      <c r="U683" s="88"/>
      <c r="V683" s="88"/>
      <c r="W683" s="88"/>
      <c r="X683" s="88"/>
      <c r="Y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Q684" s="88"/>
      <c r="R684" s="88"/>
      <c r="S684" s="88"/>
      <c r="T684" s="88"/>
      <c r="U684" s="88"/>
      <c r="V684" s="88"/>
      <c r="W684" s="88"/>
      <c r="X684" s="88"/>
      <c r="Y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Q685" s="88"/>
      <c r="R685" s="88"/>
      <c r="S685" s="88"/>
      <c r="T685" s="88"/>
      <c r="U685" s="88"/>
      <c r="V685" s="88"/>
      <c r="W685" s="88"/>
      <c r="X685" s="88"/>
      <c r="Y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Q686" s="88"/>
      <c r="R686" s="88"/>
      <c r="S686" s="88"/>
      <c r="T686" s="88"/>
      <c r="U686" s="88"/>
      <c r="V686" s="88"/>
      <c r="W686" s="88"/>
      <c r="X686" s="88"/>
      <c r="Y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Q687" s="88"/>
      <c r="R687" s="88"/>
      <c r="S687" s="88"/>
      <c r="T687" s="88"/>
      <c r="U687" s="88"/>
      <c r="V687" s="88"/>
      <c r="W687" s="88"/>
      <c r="X687" s="88"/>
      <c r="Y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Q688" s="88"/>
      <c r="R688" s="88"/>
      <c r="S688" s="88"/>
      <c r="T688" s="88"/>
      <c r="U688" s="88"/>
      <c r="V688" s="88"/>
      <c r="W688" s="88"/>
      <c r="X688" s="88"/>
      <c r="Y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Q689" s="88"/>
      <c r="R689" s="88"/>
      <c r="S689" s="88"/>
      <c r="T689" s="88"/>
      <c r="U689" s="88"/>
      <c r="V689" s="88"/>
      <c r="W689" s="88"/>
      <c r="X689" s="88"/>
      <c r="Y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Q690" s="88"/>
      <c r="R690" s="88"/>
      <c r="S690" s="88"/>
      <c r="T690" s="88"/>
      <c r="U690" s="88"/>
      <c r="V690" s="88"/>
      <c r="W690" s="88"/>
      <c r="X690" s="88"/>
      <c r="Y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Q691" s="88"/>
      <c r="R691" s="88"/>
      <c r="S691" s="88"/>
      <c r="T691" s="88"/>
      <c r="U691" s="88"/>
      <c r="V691" s="88"/>
      <c r="W691" s="88"/>
      <c r="X691" s="88"/>
      <c r="Y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Q692" s="88"/>
      <c r="R692" s="88"/>
      <c r="S692" s="88"/>
      <c r="T692" s="88"/>
      <c r="U692" s="88"/>
      <c r="V692" s="88"/>
      <c r="W692" s="88"/>
      <c r="X692" s="88"/>
      <c r="Y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Q693" s="88"/>
      <c r="R693" s="88"/>
      <c r="S693" s="88"/>
      <c r="T693" s="88"/>
      <c r="U693" s="88"/>
      <c r="V693" s="88"/>
      <c r="W693" s="88"/>
      <c r="X693" s="88"/>
      <c r="Y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Q694" s="88"/>
      <c r="R694" s="88"/>
      <c r="S694" s="88"/>
      <c r="T694" s="88"/>
      <c r="U694" s="88"/>
      <c r="V694" s="88"/>
      <c r="W694" s="88"/>
      <c r="X694" s="88"/>
      <c r="Y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Q695" s="88"/>
      <c r="R695" s="88"/>
      <c r="S695" s="88"/>
      <c r="T695" s="88"/>
      <c r="U695" s="88"/>
      <c r="V695" s="88"/>
      <c r="W695" s="88"/>
      <c r="X695" s="88"/>
      <c r="Y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Q696" s="88"/>
      <c r="R696" s="88"/>
      <c r="S696" s="88"/>
      <c r="T696" s="88"/>
      <c r="U696" s="88"/>
      <c r="V696" s="88"/>
      <c r="W696" s="88"/>
      <c r="X696" s="88"/>
      <c r="Y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Q697" s="88"/>
      <c r="R697" s="88"/>
      <c r="S697" s="88"/>
      <c r="T697" s="88"/>
      <c r="U697" s="88"/>
      <c r="V697" s="88"/>
      <c r="W697" s="88"/>
      <c r="X697" s="88"/>
      <c r="Y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Q698" s="88"/>
      <c r="R698" s="88"/>
      <c r="S698" s="88"/>
      <c r="T698" s="88"/>
      <c r="U698" s="88"/>
      <c r="V698" s="88"/>
      <c r="W698" s="88"/>
      <c r="X698" s="88"/>
      <c r="Y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Q699" s="88"/>
      <c r="R699" s="88"/>
      <c r="S699" s="88"/>
      <c r="T699" s="88"/>
      <c r="U699" s="88"/>
      <c r="V699" s="88"/>
      <c r="W699" s="88"/>
      <c r="X699" s="88"/>
      <c r="Y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Q700" s="88"/>
      <c r="R700" s="88"/>
      <c r="S700" s="88"/>
      <c r="T700" s="88"/>
      <c r="U700" s="88"/>
      <c r="V700" s="88"/>
      <c r="W700" s="88"/>
      <c r="X700" s="88"/>
      <c r="Y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Q701" s="88"/>
      <c r="R701" s="88"/>
      <c r="S701" s="88"/>
      <c r="T701" s="88"/>
      <c r="U701" s="88"/>
      <c r="V701" s="88"/>
      <c r="W701" s="88"/>
      <c r="X701" s="88"/>
      <c r="Y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Q702" s="88"/>
      <c r="R702" s="88"/>
      <c r="S702" s="88"/>
      <c r="T702" s="88"/>
      <c r="U702" s="88"/>
      <c r="V702" s="88"/>
      <c r="W702" s="88"/>
      <c r="X702" s="88"/>
      <c r="Y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Q703" s="88"/>
      <c r="R703" s="88"/>
      <c r="S703" s="88"/>
      <c r="T703" s="88"/>
      <c r="U703" s="88"/>
      <c r="V703" s="88"/>
      <c r="W703" s="88"/>
      <c r="X703" s="88"/>
      <c r="Y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Q704" s="88"/>
      <c r="R704" s="88"/>
      <c r="S704" s="88"/>
      <c r="T704" s="88"/>
      <c r="U704" s="88"/>
      <c r="V704" s="88"/>
      <c r="W704" s="88"/>
      <c r="X704" s="88"/>
      <c r="Y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Q705" s="88"/>
      <c r="R705" s="88"/>
      <c r="S705" s="88"/>
      <c r="T705" s="88"/>
      <c r="U705" s="88"/>
      <c r="V705" s="88"/>
      <c r="W705" s="88"/>
      <c r="X705" s="88"/>
      <c r="Y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Q706" s="88"/>
      <c r="R706" s="88"/>
      <c r="S706" s="88"/>
      <c r="T706" s="88"/>
      <c r="U706" s="88"/>
      <c r="V706" s="88"/>
      <c r="W706" s="88"/>
      <c r="X706" s="88"/>
      <c r="Y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Q707" s="88"/>
      <c r="R707" s="88"/>
      <c r="S707" s="88"/>
      <c r="T707" s="88"/>
      <c r="U707" s="88"/>
      <c r="V707" s="88"/>
      <c r="W707" s="88"/>
      <c r="X707" s="88"/>
      <c r="Y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Q708" s="88"/>
      <c r="R708" s="88"/>
      <c r="S708" s="88"/>
      <c r="T708" s="88"/>
      <c r="U708" s="88"/>
      <c r="V708" s="88"/>
      <c r="W708" s="88"/>
      <c r="X708" s="88"/>
      <c r="Y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Q709" s="88"/>
      <c r="R709" s="88"/>
      <c r="S709" s="88"/>
      <c r="T709" s="88"/>
      <c r="U709" s="88"/>
      <c r="V709" s="88"/>
      <c r="W709" s="88"/>
      <c r="X709" s="88"/>
      <c r="Y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Q710" s="88"/>
      <c r="R710" s="88"/>
      <c r="S710" s="88"/>
      <c r="T710" s="88"/>
      <c r="U710" s="88"/>
      <c r="V710" s="88"/>
      <c r="W710" s="88"/>
      <c r="X710" s="88"/>
      <c r="Y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Q711" s="88"/>
      <c r="R711" s="88"/>
      <c r="S711" s="88"/>
      <c r="T711" s="88"/>
      <c r="U711" s="88"/>
      <c r="V711" s="88"/>
      <c r="W711" s="88"/>
      <c r="X711" s="88"/>
      <c r="Y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Q712" s="88"/>
      <c r="R712" s="88"/>
      <c r="S712" s="88"/>
      <c r="T712" s="88"/>
      <c r="U712" s="88"/>
      <c r="V712" s="88"/>
      <c r="W712" s="88"/>
      <c r="X712" s="88"/>
      <c r="Y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Q713" s="88"/>
      <c r="R713" s="88"/>
      <c r="S713" s="88"/>
      <c r="T713" s="88"/>
      <c r="U713" s="88"/>
      <c r="V713" s="88"/>
      <c r="W713" s="88"/>
      <c r="X713" s="88"/>
      <c r="Y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Q714" s="88"/>
      <c r="R714" s="88"/>
      <c r="S714" s="88"/>
      <c r="T714" s="88"/>
      <c r="U714" s="88"/>
      <c r="V714" s="88"/>
      <c r="W714" s="88"/>
      <c r="X714" s="88"/>
      <c r="Y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Q715" s="88"/>
      <c r="R715" s="88"/>
      <c r="S715" s="88"/>
      <c r="T715" s="88"/>
      <c r="U715" s="88"/>
      <c r="V715" s="88"/>
      <c r="W715" s="88"/>
      <c r="X715" s="88"/>
      <c r="Y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Q716" s="88"/>
      <c r="R716" s="88"/>
      <c r="S716" s="88"/>
      <c r="T716" s="88"/>
      <c r="U716" s="88"/>
      <c r="V716" s="88"/>
      <c r="W716" s="88"/>
      <c r="X716" s="88"/>
      <c r="Y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Q717" s="88"/>
      <c r="R717" s="88"/>
      <c r="S717" s="88"/>
      <c r="T717" s="88"/>
      <c r="U717" s="88"/>
      <c r="V717" s="88"/>
      <c r="W717" s="88"/>
      <c r="X717" s="88"/>
      <c r="Y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Q718" s="88"/>
      <c r="R718" s="88"/>
      <c r="S718" s="88"/>
      <c r="T718" s="88"/>
      <c r="U718" s="88"/>
      <c r="V718" s="88"/>
      <c r="W718" s="88"/>
      <c r="X718" s="88"/>
      <c r="Y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Q719" s="88"/>
      <c r="R719" s="88"/>
      <c r="S719" s="88"/>
      <c r="T719" s="88"/>
      <c r="U719" s="88"/>
      <c r="V719" s="88"/>
      <c r="W719" s="88"/>
      <c r="X719" s="88"/>
      <c r="Y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Q720" s="88"/>
      <c r="R720" s="88"/>
      <c r="S720" s="88"/>
      <c r="T720" s="88"/>
      <c r="U720" s="88"/>
      <c r="V720" s="88"/>
      <c r="W720" s="88"/>
      <c r="X720" s="88"/>
      <c r="Y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Q721" s="88"/>
      <c r="R721" s="88"/>
      <c r="S721" s="88"/>
      <c r="T721" s="88"/>
      <c r="U721" s="88"/>
      <c r="V721" s="88"/>
      <c r="W721" s="88"/>
      <c r="X721" s="88"/>
      <c r="Y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Q722" s="88"/>
      <c r="R722" s="88"/>
      <c r="S722" s="88"/>
      <c r="T722" s="88"/>
      <c r="U722" s="88"/>
      <c r="V722" s="88"/>
      <c r="W722" s="88"/>
      <c r="X722" s="88"/>
      <c r="Y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Q723" s="88"/>
      <c r="R723" s="88"/>
      <c r="S723" s="88"/>
      <c r="T723" s="88"/>
      <c r="U723" s="88"/>
      <c r="V723" s="88"/>
      <c r="W723" s="88"/>
      <c r="X723" s="88"/>
      <c r="Y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Q724" s="88"/>
      <c r="R724" s="88"/>
      <c r="S724" s="88"/>
      <c r="T724" s="88"/>
      <c r="U724" s="88"/>
      <c r="V724" s="88"/>
      <c r="W724" s="88"/>
      <c r="X724" s="88"/>
      <c r="Y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Q725" s="88"/>
      <c r="R725" s="88"/>
      <c r="S725" s="88"/>
      <c r="T725" s="88"/>
      <c r="U725" s="88"/>
      <c r="V725" s="88"/>
      <c r="W725" s="88"/>
      <c r="X725" s="88"/>
      <c r="Y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Q726" s="88"/>
      <c r="R726" s="88"/>
      <c r="S726" s="88"/>
      <c r="T726" s="88"/>
      <c r="U726" s="88"/>
      <c r="V726" s="88"/>
      <c r="W726" s="88"/>
      <c r="X726" s="88"/>
      <c r="Y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Q727" s="88"/>
      <c r="R727" s="88"/>
      <c r="S727" s="88"/>
      <c r="T727" s="88"/>
      <c r="U727" s="88"/>
      <c r="V727" s="88"/>
      <c r="W727" s="88"/>
      <c r="X727" s="88"/>
      <c r="Y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Q728" s="88"/>
      <c r="R728" s="88"/>
      <c r="S728" s="88"/>
      <c r="T728" s="88"/>
      <c r="U728" s="88"/>
      <c r="V728" s="88"/>
      <c r="W728" s="88"/>
      <c r="X728" s="88"/>
      <c r="Y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Q729" s="88"/>
      <c r="R729" s="88"/>
      <c r="S729" s="88"/>
      <c r="T729" s="88"/>
      <c r="U729" s="88"/>
      <c r="V729" s="88"/>
      <c r="W729" s="88"/>
      <c r="X729" s="88"/>
      <c r="Y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Q730" s="88"/>
      <c r="R730" s="88"/>
      <c r="S730" s="88"/>
      <c r="T730" s="88"/>
      <c r="U730" s="88"/>
      <c r="V730" s="88"/>
      <c r="W730" s="88"/>
      <c r="X730" s="88"/>
      <c r="Y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Q731" s="88"/>
      <c r="R731" s="88"/>
      <c r="S731" s="88"/>
      <c r="T731" s="88"/>
      <c r="U731" s="88"/>
      <c r="V731" s="88"/>
      <c r="W731" s="88"/>
      <c r="X731" s="88"/>
      <c r="Y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Q732" s="88"/>
      <c r="R732" s="88"/>
      <c r="S732" s="88"/>
      <c r="T732" s="88"/>
      <c r="U732" s="88"/>
      <c r="V732" s="88"/>
      <c r="W732" s="88"/>
      <c r="X732" s="88"/>
      <c r="Y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Q733" s="88"/>
      <c r="R733" s="88"/>
      <c r="S733" s="88"/>
      <c r="T733" s="88"/>
      <c r="U733" s="88"/>
      <c r="V733" s="88"/>
      <c r="W733" s="88"/>
      <c r="X733" s="88"/>
      <c r="Y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Q734" s="88"/>
      <c r="R734" s="88"/>
      <c r="S734" s="88"/>
      <c r="T734" s="88"/>
      <c r="U734" s="88"/>
      <c r="V734" s="88"/>
      <c r="W734" s="88"/>
      <c r="X734" s="88"/>
      <c r="Y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Q735" s="88"/>
      <c r="R735" s="88"/>
      <c r="S735" s="88"/>
      <c r="T735" s="88"/>
      <c r="U735" s="88"/>
      <c r="V735" s="88"/>
      <c r="W735" s="88"/>
      <c r="X735" s="88"/>
      <c r="Y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Q736" s="88"/>
      <c r="R736" s="88"/>
      <c r="S736" s="88"/>
      <c r="T736" s="88"/>
      <c r="U736" s="88"/>
      <c r="V736" s="88"/>
      <c r="W736" s="88"/>
      <c r="X736" s="88"/>
      <c r="Y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Q737" s="88"/>
      <c r="R737" s="88"/>
      <c r="S737" s="88"/>
      <c r="T737" s="88"/>
      <c r="U737" s="88"/>
      <c r="V737" s="88"/>
      <c r="W737" s="88"/>
      <c r="X737" s="88"/>
      <c r="Y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Q738" s="88"/>
      <c r="R738" s="88"/>
      <c r="S738" s="88"/>
      <c r="T738" s="88"/>
      <c r="U738" s="88"/>
      <c r="V738" s="88"/>
      <c r="W738" s="88"/>
      <c r="X738" s="88"/>
      <c r="Y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Q739" s="88"/>
      <c r="R739" s="88"/>
      <c r="S739" s="88"/>
      <c r="T739" s="88"/>
      <c r="U739" s="88"/>
      <c r="V739" s="88"/>
      <c r="W739" s="88"/>
      <c r="X739" s="88"/>
      <c r="Y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Q740" s="88"/>
      <c r="R740" s="88"/>
      <c r="S740" s="88"/>
      <c r="T740" s="88"/>
      <c r="U740" s="88"/>
      <c r="V740" s="88"/>
      <c r="W740" s="88"/>
      <c r="X740" s="88"/>
      <c r="Y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Q741" s="88"/>
      <c r="R741" s="88"/>
      <c r="S741" s="88"/>
      <c r="T741" s="88"/>
      <c r="U741" s="88"/>
      <c r="V741" s="88"/>
      <c r="W741" s="88"/>
      <c r="X741" s="88"/>
      <c r="Y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Q742" s="88"/>
      <c r="R742" s="88"/>
      <c r="S742" s="88"/>
      <c r="T742" s="88"/>
      <c r="U742" s="88"/>
      <c r="V742" s="88"/>
      <c r="W742" s="88"/>
      <c r="X742" s="88"/>
      <c r="Y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Q743" s="88"/>
      <c r="R743" s="88"/>
      <c r="S743" s="88"/>
      <c r="T743" s="88"/>
      <c r="U743" s="88"/>
      <c r="V743" s="88"/>
      <c r="W743" s="88"/>
      <c r="X743" s="88"/>
      <c r="Y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Q744" s="88"/>
      <c r="R744" s="88"/>
      <c r="S744" s="88"/>
      <c r="T744" s="88"/>
      <c r="U744" s="88"/>
      <c r="V744" s="88"/>
      <c r="W744" s="88"/>
      <c r="X744" s="88"/>
      <c r="Y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Q745" s="88"/>
      <c r="R745" s="88"/>
      <c r="S745" s="88"/>
      <c r="T745" s="88"/>
      <c r="U745" s="88"/>
      <c r="V745" s="88"/>
      <c r="W745" s="88"/>
      <c r="X745" s="88"/>
      <c r="Y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Q746" s="88"/>
      <c r="R746" s="88"/>
      <c r="S746" s="88"/>
      <c r="T746" s="88"/>
      <c r="U746" s="88"/>
      <c r="V746" s="88"/>
      <c r="W746" s="88"/>
      <c r="X746" s="88"/>
      <c r="Y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Q747" s="88"/>
      <c r="R747" s="88"/>
      <c r="S747" s="88"/>
      <c r="T747" s="88"/>
      <c r="U747" s="88"/>
      <c r="V747" s="88"/>
      <c r="W747" s="88"/>
      <c r="X747" s="88"/>
      <c r="Y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Q748" s="88"/>
      <c r="R748" s="88"/>
      <c r="S748" s="88"/>
      <c r="T748" s="88"/>
      <c r="U748" s="88"/>
      <c r="V748" s="88"/>
      <c r="W748" s="88"/>
      <c r="X748" s="88"/>
      <c r="Y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Q749" s="88"/>
      <c r="R749" s="88"/>
      <c r="S749" s="88"/>
      <c r="T749" s="88"/>
      <c r="U749" s="88"/>
      <c r="V749" s="88"/>
      <c r="W749" s="88"/>
      <c r="X749" s="88"/>
      <c r="Y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Q750" s="88"/>
      <c r="R750" s="88"/>
      <c r="S750" s="88"/>
      <c r="T750" s="88"/>
      <c r="U750" s="88"/>
      <c r="V750" s="88"/>
      <c r="W750" s="88"/>
      <c r="X750" s="88"/>
      <c r="Y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Q751" s="88"/>
      <c r="R751" s="88"/>
      <c r="S751" s="88"/>
      <c r="T751" s="88"/>
      <c r="U751" s="88"/>
      <c r="V751" s="88"/>
      <c r="W751" s="88"/>
      <c r="X751" s="88"/>
      <c r="Y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Q752" s="88"/>
      <c r="R752" s="88"/>
      <c r="S752" s="88"/>
      <c r="T752" s="88"/>
      <c r="U752" s="88"/>
      <c r="V752" s="88"/>
      <c r="W752" s="88"/>
      <c r="X752" s="88"/>
      <c r="Y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Q753" s="88"/>
      <c r="R753" s="88"/>
      <c r="S753" s="88"/>
      <c r="T753" s="88"/>
      <c r="U753" s="88"/>
      <c r="V753" s="88"/>
      <c r="W753" s="88"/>
      <c r="X753" s="88"/>
      <c r="Y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Q754" s="88"/>
      <c r="R754" s="88"/>
      <c r="S754" s="88"/>
      <c r="T754" s="88"/>
      <c r="U754" s="88"/>
      <c r="V754" s="88"/>
      <c r="W754" s="88"/>
      <c r="X754" s="88"/>
      <c r="Y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Q755" s="88"/>
      <c r="R755" s="88"/>
      <c r="S755" s="88"/>
      <c r="T755" s="88"/>
      <c r="U755" s="88"/>
      <c r="V755" s="88"/>
      <c r="W755" s="88"/>
      <c r="X755" s="88"/>
      <c r="Y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Q756" s="88"/>
      <c r="R756" s="88"/>
      <c r="S756" s="88"/>
      <c r="T756" s="88"/>
      <c r="U756" s="88"/>
      <c r="V756" s="88"/>
      <c r="W756" s="88"/>
      <c r="X756" s="88"/>
      <c r="Y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Q757" s="88"/>
      <c r="R757" s="88"/>
      <c r="S757" s="88"/>
      <c r="T757" s="88"/>
      <c r="U757" s="88"/>
      <c r="V757" s="88"/>
      <c r="W757" s="88"/>
      <c r="X757" s="88"/>
      <c r="Y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Q758" s="88"/>
      <c r="R758" s="88"/>
      <c r="S758" s="88"/>
      <c r="T758" s="88"/>
      <c r="U758" s="88"/>
      <c r="V758" s="88"/>
      <c r="W758" s="88"/>
      <c r="X758" s="88"/>
      <c r="Y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Q759" s="88"/>
      <c r="R759" s="88"/>
      <c r="S759" s="88"/>
      <c r="T759" s="88"/>
      <c r="U759" s="88"/>
      <c r="V759" s="88"/>
      <c r="W759" s="88"/>
      <c r="X759" s="88"/>
      <c r="Y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Q760" s="88"/>
      <c r="R760" s="88"/>
      <c r="S760" s="88"/>
      <c r="T760" s="88"/>
      <c r="U760" s="88"/>
      <c r="V760" s="88"/>
      <c r="W760" s="88"/>
      <c r="X760" s="88"/>
      <c r="Y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Q761" s="88"/>
      <c r="R761" s="88"/>
      <c r="S761" s="88"/>
      <c r="T761" s="88"/>
      <c r="U761" s="88"/>
      <c r="V761" s="88"/>
      <c r="W761" s="88"/>
      <c r="X761" s="88"/>
      <c r="Y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Q762" s="88"/>
      <c r="R762" s="88"/>
      <c r="S762" s="88"/>
      <c r="T762" s="88"/>
      <c r="U762" s="88"/>
      <c r="V762" s="88"/>
      <c r="W762" s="88"/>
      <c r="X762" s="88"/>
      <c r="Y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Q763" s="88"/>
      <c r="R763" s="88"/>
      <c r="S763" s="88"/>
      <c r="T763" s="88"/>
      <c r="U763" s="88"/>
      <c r="V763" s="88"/>
      <c r="W763" s="88"/>
      <c r="X763" s="88"/>
      <c r="Y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Q764" s="88"/>
      <c r="R764" s="88"/>
      <c r="S764" s="88"/>
      <c r="T764" s="88"/>
      <c r="U764" s="88"/>
      <c r="V764" s="88"/>
      <c r="W764" s="88"/>
      <c r="X764" s="88"/>
      <c r="Y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Q765" s="88"/>
      <c r="R765" s="88"/>
      <c r="S765" s="88"/>
      <c r="T765" s="88"/>
      <c r="U765" s="88"/>
      <c r="V765" s="88"/>
      <c r="W765" s="88"/>
      <c r="X765" s="88"/>
      <c r="Y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Q766" s="88"/>
      <c r="R766" s="88"/>
      <c r="S766" s="88"/>
      <c r="T766" s="88"/>
      <c r="U766" s="88"/>
      <c r="V766" s="88"/>
      <c r="W766" s="88"/>
      <c r="X766" s="88"/>
      <c r="Y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Q767" s="88"/>
      <c r="R767" s="88"/>
      <c r="S767" s="88"/>
      <c r="T767" s="88"/>
      <c r="U767" s="88"/>
      <c r="V767" s="88"/>
      <c r="W767" s="88"/>
      <c r="X767" s="88"/>
      <c r="Y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Q768" s="88"/>
      <c r="R768" s="88"/>
      <c r="S768" s="88"/>
      <c r="T768" s="88"/>
      <c r="U768" s="88"/>
      <c r="V768" s="88"/>
      <c r="W768" s="88"/>
      <c r="X768" s="88"/>
      <c r="Y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Q769" s="88"/>
      <c r="R769" s="88"/>
      <c r="S769" s="88"/>
      <c r="T769" s="88"/>
      <c r="U769" s="88"/>
      <c r="V769" s="88"/>
      <c r="W769" s="88"/>
      <c r="X769" s="88"/>
      <c r="Y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Q770" s="88"/>
      <c r="R770" s="88"/>
      <c r="S770" s="88"/>
      <c r="T770" s="88"/>
      <c r="U770" s="88"/>
      <c r="V770" s="88"/>
      <c r="W770" s="88"/>
      <c r="X770" s="88"/>
      <c r="Y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Q771" s="88"/>
      <c r="R771" s="88"/>
      <c r="S771" s="88"/>
      <c r="T771" s="88"/>
      <c r="U771" s="88"/>
      <c r="V771" s="88"/>
      <c r="W771" s="88"/>
      <c r="X771" s="88"/>
      <c r="Y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Q772" s="88"/>
      <c r="R772" s="88"/>
      <c r="S772" s="88"/>
      <c r="T772" s="88"/>
      <c r="U772" s="88"/>
      <c r="V772" s="88"/>
      <c r="W772" s="88"/>
      <c r="X772" s="88"/>
      <c r="Y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Q773" s="88"/>
      <c r="R773" s="88"/>
      <c r="S773" s="88"/>
      <c r="T773" s="88"/>
      <c r="U773" s="88"/>
      <c r="V773" s="88"/>
      <c r="W773" s="88"/>
      <c r="X773" s="88"/>
      <c r="Y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Q774" s="88"/>
      <c r="R774" s="88"/>
      <c r="S774" s="88"/>
      <c r="T774" s="88"/>
      <c r="U774" s="88"/>
      <c r="V774" s="88"/>
      <c r="W774" s="88"/>
      <c r="X774" s="88"/>
      <c r="Y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Q775" s="88"/>
      <c r="R775" s="88"/>
      <c r="S775" s="88"/>
      <c r="T775" s="88"/>
      <c r="U775" s="88"/>
      <c r="V775" s="88"/>
      <c r="W775" s="88"/>
      <c r="X775" s="88"/>
      <c r="Y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Q776" s="88"/>
      <c r="R776" s="88"/>
      <c r="S776" s="88"/>
      <c r="T776" s="88"/>
      <c r="U776" s="88"/>
      <c r="V776" s="88"/>
      <c r="W776" s="88"/>
      <c r="X776" s="88"/>
      <c r="Y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Q777" s="88"/>
      <c r="R777" s="88"/>
      <c r="S777" s="88"/>
      <c r="T777" s="88"/>
      <c r="U777" s="88"/>
      <c r="V777" s="88"/>
      <c r="W777" s="88"/>
      <c r="X777" s="88"/>
      <c r="Y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Q778" s="88"/>
      <c r="R778" s="88"/>
      <c r="S778" s="88"/>
      <c r="T778" s="88"/>
      <c r="U778" s="88"/>
      <c r="V778" s="88"/>
      <c r="W778" s="88"/>
      <c r="X778" s="88"/>
      <c r="Y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Q779" s="88"/>
      <c r="R779" s="88"/>
      <c r="S779" s="88"/>
      <c r="T779" s="88"/>
      <c r="U779" s="88"/>
      <c r="V779" s="88"/>
      <c r="W779" s="88"/>
      <c r="X779" s="88"/>
      <c r="Y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Q780" s="88"/>
      <c r="R780" s="88"/>
      <c r="S780" s="88"/>
      <c r="T780" s="88"/>
      <c r="U780" s="88"/>
      <c r="V780" s="88"/>
      <c r="W780" s="88"/>
      <c r="X780" s="88"/>
      <c r="Y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Q781" s="88"/>
      <c r="R781" s="88"/>
      <c r="S781" s="88"/>
      <c r="T781" s="88"/>
      <c r="U781" s="88"/>
      <c r="V781" s="88"/>
      <c r="W781" s="88"/>
      <c r="X781" s="88"/>
      <c r="Y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Q782" s="88"/>
      <c r="R782" s="88"/>
      <c r="S782" s="88"/>
      <c r="T782" s="88"/>
      <c r="U782" s="88"/>
      <c r="V782" s="88"/>
      <c r="W782" s="88"/>
      <c r="X782" s="88"/>
      <c r="Y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Q783" s="88"/>
      <c r="R783" s="88"/>
      <c r="S783" s="88"/>
      <c r="T783" s="88"/>
      <c r="U783" s="88"/>
      <c r="V783" s="88"/>
      <c r="W783" s="88"/>
      <c r="X783" s="88"/>
      <c r="Y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Q784" s="88"/>
      <c r="R784" s="88"/>
      <c r="S784" s="88"/>
      <c r="T784" s="88"/>
      <c r="U784" s="88"/>
      <c r="V784" s="88"/>
      <c r="W784" s="88"/>
      <c r="X784" s="88"/>
      <c r="Y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Q785" s="88"/>
      <c r="R785" s="88"/>
      <c r="S785" s="88"/>
      <c r="T785" s="88"/>
      <c r="U785" s="88"/>
      <c r="V785" s="88"/>
      <c r="W785" s="88"/>
      <c r="X785" s="88"/>
      <c r="Y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Q786" s="88"/>
      <c r="R786" s="88"/>
      <c r="S786" s="88"/>
      <c r="T786" s="88"/>
      <c r="U786" s="88"/>
      <c r="V786" s="88"/>
      <c r="W786" s="88"/>
      <c r="X786" s="88"/>
      <c r="Y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Q787" s="88"/>
      <c r="R787" s="88"/>
      <c r="S787" s="88"/>
      <c r="T787" s="88"/>
      <c r="U787" s="88"/>
      <c r="V787" s="88"/>
      <c r="W787" s="88"/>
      <c r="X787" s="88"/>
      <c r="Y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Q788" s="88"/>
      <c r="R788" s="88"/>
      <c r="S788" s="88"/>
      <c r="T788" s="88"/>
      <c r="U788" s="88"/>
      <c r="V788" s="88"/>
      <c r="W788" s="88"/>
      <c r="X788" s="88"/>
      <c r="Y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Q789" s="88"/>
      <c r="R789" s="88"/>
      <c r="S789" s="88"/>
      <c r="T789" s="88"/>
      <c r="U789" s="88"/>
      <c r="V789" s="88"/>
      <c r="W789" s="88"/>
      <c r="X789" s="88"/>
      <c r="Y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Q790" s="88"/>
      <c r="R790" s="88"/>
      <c r="S790" s="88"/>
      <c r="T790" s="88"/>
      <c r="U790" s="88"/>
      <c r="V790" s="88"/>
      <c r="W790" s="88"/>
      <c r="X790" s="88"/>
      <c r="Y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Q791" s="88"/>
      <c r="R791" s="88"/>
      <c r="S791" s="88"/>
      <c r="T791" s="88"/>
      <c r="U791" s="88"/>
      <c r="V791" s="88"/>
      <c r="W791" s="88"/>
      <c r="X791" s="88"/>
      <c r="Y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Q792" s="88"/>
      <c r="R792" s="88"/>
      <c r="S792" s="88"/>
      <c r="T792" s="88"/>
      <c r="U792" s="88"/>
      <c r="V792" s="88"/>
      <c r="W792" s="88"/>
      <c r="X792" s="88"/>
      <c r="Y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Q793" s="88"/>
      <c r="R793" s="88"/>
      <c r="S793" s="88"/>
      <c r="T793" s="88"/>
      <c r="U793" s="88"/>
      <c r="V793" s="88"/>
      <c r="W793" s="88"/>
      <c r="X793" s="88"/>
      <c r="Y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Q794" s="88"/>
      <c r="R794" s="88"/>
      <c r="S794" s="88"/>
      <c r="T794" s="88"/>
      <c r="U794" s="88"/>
      <c r="V794" s="88"/>
      <c r="W794" s="88"/>
      <c r="X794" s="88"/>
      <c r="Y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Q795" s="88"/>
      <c r="R795" s="88"/>
      <c r="S795" s="88"/>
      <c r="T795" s="88"/>
      <c r="U795" s="88"/>
      <c r="V795" s="88"/>
      <c r="W795" s="88"/>
      <c r="X795" s="88"/>
      <c r="Y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Q796" s="88"/>
      <c r="R796" s="88"/>
      <c r="S796" s="88"/>
      <c r="T796" s="88"/>
      <c r="U796" s="88"/>
      <c r="V796" s="88"/>
      <c r="W796" s="88"/>
      <c r="X796" s="88"/>
      <c r="Y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Q797" s="88"/>
      <c r="R797" s="88"/>
      <c r="S797" s="88"/>
      <c r="T797" s="88"/>
      <c r="U797" s="88"/>
      <c r="V797" s="88"/>
      <c r="W797" s="88"/>
      <c r="X797" s="88"/>
      <c r="Y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Q798" s="88"/>
      <c r="R798" s="88"/>
      <c r="S798" s="88"/>
      <c r="T798" s="88"/>
      <c r="U798" s="88"/>
      <c r="V798" s="88"/>
      <c r="W798" s="88"/>
      <c r="X798" s="88"/>
      <c r="Y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Q799" s="88"/>
      <c r="R799" s="88"/>
      <c r="S799" s="88"/>
      <c r="T799" s="88"/>
      <c r="U799" s="88"/>
      <c r="V799" s="88"/>
      <c r="W799" s="88"/>
      <c r="X799" s="88"/>
      <c r="Y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Q800" s="88"/>
      <c r="R800" s="88"/>
      <c r="S800" s="88"/>
      <c r="T800" s="88"/>
      <c r="U800" s="88"/>
      <c r="V800" s="88"/>
      <c r="W800" s="88"/>
      <c r="X800" s="88"/>
      <c r="Y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Q801" s="88"/>
      <c r="R801" s="88"/>
      <c r="S801" s="88"/>
      <c r="T801" s="88"/>
      <c r="U801" s="88"/>
      <c r="V801" s="88"/>
      <c r="W801" s="88"/>
      <c r="X801" s="88"/>
      <c r="Y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Q802" s="88"/>
      <c r="R802" s="88"/>
      <c r="S802" s="88"/>
      <c r="T802" s="88"/>
      <c r="U802" s="88"/>
      <c r="V802" s="88"/>
      <c r="W802" s="88"/>
      <c r="X802" s="88"/>
      <c r="Y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Q803" s="88"/>
      <c r="R803" s="88"/>
      <c r="S803" s="88"/>
      <c r="T803" s="88"/>
      <c r="U803" s="88"/>
      <c r="V803" s="88"/>
      <c r="W803" s="88"/>
      <c r="X803" s="88"/>
      <c r="Y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Q804" s="88"/>
      <c r="R804" s="88"/>
      <c r="S804" s="88"/>
      <c r="T804" s="88"/>
      <c r="U804" s="88"/>
      <c r="V804" s="88"/>
      <c r="W804" s="88"/>
      <c r="X804" s="88"/>
      <c r="Y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Q805" s="88"/>
      <c r="R805" s="88"/>
      <c r="S805" s="88"/>
      <c r="T805" s="88"/>
      <c r="U805" s="88"/>
      <c r="V805" s="88"/>
      <c r="W805" s="88"/>
      <c r="X805" s="88"/>
      <c r="Y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Q806" s="88"/>
      <c r="R806" s="88"/>
      <c r="S806" s="88"/>
      <c r="T806" s="88"/>
      <c r="U806" s="88"/>
      <c r="V806" s="88"/>
      <c r="W806" s="88"/>
      <c r="X806" s="88"/>
      <c r="Y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Q807" s="88"/>
      <c r="R807" s="88"/>
      <c r="S807" s="88"/>
      <c r="T807" s="88"/>
      <c r="U807" s="88"/>
      <c r="V807" s="88"/>
      <c r="W807" s="88"/>
      <c r="X807" s="88"/>
      <c r="Y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Q808" s="88"/>
      <c r="R808" s="88"/>
      <c r="S808" s="88"/>
      <c r="T808" s="88"/>
      <c r="U808" s="88"/>
      <c r="V808" s="88"/>
      <c r="W808" s="88"/>
      <c r="X808" s="88"/>
      <c r="Y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Q809" s="88"/>
      <c r="R809" s="88"/>
      <c r="S809" s="88"/>
      <c r="T809" s="88"/>
      <c r="U809" s="88"/>
      <c r="V809" s="88"/>
      <c r="W809" s="88"/>
      <c r="X809" s="88"/>
      <c r="Y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Q810" s="88"/>
      <c r="R810" s="88"/>
      <c r="S810" s="88"/>
      <c r="T810" s="88"/>
      <c r="U810" s="88"/>
      <c r="V810" s="88"/>
      <c r="W810" s="88"/>
      <c r="X810" s="88"/>
      <c r="Y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Q811" s="88"/>
      <c r="R811" s="88"/>
      <c r="S811" s="88"/>
      <c r="T811" s="88"/>
      <c r="U811" s="88"/>
      <c r="V811" s="88"/>
      <c r="W811" s="88"/>
      <c r="X811" s="88"/>
      <c r="Y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Q812" s="88"/>
      <c r="R812" s="88"/>
      <c r="S812" s="88"/>
      <c r="T812" s="88"/>
      <c r="U812" s="88"/>
      <c r="V812" s="88"/>
      <c r="W812" s="88"/>
      <c r="X812" s="88"/>
      <c r="Y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Q813" s="88"/>
      <c r="R813" s="88"/>
      <c r="S813" s="88"/>
      <c r="T813" s="88"/>
      <c r="U813" s="88"/>
      <c r="V813" s="88"/>
      <c r="W813" s="88"/>
      <c r="X813" s="88"/>
      <c r="Y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Q814" s="88"/>
      <c r="R814" s="88"/>
      <c r="S814" s="88"/>
      <c r="T814" s="88"/>
      <c r="U814" s="88"/>
      <c r="V814" s="88"/>
      <c r="W814" s="88"/>
      <c r="X814" s="88"/>
      <c r="Y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Q815" s="88"/>
      <c r="R815" s="88"/>
      <c r="S815" s="88"/>
      <c r="T815" s="88"/>
      <c r="U815" s="88"/>
      <c r="V815" s="88"/>
      <c r="W815" s="88"/>
      <c r="X815" s="88"/>
      <c r="Y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Q816" s="88"/>
      <c r="R816" s="88"/>
      <c r="S816" s="88"/>
      <c r="T816" s="88"/>
      <c r="U816" s="88"/>
      <c r="V816" s="88"/>
      <c r="W816" s="88"/>
      <c r="X816" s="88"/>
      <c r="Y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Q817" s="88"/>
      <c r="R817" s="88"/>
      <c r="S817" s="88"/>
      <c r="T817" s="88"/>
      <c r="U817" s="88"/>
      <c r="V817" s="88"/>
      <c r="W817" s="88"/>
      <c r="X817" s="88"/>
      <c r="Y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Q818" s="88"/>
      <c r="R818" s="88"/>
      <c r="S818" s="88"/>
      <c r="T818" s="88"/>
      <c r="U818" s="88"/>
      <c r="V818" s="88"/>
      <c r="W818" s="88"/>
      <c r="X818" s="88"/>
      <c r="Y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Q819" s="88"/>
      <c r="R819" s="88"/>
      <c r="S819" s="88"/>
      <c r="T819" s="88"/>
      <c r="U819" s="88"/>
      <c r="V819" s="88"/>
      <c r="W819" s="88"/>
      <c r="X819" s="88"/>
      <c r="Y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Q820" s="88"/>
      <c r="R820" s="88"/>
      <c r="S820" s="88"/>
      <c r="T820" s="88"/>
      <c r="U820" s="88"/>
      <c r="V820" s="88"/>
      <c r="W820" s="88"/>
      <c r="X820" s="88"/>
      <c r="Y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Q821" s="88"/>
      <c r="R821" s="88"/>
      <c r="S821" s="88"/>
      <c r="T821" s="88"/>
      <c r="U821" s="88"/>
      <c r="V821" s="88"/>
      <c r="W821" s="88"/>
      <c r="X821" s="88"/>
      <c r="Y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Q822" s="88"/>
      <c r="R822" s="88"/>
      <c r="S822" s="88"/>
      <c r="T822" s="88"/>
      <c r="U822" s="88"/>
      <c r="V822" s="88"/>
      <c r="W822" s="88"/>
      <c r="X822" s="88"/>
      <c r="Y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Q823" s="88"/>
      <c r="R823" s="88"/>
      <c r="S823" s="88"/>
      <c r="T823" s="88"/>
      <c r="U823" s="88"/>
      <c r="V823" s="88"/>
      <c r="W823" s="88"/>
      <c r="X823" s="88"/>
      <c r="Y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Q824" s="88"/>
      <c r="R824" s="88"/>
      <c r="S824" s="88"/>
      <c r="T824" s="88"/>
      <c r="U824" s="88"/>
      <c r="V824" s="88"/>
      <c r="W824" s="88"/>
      <c r="X824" s="88"/>
      <c r="Y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Q825" s="88"/>
      <c r="R825" s="88"/>
      <c r="S825" s="88"/>
      <c r="T825" s="88"/>
      <c r="U825" s="88"/>
      <c r="V825" s="88"/>
      <c r="W825" s="88"/>
      <c r="X825" s="88"/>
      <c r="Y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Q826" s="88"/>
      <c r="R826" s="88"/>
      <c r="S826" s="88"/>
      <c r="T826" s="88"/>
      <c r="U826" s="88"/>
      <c r="V826" s="88"/>
      <c r="W826" s="88"/>
      <c r="X826" s="88"/>
      <c r="Y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Q827" s="88"/>
      <c r="R827" s="88"/>
      <c r="S827" s="88"/>
      <c r="T827" s="88"/>
      <c r="U827" s="88"/>
      <c r="V827" s="88"/>
      <c r="W827" s="88"/>
      <c r="X827" s="88"/>
      <c r="Y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Q828" s="88"/>
      <c r="R828" s="88"/>
      <c r="S828" s="88"/>
      <c r="T828" s="88"/>
      <c r="U828" s="88"/>
      <c r="V828" s="88"/>
      <c r="W828" s="88"/>
      <c r="X828" s="88"/>
      <c r="Y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Q829" s="88"/>
      <c r="R829" s="88"/>
      <c r="S829" s="88"/>
      <c r="T829" s="88"/>
      <c r="U829" s="88"/>
      <c r="V829" s="88"/>
      <c r="W829" s="88"/>
      <c r="X829" s="88"/>
      <c r="Y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Q830" s="88"/>
      <c r="R830" s="88"/>
      <c r="S830" s="88"/>
      <c r="T830" s="88"/>
      <c r="U830" s="88"/>
      <c r="V830" s="88"/>
      <c r="W830" s="88"/>
      <c r="X830" s="88"/>
      <c r="Y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Q831" s="88"/>
      <c r="R831" s="88"/>
      <c r="S831" s="88"/>
      <c r="T831" s="88"/>
      <c r="U831" s="88"/>
      <c r="V831" s="88"/>
      <c r="W831" s="88"/>
      <c r="X831" s="88"/>
      <c r="Y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Q832" s="88"/>
      <c r="R832" s="88"/>
      <c r="S832" s="88"/>
      <c r="T832" s="88"/>
      <c r="U832" s="88"/>
      <c r="V832" s="88"/>
      <c r="W832" s="88"/>
      <c r="X832" s="88"/>
      <c r="Y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Q833" s="88"/>
      <c r="R833" s="88"/>
      <c r="S833" s="88"/>
      <c r="T833" s="88"/>
      <c r="U833" s="88"/>
      <c r="V833" s="88"/>
      <c r="W833" s="88"/>
      <c r="X833" s="88"/>
      <c r="Y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Q834" s="88"/>
      <c r="R834" s="88"/>
      <c r="S834" s="88"/>
      <c r="T834" s="88"/>
      <c r="U834" s="88"/>
      <c r="V834" s="88"/>
      <c r="W834" s="88"/>
      <c r="X834" s="88"/>
      <c r="Y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Q835" s="88"/>
      <c r="R835" s="88"/>
      <c r="S835" s="88"/>
      <c r="T835" s="88"/>
      <c r="U835" s="88"/>
      <c r="V835" s="88"/>
      <c r="W835" s="88"/>
      <c r="X835" s="88"/>
      <c r="Y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Q836" s="88"/>
      <c r="R836" s="88"/>
      <c r="S836" s="88"/>
      <c r="T836" s="88"/>
      <c r="U836" s="88"/>
      <c r="V836" s="88"/>
      <c r="W836" s="88"/>
      <c r="X836" s="88"/>
      <c r="Y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Q837" s="88"/>
      <c r="R837" s="88"/>
      <c r="S837" s="88"/>
      <c r="T837" s="88"/>
      <c r="U837" s="88"/>
      <c r="V837" s="88"/>
      <c r="W837" s="88"/>
      <c r="X837" s="88"/>
      <c r="Y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Q838" s="88"/>
      <c r="R838" s="88"/>
      <c r="S838" s="88"/>
      <c r="T838" s="88"/>
      <c r="U838" s="88"/>
      <c r="V838" s="88"/>
      <c r="W838" s="88"/>
      <c r="X838" s="88"/>
      <c r="Y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Q839" s="88"/>
      <c r="R839" s="88"/>
      <c r="S839" s="88"/>
      <c r="T839" s="88"/>
      <c r="U839" s="88"/>
      <c r="V839" s="88"/>
      <c r="W839" s="88"/>
      <c r="X839" s="88"/>
      <c r="Y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Q840" s="88"/>
      <c r="R840" s="88"/>
      <c r="S840" s="88"/>
      <c r="T840" s="88"/>
      <c r="U840" s="88"/>
      <c r="V840" s="88"/>
      <c r="W840" s="88"/>
      <c r="X840" s="88"/>
      <c r="Y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Q841" s="88"/>
      <c r="R841" s="88"/>
      <c r="S841" s="88"/>
      <c r="T841" s="88"/>
      <c r="U841" s="88"/>
      <c r="V841" s="88"/>
      <c r="W841" s="88"/>
      <c r="X841" s="88"/>
      <c r="Y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Q842" s="88"/>
      <c r="R842" s="88"/>
      <c r="S842" s="88"/>
      <c r="T842" s="88"/>
      <c r="U842" s="88"/>
      <c r="V842" s="88"/>
      <c r="W842" s="88"/>
      <c r="X842" s="88"/>
      <c r="Y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Q843" s="88"/>
      <c r="R843" s="88"/>
      <c r="S843" s="88"/>
      <c r="T843" s="88"/>
      <c r="U843" s="88"/>
      <c r="V843" s="88"/>
      <c r="W843" s="88"/>
      <c r="X843" s="88"/>
      <c r="Y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Q844" s="88"/>
      <c r="R844" s="88"/>
      <c r="S844" s="88"/>
      <c r="T844" s="88"/>
      <c r="U844" s="88"/>
      <c r="V844" s="88"/>
      <c r="W844" s="88"/>
      <c r="X844" s="88"/>
      <c r="Y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Q845" s="88"/>
      <c r="R845" s="88"/>
      <c r="S845" s="88"/>
      <c r="T845" s="88"/>
      <c r="U845" s="88"/>
      <c r="V845" s="88"/>
      <c r="W845" s="88"/>
      <c r="X845" s="88"/>
      <c r="Y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Q846" s="88"/>
      <c r="R846" s="88"/>
      <c r="S846" s="88"/>
      <c r="T846" s="88"/>
      <c r="U846" s="88"/>
      <c r="V846" s="88"/>
      <c r="W846" s="88"/>
      <c r="X846" s="88"/>
      <c r="Y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Q847" s="88"/>
      <c r="R847" s="88"/>
      <c r="S847" s="88"/>
      <c r="T847" s="88"/>
      <c r="U847" s="88"/>
      <c r="V847" s="88"/>
      <c r="W847" s="88"/>
      <c r="X847" s="88"/>
      <c r="Y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Q848" s="88"/>
      <c r="R848" s="88"/>
      <c r="S848" s="88"/>
      <c r="T848" s="88"/>
      <c r="U848" s="88"/>
      <c r="V848" s="88"/>
      <c r="W848" s="88"/>
      <c r="X848" s="88"/>
      <c r="Y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Q849" s="88"/>
      <c r="R849" s="88"/>
      <c r="S849" s="88"/>
      <c r="T849" s="88"/>
      <c r="U849" s="88"/>
      <c r="V849" s="88"/>
      <c r="W849" s="88"/>
      <c r="X849" s="88"/>
      <c r="Y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Q850" s="88"/>
      <c r="R850" s="88"/>
      <c r="S850" s="88"/>
      <c r="T850" s="88"/>
      <c r="U850" s="88"/>
      <c r="V850" s="88"/>
      <c r="W850" s="88"/>
      <c r="X850" s="88"/>
      <c r="Y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Q851" s="88"/>
      <c r="R851" s="88"/>
      <c r="S851" s="88"/>
      <c r="T851" s="88"/>
      <c r="U851" s="88"/>
      <c r="V851" s="88"/>
      <c r="W851" s="88"/>
      <c r="X851" s="88"/>
      <c r="Y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Q852" s="88"/>
      <c r="R852" s="88"/>
      <c r="S852" s="88"/>
      <c r="T852" s="88"/>
      <c r="U852" s="88"/>
      <c r="V852" s="88"/>
      <c r="W852" s="88"/>
      <c r="X852" s="88"/>
      <c r="Y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Q853" s="88"/>
      <c r="R853" s="88"/>
      <c r="S853" s="88"/>
      <c r="T853" s="88"/>
      <c r="U853" s="88"/>
      <c r="V853" s="88"/>
      <c r="W853" s="88"/>
      <c r="X853" s="88"/>
      <c r="Y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Q854" s="88"/>
      <c r="R854" s="88"/>
      <c r="S854" s="88"/>
      <c r="T854" s="88"/>
      <c r="U854" s="88"/>
      <c r="V854" s="88"/>
      <c r="W854" s="88"/>
      <c r="X854" s="88"/>
      <c r="Y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Q855" s="88"/>
      <c r="R855" s="88"/>
      <c r="S855" s="88"/>
      <c r="T855" s="88"/>
      <c r="U855" s="88"/>
      <c r="V855" s="88"/>
      <c r="W855" s="88"/>
      <c r="X855" s="88"/>
      <c r="Y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Q856" s="88"/>
      <c r="R856" s="88"/>
      <c r="S856" s="88"/>
      <c r="T856" s="88"/>
      <c r="U856" s="88"/>
      <c r="V856" s="88"/>
      <c r="W856" s="88"/>
      <c r="X856" s="88"/>
      <c r="Y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Q857" s="88"/>
      <c r="R857" s="88"/>
      <c r="S857" s="88"/>
      <c r="T857" s="88"/>
      <c r="U857" s="88"/>
      <c r="V857" s="88"/>
      <c r="W857" s="88"/>
      <c r="X857" s="88"/>
      <c r="Y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Q858" s="88"/>
      <c r="R858" s="88"/>
      <c r="S858" s="88"/>
      <c r="T858" s="88"/>
      <c r="U858" s="88"/>
      <c r="V858" s="88"/>
      <c r="W858" s="88"/>
      <c r="X858" s="88"/>
      <c r="Y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Q859" s="88"/>
      <c r="R859" s="88"/>
      <c r="S859" s="88"/>
      <c r="T859" s="88"/>
      <c r="U859" s="88"/>
      <c r="V859" s="88"/>
      <c r="W859" s="88"/>
      <c r="X859" s="88"/>
      <c r="Y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Q860" s="88"/>
      <c r="R860" s="88"/>
      <c r="S860" s="88"/>
      <c r="T860" s="88"/>
      <c r="U860" s="88"/>
      <c r="V860" s="88"/>
      <c r="W860" s="88"/>
      <c r="X860" s="88"/>
      <c r="Y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Q861" s="88"/>
      <c r="R861" s="88"/>
      <c r="S861" s="88"/>
      <c r="T861" s="88"/>
      <c r="U861" s="88"/>
      <c r="V861" s="88"/>
      <c r="W861" s="88"/>
      <c r="X861" s="88"/>
      <c r="Y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Q862" s="88"/>
      <c r="R862" s="88"/>
      <c r="S862" s="88"/>
      <c r="T862" s="88"/>
      <c r="U862" s="88"/>
      <c r="V862" s="88"/>
      <c r="W862" s="88"/>
      <c r="X862" s="88"/>
      <c r="Y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Q863" s="88"/>
      <c r="R863" s="88"/>
      <c r="S863" s="88"/>
      <c r="T863" s="88"/>
      <c r="U863" s="88"/>
      <c r="V863" s="88"/>
      <c r="W863" s="88"/>
      <c r="X863" s="88"/>
      <c r="Y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Q864" s="88"/>
      <c r="R864" s="88"/>
      <c r="S864" s="88"/>
      <c r="T864" s="88"/>
      <c r="U864" s="88"/>
      <c r="V864" s="88"/>
      <c r="W864" s="88"/>
      <c r="X864" s="88"/>
      <c r="Y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Q865" s="88"/>
      <c r="R865" s="88"/>
      <c r="S865" s="88"/>
      <c r="T865" s="88"/>
      <c r="U865" s="88"/>
      <c r="V865" s="88"/>
      <c r="W865" s="88"/>
      <c r="X865" s="88"/>
      <c r="Y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Q866" s="88"/>
      <c r="R866" s="88"/>
      <c r="S866" s="88"/>
      <c r="T866" s="88"/>
      <c r="U866" s="88"/>
      <c r="V866" s="88"/>
      <c r="W866" s="88"/>
      <c r="X866" s="88"/>
      <c r="Y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Q867" s="88"/>
      <c r="R867" s="88"/>
      <c r="S867" s="88"/>
      <c r="T867" s="88"/>
      <c r="U867" s="88"/>
      <c r="V867" s="88"/>
      <c r="W867" s="88"/>
      <c r="X867" s="88"/>
      <c r="Y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Q868" s="88"/>
      <c r="R868" s="88"/>
      <c r="S868" s="88"/>
      <c r="T868" s="88"/>
      <c r="U868" s="88"/>
      <c r="V868" s="88"/>
      <c r="W868" s="88"/>
      <c r="X868" s="88"/>
      <c r="Y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Q869" s="88"/>
      <c r="R869" s="88"/>
      <c r="S869" s="88"/>
      <c r="T869" s="88"/>
      <c r="U869" s="88"/>
      <c r="V869" s="88"/>
      <c r="W869" s="88"/>
      <c r="X869" s="88"/>
      <c r="Y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Q870" s="88"/>
      <c r="R870" s="88"/>
      <c r="S870" s="88"/>
      <c r="T870" s="88"/>
      <c r="U870" s="88"/>
      <c r="V870" s="88"/>
      <c r="W870" s="88"/>
      <c r="X870" s="88"/>
      <c r="Y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Q871" s="88"/>
      <c r="R871" s="88"/>
      <c r="S871" s="88"/>
      <c r="T871" s="88"/>
      <c r="U871" s="88"/>
      <c r="V871" s="88"/>
      <c r="W871" s="88"/>
      <c r="X871" s="88"/>
      <c r="Y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Q872" s="88"/>
      <c r="R872" s="88"/>
      <c r="S872" s="88"/>
      <c r="T872" s="88"/>
      <c r="U872" s="88"/>
      <c r="V872" s="88"/>
      <c r="W872" s="88"/>
      <c r="X872" s="88"/>
      <c r="Y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Q873" s="88"/>
      <c r="R873" s="88"/>
      <c r="S873" s="88"/>
      <c r="T873" s="88"/>
      <c r="U873" s="88"/>
      <c r="V873" s="88"/>
      <c r="W873" s="88"/>
      <c r="X873" s="88"/>
      <c r="Y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Q874" s="88"/>
      <c r="R874" s="88"/>
      <c r="S874" s="88"/>
      <c r="T874" s="88"/>
      <c r="U874" s="88"/>
      <c r="V874" s="88"/>
      <c r="W874" s="88"/>
      <c r="X874" s="88"/>
      <c r="Y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Q875" s="88"/>
      <c r="R875" s="88"/>
      <c r="S875" s="88"/>
      <c r="T875" s="88"/>
      <c r="U875" s="88"/>
      <c r="V875" s="88"/>
      <c r="W875" s="88"/>
      <c r="X875" s="88"/>
      <c r="Y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Q876" s="88"/>
      <c r="R876" s="88"/>
      <c r="S876" s="88"/>
      <c r="T876" s="88"/>
      <c r="U876" s="88"/>
      <c r="V876" s="88"/>
      <c r="W876" s="88"/>
      <c r="X876" s="88"/>
      <c r="Y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Q877" s="88"/>
      <c r="R877" s="88"/>
      <c r="S877" s="88"/>
      <c r="T877" s="88"/>
      <c r="U877" s="88"/>
      <c r="V877" s="88"/>
      <c r="W877" s="88"/>
      <c r="X877" s="88"/>
      <c r="Y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Q878" s="88"/>
      <c r="R878" s="88"/>
      <c r="S878" s="88"/>
      <c r="T878" s="88"/>
      <c r="U878" s="88"/>
      <c r="V878" s="88"/>
      <c r="W878" s="88"/>
      <c r="X878" s="88"/>
      <c r="Y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Q879" s="88"/>
      <c r="R879" s="88"/>
      <c r="S879" s="88"/>
      <c r="T879" s="88"/>
      <c r="U879" s="88"/>
      <c r="V879" s="88"/>
      <c r="W879" s="88"/>
      <c r="X879" s="88"/>
      <c r="Y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Q880" s="88"/>
      <c r="R880" s="88"/>
      <c r="S880" s="88"/>
      <c r="T880" s="88"/>
      <c r="U880" s="88"/>
      <c r="V880" s="88"/>
      <c r="W880" s="88"/>
      <c r="X880" s="88"/>
      <c r="Y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Q881" s="88"/>
      <c r="R881" s="88"/>
      <c r="S881" s="88"/>
      <c r="T881" s="88"/>
      <c r="U881" s="88"/>
      <c r="V881" s="88"/>
      <c r="W881" s="88"/>
      <c r="X881" s="88"/>
      <c r="Y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Q882" s="88"/>
      <c r="R882" s="88"/>
      <c r="S882" s="88"/>
      <c r="T882" s="88"/>
      <c r="U882" s="88"/>
      <c r="V882" s="88"/>
      <c r="W882" s="88"/>
      <c r="X882" s="88"/>
      <c r="Y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Q883" s="88"/>
      <c r="R883" s="88"/>
      <c r="S883" s="88"/>
      <c r="T883" s="88"/>
      <c r="U883" s="88"/>
      <c r="V883" s="88"/>
      <c r="W883" s="88"/>
      <c r="X883" s="88"/>
      <c r="Y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Q884" s="88"/>
      <c r="R884" s="88"/>
      <c r="S884" s="88"/>
      <c r="T884" s="88"/>
      <c r="U884" s="88"/>
      <c r="V884" s="88"/>
      <c r="W884" s="88"/>
      <c r="X884" s="88"/>
      <c r="Y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Q885" s="88"/>
      <c r="R885" s="88"/>
      <c r="S885" s="88"/>
      <c r="T885" s="88"/>
      <c r="U885" s="88"/>
      <c r="V885" s="88"/>
      <c r="W885" s="88"/>
      <c r="X885" s="88"/>
      <c r="Y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Q886" s="88"/>
      <c r="R886" s="88"/>
      <c r="S886" s="88"/>
      <c r="T886" s="88"/>
      <c r="U886" s="88"/>
      <c r="V886" s="88"/>
      <c r="W886" s="88"/>
      <c r="X886" s="88"/>
      <c r="Y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Q887" s="88"/>
      <c r="R887" s="88"/>
      <c r="S887" s="88"/>
      <c r="T887" s="88"/>
      <c r="U887" s="88"/>
      <c r="V887" s="88"/>
      <c r="W887" s="88"/>
      <c r="X887" s="88"/>
      <c r="Y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Q888" s="88"/>
      <c r="R888" s="88"/>
      <c r="S888" s="88"/>
      <c r="T888" s="88"/>
      <c r="U888" s="88"/>
      <c r="V888" s="88"/>
      <c r="W888" s="88"/>
      <c r="X888" s="88"/>
      <c r="Y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Q889" s="88"/>
      <c r="R889" s="88"/>
      <c r="S889" s="88"/>
      <c r="T889" s="88"/>
      <c r="U889" s="88"/>
      <c r="V889" s="88"/>
      <c r="W889" s="88"/>
      <c r="X889" s="88"/>
      <c r="Y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Q890" s="88"/>
      <c r="R890" s="88"/>
      <c r="S890" s="88"/>
      <c r="T890" s="88"/>
      <c r="U890" s="88"/>
      <c r="V890" s="88"/>
      <c r="W890" s="88"/>
      <c r="X890" s="88"/>
      <c r="Y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Q891" s="88"/>
      <c r="R891" s="88"/>
      <c r="S891" s="88"/>
      <c r="T891" s="88"/>
      <c r="U891" s="88"/>
      <c r="V891" s="88"/>
      <c r="W891" s="88"/>
      <c r="X891" s="88"/>
      <c r="Y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Q892" s="88"/>
      <c r="R892" s="88"/>
      <c r="S892" s="88"/>
      <c r="T892" s="88"/>
      <c r="U892" s="88"/>
      <c r="V892" s="88"/>
      <c r="W892" s="88"/>
      <c r="X892" s="88"/>
      <c r="Y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Q893" s="88"/>
      <c r="R893" s="88"/>
      <c r="S893" s="88"/>
      <c r="T893" s="88"/>
      <c r="U893" s="88"/>
      <c r="V893" s="88"/>
      <c r="W893" s="88"/>
      <c r="X893" s="88"/>
      <c r="Y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Q894" s="88"/>
      <c r="R894" s="88"/>
      <c r="S894" s="88"/>
      <c r="T894" s="88"/>
      <c r="U894" s="88"/>
      <c r="V894" s="88"/>
      <c r="W894" s="88"/>
      <c r="X894" s="88"/>
      <c r="Y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Q895" s="88"/>
      <c r="R895" s="88"/>
      <c r="S895" s="88"/>
      <c r="T895" s="88"/>
      <c r="U895" s="88"/>
      <c r="V895" s="88"/>
      <c r="W895" s="88"/>
      <c r="X895" s="88"/>
      <c r="Y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Q896" s="88"/>
      <c r="R896" s="88"/>
      <c r="S896" s="88"/>
      <c r="T896" s="88"/>
      <c r="U896" s="88"/>
      <c r="V896" s="88"/>
      <c r="W896" s="88"/>
      <c r="X896" s="88"/>
      <c r="Y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Q897" s="88"/>
      <c r="R897" s="88"/>
      <c r="S897" s="88"/>
      <c r="T897" s="88"/>
      <c r="U897" s="88"/>
      <c r="V897" s="88"/>
      <c r="W897" s="88"/>
      <c r="X897" s="88"/>
      <c r="Y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Q898" s="88"/>
      <c r="R898" s="88"/>
      <c r="S898" s="88"/>
      <c r="T898" s="88"/>
      <c r="U898" s="88"/>
      <c r="V898" s="88"/>
      <c r="W898" s="88"/>
      <c r="X898" s="88"/>
      <c r="Y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Q899" s="88"/>
      <c r="R899" s="88"/>
      <c r="S899" s="88"/>
      <c r="T899" s="88"/>
      <c r="U899" s="88"/>
      <c r="V899" s="88"/>
      <c r="W899" s="88"/>
      <c r="X899" s="88"/>
      <c r="Y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Q900" s="88"/>
      <c r="R900" s="88"/>
      <c r="S900" s="88"/>
      <c r="T900" s="88"/>
      <c r="U900" s="88"/>
      <c r="V900" s="88"/>
      <c r="W900" s="88"/>
      <c r="X900" s="88"/>
      <c r="Y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Q901" s="88"/>
      <c r="R901" s="88"/>
      <c r="S901" s="88"/>
      <c r="T901" s="88"/>
      <c r="U901" s="88"/>
      <c r="V901" s="88"/>
      <c r="W901" s="88"/>
      <c r="X901" s="88"/>
      <c r="Y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Q902" s="88"/>
      <c r="R902" s="88"/>
      <c r="S902" s="88"/>
      <c r="T902" s="88"/>
      <c r="U902" s="88"/>
      <c r="V902" s="88"/>
      <c r="W902" s="88"/>
      <c r="X902" s="88"/>
      <c r="Y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Q903" s="88"/>
      <c r="R903" s="88"/>
      <c r="S903" s="88"/>
      <c r="T903" s="88"/>
      <c r="U903" s="88"/>
      <c r="V903" s="88"/>
      <c r="W903" s="88"/>
      <c r="X903" s="88"/>
      <c r="Y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Q904" s="88"/>
      <c r="R904" s="88"/>
      <c r="S904" s="88"/>
      <c r="T904" s="88"/>
      <c r="U904" s="88"/>
      <c r="V904" s="88"/>
      <c r="W904" s="88"/>
      <c r="X904" s="88"/>
      <c r="Y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Q905" s="88"/>
      <c r="R905" s="88"/>
      <c r="S905" s="88"/>
      <c r="T905" s="88"/>
      <c r="U905" s="88"/>
      <c r="V905" s="88"/>
      <c r="W905" s="88"/>
      <c r="X905" s="88"/>
      <c r="Y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Q906" s="88"/>
      <c r="R906" s="88"/>
      <c r="S906" s="88"/>
      <c r="T906" s="88"/>
      <c r="U906" s="88"/>
      <c r="V906" s="88"/>
      <c r="W906" s="88"/>
      <c r="X906" s="88"/>
      <c r="Y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Q907" s="88"/>
      <c r="R907" s="88"/>
      <c r="S907" s="88"/>
      <c r="T907" s="88"/>
      <c r="U907" s="88"/>
      <c r="V907" s="88"/>
      <c r="W907" s="88"/>
      <c r="X907" s="88"/>
      <c r="Y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Q908" s="88"/>
      <c r="R908" s="88"/>
      <c r="S908" s="88"/>
      <c r="T908" s="88"/>
      <c r="U908" s="88"/>
      <c r="V908" s="88"/>
      <c r="W908" s="88"/>
      <c r="X908" s="88"/>
      <c r="Y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Q909" s="88"/>
      <c r="R909" s="88"/>
      <c r="S909" s="88"/>
      <c r="T909" s="88"/>
      <c r="U909" s="88"/>
      <c r="V909" s="88"/>
      <c r="W909" s="88"/>
      <c r="X909" s="88"/>
      <c r="Y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Q910" s="88"/>
      <c r="R910" s="88"/>
      <c r="S910" s="88"/>
      <c r="T910" s="88"/>
      <c r="U910" s="88"/>
      <c r="V910" s="88"/>
      <c r="W910" s="88"/>
      <c r="X910" s="88"/>
      <c r="Y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Q911" s="88"/>
      <c r="R911" s="88"/>
      <c r="S911" s="88"/>
      <c r="T911" s="88"/>
      <c r="U911" s="88"/>
      <c r="V911" s="88"/>
      <c r="W911" s="88"/>
      <c r="X911" s="88"/>
      <c r="Y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Q912" s="88"/>
      <c r="R912" s="88"/>
      <c r="S912" s="88"/>
      <c r="T912" s="88"/>
      <c r="U912" s="88"/>
      <c r="V912" s="88"/>
      <c r="W912" s="88"/>
      <c r="X912" s="88"/>
      <c r="Y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Q913" s="88"/>
      <c r="R913" s="88"/>
      <c r="S913" s="88"/>
      <c r="T913" s="88"/>
      <c r="U913" s="88"/>
      <c r="V913" s="88"/>
      <c r="W913" s="88"/>
      <c r="X913" s="88"/>
      <c r="Y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Q914" s="88"/>
      <c r="R914" s="88"/>
      <c r="S914" s="88"/>
      <c r="T914" s="88"/>
      <c r="U914" s="88"/>
      <c r="V914" s="88"/>
      <c r="W914" s="88"/>
      <c r="X914" s="88"/>
      <c r="Y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Q915" s="88"/>
      <c r="R915" s="88"/>
      <c r="S915" s="88"/>
      <c r="T915" s="88"/>
      <c r="U915" s="88"/>
      <c r="V915" s="88"/>
      <c r="W915" s="88"/>
      <c r="X915" s="88"/>
      <c r="Y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Q916" s="88"/>
      <c r="R916" s="88"/>
      <c r="S916" s="88"/>
      <c r="T916" s="88"/>
      <c r="U916" s="88"/>
      <c r="V916" s="88"/>
      <c r="W916" s="88"/>
      <c r="X916" s="88"/>
      <c r="Y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Q917" s="88"/>
      <c r="R917" s="88"/>
      <c r="S917" s="88"/>
      <c r="T917" s="88"/>
      <c r="U917" s="88"/>
      <c r="V917" s="88"/>
      <c r="W917" s="88"/>
      <c r="X917" s="88"/>
      <c r="Y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Q918" s="88"/>
      <c r="R918" s="88"/>
      <c r="S918" s="88"/>
      <c r="T918" s="88"/>
      <c r="U918" s="88"/>
      <c r="V918" s="88"/>
      <c r="W918" s="88"/>
      <c r="X918" s="88"/>
      <c r="Y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Q919" s="88"/>
      <c r="R919" s="88"/>
      <c r="S919" s="88"/>
      <c r="T919" s="88"/>
      <c r="U919" s="88"/>
      <c r="V919" s="88"/>
      <c r="W919" s="88"/>
      <c r="X919" s="88"/>
      <c r="Y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Q920" s="88"/>
      <c r="R920" s="88"/>
      <c r="S920" s="88"/>
      <c r="T920" s="88"/>
      <c r="U920" s="88"/>
      <c r="V920" s="88"/>
      <c r="W920" s="88"/>
      <c r="X920" s="88"/>
      <c r="Y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Q921" s="88"/>
      <c r="R921" s="88"/>
      <c r="S921" s="88"/>
      <c r="T921" s="88"/>
      <c r="U921" s="88"/>
      <c r="V921" s="88"/>
      <c r="W921" s="88"/>
      <c r="X921" s="88"/>
      <c r="Y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Q922" s="88"/>
      <c r="R922" s="88"/>
      <c r="S922" s="88"/>
      <c r="T922" s="88"/>
      <c r="U922" s="88"/>
      <c r="V922" s="88"/>
      <c r="W922" s="88"/>
      <c r="X922" s="88"/>
      <c r="Y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Q923" s="88"/>
      <c r="R923" s="88"/>
      <c r="S923" s="88"/>
      <c r="T923" s="88"/>
      <c r="U923" s="88"/>
      <c r="V923" s="88"/>
      <c r="W923" s="88"/>
      <c r="X923" s="88"/>
      <c r="Y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Q924" s="88"/>
      <c r="R924" s="88"/>
      <c r="S924" s="88"/>
      <c r="T924" s="88"/>
      <c r="U924" s="88"/>
      <c r="V924" s="88"/>
      <c r="W924" s="88"/>
      <c r="X924" s="88"/>
      <c r="Y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Q925" s="88"/>
      <c r="R925" s="88"/>
      <c r="S925" s="88"/>
      <c r="T925" s="88"/>
      <c r="U925" s="88"/>
      <c r="V925" s="88"/>
      <c r="W925" s="88"/>
      <c r="X925" s="88"/>
      <c r="Y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Q926" s="88"/>
      <c r="R926" s="88"/>
      <c r="S926" s="88"/>
      <c r="T926" s="88"/>
      <c r="U926" s="88"/>
      <c r="V926" s="88"/>
      <c r="W926" s="88"/>
      <c r="X926" s="88"/>
      <c r="Y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Q927" s="88"/>
      <c r="R927" s="88"/>
      <c r="S927" s="88"/>
      <c r="T927" s="88"/>
      <c r="U927" s="88"/>
      <c r="V927" s="88"/>
      <c r="W927" s="88"/>
      <c r="X927" s="88"/>
      <c r="Y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Q928" s="88"/>
      <c r="R928" s="88"/>
      <c r="S928" s="88"/>
      <c r="T928" s="88"/>
      <c r="U928" s="88"/>
      <c r="V928" s="88"/>
      <c r="W928" s="88"/>
      <c r="X928" s="88"/>
      <c r="Y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Q929" s="88"/>
      <c r="R929" s="88"/>
      <c r="S929" s="88"/>
      <c r="T929" s="88"/>
      <c r="U929" s="88"/>
      <c r="V929" s="88"/>
      <c r="W929" s="88"/>
      <c r="X929" s="88"/>
      <c r="Y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Q930" s="88"/>
      <c r="R930" s="88"/>
      <c r="S930" s="88"/>
      <c r="T930" s="88"/>
      <c r="U930" s="88"/>
      <c r="V930" s="88"/>
      <c r="W930" s="88"/>
      <c r="X930" s="88"/>
      <c r="Y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Q931" s="88"/>
      <c r="R931" s="88"/>
      <c r="S931" s="88"/>
      <c r="T931" s="88"/>
      <c r="U931" s="88"/>
      <c r="V931" s="88"/>
      <c r="W931" s="88"/>
      <c r="X931" s="88"/>
      <c r="Y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Q932" s="88"/>
      <c r="R932" s="88"/>
      <c r="S932" s="88"/>
      <c r="T932" s="88"/>
      <c r="U932" s="88"/>
      <c r="V932" s="88"/>
      <c r="W932" s="88"/>
      <c r="X932" s="88"/>
      <c r="Y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Q933" s="88"/>
      <c r="R933" s="88"/>
      <c r="S933" s="88"/>
      <c r="T933" s="88"/>
      <c r="U933" s="88"/>
      <c r="V933" s="88"/>
      <c r="W933" s="88"/>
      <c r="X933" s="88"/>
      <c r="Y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Q934" s="88"/>
      <c r="R934" s="88"/>
      <c r="S934" s="88"/>
      <c r="T934" s="88"/>
      <c r="U934" s="88"/>
      <c r="V934" s="88"/>
      <c r="W934" s="88"/>
      <c r="X934" s="88"/>
      <c r="Y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Q935" s="88"/>
      <c r="R935" s="88"/>
      <c r="S935" s="88"/>
      <c r="T935" s="88"/>
      <c r="U935" s="88"/>
      <c r="V935" s="88"/>
      <c r="W935" s="88"/>
      <c r="X935" s="88"/>
      <c r="Y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Q936" s="88"/>
      <c r="R936" s="88"/>
      <c r="S936" s="88"/>
      <c r="T936" s="88"/>
      <c r="U936" s="88"/>
      <c r="V936" s="88"/>
      <c r="W936" s="88"/>
      <c r="X936" s="88"/>
      <c r="Y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Q937" s="88"/>
      <c r="R937" s="88"/>
      <c r="S937" s="88"/>
      <c r="T937" s="88"/>
      <c r="U937" s="88"/>
      <c r="V937" s="88"/>
      <c r="W937" s="88"/>
      <c r="X937" s="88"/>
      <c r="Y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Q938" s="88"/>
      <c r="R938" s="88"/>
      <c r="S938" s="88"/>
      <c r="T938" s="88"/>
      <c r="U938" s="88"/>
      <c r="V938" s="88"/>
      <c r="W938" s="88"/>
      <c r="X938" s="88"/>
      <c r="Y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Q939" s="88"/>
      <c r="R939" s="88"/>
      <c r="S939" s="88"/>
      <c r="T939" s="88"/>
      <c r="U939" s="88"/>
      <c r="V939" s="88"/>
      <c r="W939" s="88"/>
      <c r="X939" s="88"/>
      <c r="Y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Q940" s="88"/>
      <c r="R940" s="88"/>
      <c r="S940" s="88"/>
      <c r="T940" s="88"/>
      <c r="U940" s="88"/>
      <c r="V940" s="88"/>
      <c r="W940" s="88"/>
      <c r="X940" s="88"/>
      <c r="Y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Q941" s="88"/>
      <c r="R941" s="88"/>
      <c r="S941" s="88"/>
      <c r="T941" s="88"/>
      <c r="U941" s="88"/>
      <c r="V941" s="88"/>
      <c r="W941" s="88"/>
      <c r="X941" s="88"/>
      <c r="Y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Q942" s="88"/>
      <c r="R942" s="88"/>
      <c r="S942" s="88"/>
      <c r="T942" s="88"/>
      <c r="U942" s="88"/>
      <c r="V942" s="88"/>
      <c r="W942" s="88"/>
      <c r="X942" s="88"/>
      <c r="Y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Q943" s="88"/>
      <c r="R943" s="88"/>
      <c r="S943" s="88"/>
      <c r="T943" s="88"/>
      <c r="U943" s="88"/>
      <c r="V943" s="88"/>
      <c r="W943" s="88"/>
      <c r="X943" s="88"/>
      <c r="Y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Q944" s="88"/>
      <c r="R944" s="88"/>
      <c r="S944" s="88"/>
      <c r="T944" s="88"/>
      <c r="U944" s="88"/>
      <c r="V944" s="88"/>
      <c r="W944" s="88"/>
      <c r="X944" s="88"/>
      <c r="Y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Q945" s="88"/>
      <c r="R945" s="88"/>
      <c r="S945" s="88"/>
      <c r="T945" s="88"/>
      <c r="U945" s="88"/>
      <c r="V945" s="88"/>
      <c r="W945" s="88"/>
      <c r="X945" s="88"/>
      <c r="Y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Q946" s="88"/>
      <c r="R946" s="88"/>
      <c r="S946" s="88"/>
      <c r="T946" s="88"/>
      <c r="U946" s="88"/>
      <c r="V946" s="88"/>
      <c r="W946" s="88"/>
      <c r="X946" s="88"/>
      <c r="Y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Q947" s="88"/>
      <c r="R947" s="88"/>
      <c r="S947" s="88"/>
      <c r="T947" s="88"/>
      <c r="U947" s="88"/>
      <c r="V947" s="88"/>
      <c r="W947" s="88"/>
      <c r="X947" s="88"/>
      <c r="Y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Q948" s="88"/>
      <c r="R948" s="88"/>
      <c r="S948" s="88"/>
      <c r="T948" s="88"/>
      <c r="U948" s="88"/>
      <c r="V948" s="88"/>
      <c r="W948" s="88"/>
      <c r="X948" s="88"/>
      <c r="Y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Q949" s="88"/>
      <c r="R949" s="88"/>
      <c r="S949" s="88"/>
      <c r="T949" s="88"/>
      <c r="U949" s="88"/>
      <c r="V949" s="88"/>
      <c r="W949" s="88"/>
      <c r="X949" s="88"/>
      <c r="Y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Q950" s="88"/>
      <c r="R950" s="88"/>
      <c r="S950" s="88"/>
      <c r="T950" s="88"/>
      <c r="U950" s="88"/>
      <c r="V950" s="88"/>
      <c r="W950" s="88"/>
      <c r="X950" s="88"/>
      <c r="Y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Q951" s="88"/>
      <c r="R951" s="88"/>
      <c r="S951" s="88"/>
      <c r="T951" s="88"/>
      <c r="U951" s="88"/>
      <c r="V951" s="88"/>
      <c r="W951" s="88"/>
      <c r="X951" s="88"/>
      <c r="Y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Q952" s="88"/>
      <c r="R952" s="88"/>
      <c r="S952" s="88"/>
      <c r="T952" s="88"/>
      <c r="U952" s="88"/>
      <c r="V952" s="88"/>
      <c r="W952" s="88"/>
      <c r="X952" s="88"/>
      <c r="Y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Q953" s="88"/>
      <c r="R953" s="88"/>
      <c r="S953" s="88"/>
      <c r="T953" s="88"/>
      <c r="U953" s="88"/>
      <c r="V953" s="88"/>
      <c r="W953" s="88"/>
      <c r="X953" s="88"/>
      <c r="Y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Q954" s="88"/>
      <c r="R954" s="88"/>
      <c r="S954" s="88"/>
      <c r="T954" s="88"/>
      <c r="U954" s="88"/>
      <c r="V954" s="88"/>
      <c r="W954" s="88"/>
      <c r="X954" s="88"/>
      <c r="Y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Q955" s="88"/>
      <c r="R955" s="88"/>
      <c r="S955" s="88"/>
      <c r="T955" s="88"/>
      <c r="U955" s="88"/>
      <c r="V955" s="88"/>
      <c r="W955" s="88"/>
      <c r="X955" s="88"/>
      <c r="Y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Q956" s="88"/>
      <c r="R956" s="88"/>
      <c r="S956" s="88"/>
      <c r="T956" s="88"/>
      <c r="U956" s="88"/>
      <c r="V956" s="88"/>
      <c r="W956" s="88"/>
      <c r="X956" s="88"/>
      <c r="Y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Q957" s="88"/>
      <c r="R957" s="88"/>
      <c r="S957" s="88"/>
      <c r="T957" s="88"/>
      <c r="U957" s="88"/>
      <c r="V957" s="88"/>
      <c r="W957" s="88"/>
      <c r="X957" s="88"/>
      <c r="Y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Q958" s="88"/>
      <c r="R958" s="88"/>
      <c r="S958" s="88"/>
      <c r="T958" s="88"/>
      <c r="U958" s="88"/>
      <c r="V958" s="88"/>
      <c r="W958" s="88"/>
      <c r="X958" s="88"/>
      <c r="Y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Q959" s="88"/>
      <c r="R959" s="88"/>
      <c r="S959" s="88"/>
      <c r="T959" s="88"/>
      <c r="U959" s="88"/>
      <c r="V959" s="88"/>
      <c r="W959" s="88"/>
      <c r="X959" s="88"/>
      <c r="Y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Q960" s="88"/>
      <c r="R960" s="88"/>
      <c r="S960" s="88"/>
      <c r="T960" s="88"/>
      <c r="U960" s="88"/>
      <c r="V960" s="88"/>
      <c r="W960" s="88"/>
      <c r="X960" s="88"/>
      <c r="Y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Q961" s="88"/>
      <c r="R961" s="88"/>
      <c r="S961" s="88"/>
      <c r="T961" s="88"/>
      <c r="U961" s="88"/>
      <c r="V961" s="88"/>
      <c r="W961" s="88"/>
      <c r="X961" s="88"/>
      <c r="Y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Q962" s="88"/>
      <c r="R962" s="88"/>
      <c r="S962" s="88"/>
      <c r="T962" s="88"/>
      <c r="U962" s="88"/>
      <c r="V962" s="88"/>
      <c r="W962" s="88"/>
      <c r="X962" s="88"/>
      <c r="Y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Q963" s="88"/>
      <c r="R963" s="88"/>
      <c r="S963" s="88"/>
      <c r="T963" s="88"/>
      <c r="U963" s="88"/>
      <c r="V963" s="88"/>
      <c r="W963" s="88"/>
      <c r="X963" s="88"/>
      <c r="Y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Q964" s="88"/>
      <c r="R964" s="88"/>
      <c r="S964" s="88"/>
      <c r="T964" s="88"/>
      <c r="U964" s="88"/>
      <c r="V964" s="88"/>
      <c r="W964" s="88"/>
      <c r="X964" s="88"/>
      <c r="Y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Q965" s="88"/>
      <c r="R965" s="88"/>
      <c r="S965" s="88"/>
      <c r="T965" s="88"/>
      <c r="U965" s="88"/>
      <c r="V965" s="88"/>
      <c r="W965" s="88"/>
      <c r="X965" s="88"/>
      <c r="Y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Q966" s="88"/>
      <c r="R966" s="88"/>
      <c r="S966" s="88"/>
      <c r="T966" s="88"/>
      <c r="U966" s="88"/>
      <c r="V966" s="88"/>
      <c r="W966" s="88"/>
      <c r="X966" s="88"/>
      <c r="Y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Q967" s="88"/>
      <c r="R967" s="88"/>
      <c r="S967" s="88"/>
      <c r="T967" s="88"/>
      <c r="U967" s="88"/>
      <c r="V967" s="88"/>
      <c r="W967" s="88"/>
      <c r="X967" s="88"/>
      <c r="Y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Q968" s="88"/>
      <c r="R968" s="88"/>
      <c r="S968" s="88"/>
      <c r="T968" s="88"/>
      <c r="U968" s="88"/>
      <c r="V968" s="88"/>
      <c r="W968" s="88"/>
      <c r="X968" s="88"/>
      <c r="Y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Q969" s="88"/>
      <c r="R969" s="88"/>
      <c r="S969" s="88"/>
      <c r="T969" s="88"/>
      <c r="U969" s="88"/>
      <c r="V969" s="88"/>
      <c r="W969" s="88"/>
      <c r="X969" s="88"/>
      <c r="Y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Q970" s="88"/>
      <c r="R970" s="88"/>
      <c r="S970" s="88"/>
      <c r="T970" s="88"/>
      <c r="U970" s="88"/>
      <c r="V970" s="88"/>
      <c r="W970" s="88"/>
      <c r="X970" s="88"/>
      <c r="Y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Q971" s="88"/>
      <c r="R971" s="88"/>
      <c r="S971" s="88"/>
      <c r="T971" s="88"/>
      <c r="U971" s="88"/>
      <c r="V971" s="88"/>
      <c r="W971" s="88"/>
      <c r="X971" s="88"/>
      <c r="Y971" s="88"/>
    </row>
    <row r="972">
      <c r="A972" s="140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Q972" s="88"/>
      <c r="R972" s="88"/>
      <c r="S972" s="88"/>
      <c r="T972" s="88"/>
      <c r="U972" s="88"/>
      <c r="V972" s="88"/>
      <c r="W972" s="88"/>
      <c r="X972" s="88"/>
      <c r="Y972" s="88"/>
    </row>
    <row r="973">
      <c r="Q973" s="88"/>
      <c r="R973" s="88"/>
      <c r="S973" s="88"/>
      <c r="T973" s="88"/>
      <c r="U973" s="88"/>
      <c r="V973" s="88"/>
      <c r="W973" s="88"/>
      <c r="X973" s="88"/>
      <c r="Y973" s="88"/>
    </row>
    <row r="974">
      <c r="Q974" s="88"/>
      <c r="R974" s="88"/>
      <c r="S974" s="88"/>
      <c r="T974" s="88"/>
      <c r="U974" s="88"/>
      <c r="V974" s="88"/>
      <c r="W974" s="88"/>
      <c r="X974" s="88"/>
      <c r="Y974" s="88"/>
    </row>
    <row r="975">
      <c r="Q975" s="88"/>
      <c r="R975" s="88"/>
      <c r="S975" s="88"/>
      <c r="T975" s="88"/>
      <c r="U975" s="88"/>
      <c r="V975" s="88"/>
      <c r="W975" s="88"/>
      <c r="X975" s="88"/>
      <c r="Y975" s="88"/>
    </row>
    <row r="976">
      <c r="Q976" s="88"/>
      <c r="R976" s="88"/>
      <c r="S976" s="88"/>
      <c r="T976" s="88"/>
      <c r="U976" s="88"/>
      <c r="V976" s="88"/>
      <c r="W976" s="88"/>
      <c r="X976" s="88"/>
      <c r="Y976" s="88"/>
    </row>
    <row r="977">
      <c r="Q977" s="88"/>
      <c r="R977" s="88"/>
      <c r="S977" s="88"/>
      <c r="T977" s="88"/>
      <c r="U977" s="88"/>
      <c r="V977" s="88"/>
      <c r="W977" s="88"/>
      <c r="X977" s="88"/>
      <c r="Y977" s="88"/>
    </row>
    <row r="978">
      <c r="Q978" s="88"/>
      <c r="R978" s="88"/>
      <c r="S978" s="88"/>
      <c r="T978" s="88"/>
      <c r="U978" s="88"/>
      <c r="V978" s="88"/>
      <c r="W978" s="88"/>
      <c r="X978" s="88"/>
      <c r="Y978" s="88"/>
    </row>
    <row r="979">
      <c r="Q979" s="88"/>
      <c r="R979" s="88"/>
      <c r="S979" s="88"/>
      <c r="T979" s="88"/>
      <c r="U979" s="88"/>
      <c r="V979" s="88"/>
      <c r="W979" s="88"/>
      <c r="X979" s="88"/>
      <c r="Y979" s="88"/>
    </row>
    <row r="980">
      <c r="Q980" s="88"/>
      <c r="R980" s="88"/>
      <c r="S980" s="88"/>
      <c r="T980" s="88"/>
      <c r="U980" s="88"/>
      <c r="V980" s="88"/>
      <c r="W980" s="88"/>
      <c r="X980" s="88"/>
      <c r="Y980" s="88"/>
    </row>
    <row r="981">
      <c r="Q981" s="88"/>
      <c r="R981" s="88"/>
      <c r="S981" s="88"/>
      <c r="T981" s="88"/>
      <c r="U981" s="88"/>
      <c r="V981" s="88"/>
      <c r="W981" s="88"/>
      <c r="X981" s="88"/>
      <c r="Y981" s="88"/>
    </row>
    <row r="982">
      <c r="Q982" s="88"/>
      <c r="R982" s="88"/>
      <c r="S982" s="88"/>
      <c r="T982" s="88"/>
      <c r="U982" s="88"/>
      <c r="V982" s="88"/>
      <c r="W982" s="88"/>
      <c r="X982" s="88"/>
      <c r="Y982" s="88"/>
    </row>
    <row r="983">
      <c r="Q983" s="88"/>
      <c r="R983" s="88"/>
      <c r="S983" s="88"/>
      <c r="T983" s="88"/>
      <c r="U983" s="88"/>
      <c r="V983" s="88"/>
      <c r="W983" s="88"/>
      <c r="X983" s="88"/>
      <c r="Y983" s="88"/>
    </row>
    <row r="984">
      <c r="Q984" s="88"/>
      <c r="R984" s="88"/>
      <c r="S984" s="88"/>
      <c r="T984" s="88"/>
      <c r="U984" s="88"/>
      <c r="V984" s="88"/>
      <c r="W984" s="88"/>
      <c r="X984" s="88"/>
      <c r="Y984" s="88"/>
    </row>
    <row r="985">
      <c r="Q985" s="88"/>
      <c r="R985" s="88"/>
      <c r="S985" s="88"/>
      <c r="T985" s="88"/>
      <c r="U985" s="88"/>
      <c r="V985" s="88"/>
      <c r="W985" s="88"/>
      <c r="X985" s="88"/>
      <c r="Y985" s="88"/>
    </row>
    <row r="986">
      <c r="Q986" s="88"/>
      <c r="R986" s="88"/>
      <c r="S986" s="88"/>
      <c r="T986" s="88"/>
      <c r="U986" s="88"/>
      <c r="V986" s="88"/>
      <c r="W986" s="88"/>
      <c r="X986" s="88"/>
      <c r="Y986" s="88"/>
    </row>
    <row r="987">
      <c r="Q987" s="88"/>
      <c r="R987" s="88"/>
      <c r="S987" s="88"/>
      <c r="T987" s="88"/>
      <c r="U987" s="88"/>
      <c r="V987" s="88"/>
      <c r="W987" s="88"/>
      <c r="X987" s="88"/>
      <c r="Y987" s="88"/>
    </row>
    <row r="988">
      <c r="Q988" s="88"/>
      <c r="R988" s="88"/>
      <c r="S988" s="88"/>
      <c r="T988" s="88"/>
      <c r="U988" s="88"/>
      <c r="V988" s="88"/>
      <c r="W988" s="88"/>
      <c r="X988" s="88"/>
      <c r="Y988" s="88"/>
    </row>
    <row r="989">
      <c r="Q989" s="88"/>
      <c r="R989" s="88"/>
      <c r="S989" s="88"/>
      <c r="T989" s="88"/>
      <c r="U989" s="88"/>
      <c r="V989" s="88"/>
      <c r="W989" s="88"/>
      <c r="X989" s="88"/>
      <c r="Y989" s="88"/>
    </row>
    <row r="990">
      <c r="Q990" s="88"/>
      <c r="R990" s="88"/>
      <c r="S990" s="88"/>
      <c r="T990" s="88"/>
      <c r="U990" s="88"/>
      <c r="V990" s="88"/>
      <c r="W990" s="88"/>
      <c r="X990" s="88"/>
      <c r="Y990" s="88"/>
    </row>
    <row r="991">
      <c r="Q991" s="88"/>
      <c r="R991" s="88"/>
      <c r="S991" s="88"/>
      <c r="T991" s="88"/>
      <c r="U991" s="88"/>
      <c r="V991" s="88"/>
      <c r="W991" s="88"/>
      <c r="X991" s="88"/>
      <c r="Y991" s="88"/>
    </row>
    <row r="992">
      <c r="Q992" s="88"/>
      <c r="R992" s="88"/>
      <c r="S992" s="88"/>
      <c r="T992" s="88"/>
      <c r="U992" s="88"/>
      <c r="V992" s="88"/>
      <c r="W992" s="88"/>
      <c r="X992" s="88"/>
      <c r="Y992" s="88"/>
    </row>
    <row r="993">
      <c r="Q993" s="88"/>
      <c r="R993" s="88"/>
      <c r="S993" s="88"/>
      <c r="T993" s="88"/>
      <c r="U993" s="88"/>
      <c r="V993" s="88"/>
      <c r="W993" s="88"/>
      <c r="X993" s="88"/>
      <c r="Y993" s="88"/>
    </row>
    <row r="994">
      <c r="Q994" s="88"/>
      <c r="R994" s="88"/>
      <c r="S994" s="88"/>
      <c r="T994" s="88"/>
      <c r="U994" s="88"/>
      <c r="V994" s="88"/>
      <c r="W994" s="88"/>
      <c r="X994" s="88"/>
      <c r="Y994" s="88"/>
    </row>
    <row r="995">
      <c r="Q995" s="88"/>
      <c r="R995" s="88"/>
      <c r="S995" s="88"/>
      <c r="T995" s="88"/>
      <c r="U995" s="88"/>
      <c r="V995" s="88"/>
      <c r="W995" s="88"/>
      <c r="X995" s="88"/>
      <c r="Y995" s="88"/>
    </row>
    <row r="996">
      <c r="Q996" s="88"/>
      <c r="R996" s="88"/>
      <c r="S996" s="88"/>
      <c r="T996" s="88"/>
      <c r="U996" s="88"/>
      <c r="V996" s="88"/>
      <c r="W996" s="88"/>
      <c r="X996" s="88"/>
      <c r="Y996" s="88"/>
    </row>
    <row r="997">
      <c r="Q997" s="88"/>
      <c r="R997" s="88"/>
      <c r="S997" s="88"/>
      <c r="T997" s="88"/>
      <c r="U997" s="88"/>
      <c r="V997" s="88"/>
      <c r="W997" s="88"/>
      <c r="X997" s="88"/>
      <c r="Y997" s="88"/>
    </row>
    <row r="998">
      <c r="Q998" s="88"/>
      <c r="R998" s="88"/>
      <c r="S998" s="88"/>
      <c r="T998" s="88"/>
      <c r="U998" s="88"/>
      <c r="V998" s="88"/>
      <c r="W998" s="88"/>
      <c r="X998" s="88"/>
      <c r="Y998" s="88"/>
    </row>
    <row r="999">
      <c r="Q999" s="88"/>
      <c r="R999" s="88"/>
      <c r="S999" s="88"/>
      <c r="T999" s="88"/>
      <c r="U999" s="88"/>
      <c r="V999" s="88"/>
      <c r="W999" s="88"/>
      <c r="X999" s="88"/>
      <c r="Y999" s="88"/>
    </row>
    <row r="1000">
      <c r="Q1000" s="88"/>
      <c r="R1000" s="88"/>
      <c r="S1000" s="88"/>
      <c r="T1000" s="88"/>
      <c r="U1000" s="88"/>
      <c r="V1000" s="88"/>
      <c r="W1000" s="88"/>
      <c r="X1000" s="88"/>
      <c r="Y1000" s="88"/>
    </row>
    <row r="1001">
      <c r="Q1001" s="88"/>
      <c r="R1001" s="88"/>
      <c r="S1001" s="88"/>
      <c r="T1001" s="88"/>
      <c r="U1001" s="88"/>
      <c r="V1001" s="88"/>
      <c r="W1001" s="88"/>
      <c r="X1001" s="88"/>
      <c r="Y1001" s="88"/>
    </row>
    <row r="1002">
      <c r="Q1002" s="88"/>
      <c r="R1002" s="88"/>
      <c r="S1002" s="88"/>
      <c r="T1002" s="88"/>
      <c r="U1002" s="88"/>
      <c r="V1002" s="88"/>
      <c r="W1002" s="88"/>
      <c r="X1002" s="88"/>
      <c r="Y1002" s="88"/>
    </row>
    <row r="1003">
      <c r="Q1003" s="88"/>
      <c r="R1003" s="88"/>
      <c r="S1003" s="88"/>
      <c r="T1003" s="88"/>
      <c r="U1003" s="88"/>
      <c r="V1003" s="88"/>
      <c r="W1003" s="88"/>
      <c r="X1003" s="88"/>
      <c r="Y1003" s="88"/>
    </row>
    <row r="1004">
      <c r="Q1004" s="88"/>
      <c r="R1004" s="88"/>
      <c r="S1004" s="88"/>
      <c r="T1004" s="88"/>
      <c r="U1004" s="88"/>
      <c r="V1004" s="88"/>
      <c r="W1004" s="88"/>
      <c r="X1004" s="88"/>
      <c r="Y1004" s="88"/>
    </row>
    <row r="1005">
      <c r="Q1005" s="88"/>
      <c r="R1005" s="88"/>
      <c r="S1005" s="88"/>
      <c r="T1005" s="88"/>
      <c r="U1005" s="88"/>
      <c r="V1005" s="88"/>
      <c r="W1005" s="88"/>
      <c r="X1005" s="88"/>
      <c r="Y1005" s="88"/>
    </row>
    <row r="1006">
      <c r="Q1006" s="88"/>
      <c r="R1006" s="88"/>
      <c r="S1006" s="88"/>
      <c r="T1006" s="88"/>
      <c r="U1006" s="88"/>
      <c r="V1006" s="88"/>
      <c r="W1006" s="88"/>
      <c r="X1006" s="88"/>
      <c r="Y1006" s="88"/>
    </row>
    <row r="1007">
      <c r="Q1007" s="88"/>
      <c r="R1007" s="88"/>
      <c r="S1007" s="88"/>
      <c r="T1007" s="88"/>
      <c r="U1007" s="88"/>
      <c r="V1007" s="88"/>
      <c r="W1007" s="88"/>
      <c r="X1007" s="88"/>
      <c r="Y1007" s="88"/>
    </row>
    <row r="1008">
      <c r="Q1008" s="88"/>
      <c r="R1008" s="88"/>
      <c r="S1008" s="88"/>
      <c r="T1008" s="88"/>
      <c r="U1008" s="88"/>
      <c r="V1008" s="88"/>
      <c r="W1008" s="88"/>
      <c r="X1008" s="88"/>
      <c r="Y1008" s="88"/>
    </row>
    <row r="1009">
      <c r="Q1009" s="88"/>
      <c r="R1009" s="88"/>
      <c r="S1009" s="88"/>
      <c r="T1009" s="88"/>
      <c r="U1009" s="88"/>
      <c r="V1009" s="88"/>
      <c r="W1009" s="88"/>
      <c r="X1009" s="88"/>
      <c r="Y1009" s="88"/>
    </row>
    <row r="1010">
      <c r="Q1010" s="88"/>
      <c r="R1010" s="88"/>
      <c r="S1010" s="88"/>
      <c r="T1010" s="88"/>
      <c r="U1010" s="88"/>
      <c r="V1010" s="88"/>
      <c r="W1010" s="88"/>
      <c r="X1010" s="88"/>
      <c r="Y1010" s="88"/>
    </row>
    <row r="1011">
      <c r="Q1011" s="88"/>
      <c r="R1011" s="88"/>
      <c r="S1011" s="88"/>
      <c r="T1011" s="88"/>
      <c r="U1011" s="88"/>
      <c r="V1011" s="88"/>
      <c r="W1011" s="88"/>
      <c r="X1011" s="88"/>
      <c r="Y1011" s="88"/>
    </row>
    <row r="1012">
      <c r="Q1012" s="88"/>
      <c r="R1012" s="88"/>
      <c r="S1012" s="88"/>
      <c r="T1012" s="88"/>
      <c r="U1012" s="88"/>
      <c r="V1012" s="88"/>
      <c r="W1012" s="88"/>
      <c r="X1012" s="88"/>
      <c r="Y1012" s="88"/>
    </row>
    <row r="1013">
      <c r="Q1013" s="88"/>
      <c r="R1013" s="88"/>
      <c r="S1013" s="88"/>
      <c r="T1013" s="88"/>
      <c r="U1013" s="88"/>
      <c r="V1013" s="88"/>
      <c r="W1013" s="88"/>
      <c r="X1013" s="88"/>
      <c r="Y1013" s="88"/>
    </row>
    <row r="1014">
      <c r="Q1014" s="88"/>
      <c r="R1014" s="88"/>
      <c r="S1014" s="88"/>
      <c r="T1014" s="88"/>
      <c r="U1014" s="88"/>
      <c r="V1014" s="88"/>
      <c r="W1014" s="88"/>
      <c r="X1014" s="88"/>
      <c r="Y1014" s="88"/>
    </row>
    <row r="1015">
      <c r="Q1015" s="88"/>
      <c r="R1015" s="88"/>
      <c r="S1015" s="88"/>
      <c r="T1015" s="88"/>
      <c r="U1015" s="88"/>
      <c r="V1015" s="88"/>
      <c r="W1015" s="88"/>
      <c r="X1015" s="88"/>
      <c r="Y1015" s="88"/>
    </row>
  </sheetData>
  <mergeCells count="1">
    <mergeCell ref="A1:F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SUMIFS($G$13:$G967, $E$13:$E967, "Rachel", $H$13:$H967, 1)-SUMIFS($G$13:$G967, $E$13:$E967, "Timothy", $I$13:$I967, 1)</f>
        <v>-35.41761333</v>
      </c>
      <c r="J3" s="21">
        <f>SUMIFS($G$13:$G967, $E$13:$E967, "BL", $H$13:$H967, 1)-SUMIFS($G$13:$G967, $E$13:$E967, "Timothy", $J$13:$J967, 1)</f>
        <v>-9.520743333</v>
      </c>
      <c r="K3" s="21">
        <f>SUMIFS($G$13:$G967, $E$13:$E967, "Pigskin", $H$13:$H967, 1)-SUMIFS($G$13:$G967, $E$13:$E967, "Timothy", $K$13:$K967, 1)</f>
        <v>5.510324762</v>
      </c>
      <c r="L3" s="21">
        <f>SUMIFS($G$13:$G967, $E$13:$E967, "Angel", $H$13:$H967, 1)-SUMIFS($G$13:$G967, $E$13:$E967, "Timothy", $L$13:$L967, 1)</f>
        <v>-76.0841</v>
      </c>
      <c r="M3" s="21">
        <f>SUMIFS($G$13:$G967, $E$13:$E967, "Ivan", $H$13:$H967, 1)-SUMIFS($G$13:$G967, $E$13:$E967, "Timothy", $M$13:$M967, 1)</f>
        <v>-18.0687</v>
      </c>
      <c r="N3" s="21">
        <f>SUMIFS($G$13:$G967, $E$13:$E967, "Esther", $H$13:$H967, 1)-SUMIFS($G$13:$G967, $E$13:$E967, "Timothy", $N$13:$N967, 1)</f>
        <v>-39.36991333</v>
      </c>
      <c r="O3" s="22">
        <f>SUMIFS($G$13:$G967, $E$13:$E967, "Ken9", $H$13:$H967, 1)-SUMIFS($G$13:$G967, $E$13:$E967, "Timothy", $O$13:$O967,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182">
        <f>SUMIFS($G$13:$G967, $E$13:$E967, "Timothy", $I$13:$I967, 1)-SUMIFS($G$13:$G967, $E$13:$E967, "Rachel", $H$13:$H967, 1)</f>
        <v>35.41761333</v>
      </c>
      <c r="I4" s="20"/>
      <c r="J4" s="182">
        <f>SUMIFS($G$13:$G967, $E$13:$E967, "BL", $I$13:$I967, 1)-SUMIFS($G$13:$G967, $E$13:$E967, "Rachel", $J$13:$J967, 1)</f>
        <v>66.85045333</v>
      </c>
      <c r="K4" s="182">
        <f>SUMIFS($G$13:$G967, $E$13:$E967, "Pigskin", $I$13:$I967, 1)-SUMIFS($G$13:$G967, $E$13:$E967, "Rachel", $K$13:$K967, 1)</f>
        <v>37.45507143</v>
      </c>
      <c r="L4" s="25">
        <f>SUMIFS($G$13:$G967, $E$13:$E967, "Angel", $I$13:$I967, 1)-SUMIFS($G$13:$G967, $E$13:$E967, "Rachel", $L$13:$L967, 1)</f>
        <v>-4.76</v>
      </c>
      <c r="M4" s="25">
        <f>SUMIFS($G$13:$G967, $E$13:$E967, "Ivan", $I$13:$I967, 1)-SUMIFS($G$13:$G967, $E$13:$E967, "Rachel", $M$13:$M967, 1)</f>
        <v>-7.791666667</v>
      </c>
      <c r="N4" s="28">
        <f>SUMIFS($G$13:$G967, $E$13:$E967, "Esther", $I$13:$I967, 1)-SUMIFS($G$13:$G967, $E$13:$E967, "Rachel", $N$13:$N967, 1)</f>
        <v>-17.74766667</v>
      </c>
      <c r="O4" s="31">
        <f>SUMIFS($G$13:$G967, $E$13:$E967, "Ken9", $I$13:$I967, 1)-SUMIFS($G$13:$G967, $E$13:$E967, "Rachel", $O$13:$O967,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117">
        <f>SUMIFS($G$13:$G967, $E$13:$E967, "Timothy", $J$13:$J967, 1)-SUMIFS($G$13:$G967, $E$13:$E967, "BL", $H$13:$H967, 1)</f>
        <v>9.520743333</v>
      </c>
      <c r="I5" s="28">
        <f>SUMIFS($G$13:$G967, $E$13:$E967, "Rachel", $J$13:$J967, 1)-SUMIFS($G$13:$G967, $E$13:$E967, "BL", $I$13:$I967, 1)</f>
        <v>-66.85045333</v>
      </c>
      <c r="J5" s="20"/>
      <c r="K5" s="25">
        <f>SUMIFS($G$13:$G967, $E$13:$E967, "Pigskin", $J$13:$J967, 1)-SUMIFS($G$13:$G967, $E$13:$E967, "BL", $K$13:$K967, 1)</f>
        <v>-119.5203319</v>
      </c>
      <c r="L5" s="28">
        <f>SUMIFS($G$13:$G967, $E$13:$E967, "Angel", $J$13:$J967, 1)-SUMIFS($G$13:$G967, $E$13:$E967, "BL", $L$13:$L967, 1)</f>
        <v>-41.7987</v>
      </c>
      <c r="M5" s="25">
        <f>SUMIFS($G$13:$G967, $E$13:$E967, "Ivan", $J$13:$J967, 1)-SUMIFS($G$13:$G967, $E$13:$E967, "BL", $M$13:$M967, 1)</f>
        <v>-15.4697</v>
      </c>
      <c r="N5" s="28">
        <f>SUMIFS($G$13:$G967, $E$13:$E967, "Esther", $J$13:$J967, 1)-SUMIFS($G$13:$G967, $E$13:$E967, "BL", $N$13:$N967, 1)</f>
        <v>-80.73992</v>
      </c>
      <c r="O5" s="31">
        <f>SUMIFS($G$13:$G967, $E$13:$E967, "Ken9", $J$13:$J967, 1)-SUMIFS($G$13:$G967, $E$13:$E967, "BL", $O$13:$O967,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182">
        <f>SUMIFS($G$13:$G967, $E$13:$E967, "Timothy", $K$13:$K967, 1)-SUMIFS($G$13:$G967, $E$13:$E967, "Pigskin", $H$13:$H967, 1)</f>
        <v>-5.510324762</v>
      </c>
      <c r="I6" s="28">
        <f>SUMIFS($G$13:$G967, $E$13:$E967, "Rachel", $K$13:$K967, 1)-SUMIFS($G$13:$G967, $E$13:$E967, "Pigskin", $I$13:$I967, 1)</f>
        <v>-37.45507143</v>
      </c>
      <c r="J6" s="182">
        <f>SUMIFS($G$13:$G967, $E$13:$E967, "BL", $K$13:$K967, 1)-SUMIFS($G$13:$G967, $E$13:$E967, "Pigskin", $J$13:$J967, 1)</f>
        <v>119.5203319</v>
      </c>
      <c r="K6" s="20"/>
      <c r="L6" s="25">
        <f>SUMIFS($G$13:$G967, $E$13:$E967, "Angel", $K$13:$K967, 1)-SUMIFS($G$13:$G967, $E$13:$E967, "Pigskin", $L$13:$L967, 1)</f>
        <v>-26.3402381</v>
      </c>
      <c r="M6" s="28">
        <f>SUMIFS($G$13:$G967, $E$13:$E967, "Ivan", $K$13:$K967, 1)-SUMIFS($G$13:$G967, $E$13:$E967, "Pigskin", $M$13:$M967, 1)</f>
        <v>-12.42857143</v>
      </c>
      <c r="N6" s="28">
        <f>SUMIFS($G$13:$G967, $E$13:$E967, "Esther", $K$13:$K967, 1)-SUMIFS($G$13:$G967, $E$13:$E967, "Pigskin", $N$13:$N967, 1)</f>
        <v>-22.6702381</v>
      </c>
      <c r="O6" s="31">
        <f>SUMIFS($G$13:$G967, $E$13:$E967, "Ken9", $K$13:$K967, 1)-SUMIFS($G$13:$G967, $E$13:$E967, "Pigskin", $O$13:$O967,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182">
        <f>SUMIFS($G$13:$G967, $E$13:$E967, "Timothy", $L$13:$L967, 1)-SUMIFS($G$13:$G967, $E$13:$E967, "Angel", $H$13:$H967, 1)</f>
        <v>76.0841</v>
      </c>
      <c r="I7" s="182">
        <f>SUMIFS($G$13:$G967, $E$13:$E967, "Rachel", $L$13:$L967, 1)-SUMIFS($G$13:$G967, $E$13:$E967, "Angel", $I$13:$I967, 1)</f>
        <v>4.76</v>
      </c>
      <c r="J7" s="182">
        <f>SUMIFS($G$13:$G967, $E$13:$E967, "BL", $L$13:$L967, 1)-SUMIFS($G$13:$G967, $E$13:$E967, "Angel", $J$13:$J967, 1)</f>
        <v>41.7987</v>
      </c>
      <c r="K7" s="182">
        <f>SUMIFS($G$13:$G967, $E$13:$E967, "Pigskin", $L$13:$L967, 1)-SUMIFS($G$13:$G967, $E$13:$E967, "Angel", $K$13:$K967, 1)</f>
        <v>26.3402381</v>
      </c>
      <c r="L7" s="20"/>
      <c r="M7" s="28">
        <f>SUMIFS($G$13:$G967, $E$13:$E967, "Ivan", $L$13:$L967, 1)-SUMIFS($G$13:$G967, $E$13:$E967, "Angel", $M$13:$M967, 1)</f>
        <v>0</v>
      </c>
      <c r="N7" s="182">
        <f>SUMIFS($G$13:$G967, $E$13:$E967, "Esther", $L$13:$L967, 1)-SUMIFS($G$13:$G967, $E$13:$E967, "Angel", $N$13:$N967, 1)</f>
        <v>32.89</v>
      </c>
      <c r="O7" s="31">
        <f>SUMIFS($G$13:$G967, $E$13:$E967, "Ken9", $L$13:$L967, 1)-SUMIFS($G$13:$G967, $E$13:$E967, "Angel", $O$13:$O967,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182">
        <f>SUMIFS($G$13:$G967, $E$13:$E967, "Timothy", $M$13:$M967, 1)-SUMIFS($G$13:$G967, $E$13:$E967, "Ivan", $H$13:$H967, 1)</f>
        <v>18.0687</v>
      </c>
      <c r="I8" s="182">
        <f>SUMIFS($G$13:$G967, $E$13:$E967, "Rachel", $M$13:$M967, 1)-SUMIFS($G$13:$G967, $E$13:$E967, "Ivan", $I$13:$I967, 1)</f>
        <v>7.791666667</v>
      </c>
      <c r="J8" s="182">
        <f>SUMIFS($G$13:$G967, $E$13:$E967, "BL", $M$13:$M967, 1)-SUMIFS($G$13:$G967, $E$13:$E967, "Ivan", $J$13:$J967, 1)</f>
        <v>15.4697</v>
      </c>
      <c r="K8" s="182">
        <f>SUMIFS($G$13:$G967, $E$13:$E967, "Pigskin", $M$13:$M967, 1)-SUMIFS($G$13:$G967, $E$13:$E967, "Ivan", $K$13:$K967, 1)</f>
        <v>12.42857143</v>
      </c>
      <c r="L8" s="25">
        <f>SUMIFS($G$13:$G967, $E$13:$E967, "Angel", $M$13:$M967, 1)-SUMIFS($G$13:$G967, $E$13:$E967, "Ivan", $L$13:$L967, 1)</f>
        <v>0</v>
      </c>
      <c r="M8" s="20"/>
      <c r="N8" s="28">
        <f>SUMIFS($G$13:$G967, $E$13:$E967, "Esther", $M$13:$M967, 1)-SUMIFS($G$13:$G967, $E$13:$E967, "Ivan", $N$13:$N967, 1)</f>
        <v>0</v>
      </c>
      <c r="O8" s="31">
        <f>SUMIFS($G$13:$G967, $E$13:$E967, "Ken9", $M$13:$M967, 1)-SUMIFS($G$13:$G967, $E$13:$E967, "Ivan", $O$13:$O967,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182">
        <f>SUMIFS($G$13:$G967, $E$13:$E967, "Timothy", $N$13:$N967, 1)-SUMIFS($G$13:$G967, $E$13:$E967, "Esther", $H$13:$H967, 1)</f>
        <v>39.36991333</v>
      </c>
      <c r="I9" s="182">
        <f>SUMIFS($G$13:$G967, $E$13:$E967, "Rachel", $N$13:$N967, 1)-SUMIFS($G$13:$G967, $E$13:$E967, "Esther", $I$13:$I967, 1)</f>
        <v>17.74766667</v>
      </c>
      <c r="J9" s="182">
        <f>SUMIFS($G$13:$G967, $E$13:$E967, "BL", $N$13:$N967, 1)-SUMIFS($G$13:$G967, $E$13:$E967, "Esther", $J$13:$J967, 1)</f>
        <v>80.73992</v>
      </c>
      <c r="K9" s="182">
        <f>SUMIFS($G$13:$G967, $E$13:$E967, "Pigskin", $N$13:$N967, 1)-SUMIFS($G$13:$G967, $E$13:$E967, "Esther", $K$13:$K967, 1)</f>
        <v>22.6702381</v>
      </c>
      <c r="L9" s="25">
        <f>SUMIFS($G$13:$G967, $E$13:$E967, "Angel", $N$13:$N967, 1)-SUMIFS($G$13:$G967, $E$13:$E967, "Esther", $L$13:$L967, 1)</f>
        <v>-32.89</v>
      </c>
      <c r="M9" s="25">
        <f>SUMIFS($G$13:$G967, $E$13:$E967, "Ivan", $N$13:$N967, 1)-SUMIFS($G$13:$G967, $E$13:$E967, "Esther", $M$13:$M967, 1)</f>
        <v>0</v>
      </c>
      <c r="N9" s="20"/>
      <c r="O9" s="31">
        <f>SUMIFS($G$13:$G967, $E$13:$E967, "Ken9", $N$13:$N967, 1)-SUMIFS($G$13:$G967, $E$13:$E967, "Esther", $O$13:$O967,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SUMIFS($G$13:$G967, $E$13:$E967, "Timothy", $O$13:$O967, 1)-SUMIFS($G$13:$G967, $E$13:$E967, "Ken9", $H$13:$H967, 1)</f>
        <v>0</v>
      </c>
      <c r="I10" s="40">
        <f>SUMIFS($G$13:$G967, $E$13:$E967, "Rachel", $O$13:$O967, 1)-SUMIFS($G$13:$G967, $E$13:$E967, "Ken9", $I$13:$I967, 1)</f>
        <v>0</v>
      </c>
      <c r="J10" s="40">
        <f>SUMIFS($G$13:$G967, $E$13:$E967, "BL", $O$13:$O967, 1)-SUMIFS($G$13:$G967, $E$13:$E967, "Ken9", $J$13:$J967, 1)</f>
        <v>0</v>
      </c>
      <c r="K10" s="40">
        <f>SUMIFS($G$13:$G967, $E$13:$E967, "Pigskin", $O$13:$O967, 1)-SUMIFS($G$13:$G967, $E$13:$E967, "Ken9", $K$13:$K967, 1)</f>
        <v>0</v>
      </c>
      <c r="L10" s="40">
        <f>SUMIFS($G$13:$G967, $E$13:$E967, "Angel", $O$13:$O967, 1)-SUMIFS($G$13:$G967, $E$13:$E967, "Ken9", $L$13:$L967, 1)</f>
        <v>0</v>
      </c>
      <c r="M10" s="40">
        <f>SUMIFS($G$13:$G967, $E$13:$E967, "Ivan", $O$13:$O967, 1)-SUMIFS($G$13:$G967, $E$13:$E967, "Ken9", $M$13:$M967, 1)</f>
        <v>0</v>
      </c>
      <c r="N10" s="40">
        <f>SUMIFS($G$13:$G967, $E$13:$E967, "Esther", $O$13:$O967, 1)-SUMIFS($G$13:$G967, $E$13:$E967, "Ken9", $N$13:$N967,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141">
        <v>45326.0</v>
      </c>
      <c r="B13" s="87" t="s">
        <v>489</v>
      </c>
      <c r="C13" s="87" t="s">
        <v>11</v>
      </c>
      <c r="D13" s="87">
        <v>67.0</v>
      </c>
      <c r="E13" s="87" t="s">
        <v>4</v>
      </c>
      <c r="F13" s="67">
        <f t="shared" ref="F13:F53" si="1">D13/sum(H13:O13)</f>
        <v>13.4</v>
      </c>
      <c r="G13" s="10">
        <f t="shared" ref="G13:G53" si="2">D13/sum(H13:O13)</f>
        <v>13.4</v>
      </c>
      <c r="H13" s="66">
        <v>1.0</v>
      </c>
      <c r="I13" s="66">
        <v>1.0</v>
      </c>
      <c r="J13" s="66">
        <v>1.0</v>
      </c>
      <c r="K13" s="66">
        <v>1.0</v>
      </c>
      <c r="L13" s="53"/>
      <c r="M13" s="53"/>
      <c r="N13" s="66">
        <v>1.0</v>
      </c>
      <c r="Z13" s="10"/>
      <c r="AA13" s="10"/>
    </row>
    <row r="14">
      <c r="A14" s="141">
        <v>45324.0</v>
      </c>
      <c r="B14" s="87" t="s">
        <v>490</v>
      </c>
      <c r="C14" s="87" t="s">
        <v>11</v>
      </c>
      <c r="D14" s="87">
        <v>46.75</v>
      </c>
      <c r="E14" s="87" t="s">
        <v>4</v>
      </c>
      <c r="F14" s="67">
        <f t="shared" si="1"/>
        <v>7.791666667</v>
      </c>
      <c r="G14" s="10">
        <f t="shared" si="2"/>
        <v>7.791666667</v>
      </c>
      <c r="H14" s="66">
        <v>1.0</v>
      </c>
      <c r="I14" s="66">
        <v>1.0</v>
      </c>
      <c r="J14" s="66">
        <v>1.0</v>
      </c>
      <c r="K14" s="66">
        <v>1.0</v>
      </c>
      <c r="L14" s="53"/>
      <c r="M14" s="66">
        <v>1.0</v>
      </c>
      <c r="N14" s="66">
        <v>1.0</v>
      </c>
      <c r="Z14" s="10"/>
      <c r="AA14" s="10"/>
    </row>
    <row r="15">
      <c r="A15" s="141">
        <v>45324.0</v>
      </c>
      <c r="B15" s="87" t="s">
        <v>491</v>
      </c>
      <c r="C15" s="87" t="s">
        <v>25</v>
      </c>
      <c r="D15" s="183">
        <f t="shared" ref="D15:D16" si="3">8.59*1.13</f>
        <v>9.7067</v>
      </c>
      <c r="E15" s="87" t="s">
        <v>2</v>
      </c>
      <c r="F15" s="67">
        <f t="shared" si="1"/>
        <v>1.94134</v>
      </c>
      <c r="G15" s="10">
        <f t="shared" si="2"/>
        <v>1.94134</v>
      </c>
      <c r="H15" s="66">
        <v>1.0</v>
      </c>
      <c r="I15" s="66">
        <v>1.0</v>
      </c>
      <c r="J15" s="66">
        <v>1.0</v>
      </c>
      <c r="K15" s="66">
        <v>1.0</v>
      </c>
      <c r="L15" s="53"/>
      <c r="M15" s="53"/>
      <c r="N15" s="66">
        <v>1.0</v>
      </c>
      <c r="Z15" s="10"/>
      <c r="AA15" s="10"/>
    </row>
    <row r="16">
      <c r="A16" s="174"/>
      <c r="B16" s="87" t="s">
        <v>491</v>
      </c>
      <c r="C16" s="87" t="s">
        <v>25</v>
      </c>
      <c r="D16" s="183">
        <f t="shared" si="3"/>
        <v>9.7067</v>
      </c>
      <c r="E16" s="87" t="s">
        <v>2</v>
      </c>
      <c r="F16" s="67">
        <f t="shared" si="1"/>
        <v>9.7067</v>
      </c>
      <c r="G16" s="10">
        <f t="shared" si="2"/>
        <v>9.7067</v>
      </c>
      <c r="H16" s="53"/>
      <c r="I16" s="53"/>
      <c r="J16" s="53"/>
      <c r="K16" s="53"/>
      <c r="L16" s="66">
        <v>1.0</v>
      </c>
      <c r="M16" s="53"/>
      <c r="N16" s="53"/>
      <c r="Z16" s="10"/>
      <c r="AA16" s="10"/>
    </row>
    <row r="17">
      <c r="A17" s="174"/>
      <c r="B17" s="87" t="s">
        <v>492</v>
      </c>
      <c r="C17" s="87" t="s">
        <v>25</v>
      </c>
      <c r="D17" s="183">
        <f>12.45*1.13</f>
        <v>14.0685</v>
      </c>
      <c r="E17" s="87" t="s">
        <v>2</v>
      </c>
      <c r="F17" s="67">
        <f t="shared" si="1"/>
        <v>7.03425</v>
      </c>
      <c r="G17" s="10">
        <f t="shared" si="2"/>
        <v>7.03425</v>
      </c>
      <c r="H17" s="66">
        <v>1.0</v>
      </c>
      <c r="I17" s="53"/>
      <c r="J17" s="66">
        <v>1.0</v>
      </c>
      <c r="K17" s="53"/>
      <c r="L17" s="53"/>
      <c r="M17" s="53"/>
      <c r="N17" s="53"/>
      <c r="Z17" s="10"/>
      <c r="AA17" s="10"/>
    </row>
    <row r="18">
      <c r="A18" s="174"/>
      <c r="B18" s="87" t="s">
        <v>493</v>
      </c>
      <c r="C18" s="87" t="s">
        <v>23</v>
      </c>
      <c r="D18" s="183">
        <f>3.59*1.13</f>
        <v>4.0567</v>
      </c>
      <c r="E18" s="87" t="s">
        <v>2</v>
      </c>
      <c r="F18" s="67">
        <f t="shared" si="1"/>
        <v>0.81134</v>
      </c>
      <c r="G18" s="10">
        <f t="shared" si="2"/>
        <v>0.81134</v>
      </c>
      <c r="H18" s="66">
        <v>1.0</v>
      </c>
      <c r="I18" s="66">
        <v>1.0</v>
      </c>
      <c r="J18" s="66">
        <v>1.0</v>
      </c>
      <c r="K18" s="66">
        <v>1.0</v>
      </c>
      <c r="L18" s="53"/>
      <c r="M18" s="53"/>
      <c r="N18" s="66">
        <v>1.0</v>
      </c>
      <c r="Z18" s="10"/>
      <c r="AA18" s="10"/>
    </row>
    <row r="19">
      <c r="A19" s="174"/>
      <c r="B19" s="87" t="s">
        <v>494</v>
      </c>
      <c r="C19" s="87" t="s">
        <v>27</v>
      </c>
      <c r="D19" s="183">
        <f>1.61*1.13</f>
        <v>1.8193</v>
      </c>
      <c r="E19" s="87" t="s">
        <v>2</v>
      </c>
      <c r="F19" s="67">
        <f t="shared" si="1"/>
        <v>1.8193</v>
      </c>
      <c r="G19" s="10">
        <f t="shared" si="2"/>
        <v>1.8193</v>
      </c>
      <c r="H19" s="66">
        <v>1.0</v>
      </c>
      <c r="I19" s="53"/>
      <c r="J19" s="53"/>
      <c r="K19" s="53"/>
      <c r="L19" s="53"/>
      <c r="M19" s="53"/>
      <c r="N19" s="53"/>
      <c r="Z19" s="10"/>
      <c r="AA19" s="10"/>
    </row>
    <row r="20">
      <c r="A20" s="174"/>
      <c r="B20" s="87" t="s">
        <v>495</v>
      </c>
      <c r="C20" s="87" t="s">
        <v>23</v>
      </c>
      <c r="D20" s="183">
        <f>10.49*1.13</f>
        <v>11.8537</v>
      </c>
      <c r="E20" s="87" t="s">
        <v>2</v>
      </c>
      <c r="F20" s="67">
        <f t="shared" si="1"/>
        <v>2.37074</v>
      </c>
      <c r="G20" s="10">
        <f t="shared" si="2"/>
        <v>2.37074</v>
      </c>
      <c r="H20" s="66">
        <v>1.0</v>
      </c>
      <c r="I20" s="66">
        <v>1.0</v>
      </c>
      <c r="J20" s="66">
        <v>1.0</v>
      </c>
      <c r="K20" s="66">
        <v>1.0</v>
      </c>
      <c r="L20" s="53"/>
      <c r="M20" s="53"/>
      <c r="N20" s="66">
        <v>1.0</v>
      </c>
      <c r="Z20" s="10"/>
      <c r="AA20" s="10"/>
    </row>
    <row r="21">
      <c r="A21" s="174"/>
      <c r="B21" s="87" t="s">
        <v>496</v>
      </c>
      <c r="C21" s="87" t="s">
        <v>23</v>
      </c>
      <c r="D21" s="183">
        <f>2.09*1.13</f>
        <v>2.3617</v>
      </c>
      <c r="E21" s="87" t="s">
        <v>2</v>
      </c>
      <c r="F21" s="67">
        <f t="shared" si="1"/>
        <v>0.47234</v>
      </c>
      <c r="G21" s="10">
        <f t="shared" si="2"/>
        <v>0.47234</v>
      </c>
      <c r="H21" s="66">
        <v>1.0</v>
      </c>
      <c r="I21" s="66">
        <v>1.0</v>
      </c>
      <c r="J21" s="66">
        <v>1.0</v>
      </c>
      <c r="K21" s="66">
        <v>1.0</v>
      </c>
      <c r="L21" s="53"/>
      <c r="M21" s="53"/>
      <c r="N21" s="66">
        <v>1.0</v>
      </c>
      <c r="Z21" s="10"/>
      <c r="AA21" s="10"/>
    </row>
    <row r="22">
      <c r="A22" s="174"/>
      <c r="B22" s="87" t="s">
        <v>497</v>
      </c>
      <c r="C22" s="87" t="s">
        <v>23</v>
      </c>
      <c r="D22" s="183">
        <f>13.78*1.13</f>
        <v>15.5714</v>
      </c>
      <c r="E22" s="87" t="s">
        <v>2</v>
      </c>
      <c r="F22" s="67">
        <f t="shared" si="1"/>
        <v>3.11428</v>
      </c>
      <c r="G22" s="10">
        <f t="shared" si="2"/>
        <v>3.11428</v>
      </c>
      <c r="H22" s="66">
        <v>1.0</v>
      </c>
      <c r="I22" s="66">
        <v>1.0</v>
      </c>
      <c r="J22" s="66">
        <v>1.0</v>
      </c>
      <c r="K22" s="66">
        <v>1.0</v>
      </c>
      <c r="L22" s="53"/>
      <c r="M22" s="53"/>
      <c r="N22" s="66">
        <v>1.0</v>
      </c>
      <c r="O22" s="18"/>
      <c r="Z22" s="10"/>
      <c r="AA22" s="10"/>
    </row>
    <row r="23">
      <c r="A23" s="174"/>
      <c r="B23" s="87" t="s">
        <v>498</v>
      </c>
      <c r="C23" s="87" t="s">
        <v>23</v>
      </c>
      <c r="D23" s="183">
        <f>2.98*1.13</f>
        <v>3.3674</v>
      </c>
      <c r="E23" s="87" t="s">
        <v>2</v>
      </c>
      <c r="F23" s="67">
        <f t="shared" si="1"/>
        <v>3.3674</v>
      </c>
      <c r="G23" s="10">
        <f t="shared" si="2"/>
        <v>3.3674</v>
      </c>
      <c r="H23" s="66">
        <v>1.0</v>
      </c>
      <c r="I23" s="53"/>
      <c r="J23" s="53"/>
      <c r="K23" s="53"/>
      <c r="L23" s="53"/>
      <c r="M23" s="53"/>
      <c r="N23" s="53"/>
      <c r="Z23" s="10"/>
      <c r="AA23" s="10"/>
    </row>
    <row r="24">
      <c r="A24" s="174"/>
      <c r="B24" s="87" t="s">
        <v>499</v>
      </c>
      <c r="C24" s="87" t="s">
        <v>23</v>
      </c>
      <c r="D24" s="87">
        <f>6.29*1.13</f>
        <v>7.1077</v>
      </c>
      <c r="E24" s="87" t="s">
        <v>2</v>
      </c>
      <c r="F24" s="67">
        <f t="shared" si="1"/>
        <v>1.42154</v>
      </c>
      <c r="G24" s="10">
        <f t="shared" si="2"/>
        <v>1.42154</v>
      </c>
      <c r="H24" s="66">
        <v>1.0</v>
      </c>
      <c r="I24" s="66">
        <v>1.0</v>
      </c>
      <c r="J24" s="66">
        <v>1.0</v>
      </c>
      <c r="K24" s="66">
        <v>1.0</v>
      </c>
      <c r="L24" s="53"/>
      <c r="M24" s="53"/>
      <c r="N24" s="66">
        <v>1.0</v>
      </c>
      <c r="Z24" s="10"/>
      <c r="AA24" s="10"/>
    </row>
    <row r="25">
      <c r="A25" s="174"/>
      <c r="B25" s="87" t="s">
        <v>500</v>
      </c>
      <c r="C25" s="87" t="s">
        <v>23</v>
      </c>
      <c r="D25" s="87">
        <f>2.78*1.13</f>
        <v>3.1414</v>
      </c>
      <c r="E25" s="87" t="s">
        <v>2</v>
      </c>
      <c r="F25" s="67">
        <f t="shared" si="1"/>
        <v>0.62828</v>
      </c>
      <c r="G25" s="10">
        <f t="shared" si="2"/>
        <v>0.62828</v>
      </c>
      <c r="H25" s="66">
        <v>1.0</v>
      </c>
      <c r="I25" s="66">
        <v>1.0</v>
      </c>
      <c r="J25" s="66">
        <v>1.0</v>
      </c>
      <c r="K25" s="66">
        <v>1.0</v>
      </c>
      <c r="L25" s="53"/>
      <c r="M25" s="53"/>
      <c r="N25" s="66">
        <v>1.0</v>
      </c>
      <c r="Z25" s="10"/>
      <c r="AA25" s="10"/>
    </row>
    <row r="26">
      <c r="A26" s="174"/>
      <c r="B26" s="87" t="s">
        <v>501</v>
      </c>
      <c r="C26" s="87" t="s">
        <v>23</v>
      </c>
      <c r="D26" s="87">
        <f>3.98*1.13</f>
        <v>4.4974</v>
      </c>
      <c r="E26" s="87" t="s">
        <v>2</v>
      </c>
      <c r="F26" s="67">
        <f t="shared" si="1"/>
        <v>2.2487</v>
      </c>
      <c r="G26" s="10">
        <f t="shared" si="2"/>
        <v>2.2487</v>
      </c>
      <c r="H26" s="66">
        <v>1.0</v>
      </c>
      <c r="I26" s="53"/>
      <c r="J26" s="66">
        <v>1.0</v>
      </c>
      <c r="K26" s="53"/>
      <c r="L26" s="53"/>
      <c r="M26" s="53"/>
      <c r="N26" s="53"/>
      <c r="Z26" s="10"/>
      <c r="AA26" s="10"/>
    </row>
    <row r="27">
      <c r="A27" s="174"/>
      <c r="B27" s="87" t="s">
        <v>502</v>
      </c>
      <c r="C27" s="87" t="s">
        <v>23</v>
      </c>
      <c r="D27" s="87">
        <f>1.98*1.13</f>
        <v>2.2374</v>
      </c>
      <c r="E27" s="87" t="s">
        <v>2</v>
      </c>
      <c r="F27" s="67">
        <f t="shared" si="1"/>
        <v>2.2374</v>
      </c>
      <c r="G27" s="10">
        <f t="shared" si="2"/>
        <v>2.2374</v>
      </c>
      <c r="H27" s="66">
        <v>1.0</v>
      </c>
      <c r="I27" s="53"/>
      <c r="J27" s="53"/>
      <c r="K27" s="53"/>
      <c r="L27" s="53"/>
      <c r="M27" s="53"/>
      <c r="N27" s="53"/>
      <c r="Z27" s="10"/>
      <c r="AA27" s="10"/>
    </row>
    <row r="28">
      <c r="A28" s="174"/>
      <c r="B28" s="87" t="s">
        <v>503</v>
      </c>
      <c r="C28" s="87" t="s">
        <v>27</v>
      </c>
      <c r="D28" s="87">
        <f>3.22*1.13</f>
        <v>3.6386</v>
      </c>
      <c r="E28" s="87" t="s">
        <v>2</v>
      </c>
      <c r="F28" s="67">
        <f t="shared" si="1"/>
        <v>0.72772</v>
      </c>
      <c r="G28" s="10">
        <f t="shared" si="2"/>
        <v>0.72772</v>
      </c>
      <c r="H28" s="66">
        <v>1.0</v>
      </c>
      <c r="I28" s="66">
        <v>1.0</v>
      </c>
      <c r="J28" s="66">
        <v>1.0</v>
      </c>
      <c r="K28" s="66">
        <v>1.0</v>
      </c>
      <c r="L28" s="53"/>
      <c r="M28" s="53"/>
      <c r="N28" s="66">
        <v>1.0</v>
      </c>
      <c r="Z28" s="10"/>
      <c r="AA28" s="10"/>
    </row>
    <row r="29">
      <c r="A29" s="174"/>
      <c r="B29" s="87" t="s">
        <v>504</v>
      </c>
      <c r="C29" s="87" t="s">
        <v>23</v>
      </c>
      <c r="D29" s="87">
        <f>5.39*1.13</f>
        <v>6.0907</v>
      </c>
      <c r="E29" s="87" t="s">
        <v>2</v>
      </c>
      <c r="F29" s="67">
        <f t="shared" si="1"/>
        <v>1.21814</v>
      </c>
      <c r="G29" s="10">
        <f t="shared" si="2"/>
        <v>1.21814</v>
      </c>
      <c r="H29" s="66">
        <v>1.0</v>
      </c>
      <c r="I29" s="66">
        <v>1.0</v>
      </c>
      <c r="J29" s="66">
        <v>1.0</v>
      </c>
      <c r="K29" s="66">
        <v>1.0</v>
      </c>
      <c r="L29" s="53"/>
      <c r="M29" s="53"/>
      <c r="N29" s="66">
        <v>1.0</v>
      </c>
      <c r="Z29" s="10"/>
      <c r="AA29" s="10"/>
    </row>
    <row r="30">
      <c r="A30" s="174"/>
      <c r="B30" s="87" t="s">
        <v>505</v>
      </c>
      <c r="C30" s="87" t="s">
        <v>25</v>
      </c>
      <c r="D30" s="87">
        <f>9.33*1.13</f>
        <v>10.5429</v>
      </c>
      <c r="E30" s="87" t="s">
        <v>2</v>
      </c>
      <c r="F30" s="67">
        <f t="shared" si="1"/>
        <v>5.27145</v>
      </c>
      <c r="G30" s="10">
        <f t="shared" si="2"/>
        <v>5.27145</v>
      </c>
      <c r="H30" s="66">
        <v>1.0</v>
      </c>
      <c r="I30" s="66">
        <v>1.0</v>
      </c>
      <c r="J30" s="53"/>
      <c r="K30" s="53"/>
      <c r="L30" s="53"/>
      <c r="M30" s="53"/>
      <c r="N30" s="53"/>
      <c r="Z30" s="10"/>
      <c r="AA30" s="10"/>
    </row>
    <row r="31">
      <c r="A31" s="174"/>
      <c r="B31" s="87" t="s">
        <v>506</v>
      </c>
      <c r="C31" s="87" t="s">
        <v>23</v>
      </c>
      <c r="D31" s="87">
        <f>1.99*1.13</f>
        <v>2.2487</v>
      </c>
      <c r="E31" s="87" t="s">
        <v>2</v>
      </c>
      <c r="F31" s="67">
        <f t="shared" si="1"/>
        <v>0.44974</v>
      </c>
      <c r="G31" s="10">
        <f t="shared" si="2"/>
        <v>0.44974</v>
      </c>
      <c r="H31" s="66">
        <v>1.0</v>
      </c>
      <c r="I31" s="66">
        <v>1.0</v>
      </c>
      <c r="J31" s="66">
        <v>1.0</v>
      </c>
      <c r="K31" s="66">
        <v>1.0</v>
      </c>
      <c r="L31" s="53"/>
      <c r="M31" s="53"/>
      <c r="N31" s="66">
        <v>1.0</v>
      </c>
      <c r="Z31" s="10"/>
      <c r="AA31" s="10"/>
    </row>
    <row r="32">
      <c r="A32" s="174"/>
      <c r="B32" s="87" t="s">
        <v>507</v>
      </c>
      <c r="C32" s="87" t="s">
        <v>23</v>
      </c>
      <c r="D32" s="87">
        <f>4.13*1.13</f>
        <v>4.6669</v>
      </c>
      <c r="E32" s="87" t="s">
        <v>2</v>
      </c>
      <c r="F32" s="67">
        <f t="shared" si="1"/>
        <v>0.93338</v>
      </c>
      <c r="G32" s="10">
        <f t="shared" si="2"/>
        <v>0.93338</v>
      </c>
      <c r="H32" s="66">
        <v>1.0</v>
      </c>
      <c r="I32" s="66">
        <v>1.0</v>
      </c>
      <c r="J32" s="66">
        <v>1.0</v>
      </c>
      <c r="K32" s="66">
        <v>1.0</v>
      </c>
      <c r="L32" s="53"/>
      <c r="M32" s="53"/>
      <c r="N32" s="66">
        <v>1.0</v>
      </c>
      <c r="Z32" s="10"/>
      <c r="AA32" s="10"/>
    </row>
    <row r="33">
      <c r="A33" s="174"/>
      <c r="B33" s="87" t="s">
        <v>508</v>
      </c>
      <c r="C33" s="87" t="s">
        <v>23</v>
      </c>
      <c r="D33" s="87">
        <f>7.64*1.13</f>
        <v>8.6332</v>
      </c>
      <c r="E33" s="87" t="s">
        <v>2</v>
      </c>
      <c r="F33" s="67">
        <f t="shared" si="1"/>
        <v>1.72664</v>
      </c>
      <c r="G33" s="10">
        <f t="shared" si="2"/>
        <v>1.72664</v>
      </c>
      <c r="H33" s="66">
        <v>1.0</v>
      </c>
      <c r="I33" s="66">
        <v>1.0</v>
      </c>
      <c r="J33" s="66">
        <v>1.0</v>
      </c>
      <c r="K33" s="66">
        <v>1.0</v>
      </c>
      <c r="L33" s="53"/>
      <c r="M33" s="53"/>
      <c r="N33" s="66">
        <v>1.0</v>
      </c>
      <c r="Z33" s="10"/>
      <c r="AA33" s="10"/>
    </row>
    <row r="34">
      <c r="A34" s="175"/>
      <c r="B34" s="87" t="s">
        <v>509</v>
      </c>
      <c r="C34" s="87" t="s">
        <v>23</v>
      </c>
      <c r="D34" s="87">
        <f>0.88*1.13</f>
        <v>0.9944</v>
      </c>
      <c r="E34" s="87" t="s">
        <v>2</v>
      </c>
      <c r="F34" s="67">
        <f t="shared" si="1"/>
        <v>0.9944</v>
      </c>
      <c r="G34" s="10">
        <f t="shared" si="2"/>
        <v>0.9944</v>
      </c>
      <c r="H34" s="66">
        <v>1.0</v>
      </c>
      <c r="I34" s="53"/>
      <c r="J34" s="53"/>
      <c r="K34" s="53"/>
      <c r="L34" s="53"/>
      <c r="M34" s="53"/>
      <c r="N34" s="53"/>
      <c r="Z34" s="10"/>
      <c r="AA34" s="10"/>
    </row>
    <row r="35">
      <c r="A35" s="175"/>
      <c r="B35" s="87" t="s">
        <v>510</v>
      </c>
      <c r="C35" s="87" t="s">
        <v>23</v>
      </c>
      <c r="D35" s="87">
        <f>2.52*1.13</f>
        <v>2.8476</v>
      </c>
      <c r="E35" s="87" t="s">
        <v>2</v>
      </c>
      <c r="F35" s="67">
        <f t="shared" si="1"/>
        <v>0.56952</v>
      </c>
      <c r="G35" s="10">
        <f t="shared" si="2"/>
        <v>0.56952</v>
      </c>
      <c r="H35" s="66">
        <v>1.0</v>
      </c>
      <c r="I35" s="66">
        <v>1.0</v>
      </c>
      <c r="J35" s="66">
        <v>1.0</v>
      </c>
      <c r="K35" s="66">
        <v>1.0</v>
      </c>
      <c r="L35" s="53"/>
      <c r="M35" s="53"/>
      <c r="N35" s="66">
        <v>1.0</v>
      </c>
      <c r="Z35" s="10"/>
      <c r="AA35" s="10"/>
    </row>
    <row r="36">
      <c r="A36" s="175"/>
      <c r="B36" s="87" t="s">
        <v>511</v>
      </c>
      <c r="C36" s="87" t="s">
        <v>139</v>
      </c>
      <c r="D36" s="87">
        <f>0.89*1.13</f>
        <v>1.0057</v>
      </c>
      <c r="E36" s="87" t="s">
        <v>2</v>
      </c>
      <c r="F36" s="67">
        <f t="shared" si="1"/>
        <v>1.0057</v>
      </c>
      <c r="G36" s="10">
        <f t="shared" si="2"/>
        <v>1.0057</v>
      </c>
      <c r="H36" s="53"/>
      <c r="I36" s="66">
        <v>1.0</v>
      </c>
      <c r="J36" s="53"/>
      <c r="K36" s="53"/>
      <c r="L36" s="53"/>
      <c r="M36" s="53"/>
      <c r="N36" s="53"/>
      <c r="Z36" s="10"/>
      <c r="AA36" s="10"/>
    </row>
    <row r="37">
      <c r="A37" s="175"/>
      <c r="B37" s="87" t="s">
        <v>512</v>
      </c>
      <c r="C37" s="87" t="s">
        <v>23</v>
      </c>
      <c r="D37" s="87">
        <f>11.44*1.13</f>
        <v>12.9272</v>
      </c>
      <c r="E37" s="87" t="s">
        <v>2</v>
      </c>
      <c r="F37" s="67">
        <f t="shared" si="1"/>
        <v>2.58544</v>
      </c>
      <c r="G37" s="10">
        <f t="shared" si="2"/>
        <v>2.58544</v>
      </c>
      <c r="H37" s="66">
        <v>1.0</v>
      </c>
      <c r="I37" s="66">
        <v>1.0</v>
      </c>
      <c r="J37" s="66">
        <v>1.0</v>
      </c>
      <c r="K37" s="66">
        <v>1.0</v>
      </c>
      <c r="L37" s="53"/>
      <c r="M37" s="53"/>
      <c r="N37" s="66">
        <v>1.0</v>
      </c>
      <c r="Z37" s="10"/>
      <c r="AA37" s="10"/>
    </row>
    <row r="38">
      <c r="A38" s="175"/>
      <c r="B38" s="87" t="s">
        <v>513</v>
      </c>
      <c r="C38" s="87" t="s">
        <v>23</v>
      </c>
      <c r="D38" s="87">
        <f>5.79*1.13</f>
        <v>6.5427</v>
      </c>
      <c r="E38" s="87" t="s">
        <v>2</v>
      </c>
      <c r="F38" s="67">
        <f t="shared" si="1"/>
        <v>1.30854</v>
      </c>
      <c r="G38" s="10">
        <f t="shared" si="2"/>
        <v>1.30854</v>
      </c>
      <c r="H38" s="66">
        <v>1.0</v>
      </c>
      <c r="I38" s="66">
        <v>1.0</v>
      </c>
      <c r="J38" s="66">
        <v>1.0</v>
      </c>
      <c r="K38" s="66">
        <v>1.0</v>
      </c>
      <c r="L38" s="53"/>
      <c r="M38" s="53"/>
      <c r="N38" s="66">
        <v>1.0</v>
      </c>
      <c r="Z38" s="10"/>
      <c r="AA38" s="10"/>
    </row>
    <row r="39">
      <c r="A39" s="174"/>
      <c r="B39" s="87" t="s">
        <v>514</v>
      </c>
      <c r="C39" s="87" t="s">
        <v>27</v>
      </c>
      <c r="D39" s="183">
        <f>7.03*1.13</f>
        <v>7.9439</v>
      </c>
      <c r="E39" s="87" t="s">
        <v>2</v>
      </c>
      <c r="F39" s="67">
        <f t="shared" si="1"/>
        <v>3.97195</v>
      </c>
      <c r="G39" s="10">
        <f t="shared" si="2"/>
        <v>3.97195</v>
      </c>
      <c r="H39" s="66">
        <v>1.0</v>
      </c>
      <c r="I39" s="66">
        <v>1.0</v>
      </c>
      <c r="J39" s="53"/>
      <c r="K39" s="53"/>
      <c r="L39" s="53"/>
      <c r="M39" s="53"/>
      <c r="N39" s="53"/>
      <c r="Z39" s="10"/>
      <c r="AA39" s="10"/>
    </row>
    <row r="40">
      <c r="A40" s="55">
        <v>45567.0</v>
      </c>
      <c r="B40" s="12" t="s">
        <v>515</v>
      </c>
      <c r="C40" s="12" t="s">
        <v>11</v>
      </c>
      <c r="D40" s="12">
        <v>28.81</v>
      </c>
      <c r="E40" s="12" t="s">
        <v>7</v>
      </c>
      <c r="F40" s="67">
        <f t="shared" si="1"/>
        <v>5.762</v>
      </c>
      <c r="G40" s="10">
        <f t="shared" si="2"/>
        <v>5.762</v>
      </c>
      <c r="H40" s="52">
        <v>1.0</v>
      </c>
      <c r="I40" s="52">
        <v>1.0</v>
      </c>
      <c r="J40" s="54">
        <v>1.0</v>
      </c>
      <c r="K40" s="54">
        <v>1.0</v>
      </c>
      <c r="L40" s="54"/>
      <c r="M40" s="53"/>
      <c r="N40" s="54">
        <v>1.0</v>
      </c>
      <c r="Z40" s="10"/>
      <c r="AA40" s="10"/>
    </row>
    <row r="41">
      <c r="A41" s="55">
        <v>45573.0</v>
      </c>
      <c r="B41" s="12" t="s">
        <v>516</v>
      </c>
      <c r="C41" s="12" t="s">
        <v>11</v>
      </c>
      <c r="D41" s="12">
        <v>51.64</v>
      </c>
      <c r="E41" s="12" t="s">
        <v>4</v>
      </c>
      <c r="F41" s="67">
        <f t="shared" si="1"/>
        <v>10.328</v>
      </c>
      <c r="G41" s="10">
        <f t="shared" si="2"/>
        <v>10.328</v>
      </c>
      <c r="H41" s="1">
        <v>1.0</v>
      </c>
      <c r="I41" s="1">
        <v>1.0</v>
      </c>
      <c r="J41" s="1">
        <v>1.0</v>
      </c>
      <c r="K41" s="1">
        <v>1.0</v>
      </c>
      <c r="N41" s="1">
        <v>1.0</v>
      </c>
      <c r="Z41" s="10"/>
      <c r="AA41" s="10"/>
    </row>
    <row r="42">
      <c r="A42" s="55">
        <v>45573.0</v>
      </c>
      <c r="B42" s="12" t="s">
        <v>516</v>
      </c>
      <c r="C42" s="12" t="s">
        <v>11</v>
      </c>
      <c r="D42" s="12">
        <v>33.94</v>
      </c>
      <c r="E42" s="12" t="s">
        <v>4</v>
      </c>
      <c r="F42" s="67">
        <f t="shared" si="1"/>
        <v>6.788</v>
      </c>
      <c r="G42" s="10">
        <f t="shared" si="2"/>
        <v>6.788</v>
      </c>
      <c r="H42" s="1">
        <v>1.0</v>
      </c>
      <c r="I42" s="1">
        <v>1.0</v>
      </c>
      <c r="J42" s="1">
        <v>1.0</v>
      </c>
      <c r="K42" s="1">
        <v>1.0</v>
      </c>
      <c r="N42" s="1">
        <v>1.0</v>
      </c>
      <c r="Z42" s="10"/>
      <c r="AA42" s="10"/>
    </row>
    <row r="43">
      <c r="A43" s="55">
        <v>45331.0</v>
      </c>
      <c r="B43" s="12" t="s">
        <v>516</v>
      </c>
      <c r="C43" s="12" t="s">
        <v>11</v>
      </c>
      <c r="D43" s="12">
        <v>13.5</v>
      </c>
      <c r="E43" s="12" t="s">
        <v>13</v>
      </c>
      <c r="F43" s="67">
        <f t="shared" si="1"/>
        <v>2.7</v>
      </c>
      <c r="G43" s="10">
        <f t="shared" si="2"/>
        <v>2.7</v>
      </c>
      <c r="H43" s="1">
        <v>1.0</v>
      </c>
      <c r="I43" s="1">
        <v>1.0</v>
      </c>
      <c r="J43" s="1">
        <v>1.0</v>
      </c>
      <c r="K43" s="1">
        <v>1.0</v>
      </c>
      <c r="N43" s="1">
        <v>1.0</v>
      </c>
      <c r="Z43" s="10"/>
      <c r="AA43" s="10"/>
    </row>
    <row r="44">
      <c r="A44" s="55">
        <v>45330.0</v>
      </c>
      <c r="B44" s="12" t="s">
        <v>517</v>
      </c>
      <c r="C44" s="12" t="s">
        <v>23</v>
      </c>
      <c r="D44" s="12">
        <v>5.06</v>
      </c>
      <c r="E44" s="12" t="s">
        <v>13</v>
      </c>
      <c r="F44" s="67">
        <f t="shared" si="1"/>
        <v>5.06</v>
      </c>
      <c r="G44" s="10">
        <f t="shared" si="2"/>
        <v>5.06</v>
      </c>
      <c r="J44" s="1">
        <v>1.0</v>
      </c>
      <c r="Z44" s="10"/>
      <c r="AA44" s="10"/>
    </row>
    <row r="45">
      <c r="A45" s="55">
        <v>45330.0</v>
      </c>
      <c r="B45" s="12" t="s">
        <v>518</v>
      </c>
      <c r="C45" s="12" t="s">
        <v>23</v>
      </c>
      <c r="D45" s="12">
        <v>1.12</v>
      </c>
      <c r="E45" s="12" t="s">
        <v>14</v>
      </c>
      <c r="F45" s="67">
        <f t="shared" si="1"/>
        <v>0.224</v>
      </c>
      <c r="G45" s="10">
        <f t="shared" si="2"/>
        <v>0.224</v>
      </c>
      <c r="H45" s="1">
        <v>1.0</v>
      </c>
      <c r="I45" s="1">
        <v>1.0</v>
      </c>
      <c r="J45" s="1">
        <v>1.0</v>
      </c>
      <c r="K45" s="1">
        <v>1.0</v>
      </c>
      <c r="N45" s="1">
        <v>1.0</v>
      </c>
      <c r="Z45" s="10"/>
      <c r="AA45" s="10"/>
    </row>
    <row r="46">
      <c r="A46" s="55">
        <v>45329.0</v>
      </c>
      <c r="B46" s="12" t="s">
        <v>422</v>
      </c>
      <c r="C46" s="12" t="s">
        <v>11</v>
      </c>
      <c r="D46" s="12">
        <v>45.57</v>
      </c>
      <c r="E46" s="12" t="s">
        <v>13</v>
      </c>
      <c r="F46" s="67">
        <f t="shared" si="1"/>
        <v>9.114</v>
      </c>
      <c r="G46" s="10">
        <f t="shared" si="2"/>
        <v>9.114</v>
      </c>
      <c r="H46" s="1">
        <v>1.0</v>
      </c>
      <c r="I46" s="1">
        <v>1.0</v>
      </c>
      <c r="J46" s="1">
        <v>1.0</v>
      </c>
      <c r="K46" s="1">
        <v>1.0</v>
      </c>
      <c r="N46" s="1">
        <v>1.0</v>
      </c>
      <c r="Z46" s="10"/>
      <c r="AA46" s="10"/>
    </row>
    <row r="47">
      <c r="A47" s="55">
        <v>45325.0</v>
      </c>
      <c r="B47" s="12" t="s">
        <v>417</v>
      </c>
      <c r="C47" s="12" t="s">
        <v>11</v>
      </c>
      <c r="D47" s="12">
        <v>12.78</v>
      </c>
      <c r="E47" s="12" t="s">
        <v>14</v>
      </c>
      <c r="F47" s="67">
        <f t="shared" si="1"/>
        <v>2.556</v>
      </c>
      <c r="G47" s="10">
        <f t="shared" si="2"/>
        <v>2.556</v>
      </c>
      <c r="H47" s="1">
        <v>1.0</v>
      </c>
      <c r="I47" s="1">
        <v>1.0</v>
      </c>
      <c r="J47" s="1">
        <v>1.0</v>
      </c>
      <c r="K47" s="1">
        <v>1.0</v>
      </c>
      <c r="N47" s="1">
        <v>1.0</v>
      </c>
      <c r="Z47" s="10"/>
      <c r="AA47" s="10"/>
    </row>
    <row r="48">
      <c r="A48" s="55">
        <v>45323.0</v>
      </c>
      <c r="B48" s="12" t="s">
        <v>422</v>
      </c>
      <c r="C48" s="12" t="s">
        <v>11</v>
      </c>
      <c r="D48" s="12">
        <v>16.78</v>
      </c>
      <c r="E48" s="12" t="s">
        <v>13</v>
      </c>
      <c r="F48" s="67">
        <f t="shared" si="1"/>
        <v>3.356</v>
      </c>
      <c r="G48" s="10">
        <f t="shared" si="2"/>
        <v>3.356</v>
      </c>
      <c r="H48" s="1">
        <v>1.0</v>
      </c>
      <c r="I48" s="1">
        <v>1.0</v>
      </c>
      <c r="J48" s="1">
        <v>1.0</v>
      </c>
      <c r="K48" s="1">
        <v>1.0</v>
      </c>
      <c r="N48" s="1">
        <v>1.0</v>
      </c>
      <c r="Z48" s="10"/>
      <c r="AA48" s="10"/>
    </row>
    <row r="49">
      <c r="A49" s="59">
        <v>45323.0</v>
      </c>
      <c r="B49" s="12" t="s">
        <v>422</v>
      </c>
      <c r="C49" s="12" t="s">
        <v>11</v>
      </c>
      <c r="D49" s="12">
        <v>26.73</v>
      </c>
      <c r="E49" s="12" t="s">
        <v>2</v>
      </c>
      <c r="F49" s="67">
        <f t="shared" si="1"/>
        <v>5.346</v>
      </c>
      <c r="G49" s="10">
        <f t="shared" si="2"/>
        <v>5.346</v>
      </c>
      <c r="H49" s="1">
        <v>1.0</v>
      </c>
      <c r="I49" s="1">
        <v>1.0</v>
      </c>
      <c r="J49" s="1">
        <v>1.0</v>
      </c>
      <c r="K49" s="1">
        <v>1.0</v>
      </c>
      <c r="N49" s="1">
        <v>1.0</v>
      </c>
      <c r="Z49" s="10"/>
      <c r="AA49" s="10"/>
    </row>
    <row r="50">
      <c r="A50" s="59">
        <v>45323.0</v>
      </c>
      <c r="B50" s="12" t="s">
        <v>422</v>
      </c>
      <c r="C50" s="12" t="s">
        <v>11</v>
      </c>
      <c r="D50" s="12">
        <v>7.75</v>
      </c>
      <c r="E50" s="12" t="s">
        <v>14</v>
      </c>
      <c r="F50" s="67">
        <f t="shared" si="1"/>
        <v>1.55</v>
      </c>
      <c r="G50" s="10">
        <f t="shared" si="2"/>
        <v>1.55</v>
      </c>
      <c r="H50" s="1">
        <v>1.0</v>
      </c>
      <c r="I50" s="1">
        <v>1.0</v>
      </c>
      <c r="J50" s="1">
        <v>1.0</v>
      </c>
      <c r="K50" s="1">
        <v>1.0</v>
      </c>
      <c r="N50" s="1">
        <v>1.0</v>
      </c>
      <c r="Z50" s="10"/>
      <c r="AA50" s="10"/>
    </row>
    <row r="51">
      <c r="A51" s="55">
        <v>45324.0</v>
      </c>
      <c r="B51" s="12" t="s">
        <v>519</v>
      </c>
      <c r="C51" s="12" t="s">
        <v>11</v>
      </c>
      <c r="D51" s="12">
        <v>35.4</v>
      </c>
      <c r="E51" s="12" t="s">
        <v>14</v>
      </c>
      <c r="F51" s="67">
        <f t="shared" si="1"/>
        <v>8.85</v>
      </c>
      <c r="G51" s="10">
        <f t="shared" si="2"/>
        <v>8.85</v>
      </c>
      <c r="H51" s="1">
        <v>1.0</v>
      </c>
      <c r="I51" s="1">
        <v>1.0</v>
      </c>
      <c r="J51" s="1">
        <v>1.0</v>
      </c>
      <c r="K51" s="1">
        <v>1.0</v>
      </c>
      <c r="Z51" s="10"/>
      <c r="AA51" s="10"/>
    </row>
    <row r="52">
      <c r="A52" s="55">
        <v>45324.0</v>
      </c>
      <c r="B52" s="12" t="s">
        <v>520</v>
      </c>
      <c r="C52" s="12" t="s">
        <v>11</v>
      </c>
      <c r="D52" s="12">
        <v>87.0</v>
      </c>
      <c r="E52" s="12" t="s">
        <v>14</v>
      </c>
      <c r="F52" s="67">
        <f t="shared" si="1"/>
        <v>12.42857143</v>
      </c>
      <c r="G52" s="10">
        <f t="shared" si="2"/>
        <v>12.42857143</v>
      </c>
      <c r="H52" s="1">
        <v>1.0</v>
      </c>
      <c r="I52" s="1">
        <v>1.0</v>
      </c>
      <c r="J52" s="1">
        <v>1.0</v>
      </c>
      <c r="K52" s="1">
        <v>1.0</v>
      </c>
      <c r="L52" s="1">
        <v>1.0</v>
      </c>
      <c r="M52" s="1">
        <v>1.0</v>
      </c>
      <c r="N52" s="1">
        <v>1.0</v>
      </c>
      <c r="Z52" s="10"/>
      <c r="AA52" s="10"/>
    </row>
    <row r="53">
      <c r="A53" s="59">
        <v>45330.0</v>
      </c>
      <c r="B53" s="12" t="s">
        <v>329</v>
      </c>
      <c r="C53" s="12" t="s">
        <v>11</v>
      </c>
      <c r="D53" s="12">
        <v>63.28</v>
      </c>
      <c r="E53" s="12" t="s">
        <v>13</v>
      </c>
      <c r="F53" s="67">
        <f t="shared" si="1"/>
        <v>15.82</v>
      </c>
      <c r="G53" s="10">
        <f t="shared" si="2"/>
        <v>15.82</v>
      </c>
      <c r="H53" s="1">
        <v>1.0</v>
      </c>
      <c r="I53" s="1">
        <v>1.0</v>
      </c>
      <c r="J53" s="1">
        <v>1.0</v>
      </c>
      <c r="K53" s="1">
        <v>1.0</v>
      </c>
      <c r="O53" s="18"/>
      <c r="P53" s="18"/>
      <c r="Q53" s="18"/>
      <c r="R53" s="18"/>
      <c r="S53" s="18"/>
      <c r="T53" s="18"/>
      <c r="U53" s="18"/>
      <c r="V53" s="18"/>
      <c r="W53" s="18"/>
      <c r="Z53" s="10"/>
      <c r="AA53" s="10"/>
    </row>
    <row r="54">
      <c r="A54" s="59">
        <v>45332.0</v>
      </c>
      <c r="B54" s="12" t="s">
        <v>95</v>
      </c>
      <c r="C54" s="12" t="s">
        <v>11</v>
      </c>
      <c r="D54" s="12">
        <v>1.24</v>
      </c>
      <c r="E54" s="12" t="s">
        <v>14</v>
      </c>
      <c r="F54" s="67">
        <f t="shared" ref="F54:F56" si="4">D54/sum(H54:Z54)</f>
        <v>0.248</v>
      </c>
      <c r="G54" s="10">
        <f t="shared" ref="G54:G56" si="5">D54/sum(H54:Z54)</f>
        <v>0.248</v>
      </c>
      <c r="H54" s="1">
        <v>1.0</v>
      </c>
      <c r="I54" s="1">
        <v>1.0</v>
      </c>
      <c r="J54" s="1">
        <v>1.0</v>
      </c>
      <c r="K54" s="1">
        <v>1.0</v>
      </c>
      <c r="N54" s="1">
        <v>1.0</v>
      </c>
      <c r="P54" s="18"/>
      <c r="Q54" s="18"/>
      <c r="R54" s="18"/>
      <c r="S54" s="18"/>
      <c r="Z54" s="10"/>
      <c r="AA54" s="10"/>
    </row>
    <row r="55">
      <c r="A55" s="59">
        <v>45598.0</v>
      </c>
      <c r="B55" s="12" t="s">
        <v>416</v>
      </c>
      <c r="C55" s="12" t="s">
        <v>27</v>
      </c>
      <c r="D55" s="12">
        <f>213.12+50</f>
        <v>263.12</v>
      </c>
      <c r="E55" s="12" t="s">
        <v>7</v>
      </c>
      <c r="F55" s="67">
        <f t="shared" si="4"/>
        <v>32.89</v>
      </c>
      <c r="G55" s="10">
        <f t="shared" si="5"/>
        <v>32.89</v>
      </c>
      <c r="H55" s="1">
        <v>1.0</v>
      </c>
      <c r="I55" s="1">
        <v>1.0</v>
      </c>
      <c r="J55" s="1">
        <v>1.0</v>
      </c>
      <c r="K55" s="1">
        <v>1.0</v>
      </c>
      <c r="L55" s="1">
        <v>1.0</v>
      </c>
      <c r="N55" s="1">
        <v>1.0</v>
      </c>
      <c r="P55" s="1">
        <v>1.0</v>
      </c>
      <c r="Q55" s="1">
        <v>1.0</v>
      </c>
      <c r="Z55" s="10"/>
      <c r="AA55" s="10"/>
    </row>
    <row r="56">
      <c r="A56" s="59">
        <v>45335.0</v>
      </c>
      <c r="B56" s="12" t="s">
        <v>519</v>
      </c>
      <c r="C56" s="12" t="s">
        <v>11</v>
      </c>
      <c r="D56" s="12">
        <v>11.48</v>
      </c>
      <c r="E56" s="12" t="s">
        <v>13</v>
      </c>
      <c r="F56" s="67">
        <f t="shared" si="4"/>
        <v>2.296</v>
      </c>
      <c r="G56" s="10">
        <f t="shared" si="5"/>
        <v>2.296</v>
      </c>
      <c r="H56" s="1">
        <v>1.0</v>
      </c>
      <c r="I56" s="1">
        <v>1.0</v>
      </c>
      <c r="J56" s="1">
        <v>1.0</v>
      </c>
      <c r="K56" s="1">
        <v>1.0</v>
      </c>
      <c r="N56" s="1">
        <v>1.0</v>
      </c>
      <c r="P56" s="18"/>
      <c r="Q56" s="18"/>
      <c r="R56" s="18"/>
      <c r="S56" s="18"/>
      <c r="Z56" s="10"/>
      <c r="AA56" s="10"/>
    </row>
    <row r="57">
      <c r="A57" s="55">
        <v>45333.0</v>
      </c>
      <c r="B57" s="12" t="s">
        <v>521</v>
      </c>
      <c r="C57" s="12" t="s">
        <v>11</v>
      </c>
      <c r="D57" s="12">
        <v>104.36</v>
      </c>
      <c r="E57" s="12" t="s">
        <v>13</v>
      </c>
      <c r="F57" s="67">
        <f t="shared" ref="F57:F76" si="6">D57/sum(H57:O57)</f>
        <v>20.872</v>
      </c>
      <c r="G57" s="10">
        <f t="shared" ref="G57:G76" si="7">D57/sum(H57:O57)</f>
        <v>20.872</v>
      </c>
      <c r="H57" s="1">
        <v>1.0</v>
      </c>
      <c r="I57" s="1">
        <v>1.0</v>
      </c>
      <c r="J57" s="1">
        <v>1.0</v>
      </c>
      <c r="K57" s="1">
        <v>1.0</v>
      </c>
      <c r="N57" s="1">
        <v>1.0</v>
      </c>
      <c r="Z57" s="10"/>
      <c r="AA57" s="10"/>
    </row>
    <row r="58">
      <c r="A58" s="55">
        <v>45340.0</v>
      </c>
      <c r="B58" s="12" t="s">
        <v>422</v>
      </c>
      <c r="C58" s="12" t="s">
        <v>11</v>
      </c>
      <c r="D58" s="12">
        <v>22.83</v>
      </c>
      <c r="E58" s="12" t="s">
        <v>13</v>
      </c>
      <c r="F58" s="67">
        <f t="shared" si="6"/>
        <v>4.566</v>
      </c>
      <c r="G58" s="10">
        <f t="shared" si="7"/>
        <v>4.566</v>
      </c>
      <c r="H58" s="1">
        <v>1.0</v>
      </c>
      <c r="I58" s="1">
        <v>1.0</v>
      </c>
      <c r="J58" s="1">
        <v>1.0</v>
      </c>
      <c r="K58" s="1">
        <v>1.0</v>
      </c>
      <c r="N58" s="1">
        <v>1.0</v>
      </c>
      <c r="Z58" s="10"/>
      <c r="AA58" s="10"/>
    </row>
    <row r="59">
      <c r="A59" s="55">
        <v>45335.0</v>
      </c>
      <c r="B59" s="12" t="s">
        <v>522</v>
      </c>
      <c r="C59" s="12" t="s">
        <v>11</v>
      </c>
      <c r="D59" s="12">
        <v>12.58</v>
      </c>
      <c r="E59" s="12" t="s">
        <v>14</v>
      </c>
      <c r="F59" s="67">
        <f t="shared" si="6"/>
        <v>2.516</v>
      </c>
      <c r="G59" s="10">
        <f t="shared" si="7"/>
        <v>2.516</v>
      </c>
      <c r="H59" s="1">
        <v>1.0</v>
      </c>
      <c r="I59" s="1">
        <v>1.0</v>
      </c>
      <c r="J59" s="1">
        <v>1.0</v>
      </c>
      <c r="K59" s="1">
        <v>1.0</v>
      </c>
      <c r="N59" s="1">
        <v>1.0</v>
      </c>
      <c r="Z59" s="10"/>
      <c r="AA59" s="10"/>
    </row>
    <row r="60">
      <c r="A60" s="55">
        <v>45336.0</v>
      </c>
      <c r="B60" s="12" t="s">
        <v>523</v>
      </c>
      <c r="C60" s="12" t="s">
        <v>11</v>
      </c>
      <c r="D60" s="12">
        <v>121.35</v>
      </c>
      <c r="E60" s="12" t="s">
        <v>13</v>
      </c>
      <c r="F60" s="67">
        <f t="shared" si="6"/>
        <v>60.675</v>
      </c>
      <c r="G60" s="10">
        <f t="shared" si="7"/>
        <v>60.675</v>
      </c>
      <c r="J60" s="1">
        <v>1.0</v>
      </c>
      <c r="K60" s="1">
        <v>1.0</v>
      </c>
      <c r="Z60" s="10"/>
      <c r="AA60" s="10"/>
    </row>
    <row r="61">
      <c r="A61" s="55">
        <v>45339.0</v>
      </c>
      <c r="B61" s="12" t="s">
        <v>422</v>
      </c>
      <c r="C61" s="12" t="s">
        <v>11</v>
      </c>
      <c r="D61" s="12">
        <f>9.15+3.03</f>
        <v>12.18</v>
      </c>
      <c r="E61" s="12" t="s">
        <v>13</v>
      </c>
      <c r="F61" s="67">
        <f t="shared" si="6"/>
        <v>2.436</v>
      </c>
      <c r="G61" s="10">
        <f t="shared" si="7"/>
        <v>2.436</v>
      </c>
      <c r="H61" s="1">
        <v>1.0</v>
      </c>
      <c r="I61" s="1">
        <v>1.0</v>
      </c>
      <c r="J61" s="1">
        <v>1.0</v>
      </c>
      <c r="K61" s="1">
        <v>1.0</v>
      </c>
      <c r="N61" s="1">
        <v>1.0</v>
      </c>
      <c r="Z61" s="10"/>
      <c r="AA61" s="10"/>
    </row>
    <row r="62">
      <c r="A62" s="55">
        <v>45336.0</v>
      </c>
      <c r="B62" s="12" t="s">
        <v>524</v>
      </c>
      <c r="C62" s="12" t="s">
        <v>11</v>
      </c>
      <c r="D62" s="12">
        <v>11.76</v>
      </c>
      <c r="E62" s="12" t="s">
        <v>2</v>
      </c>
      <c r="F62" s="67">
        <f t="shared" si="6"/>
        <v>2.352</v>
      </c>
      <c r="G62" s="10">
        <f t="shared" si="7"/>
        <v>2.352</v>
      </c>
      <c r="H62" s="1">
        <v>1.0</v>
      </c>
      <c r="I62" s="1">
        <v>1.0</v>
      </c>
      <c r="J62" s="1">
        <v>1.0</v>
      </c>
      <c r="K62" s="1">
        <v>1.0</v>
      </c>
      <c r="N62" s="1">
        <v>1.0</v>
      </c>
      <c r="Z62" s="10"/>
      <c r="AA62" s="10"/>
    </row>
    <row r="63">
      <c r="A63" s="55">
        <v>45337.0</v>
      </c>
      <c r="B63" s="12" t="s">
        <v>417</v>
      </c>
      <c r="C63" s="12" t="s">
        <v>11</v>
      </c>
      <c r="D63" s="12">
        <v>53.95</v>
      </c>
      <c r="E63" s="12" t="s">
        <v>14</v>
      </c>
      <c r="F63" s="67">
        <f t="shared" si="6"/>
        <v>10.79</v>
      </c>
      <c r="G63" s="10">
        <f t="shared" si="7"/>
        <v>10.79</v>
      </c>
      <c r="H63" s="1">
        <v>1.0</v>
      </c>
      <c r="I63" s="1">
        <v>1.0</v>
      </c>
      <c r="J63" s="1">
        <v>1.0</v>
      </c>
      <c r="K63" s="1">
        <v>1.0</v>
      </c>
      <c r="N63" s="1">
        <v>1.0</v>
      </c>
      <c r="Z63" s="10"/>
      <c r="AA63" s="10"/>
    </row>
    <row r="64">
      <c r="A64" s="55">
        <v>45296.0</v>
      </c>
      <c r="B64" s="12" t="s">
        <v>353</v>
      </c>
      <c r="C64" s="12" t="s">
        <v>23</v>
      </c>
      <c r="D64" s="12">
        <v>8.05</v>
      </c>
      <c r="E64" s="12" t="s">
        <v>4</v>
      </c>
      <c r="F64" s="67">
        <f t="shared" si="6"/>
        <v>1.61</v>
      </c>
      <c r="G64" s="10">
        <f t="shared" si="7"/>
        <v>1.61</v>
      </c>
      <c r="H64" s="1">
        <v>1.0</v>
      </c>
      <c r="I64" s="1">
        <v>1.0</v>
      </c>
      <c r="J64" s="1">
        <v>1.0</v>
      </c>
      <c r="K64" s="1">
        <v>1.0</v>
      </c>
      <c r="N64" s="1">
        <v>1.0</v>
      </c>
      <c r="Z64" s="10"/>
      <c r="AA64" s="10"/>
    </row>
    <row r="65">
      <c r="A65" s="55">
        <v>45340.0</v>
      </c>
      <c r="B65" s="12" t="s">
        <v>248</v>
      </c>
      <c r="C65" s="12" t="s">
        <v>11</v>
      </c>
      <c r="D65" s="12">
        <v>26.71</v>
      </c>
      <c r="E65" s="12" t="s">
        <v>2</v>
      </c>
      <c r="F65" s="67">
        <f t="shared" si="6"/>
        <v>5.342</v>
      </c>
      <c r="G65" s="10">
        <f t="shared" si="7"/>
        <v>5.342</v>
      </c>
      <c r="H65" s="1">
        <v>1.0</v>
      </c>
      <c r="I65" s="1">
        <v>1.0</v>
      </c>
      <c r="J65" s="1">
        <v>1.0</v>
      </c>
      <c r="K65" s="1">
        <v>1.0</v>
      </c>
      <c r="N65" s="1">
        <v>1.0</v>
      </c>
      <c r="Z65" s="10"/>
      <c r="AA65" s="10"/>
    </row>
    <row r="66">
      <c r="A66" s="55">
        <v>45341.0</v>
      </c>
      <c r="B66" s="12" t="s">
        <v>422</v>
      </c>
      <c r="C66" s="12" t="s">
        <v>11</v>
      </c>
      <c r="D66" s="12">
        <v>44.52</v>
      </c>
      <c r="E66" s="12" t="s">
        <v>4</v>
      </c>
      <c r="F66" s="67">
        <f t="shared" si="6"/>
        <v>8.904</v>
      </c>
      <c r="G66" s="10">
        <f t="shared" si="7"/>
        <v>8.904</v>
      </c>
      <c r="H66" s="1">
        <v>1.0</v>
      </c>
      <c r="I66" s="1">
        <v>1.0</v>
      </c>
      <c r="J66" s="1">
        <v>1.0</v>
      </c>
      <c r="K66" s="1">
        <v>1.0</v>
      </c>
      <c r="N66" s="1">
        <v>1.0</v>
      </c>
      <c r="Z66" s="10"/>
      <c r="AA66" s="10"/>
    </row>
    <row r="67">
      <c r="A67" s="55">
        <v>45319.0</v>
      </c>
      <c r="B67" s="12" t="s">
        <v>525</v>
      </c>
      <c r="C67" s="12" t="s">
        <v>23</v>
      </c>
      <c r="D67" s="12">
        <f>10.99*1.13</f>
        <v>12.4187</v>
      </c>
      <c r="E67" s="12" t="s">
        <v>13</v>
      </c>
      <c r="F67" s="67">
        <f t="shared" si="6"/>
        <v>12.4187</v>
      </c>
      <c r="G67" s="10">
        <f t="shared" si="7"/>
        <v>12.4187</v>
      </c>
      <c r="J67" s="1">
        <v>1.0</v>
      </c>
      <c r="Z67" s="10"/>
      <c r="AA67" s="10"/>
    </row>
    <row r="68">
      <c r="A68" s="55">
        <v>45319.0</v>
      </c>
      <c r="B68" s="12" t="s">
        <v>525</v>
      </c>
      <c r="C68" s="12" t="s">
        <v>23</v>
      </c>
      <c r="D68" s="12">
        <f>(45.03+54.99-5)*1.13</f>
        <v>107.3726</v>
      </c>
      <c r="E68" s="12" t="s">
        <v>13</v>
      </c>
      <c r="F68" s="67">
        <f t="shared" si="6"/>
        <v>53.6863</v>
      </c>
      <c r="G68" s="10">
        <f t="shared" si="7"/>
        <v>53.6863</v>
      </c>
      <c r="H68" s="1">
        <v>1.0</v>
      </c>
      <c r="J68" s="1">
        <v>1.0</v>
      </c>
      <c r="Z68" s="10"/>
      <c r="AA68" s="10"/>
    </row>
    <row r="69">
      <c r="A69" s="55">
        <v>45333.0</v>
      </c>
      <c r="B69" s="12" t="s">
        <v>526</v>
      </c>
      <c r="C69" s="12" t="s">
        <v>23</v>
      </c>
      <c r="D69" s="12">
        <f>18.48*1.13</f>
        <v>20.8824</v>
      </c>
      <c r="E69" s="12" t="s">
        <v>13</v>
      </c>
      <c r="F69" s="67">
        <f t="shared" si="6"/>
        <v>20.8824</v>
      </c>
      <c r="G69" s="10">
        <f t="shared" si="7"/>
        <v>20.8824</v>
      </c>
      <c r="I69" s="1">
        <v>1.0</v>
      </c>
      <c r="Z69" s="10"/>
      <c r="AA69" s="10"/>
    </row>
    <row r="70">
      <c r="A70" s="55">
        <v>45333.0</v>
      </c>
      <c r="B70" s="12" t="s">
        <v>527</v>
      </c>
      <c r="C70" s="12" t="s">
        <v>23</v>
      </c>
      <c r="D70" s="12">
        <f>12.79*1.13</f>
        <v>14.4527</v>
      </c>
      <c r="E70" s="12" t="s">
        <v>13</v>
      </c>
      <c r="F70" s="67">
        <f t="shared" si="6"/>
        <v>2.89054</v>
      </c>
      <c r="G70" s="10">
        <f t="shared" si="7"/>
        <v>2.89054</v>
      </c>
      <c r="H70" s="1">
        <v>1.0</v>
      </c>
      <c r="I70" s="1">
        <v>1.0</v>
      </c>
      <c r="J70" s="1">
        <v>1.0</v>
      </c>
      <c r="K70" s="1">
        <v>1.0</v>
      </c>
      <c r="N70" s="1">
        <v>1.0</v>
      </c>
      <c r="Z70" s="10"/>
      <c r="AA70" s="10"/>
    </row>
    <row r="71">
      <c r="A71" s="55">
        <v>45333.0</v>
      </c>
      <c r="B71" s="12" t="s">
        <v>528</v>
      </c>
      <c r="C71" s="12" t="s">
        <v>27</v>
      </c>
      <c r="D71" s="12">
        <f>(14.69-1)*1.13</f>
        <v>15.4697</v>
      </c>
      <c r="E71" s="12" t="s">
        <v>13</v>
      </c>
      <c r="F71" s="67">
        <f t="shared" si="6"/>
        <v>15.4697</v>
      </c>
      <c r="G71" s="10">
        <f t="shared" si="7"/>
        <v>15.4697</v>
      </c>
      <c r="M71" s="1">
        <v>1.0</v>
      </c>
      <c r="Z71" s="10"/>
      <c r="AA71" s="10"/>
    </row>
    <row r="72">
      <c r="A72" s="59">
        <v>45333.0</v>
      </c>
      <c r="B72" s="12" t="s">
        <v>529</v>
      </c>
      <c r="C72" s="12" t="s">
        <v>23</v>
      </c>
      <c r="D72" s="12">
        <f>(37.75-2)*1.13</f>
        <v>40.3975</v>
      </c>
      <c r="E72" s="12" t="s">
        <v>13</v>
      </c>
      <c r="F72" s="67">
        <f t="shared" si="6"/>
        <v>8.0795</v>
      </c>
      <c r="G72" s="10">
        <f t="shared" si="7"/>
        <v>8.0795</v>
      </c>
      <c r="H72" s="1">
        <v>1.0</v>
      </c>
      <c r="I72" s="1">
        <v>1.0</v>
      </c>
      <c r="J72" s="1">
        <v>1.0</v>
      </c>
      <c r="K72" s="1">
        <v>1.0</v>
      </c>
      <c r="N72" s="1">
        <v>1.0</v>
      </c>
      <c r="Z72" s="10"/>
      <c r="AA72" s="10"/>
    </row>
    <row r="73">
      <c r="A73" s="59">
        <v>45333.0</v>
      </c>
      <c r="B73" s="12" t="s">
        <v>530</v>
      </c>
      <c r="C73" s="12" t="s">
        <v>23</v>
      </c>
      <c r="D73" s="12">
        <f>(36.97+7.97-2)*1.13</f>
        <v>48.5222</v>
      </c>
      <c r="E73" s="12" t="s">
        <v>13</v>
      </c>
      <c r="F73" s="67">
        <f t="shared" si="6"/>
        <v>9.70444</v>
      </c>
      <c r="G73" s="10">
        <f t="shared" si="7"/>
        <v>9.70444</v>
      </c>
      <c r="H73" s="1">
        <v>1.0</v>
      </c>
      <c r="I73" s="1">
        <v>1.0</v>
      </c>
      <c r="J73" s="1">
        <v>1.0</v>
      </c>
      <c r="K73" s="1">
        <v>1.0</v>
      </c>
      <c r="N73" s="1">
        <v>1.0</v>
      </c>
      <c r="Z73" s="10"/>
      <c r="AA73" s="10"/>
    </row>
    <row r="74">
      <c r="A74" s="55">
        <v>45333.0</v>
      </c>
      <c r="B74" s="12" t="s">
        <v>531</v>
      </c>
      <c r="C74" s="12" t="s">
        <v>23</v>
      </c>
      <c r="D74" s="12">
        <f>(75.99-1)*1.13</f>
        <v>84.7387</v>
      </c>
      <c r="E74" s="12" t="s">
        <v>13</v>
      </c>
      <c r="F74" s="67">
        <f t="shared" si="6"/>
        <v>42.36935</v>
      </c>
      <c r="G74" s="10">
        <f t="shared" si="7"/>
        <v>42.36935</v>
      </c>
      <c r="J74" s="1">
        <v>1.0</v>
      </c>
      <c r="K74" s="1">
        <v>1.0</v>
      </c>
      <c r="Z74" s="10"/>
      <c r="AA74" s="10"/>
    </row>
    <row r="75">
      <c r="A75" s="55">
        <v>45333.0</v>
      </c>
      <c r="B75" s="12" t="s">
        <v>532</v>
      </c>
      <c r="C75" s="12" t="s">
        <v>139</v>
      </c>
      <c r="D75" s="12">
        <f>(37.99-1)*1.13</f>
        <v>41.7987</v>
      </c>
      <c r="E75" s="12" t="s">
        <v>13</v>
      </c>
      <c r="F75" s="67">
        <f t="shared" si="6"/>
        <v>41.7987</v>
      </c>
      <c r="G75" s="10">
        <f t="shared" si="7"/>
        <v>41.7987</v>
      </c>
      <c r="L75" s="1">
        <v>1.0</v>
      </c>
      <c r="Z75" s="10"/>
      <c r="AA75" s="10"/>
    </row>
    <row r="76">
      <c r="A76" s="55">
        <v>45340.0</v>
      </c>
      <c r="B76" s="12" t="s">
        <v>533</v>
      </c>
      <c r="C76" s="12" t="s">
        <v>23</v>
      </c>
      <c r="D76" s="12">
        <f>13.99*1.13</f>
        <v>15.8087</v>
      </c>
      <c r="E76" s="12" t="s">
        <v>13</v>
      </c>
      <c r="F76" s="67">
        <f t="shared" si="6"/>
        <v>15.8087</v>
      </c>
      <c r="G76" s="10">
        <f t="shared" si="7"/>
        <v>15.8087</v>
      </c>
      <c r="N76" s="1">
        <v>1.0</v>
      </c>
      <c r="Z76" s="10"/>
      <c r="AA76" s="10"/>
    </row>
    <row r="77">
      <c r="A77" s="55">
        <v>45340.0</v>
      </c>
      <c r="B77" s="12" t="s">
        <v>424</v>
      </c>
      <c r="C77" s="12" t="s">
        <v>23</v>
      </c>
      <c r="D77" s="12">
        <f>28.31*1.13</f>
        <v>31.9903</v>
      </c>
      <c r="E77" s="12" t="s">
        <v>13</v>
      </c>
      <c r="F77" s="67">
        <f t="shared" ref="F77:F112" si="8">D77/sum(H77:Z77)</f>
        <v>10.66343333</v>
      </c>
      <c r="G77" s="10">
        <f t="shared" ref="G77:G80" si="9">D77/sum(H77:Z77)</f>
        <v>10.66343333</v>
      </c>
      <c r="J77" s="1">
        <v>1.0</v>
      </c>
      <c r="K77" s="1">
        <v>1.0</v>
      </c>
      <c r="N77" s="1">
        <v>1.0</v>
      </c>
      <c r="Z77" s="10"/>
      <c r="AA77" s="10"/>
    </row>
    <row r="78">
      <c r="A78" s="59">
        <v>45340.0</v>
      </c>
      <c r="B78" s="12" t="s">
        <v>533</v>
      </c>
      <c r="C78" s="12" t="s">
        <v>23</v>
      </c>
      <c r="D78" s="12">
        <f>43.99*1.13</f>
        <v>49.7087</v>
      </c>
      <c r="E78" s="12" t="s">
        <v>13</v>
      </c>
      <c r="F78" s="67">
        <f t="shared" si="8"/>
        <v>9.94174</v>
      </c>
      <c r="G78" s="10">
        <f t="shared" si="9"/>
        <v>9.94174</v>
      </c>
      <c r="H78" s="1">
        <v>1.0</v>
      </c>
      <c r="I78" s="1">
        <v>1.0</v>
      </c>
      <c r="J78" s="1">
        <v>1.0</v>
      </c>
      <c r="K78" s="1">
        <v>1.0</v>
      </c>
      <c r="N78" s="1">
        <v>1.0</v>
      </c>
      <c r="Z78" s="10"/>
      <c r="AA78" s="10"/>
    </row>
    <row r="79">
      <c r="A79" s="55">
        <v>45340.0</v>
      </c>
      <c r="B79" s="12" t="s">
        <v>534</v>
      </c>
      <c r="C79" s="12" t="s">
        <v>23</v>
      </c>
      <c r="D79" s="12">
        <f>13.99*1.13</f>
        <v>15.8087</v>
      </c>
      <c r="E79" s="12" t="s">
        <v>13</v>
      </c>
      <c r="F79" s="67">
        <f t="shared" si="8"/>
        <v>5.269566667</v>
      </c>
      <c r="G79" s="10">
        <f t="shared" si="9"/>
        <v>5.269566667</v>
      </c>
      <c r="J79" s="1">
        <v>1.0</v>
      </c>
      <c r="K79" s="1">
        <v>1.0</v>
      </c>
      <c r="N79" s="1">
        <v>1.0</v>
      </c>
      <c r="P79" s="18"/>
      <c r="Q79" s="18"/>
      <c r="R79" s="18"/>
      <c r="S79" s="18"/>
      <c r="Z79" s="10"/>
      <c r="AA79" s="10"/>
    </row>
    <row r="80">
      <c r="A80" s="55">
        <v>45336.0</v>
      </c>
      <c r="B80" s="12" t="s">
        <v>353</v>
      </c>
      <c r="C80" s="12" t="s">
        <v>23</v>
      </c>
      <c r="D80" s="12">
        <v>11.02</v>
      </c>
      <c r="E80" s="12" t="s">
        <v>14</v>
      </c>
      <c r="F80" s="67">
        <f t="shared" si="8"/>
        <v>2.204</v>
      </c>
      <c r="G80" s="10">
        <f t="shared" si="9"/>
        <v>2.204</v>
      </c>
      <c r="H80" s="1">
        <v>1.0</v>
      </c>
      <c r="I80" s="1">
        <v>1.0</v>
      </c>
      <c r="J80" s="1">
        <v>1.0</v>
      </c>
      <c r="K80" s="1">
        <v>1.0</v>
      </c>
      <c r="N80" s="1">
        <v>1.0</v>
      </c>
      <c r="P80" s="18"/>
      <c r="Q80" s="18"/>
      <c r="R80" s="18"/>
      <c r="S80" s="18"/>
      <c r="Z80" s="10"/>
      <c r="AA80" s="10"/>
    </row>
    <row r="81">
      <c r="A81" s="59">
        <v>45337.0</v>
      </c>
      <c r="B81" s="12" t="s">
        <v>535</v>
      </c>
      <c r="C81" s="51" t="s">
        <v>11</v>
      </c>
      <c r="D81" s="12">
        <v>42.25</v>
      </c>
      <c r="E81" s="12" t="s">
        <v>2</v>
      </c>
      <c r="F81" s="180">
        <f t="shared" si="8"/>
        <v>10.5625</v>
      </c>
      <c r="G81" s="10">
        <f>D81/sum(H81:O81)</f>
        <v>10.5625</v>
      </c>
      <c r="H81" s="1">
        <v>1.0</v>
      </c>
      <c r="I81" s="1">
        <v>1.0</v>
      </c>
      <c r="J81" s="1">
        <v>1.0</v>
      </c>
      <c r="K81" s="1">
        <v>1.0</v>
      </c>
      <c r="Z81" s="64"/>
      <c r="AA81" s="64"/>
    </row>
    <row r="82">
      <c r="A82" s="59">
        <v>45324.0</v>
      </c>
      <c r="B82" s="12" t="s">
        <v>536</v>
      </c>
      <c r="C82" s="12" t="s">
        <v>11</v>
      </c>
      <c r="D82" s="12">
        <f>14.49*1.13</f>
        <v>16.3737</v>
      </c>
      <c r="E82" s="12" t="s">
        <v>2</v>
      </c>
      <c r="F82" s="67">
        <f t="shared" si="8"/>
        <v>3.27474</v>
      </c>
      <c r="G82" s="10">
        <f t="shared" ref="G82:G107" si="10">D82/sum(H82:Z82)</f>
        <v>3.27474</v>
      </c>
      <c r="H82" s="1">
        <v>1.0</v>
      </c>
      <c r="I82" s="1">
        <v>1.0</v>
      </c>
      <c r="J82" s="1">
        <v>1.0</v>
      </c>
      <c r="K82" s="1">
        <v>1.0</v>
      </c>
      <c r="N82" s="1">
        <v>1.0</v>
      </c>
      <c r="Z82" s="10"/>
      <c r="AA82" s="10"/>
    </row>
    <row r="83">
      <c r="A83" s="59"/>
      <c r="B83" s="12" t="s">
        <v>537</v>
      </c>
      <c r="C83" s="12" t="s">
        <v>11</v>
      </c>
      <c r="D83" s="12">
        <v>8.99</v>
      </c>
      <c r="E83" s="12" t="s">
        <v>2</v>
      </c>
      <c r="F83" s="67">
        <f t="shared" si="8"/>
        <v>1.798</v>
      </c>
      <c r="G83" s="10">
        <f t="shared" si="10"/>
        <v>1.798</v>
      </c>
      <c r="H83" s="1">
        <v>1.0</v>
      </c>
      <c r="I83" s="1">
        <v>1.0</v>
      </c>
      <c r="J83" s="1">
        <v>1.0</v>
      </c>
      <c r="K83" s="1">
        <v>1.0</v>
      </c>
      <c r="N83" s="1">
        <v>1.0</v>
      </c>
      <c r="Z83" s="10"/>
      <c r="AA83" s="10"/>
    </row>
    <row r="84">
      <c r="A84" s="59"/>
      <c r="B84" s="12" t="s">
        <v>538</v>
      </c>
      <c r="C84" s="12" t="s">
        <v>11</v>
      </c>
      <c r="D84" s="12">
        <f>7.49*1.13</f>
        <v>8.4637</v>
      </c>
      <c r="E84" s="12" t="s">
        <v>2</v>
      </c>
      <c r="F84" s="67">
        <f t="shared" si="8"/>
        <v>1.69274</v>
      </c>
      <c r="G84" s="10">
        <f t="shared" si="10"/>
        <v>1.69274</v>
      </c>
      <c r="H84" s="1">
        <v>1.0</v>
      </c>
      <c r="I84" s="1">
        <v>1.0</v>
      </c>
      <c r="J84" s="1">
        <v>1.0</v>
      </c>
      <c r="K84" s="1">
        <v>1.0</v>
      </c>
      <c r="N84" s="1">
        <v>1.0</v>
      </c>
      <c r="Z84" s="10"/>
      <c r="AA84" s="10"/>
    </row>
    <row r="85">
      <c r="A85" s="59"/>
      <c r="B85" s="12" t="s">
        <v>539</v>
      </c>
      <c r="C85" s="12" t="s">
        <v>19</v>
      </c>
      <c r="D85" s="12">
        <v>5.99</v>
      </c>
      <c r="E85" s="12" t="s">
        <v>2</v>
      </c>
      <c r="F85" s="67">
        <f t="shared" si="8"/>
        <v>5.99</v>
      </c>
      <c r="G85" s="10">
        <f t="shared" si="10"/>
        <v>5.99</v>
      </c>
      <c r="H85" s="18"/>
      <c r="I85" s="18"/>
      <c r="J85" s="18"/>
      <c r="K85" s="18"/>
      <c r="L85" s="1">
        <v>1.0</v>
      </c>
      <c r="N85" s="18"/>
      <c r="Z85" s="10"/>
      <c r="AA85" s="10"/>
    </row>
    <row r="86">
      <c r="A86" s="59"/>
      <c r="B86" s="12" t="s">
        <v>540</v>
      </c>
      <c r="C86" s="12" t="s">
        <v>23</v>
      </c>
      <c r="D86" s="12">
        <f>19.99*1.13</f>
        <v>22.5887</v>
      </c>
      <c r="E86" s="12" t="s">
        <v>2</v>
      </c>
      <c r="F86" s="67">
        <f t="shared" si="8"/>
        <v>22.5887</v>
      </c>
      <c r="G86" s="10">
        <f t="shared" si="10"/>
        <v>22.5887</v>
      </c>
      <c r="H86" s="18"/>
      <c r="I86" s="18"/>
      <c r="J86" s="18"/>
      <c r="K86" s="18"/>
      <c r="L86" s="1">
        <v>1.0</v>
      </c>
      <c r="N86" s="18"/>
      <c r="Z86" s="10"/>
      <c r="AA86" s="10"/>
    </row>
    <row r="87">
      <c r="A87" s="59"/>
      <c r="B87" s="12" t="s">
        <v>541</v>
      </c>
      <c r="C87" s="12" t="s">
        <v>33</v>
      </c>
      <c r="D87" s="10">
        <f>7.99*1.13</f>
        <v>9.0287</v>
      </c>
      <c r="E87" s="12" t="s">
        <v>2</v>
      </c>
      <c r="F87" s="67">
        <f t="shared" si="8"/>
        <v>9.0287</v>
      </c>
      <c r="G87" s="10">
        <f t="shared" si="10"/>
        <v>9.0287</v>
      </c>
      <c r="H87" s="18"/>
      <c r="I87" s="18"/>
      <c r="J87" s="18"/>
      <c r="K87" s="18"/>
      <c r="L87" s="1">
        <v>1.0</v>
      </c>
      <c r="M87" s="18"/>
      <c r="N87" s="18"/>
      <c r="S87" s="18"/>
      <c r="Z87" s="10"/>
      <c r="AA87" s="10"/>
    </row>
    <row r="88">
      <c r="A88" s="59"/>
      <c r="B88" s="12" t="s">
        <v>542</v>
      </c>
      <c r="C88" s="12" t="s">
        <v>11</v>
      </c>
      <c r="D88" s="12">
        <v>14.99</v>
      </c>
      <c r="E88" s="12" t="s">
        <v>2</v>
      </c>
      <c r="F88" s="67">
        <f t="shared" si="8"/>
        <v>2.998</v>
      </c>
      <c r="G88" s="10">
        <f t="shared" si="10"/>
        <v>2.998</v>
      </c>
      <c r="H88" s="1">
        <v>1.0</v>
      </c>
      <c r="I88" s="1">
        <v>1.0</v>
      </c>
      <c r="J88" s="1">
        <v>1.0</v>
      </c>
      <c r="K88" s="1">
        <v>1.0</v>
      </c>
      <c r="N88" s="1">
        <v>1.0</v>
      </c>
      <c r="Z88" s="10"/>
      <c r="AA88" s="10"/>
    </row>
    <row r="89">
      <c r="A89" s="174"/>
      <c r="B89" s="87" t="s">
        <v>542</v>
      </c>
      <c r="C89" s="87" t="s">
        <v>11</v>
      </c>
      <c r="D89" s="87">
        <v>14.99</v>
      </c>
      <c r="E89" s="87" t="s">
        <v>2</v>
      </c>
      <c r="F89" s="180">
        <f t="shared" si="8"/>
        <v>2.998</v>
      </c>
      <c r="G89" s="65">
        <f t="shared" si="10"/>
        <v>2.998</v>
      </c>
      <c r="H89" s="181">
        <v>1.0</v>
      </c>
      <c r="I89" s="181">
        <v>1.0</v>
      </c>
      <c r="J89" s="181">
        <v>1.0</v>
      </c>
      <c r="K89" s="181">
        <v>1.0</v>
      </c>
      <c r="L89" s="53"/>
      <c r="M89" s="53"/>
      <c r="N89" s="181">
        <v>1.0</v>
      </c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</row>
    <row r="90">
      <c r="A90" s="59"/>
      <c r="B90" s="12" t="s">
        <v>543</v>
      </c>
      <c r="C90" s="12" t="s">
        <v>33</v>
      </c>
      <c r="D90" s="12">
        <f>15.99*1.13</f>
        <v>18.0687</v>
      </c>
      <c r="E90" s="12" t="s">
        <v>2</v>
      </c>
      <c r="F90" s="67">
        <f t="shared" si="8"/>
        <v>18.0687</v>
      </c>
      <c r="G90" s="10">
        <f t="shared" si="10"/>
        <v>18.0687</v>
      </c>
      <c r="H90" s="18"/>
      <c r="I90" s="18"/>
      <c r="J90" s="1">
        <v>1.0</v>
      </c>
      <c r="K90" s="18"/>
      <c r="N90" s="18"/>
      <c r="Z90" s="10"/>
      <c r="AA90" s="10"/>
    </row>
    <row r="91">
      <c r="A91" s="59"/>
      <c r="B91" s="12" t="s">
        <v>462</v>
      </c>
      <c r="C91" s="12" t="s">
        <v>11</v>
      </c>
      <c r="D91" s="12">
        <v>8.99</v>
      </c>
      <c r="E91" s="12" t="s">
        <v>2</v>
      </c>
      <c r="F91" s="67">
        <f t="shared" si="8"/>
        <v>1.798</v>
      </c>
      <c r="G91" s="10">
        <f t="shared" si="10"/>
        <v>1.798</v>
      </c>
      <c r="H91" s="1">
        <v>1.0</v>
      </c>
      <c r="I91" s="1">
        <v>1.0</v>
      </c>
      <c r="J91" s="1">
        <v>1.0</v>
      </c>
      <c r="K91" s="1">
        <v>1.0</v>
      </c>
      <c r="N91" s="1">
        <v>1.0</v>
      </c>
      <c r="Z91" s="10"/>
      <c r="AA91" s="10"/>
    </row>
    <row r="92">
      <c r="A92" s="59"/>
      <c r="B92" s="12" t="s">
        <v>544</v>
      </c>
      <c r="C92" s="12" t="s">
        <v>23</v>
      </c>
      <c r="D92" s="10">
        <f>9.99*1.13</f>
        <v>11.2887</v>
      </c>
      <c r="E92" s="12" t="s">
        <v>2</v>
      </c>
      <c r="F92" s="67">
        <f t="shared" si="8"/>
        <v>2.25774</v>
      </c>
      <c r="G92" s="10">
        <f t="shared" si="10"/>
        <v>2.25774</v>
      </c>
      <c r="H92" s="1">
        <v>1.0</v>
      </c>
      <c r="I92" s="1">
        <v>1.0</v>
      </c>
      <c r="J92" s="1">
        <v>1.0</v>
      </c>
      <c r="K92" s="1">
        <v>1.0</v>
      </c>
      <c r="N92" s="1">
        <v>1.0</v>
      </c>
      <c r="Z92" s="10"/>
      <c r="AA92" s="10"/>
    </row>
    <row r="93">
      <c r="A93" s="59"/>
      <c r="B93" s="12" t="s">
        <v>545</v>
      </c>
      <c r="C93" s="12" t="s">
        <v>11</v>
      </c>
      <c r="D93" s="12">
        <v>7.99</v>
      </c>
      <c r="E93" s="12" t="s">
        <v>2</v>
      </c>
      <c r="F93" s="67">
        <f t="shared" si="8"/>
        <v>1.598</v>
      </c>
      <c r="G93" s="10">
        <f t="shared" si="10"/>
        <v>1.598</v>
      </c>
      <c r="H93" s="1">
        <v>1.0</v>
      </c>
      <c r="I93" s="1">
        <v>1.0</v>
      </c>
      <c r="J93" s="1">
        <v>1.0</v>
      </c>
      <c r="K93" s="1">
        <v>1.0</v>
      </c>
      <c r="N93" s="1">
        <v>1.0</v>
      </c>
      <c r="Z93" s="10"/>
      <c r="AA93" s="10"/>
    </row>
    <row r="94">
      <c r="A94" s="59"/>
      <c r="B94" s="12" t="s">
        <v>546</v>
      </c>
      <c r="C94" s="12" t="s">
        <v>11</v>
      </c>
      <c r="D94" s="12">
        <v>30.34</v>
      </c>
      <c r="E94" s="12" t="s">
        <v>2</v>
      </c>
      <c r="F94" s="67">
        <f t="shared" si="8"/>
        <v>30.34</v>
      </c>
      <c r="G94" s="10">
        <f t="shared" si="10"/>
        <v>30.34</v>
      </c>
      <c r="J94" s="1">
        <v>1.0</v>
      </c>
      <c r="Z94" s="10"/>
      <c r="AA94" s="10"/>
    </row>
    <row r="95">
      <c r="A95" s="59"/>
      <c r="B95" s="12" t="s">
        <v>96</v>
      </c>
      <c r="C95" s="12" t="s">
        <v>11</v>
      </c>
      <c r="D95" s="12">
        <v>14.99</v>
      </c>
      <c r="E95" s="12" t="s">
        <v>2</v>
      </c>
      <c r="F95" s="67">
        <f t="shared" si="8"/>
        <v>2.998</v>
      </c>
      <c r="G95" s="10">
        <f t="shared" si="10"/>
        <v>2.998</v>
      </c>
      <c r="H95" s="1">
        <v>1.0</v>
      </c>
      <c r="I95" s="1">
        <v>1.0</v>
      </c>
      <c r="J95" s="1">
        <v>1.0</v>
      </c>
      <c r="K95" s="1">
        <v>1.0</v>
      </c>
      <c r="N95" s="1">
        <v>1.0</v>
      </c>
      <c r="Z95" s="10"/>
      <c r="AA95" s="10"/>
    </row>
    <row r="96">
      <c r="A96" s="59"/>
      <c r="B96" s="12" t="s">
        <v>547</v>
      </c>
      <c r="C96" s="12" t="s">
        <v>11</v>
      </c>
      <c r="D96" s="12">
        <v>15.99</v>
      </c>
      <c r="E96" s="12" t="s">
        <v>2</v>
      </c>
      <c r="F96" s="67">
        <f t="shared" si="8"/>
        <v>3.198</v>
      </c>
      <c r="G96" s="10">
        <f t="shared" si="10"/>
        <v>3.198</v>
      </c>
      <c r="H96" s="1">
        <v>1.0</v>
      </c>
      <c r="I96" s="1">
        <v>1.0</v>
      </c>
      <c r="J96" s="1">
        <v>1.0</v>
      </c>
      <c r="K96" s="1">
        <v>1.0</v>
      </c>
      <c r="L96" s="18"/>
      <c r="N96" s="1">
        <v>1.0</v>
      </c>
      <c r="Z96" s="10"/>
      <c r="AA96" s="10"/>
    </row>
    <row r="97">
      <c r="A97" s="59"/>
      <c r="B97" s="12" t="s">
        <v>548</v>
      </c>
      <c r="C97" s="12" t="s">
        <v>11</v>
      </c>
      <c r="D97" s="10">
        <f>7.99*1.13</f>
        <v>9.0287</v>
      </c>
      <c r="E97" s="12" t="s">
        <v>2</v>
      </c>
      <c r="F97" s="67">
        <f t="shared" si="8"/>
        <v>1.80574</v>
      </c>
      <c r="G97" s="10">
        <f t="shared" si="10"/>
        <v>1.80574</v>
      </c>
      <c r="H97" s="1">
        <v>1.0</v>
      </c>
      <c r="I97" s="1">
        <v>1.0</v>
      </c>
      <c r="J97" s="1">
        <v>1.0</v>
      </c>
      <c r="K97" s="1">
        <v>1.0</v>
      </c>
      <c r="L97" s="18"/>
      <c r="N97" s="1">
        <v>1.0</v>
      </c>
      <c r="Z97" s="10"/>
      <c r="AA97" s="10"/>
    </row>
    <row r="98">
      <c r="A98" s="59"/>
      <c r="B98" s="12" t="s">
        <v>549</v>
      </c>
      <c r="C98" s="12" t="s">
        <v>11</v>
      </c>
      <c r="D98" s="12">
        <v>11.49</v>
      </c>
      <c r="E98" s="12" t="s">
        <v>2</v>
      </c>
      <c r="F98" s="67">
        <f t="shared" si="8"/>
        <v>11.49</v>
      </c>
      <c r="G98" s="10">
        <f t="shared" si="10"/>
        <v>11.49</v>
      </c>
      <c r="J98" s="18"/>
      <c r="K98" s="18"/>
      <c r="L98" s="1">
        <v>1.0</v>
      </c>
      <c r="N98" s="18"/>
      <c r="Z98" s="10"/>
      <c r="AA98" s="10"/>
    </row>
    <row r="99">
      <c r="A99" s="59"/>
      <c r="B99" s="12" t="s">
        <v>550</v>
      </c>
      <c r="C99" s="12" t="s">
        <v>23</v>
      </c>
      <c r="D99" s="10">
        <f>(24.99-5)*1.13</f>
        <v>22.5887</v>
      </c>
      <c r="E99" s="12" t="s">
        <v>2</v>
      </c>
      <c r="F99" s="67">
        <f t="shared" si="8"/>
        <v>4.51774</v>
      </c>
      <c r="G99" s="10">
        <f t="shared" si="10"/>
        <v>4.51774</v>
      </c>
      <c r="H99" s="1">
        <v>1.0</v>
      </c>
      <c r="I99" s="1">
        <v>1.0</v>
      </c>
      <c r="J99" s="1">
        <v>1.0</v>
      </c>
      <c r="K99" s="1">
        <v>1.0</v>
      </c>
      <c r="N99" s="1">
        <v>1.0</v>
      </c>
      <c r="Z99" s="10"/>
      <c r="AA99" s="10"/>
    </row>
    <row r="100">
      <c r="A100" s="59"/>
      <c r="B100" s="12" t="s">
        <v>551</v>
      </c>
      <c r="C100" s="12" t="s">
        <v>11</v>
      </c>
      <c r="D100" s="12">
        <v>10.98</v>
      </c>
      <c r="E100" s="12" t="s">
        <v>2</v>
      </c>
      <c r="F100" s="67">
        <f t="shared" si="8"/>
        <v>2.196</v>
      </c>
      <c r="G100" s="10">
        <f t="shared" si="10"/>
        <v>2.196</v>
      </c>
      <c r="H100" s="1">
        <v>1.0</v>
      </c>
      <c r="I100" s="1">
        <v>1.0</v>
      </c>
      <c r="J100" s="1">
        <v>1.0</v>
      </c>
      <c r="K100" s="1">
        <v>1.0</v>
      </c>
      <c r="N100" s="1">
        <v>1.0</v>
      </c>
      <c r="Z100" s="10"/>
      <c r="AA100" s="10"/>
    </row>
    <row r="101">
      <c r="A101" s="59"/>
      <c r="B101" s="12" t="s">
        <v>445</v>
      </c>
      <c r="C101" s="12" t="s">
        <v>11</v>
      </c>
      <c r="D101" s="12">
        <v>8.29</v>
      </c>
      <c r="E101" s="12" t="s">
        <v>2</v>
      </c>
      <c r="F101" s="67">
        <f t="shared" si="8"/>
        <v>8.29</v>
      </c>
      <c r="G101" s="10">
        <f t="shared" si="10"/>
        <v>8.29</v>
      </c>
      <c r="J101" s="18"/>
      <c r="L101" s="1">
        <v>1.0</v>
      </c>
      <c r="N101" s="18"/>
      <c r="Z101" s="10"/>
      <c r="AA101" s="10"/>
    </row>
    <row r="102">
      <c r="A102" s="59"/>
      <c r="B102" s="12" t="s">
        <v>552</v>
      </c>
      <c r="C102" s="12" t="s">
        <v>11</v>
      </c>
      <c r="D102" s="12">
        <f>15.99*1.13</f>
        <v>18.0687</v>
      </c>
      <c r="E102" s="12" t="s">
        <v>2</v>
      </c>
      <c r="F102" s="67">
        <f t="shared" si="8"/>
        <v>18.0687</v>
      </c>
      <c r="G102" s="10">
        <f t="shared" si="10"/>
        <v>18.0687</v>
      </c>
      <c r="H102" s="18"/>
      <c r="I102" s="18"/>
      <c r="J102" s="18"/>
      <c r="K102" s="18"/>
      <c r="M102" s="1">
        <v>1.0</v>
      </c>
      <c r="Z102" s="10"/>
      <c r="AA102" s="10"/>
    </row>
    <row r="103">
      <c r="A103" s="59"/>
      <c r="B103" s="12" t="s">
        <v>553</v>
      </c>
      <c r="C103" s="12" t="s">
        <v>11</v>
      </c>
      <c r="D103" s="12">
        <v>23.98</v>
      </c>
      <c r="E103" s="12" t="s">
        <v>2</v>
      </c>
      <c r="F103" s="67">
        <f t="shared" si="8"/>
        <v>4.796</v>
      </c>
      <c r="G103" s="10">
        <f t="shared" si="10"/>
        <v>4.796</v>
      </c>
      <c r="H103" s="1">
        <v>1.0</v>
      </c>
      <c r="I103" s="1">
        <v>1.0</v>
      </c>
      <c r="J103" s="1">
        <v>1.0</v>
      </c>
      <c r="K103" s="1">
        <v>1.0</v>
      </c>
      <c r="N103" s="1">
        <v>1.0</v>
      </c>
      <c r="Z103" s="10"/>
      <c r="AA103" s="10"/>
    </row>
    <row r="104">
      <c r="A104" s="59"/>
      <c r="B104" s="12" t="s">
        <v>552</v>
      </c>
      <c r="C104" s="12" t="s">
        <v>11</v>
      </c>
      <c r="D104" s="12">
        <f>15.99*1.13</f>
        <v>18.0687</v>
      </c>
      <c r="E104" s="12" t="s">
        <v>2</v>
      </c>
      <c r="F104" s="67">
        <f t="shared" si="8"/>
        <v>18.0687</v>
      </c>
      <c r="G104" s="10">
        <f t="shared" si="10"/>
        <v>18.0687</v>
      </c>
      <c r="H104" s="18"/>
      <c r="I104" s="18"/>
      <c r="J104" s="1">
        <v>1.0</v>
      </c>
      <c r="K104" s="18"/>
      <c r="Z104" s="10"/>
      <c r="AA104" s="10"/>
    </row>
    <row r="105">
      <c r="A105" s="59"/>
      <c r="B105" s="12" t="s">
        <v>537</v>
      </c>
      <c r="C105" s="12" t="s">
        <v>11</v>
      </c>
      <c r="D105" s="12">
        <v>8.99</v>
      </c>
      <c r="E105" s="12" t="s">
        <v>2</v>
      </c>
      <c r="F105" s="67">
        <f t="shared" si="8"/>
        <v>8.99</v>
      </c>
      <c r="G105" s="10">
        <f t="shared" si="10"/>
        <v>8.99</v>
      </c>
      <c r="H105" s="18"/>
      <c r="L105" s="1">
        <v>1.0</v>
      </c>
      <c r="Z105" s="10"/>
      <c r="AA105" s="10"/>
    </row>
    <row r="106">
      <c r="A106" s="59"/>
      <c r="B106" s="12" t="s">
        <v>554</v>
      </c>
      <c r="C106" s="12" t="s">
        <v>23</v>
      </c>
      <c r="D106" s="12">
        <f>17.99*1.13</f>
        <v>20.3287</v>
      </c>
      <c r="E106" s="12" t="s">
        <v>2</v>
      </c>
      <c r="F106" s="67">
        <f t="shared" si="8"/>
        <v>6.776233333</v>
      </c>
      <c r="G106" s="10">
        <f t="shared" si="10"/>
        <v>6.776233333</v>
      </c>
      <c r="I106" s="18"/>
      <c r="J106" s="1">
        <v>1.0</v>
      </c>
      <c r="K106" s="1">
        <v>1.0</v>
      </c>
      <c r="N106" s="1">
        <v>1.0</v>
      </c>
      <c r="Z106" s="10"/>
      <c r="AA106" s="10"/>
    </row>
    <row r="107">
      <c r="A107" s="59">
        <v>45327.0</v>
      </c>
      <c r="B107" s="12" t="s">
        <v>441</v>
      </c>
      <c r="C107" s="12" t="s">
        <v>11</v>
      </c>
      <c r="D107" s="12">
        <v>21.02</v>
      </c>
      <c r="E107" s="12" t="s">
        <v>4</v>
      </c>
      <c r="F107" s="67">
        <f t="shared" si="8"/>
        <v>4.204</v>
      </c>
      <c r="G107" s="10">
        <f t="shared" si="10"/>
        <v>4.204</v>
      </c>
      <c r="H107" s="1">
        <v>1.0</v>
      </c>
      <c r="I107" s="1">
        <v>1.0</v>
      </c>
      <c r="J107" s="1">
        <v>1.0</v>
      </c>
      <c r="K107" s="1">
        <v>1.0</v>
      </c>
      <c r="N107" s="1">
        <v>1.0</v>
      </c>
      <c r="Z107" s="10"/>
      <c r="AA107" s="10"/>
    </row>
    <row r="108">
      <c r="A108" s="59">
        <v>45346.0</v>
      </c>
      <c r="B108" s="12" t="s">
        <v>441</v>
      </c>
      <c r="C108" s="51" t="s">
        <v>11</v>
      </c>
      <c r="D108" s="12">
        <v>23.8</v>
      </c>
      <c r="E108" s="12" t="s">
        <v>4</v>
      </c>
      <c r="F108" s="180">
        <f t="shared" si="8"/>
        <v>4.76</v>
      </c>
      <c r="G108" s="10">
        <f t="shared" ref="G108:G131" si="11">D108/sum(H108:O108)</f>
        <v>4.76</v>
      </c>
      <c r="H108" s="1">
        <v>1.0</v>
      </c>
      <c r="I108" s="1">
        <v>1.0</v>
      </c>
      <c r="J108" s="1">
        <v>1.0</v>
      </c>
      <c r="K108" s="1">
        <v>1.0</v>
      </c>
      <c r="L108" s="1">
        <v>1.0</v>
      </c>
      <c r="Z108" s="64"/>
      <c r="AA108" s="64"/>
    </row>
    <row r="109">
      <c r="A109" s="59">
        <v>45350.0</v>
      </c>
      <c r="B109" s="12" t="s">
        <v>441</v>
      </c>
      <c r="C109" s="51" t="s">
        <v>11</v>
      </c>
      <c r="D109" s="12">
        <v>24.27</v>
      </c>
      <c r="E109" s="12" t="s">
        <v>4</v>
      </c>
      <c r="F109" s="180">
        <f t="shared" si="8"/>
        <v>6.0675</v>
      </c>
      <c r="G109" s="10">
        <f t="shared" si="11"/>
        <v>6.0675</v>
      </c>
      <c r="H109" s="1">
        <v>1.0</v>
      </c>
      <c r="I109" s="1">
        <v>1.0</v>
      </c>
      <c r="J109" s="1">
        <v>1.0</v>
      </c>
      <c r="K109" s="1">
        <v>1.0</v>
      </c>
      <c r="Z109" s="64"/>
      <c r="AA109" s="64"/>
    </row>
    <row r="110">
      <c r="A110" s="59">
        <v>45350.0</v>
      </c>
      <c r="B110" s="12" t="s">
        <v>555</v>
      </c>
      <c r="C110" s="51" t="s">
        <v>11</v>
      </c>
      <c r="D110" s="12">
        <v>42.35</v>
      </c>
      <c r="E110" s="12" t="s">
        <v>2</v>
      </c>
      <c r="F110" s="180">
        <f t="shared" si="8"/>
        <v>10.5875</v>
      </c>
      <c r="G110" s="10">
        <f t="shared" si="11"/>
        <v>10.5875</v>
      </c>
      <c r="H110" s="1">
        <v>1.0</v>
      </c>
      <c r="I110" s="1">
        <v>1.0</v>
      </c>
      <c r="J110" s="1">
        <v>1.0</v>
      </c>
      <c r="K110" s="1">
        <v>1.0</v>
      </c>
      <c r="Z110" s="64"/>
      <c r="AA110" s="64"/>
    </row>
    <row r="111">
      <c r="A111" s="59">
        <v>45342.0</v>
      </c>
      <c r="B111" s="12" t="s">
        <v>556</v>
      </c>
      <c r="C111" s="51" t="s">
        <v>11</v>
      </c>
      <c r="D111" s="12">
        <v>58.47</v>
      </c>
      <c r="E111" s="12" t="s">
        <v>13</v>
      </c>
      <c r="F111" s="180">
        <f t="shared" si="8"/>
        <v>11.694</v>
      </c>
      <c r="G111" s="10">
        <f t="shared" si="11"/>
        <v>11.694</v>
      </c>
      <c r="H111" s="1">
        <v>1.0</v>
      </c>
      <c r="I111" s="1">
        <v>1.0</v>
      </c>
      <c r="J111" s="1">
        <v>1.0</v>
      </c>
      <c r="K111" s="1">
        <v>1.0</v>
      </c>
      <c r="N111" s="1">
        <v>1.0</v>
      </c>
      <c r="Z111" s="64"/>
      <c r="AA111" s="64"/>
    </row>
    <row r="112">
      <c r="A112" s="59">
        <v>45346.0</v>
      </c>
      <c r="B112" s="12" t="s">
        <v>557</v>
      </c>
      <c r="C112" s="51" t="s">
        <v>11</v>
      </c>
      <c r="D112" s="12">
        <v>83.47</v>
      </c>
      <c r="E112" s="12" t="s">
        <v>14</v>
      </c>
      <c r="F112" s="180">
        <f t="shared" si="8"/>
        <v>13.91166667</v>
      </c>
      <c r="G112" s="10">
        <f t="shared" si="11"/>
        <v>13.91166667</v>
      </c>
      <c r="H112" s="1">
        <v>1.0</v>
      </c>
      <c r="I112" s="1">
        <v>1.0</v>
      </c>
      <c r="J112" s="1">
        <v>1.0</v>
      </c>
      <c r="K112" s="1">
        <v>1.0</v>
      </c>
      <c r="L112" s="1">
        <v>1.0</v>
      </c>
      <c r="N112" s="1">
        <v>1.0</v>
      </c>
      <c r="Z112" s="57"/>
      <c r="AA112" s="57"/>
    </row>
    <row r="113">
      <c r="A113" s="59">
        <v>45347.0</v>
      </c>
      <c r="B113" s="12" t="s">
        <v>558</v>
      </c>
      <c r="C113" s="12" t="s">
        <v>11</v>
      </c>
      <c r="D113" s="12">
        <v>7.97</v>
      </c>
      <c r="E113" s="12" t="s">
        <v>13</v>
      </c>
      <c r="F113" s="67">
        <f t="shared" ref="F113:F155" si="12">D113/sum(H113:O113)</f>
        <v>7.97</v>
      </c>
      <c r="G113" s="10">
        <f t="shared" si="11"/>
        <v>7.97</v>
      </c>
      <c r="I113" s="1">
        <v>1.0</v>
      </c>
      <c r="Z113" s="10"/>
      <c r="AA113" s="10"/>
    </row>
    <row r="114">
      <c r="A114" s="59">
        <v>45347.0</v>
      </c>
      <c r="B114" s="12" t="s">
        <v>558</v>
      </c>
      <c r="C114" s="12" t="s">
        <v>11</v>
      </c>
      <c r="D114" s="12">
        <v>6.5</v>
      </c>
      <c r="E114" s="12" t="s">
        <v>13</v>
      </c>
      <c r="F114" s="67">
        <f t="shared" si="12"/>
        <v>6.5</v>
      </c>
      <c r="G114" s="10">
        <f t="shared" si="11"/>
        <v>6.5</v>
      </c>
      <c r="H114" s="1">
        <v>1.0</v>
      </c>
      <c r="Z114" s="10"/>
      <c r="AA114" s="10"/>
    </row>
    <row r="115">
      <c r="A115" s="59">
        <v>45345.0</v>
      </c>
      <c r="B115" s="12" t="s">
        <v>441</v>
      </c>
      <c r="C115" s="12" t="s">
        <v>11</v>
      </c>
      <c r="D115" s="12">
        <v>26.15</v>
      </c>
      <c r="E115" s="12" t="s">
        <v>14</v>
      </c>
      <c r="F115" s="67">
        <f t="shared" si="12"/>
        <v>6.5375</v>
      </c>
      <c r="G115" s="10">
        <f t="shared" si="11"/>
        <v>6.5375</v>
      </c>
      <c r="H115" s="1">
        <v>1.0</v>
      </c>
      <c r="I115" s="1">
        <v>1.0</v>
      </c>
      <c r="J115" s="1">
        <v>1.0</v>
      </c>
      <c r="K115" s="1">
        <v>1.0</v>
      </c>
      <c r="Z115" s="10"/>
      <c r="AA115" s="10"/>
    </row>
    <row r="116">
      <c r="A116" s="59">
        <v>45344.0</v>
      </c>
      <c r="B116" s="12" t="s">
        <v>213</v>
      </c>
      <c r="C116" s="12" t="s">
        <v>11</v>
      </c>
      <c r="D116" s="12">
        <v>7.19</v>
      </c>
      <c r="E116" s="12" t="s">
        <v>14</v>
      </c>
      <c r="F116" s="67">
        <f t="shared" si="12"/>
        <v>1.438</v>
      </c>
      <c r="G116" s="10">
        <f t="shared" si="11"/>
        <v>1.438</v>
      </c>
      <c r="H116" s="1">
        <v>1.0</v>
      </c>
      <c r="I116" s="1">
        <v>1.0</v>
      </c>
      <c r="J116" s="1">
        <v>1.0</v>
      </c>
      <c r="K116" s="1">
        <v>1.0</v>
      </c>
      <c r="N116" s="1">
        <v>1.0</v>
      </c>
      <c r="Z116" s="10"/>
      <c r="AA116" s="10"/>
    </row>
    <row r="117">
      <c r="A117" s="59">
        <v>45343.0</v>
      </c>
      <c r="B117" s="12" t="s">
        <v>559</v>
      </c>
      <c r="C117" s="12" t="s">
        <v>11</v>
      </c>
      <c r="D117" s="12">
        <v>60.09</v>
      </c>
      <c r="E117" s="12" t="s">
        <v>14</v>
      </c>
      <c r="F117" s="67">
        <f t="shared" si="12"/>
        <v>15.0225</v>
      </c>
      <c r="G117" s="10">
        <f t="shared" si="11"/>
        <v>15.0225</v>
      </c>
      <c r="H117" s="1">
        <v>1.0</v>
      </c>
      <c r="I117" s="1">
        <v>1.0</v>
      </c>
      <c r="J117" s="1">
        <v>1.0</v>
      </c>
      <c r="K117" s="1">
        <v>1.0</v>
      </c>
      <c r="Z117" s="10"/>
      <c r="AA117" s="10"/>
    </row>
    <row r="118">
      <c r="A118" s="59">
        <v>45343.0</v>
      </c>
      <c r="B118" s="12" t="s">
        <v>46</v>
      </c>
      <c r="C118" s="12" t="s">
        <v>11</v>
      </c>
      <c r="D118" s="12">
        <v>4.58</v>
      </c>
      <c r="E118" s="12" t="s">
        <v>14</v>
      </c>
      <c r="F118" s="67">
        <f t="shared" si="12"/>
        <v>0.916</v>
      </c>
      <c r="G118" s="10">
        <f t="shared" si="11"/>
        <v>0.916</v>
      </c>
      <c r="H118" s="1">
        <v>1.0</v>
      </c>
      <c r="I118" s="1">
        <v>1.0</v>
      </c>
      <c r="J118" s="1">
        <v>1.0</v>
      </c>
      <c r="K118" s="1">
        <v>1.0</v>
      </c>
      <c r="N118" s="1">
        <v>1.0</v>
      </c>
      <c r="Z118" s="10"/>
      <c r="AA118" s="10"/>
    </row>
    <row r="119">
      <c r="A119" s="59">
        <v>45348.0</v>
      </c>
      <c r="B119" s="12" t="s">
        <v>396</v>
      </c>
      <c r="C119" s="12" t="s">
        <v>11</v>
      </c>
      <c r="D119" s="12">
        <v>7.02</v>
      </c>
      <c r="E119" s="12" t="s">
        <v>13</v>
      </c>
      <c r="F119" s="67">
        <f t="shared" si="12"/>
        <v>1.755</v>
      </c>
      <c r="G119" s="10">
        <f t="shared" si="11"/>
        <v>1.755</v>
      </c>
      <c r="H119" s="1">
        <v>1.0</v>
      </c>
      <c r="I119" s="1">
        <v>1.0</v>
      </c>
      <c r="J119" s="1">
        <v>1.0</v>
      </c>
      <c r="K119" s="1">
        <v>1.0</v>
      </c>
      <c r="Z119" s="10"/>
      <c r="AA119" s="10"/>
    </row>
    <row r="120">
      <c r="A120" s="59">
        <v>45351.0</v>
      </c>
      <c r="B120" s="12" t="s">
        <v>213</v>
      </c>
      <c r="C120" s="12" t="s">
        <v>11</v>
      </c>
      <c r="D120" s="12">
        <v>21.45</v>
      </c>
      <c r="E120" s="12" t="s">
        <v>14</v>
      </c>
      <c r="F120" s="67">
        <f t="shared" si="12"/>
        <v>4.29</v>
      </c>
      <c r="G120" s="10">
        <f t="shared" si="11"/>
        <v>4.29</v>
      </c>
      <c r="H120" s="1">
        <v>1.0</v>
      </c>
      <c r="I120" s="1">
        <v>1.0</v>
      </c>
      <c r="J120" s="1">
        <v>1.0</v>
      </c>
      <c r="K120" s="1">
        <v>1.0</v>
      </c>
      <c r="N120" s="1">
        <v>1.0</v>
      </c>
      <c r="Z120" s="10"/>
      <c r="AA120" s="10"/>
    </row>
    <row r="121">
      <c r="A121" s="59">
        <v>45348.0</v>
      </c>
      <c r="B121" s="12" t="s">
        <v>560</v>
      </c>
      <c r="C121" s="12" t="s">
        <v>11</v>
      </c>
      <c r="D121" s="12">
        <v>16.87</v>
      </c>
      <c r="E121" s="12" t="s">
        <v>4</v>
      </c>
      <c r="F121" s="67">
        <f t="shared" si="12"/>
        <v>3.374</v>
      </c>
      <c r="G121" s="10">
        <f t="shared" si="11"/>
        <v>3.374</v>
      </c>
      <c r="H121" s="1">
        <v>1.0</v>
      </c>
      <c r="I121" s="1">
        <v>1.0</v>
      </c>
      <c r="J121" s="1">
        <v>1.0</v>
      </c>
      <c r="K121" s="1">
        <v>1.0</v>
      </c>
      <c r="N121" s="1">
        <v>1.0</v>
      </c>
      <c r="Z121" s="10"/>
      <c r="AA121" s="10"/>
    </row>
    <row r="122">
      <c r="A122" s="59">
        <v>45349.0</v>
      </c>
      <c r="B122" s="12" t="s">
        <v>213</v>
      </c>
      <c r="C122" s="12" t="s">
        <v>11</v>
      </c>
      <c r="D122" s="12">
        <v>16.44</v>
      </c>
      <c r="E122" s="12" t="s">
        <v>14</v>
      </c>
      <c r="F122" s="67">
        <f t="shared" si="12"/>
        <v>3.288</v>
      </c>
      <c r="G122" s="10">
        <f t="shared" si="11"/>
        <v>3.288</v>
      </c>
      <c r="H122" s="1">
        <v>1.0</v>
      </c>
      <c r="I122" s="1">
        <v>1.0</v>
      </c>
      <c r="J122" s="1">
        <v>1.0</v>
      </c>
      <c r="K122" s="1">
        <v>1.0</v>
      </c>
      <c r="N122" s="1">
        <v>1.0</v>
      </c>
      <c r="Z122" s="10"/>
      <c r="AA122" s="10"/>
    </row>
    <row r="123">
      <c r="A123" s="59">
        <v>45350.0</v>
      </c>
      <c r="B123" s="12" t="s">
        <v>396</v>
      </c>
      <c r="C123" s="12" t="s">
        <v>11</v>
      </c>
      <c r="D123" s="12">
        <v>51.8</v>
      </c>
      <c r="E123" s="12" t="s">
        <v>14</v>
      </c>
      <c r="F123" s="67">
        <f t="shared" si="12"/>
        <v>12.95</v>
      </c>
      <c r="G123" s="10">
        <f t="shared" si="11"/>
        <v>12.95</v>
      </c>
      <c r="H123" s="1">
        <v>1.0</v>
      </c>
      <c r="I123" s="1">
        <v>1.0</v>
      </c>
      <c r="J123" s="1">
        <v>1.0</v>
      </c>
      <c r="K123" s="1">
        <v>1.0</v>
      </c>
      <c r="Z123" s="10"/>
      <c r="AA123" s="10"/>
    </row>
    <row r="124">
      <c r="A124" s="59">
        <v>45342.0</v>
      </c>
      <c r="B124" s="12" t="s">
        <v>213</v>
      </c>
      <c r="C124" s="12" t="s">
        <v>11</v>
      </c>
      <c r="D124" s="12">
        <v>4.56</v>
      </c>
      <c r="E124" s="12" t="s">
        <v>14</v>
      </c>
      <c r="F124" s="67">
        <f t="shared" si="12"/>
        <v>0.912</v>
      </c>
      <c r="G124" s="10">
        <f t="shared" si="11"/>
        <v>0.912</v>
      </c>
      <c r="H124" s="1">
        <v>1.0</v>
      </c>
      <c r="I124" s="1">
        <v>1.0</v>
      </c>
      <c r="J124" s="1">
        <v>1.0</v>
      </c>
      <c r="K124" s="1">
        <v>1.0</v>
      </c>
      <c r="N124" s="1">
        <v>1.0</v>
      </c>
      <c r="Z124" s="10"/>
      <c r="AA124" s="10"/>
    </row>
    <row r="125">
      <c r="A125" s="59">
        <v>45344.0</v>
      </c>
      <c r="B125" s="12" t="s">
        <v>46</v>
      </c>
      <c r="C125" s="12" t="s">
        <v>11</v>
      </c>
      <c r="D125" s="12">
        <v>5.18</v>
      </c>
      <c r="E125" s="12" t="s">
        <v>14</v>
      </c>
      <c r="F125" s="67">
        <f t="shared" si="12"/>
        <v>1.036</v>
      </c>
      <c r="G125" s="10">
        <f t="shared" si="11"/>
        <v>1.036</v>
      </c>
      <c r="H125" s="1">
        <v>1.0</v>
      </c>
      <c r="I125" s="1">
        <v>1.0</v>
      </c>
      <c r="J125" s="1">
        <v>1.0</v>
      </c>
      <c r="K125" s="1">
        <v>1.0</v>
      </c>
      <c r="N125" s="1">
        <v>1.0</v>
      </c>
      <c r="Z125" s="10"/>
      <c r="AA125" s="10"/>
    </row>
    <row r="126">
      <c r="A126" s="59">
        <v>45348.0</v>
      </c>
      <c r="B126" s="12" t="s">
        <v>149</v>
      </c>
      <c r="C126" s="12" t="s">
        <v>11</v>
      </c>
      <c r="D126" s="12">
        <v>15.07</v>
      </c>
      <c r="E126" s="12" t="s">
        <v>14</v>
      </c>
      <c r="F126" s="67">
        <f t="shared" si="12"/>
        <v>3.014</v>
      </c>
      <c r="G126" s="10">
        <f t="shared" si="11"/>
        <v>3.014</v>
      </c>
      <c r="H126" s="1">
        <v>1.0</v>
      </c>
      <c r="I126" s="1">
        <v>1.0</v>
      </c>
      <c r="J126" s="1">
        <v>1.0</v>
      </c>
      <c r="K126" s="1">
        <v>1.0</v>
      </c>
      <c r="N126" s="1">
        <v>1.0</v>
      </c>
      <c r="Z126" s="10"/>
      <c r="AA126" s="10"/>
    </row>
    <row r="127">
      <c r="A127" s="10"/>
      <c r="B127" s="10"/>
      <c r="C127" s="10"/>
      <c r="D127" s="10"/>
      <c r="E127" s="10"/>
      <c r="F127" s="67" t="str">
        <f t="shared" si="12"/>
        <v>#DIV/0!</v>
      </c>
      <c r="G127" s="10" t="str">
        <f t="shared" si="11"/>
        <v>#DIV/0!</v>
      </c>
      <c r="Z127" s="10"/>
      <c r="AA127" s="10"/>
    </row>
    <row r="128">
      <c r="A128" s="10"/>
      <c r="B128" s="10"/>
      <c r="C128" s="10"/>
      <c r="D128" s="10"/>
      <c r="E128" s="10"/>
      <c r="F128" s="67" t="str">
        <f t="shared" si="12"/>
        <v>#DIV/0!</v>
      </c>
      <c r="G128" s="10" t="str">
        <f t="shared" si="11"/>
        <v>#DIV/0!</v>
      </c>
      <c r="Z128" s="10"/>
      <c r="AA128" s="10"/>
    </row>
    <row r="129">
      <c r="A129" s="10"/>
      <c r="B129" s="10"/>
      <c r="C129" s="10"/>
      <c r="D129" s="10"/>
      <c r="E129" s="10"/>
      <c r="F129" s="67" t="str">
        <f t="shared" si="12"/>
        <v>#DIV/0!</v>
      </c>
      <c r="G129" s="10" t="str">
        <f t="shared" si="11"/>
        <v>#DIV/0!</v>
      </c>
      <c r="Z129" s="10"/>
      <c r="AA129" s="10"/>
    </row>
    <row r="130">
      <c r="A130" s="10"/>
      <c r="B130" s="10"/>
      <c r="C130" s="10"/>
      <c r="D130" s="10"/>
      <c r="E130" s="10"/>
      <c r="F130" s="67" t="str">
        <f t="shared" si="12"/>
        <v>#DIV/0!</v>
      </c>
      <c r="G130" s="10" t="str">
        <f t="shared" si="11"/>
        <v>#DIV/0!</v>
      </c>
      <c r="Z130" s="10"/>
      <c r="AA130" s="10"/>
    </row>
    <row r="131">
      <c r="A131" s="10"/>
      <c r="B131" s="10"/>
      <c r="C131" s="10"/>
      <c r="D131" s="10"/>
      <c r="E131" s="10"/>
      <c r="F131" s="67" t="str">
        <f t="shared" si="12"/>
        <v>#DIV/0!</v>
      </c>
      <c r="G131" s="10" t="str">
        <f t="shared" si="11"/>
        <v>#DIV/0!</v>
      </c>
      <c r="Z131" s="10"/>
      <c r="AA131" s="10"/>
    </row>
    <row r="132">
      <c r="A132" s="10"/>
      <c r="B132" s="10"/>
      <c r="C132" s="10"/>
      <c r="D132" s="10"/>
      <c r="E132" s="10"/>
      <c r="F132" s="67" t="str">
        <f t="shared" si="12"/>
        <v>#DIV/0!</v>
      </c>
      <c r="G132" s="10"/>
      <c r="Z132" s="10"/>
      <c r="AA132" s="10"/>
    </row>
    <row r="133">
      <c r="A133" s="10"/>
      <c r="B133" s="10"/>
      <c r="C133" s="10"/>
      <c r="D133" s="10"/>
      <c r="E133" s="10"/>
      <c r="F133" s="67" t="str">
        <f t="shared" si="12"/>
        <v>#DIV/0!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 t="str">
        <f t="shared" si="12"/>
        <v>#DIV/0!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 t="str">
        <f t="shared" si="12"/>
        <v>#DIV/0!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 t="str">
        <f t="shared" si="12"/>
        <v>#DIV/0!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 t="str">
        <f t="shared" si="12"/>
        <v>#DIV/0!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 t="str">
        <f t="shared" si="12"/>
        <v>#DIV/0!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 t="str">
        <f t="shared" si="12"/>
        <v>#DIV/0!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 t="str">
        <f t="shared" si="12"/>
        <v>#DIV/0!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 t="str">
        <f t="shared" si="12"/>
        <v>#DIV/0!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 t="str">
        <f t="shared" si="12"/>
        <v>#DIV/0!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 t="str">
        <f t="shared" si="12"/>
        <v>#DIV/0!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 t="str">
        <f t="shared" si="12"/>
        <v>#DIV/0!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 t="str">
        <f t="shared" si="12"/>
        <v>#DIV/0!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 t="str">
        <f t="shared" si="12"/>
        <v>#DIV/0!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 t="str">
        <f t="shared" si="12"/>
        <v>#DIV/0!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 t="str">
        <f t="shared" si="12"/>
        <v>#DIV/0!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 t="str">
        <f t="shared" si="12"/>
        <v>#DIV/0!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 t="str">
        <f t="shared" si="12"/>
        <v>#DIV/0!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 t="str">
        <f t="shared" si="12"/>
        <v>#DIV/0!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 t="str">
        <f t="shared" si="12"/>
        <v>#DIV/0!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 t="str">
        <f t="shared" si="12"/>
        <v>#DIV/0!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 t="str">
        <f t="shared" si="12"/>
        <v>#DIV/0!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 t="str">
        <f t="shared" si="12"/>
        <v>#DIV/0!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59"/>
      <c r="B157" s="12"/>
      <c r="C157" s="12"/>
      <c r="D157" s="12"/>
      <c r="E157" s="12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59"/>
      <c r="B158" s="12"/>
      <c r="C158" s="10"/>
      <c r="D158" s="12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59"/>
      <c r="B159" s="12"/>
      <c r="C159" s="10"/>
      <c r="D159" s="12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67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67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67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67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67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>
      <c r="A967" s="55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</sheetData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30">
      <formula1>"食物,飲品,衣服,居家,電子產品,娛樂,醫藥,交通,其他"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19" t="s">
        <v>561</v>
      </c>
      <c r="B1" s="4"/>
      <c r="C1" s="4"/>
      <c r="D1" s="4"/>
      <c r="E1" s="4"/>
      <c r="F1" s="5"/>
    </row>
    <row r="2">
      <c r="A2" s="120" t="s">
        <v>326</v>
      </c>
      <c r="B2" s="121" t="s">
        <v>2</v>
      </c>
      <c r="C2" s="122" t="s">
        <v>4</v>
      </c>
      <c r="D2" s="123" t="s">
        <v>43</v>
      </c>
      <c r="E2" s="124" t="s">
        <v>14</v>
      </c>
      <c r="F2" s="125" t="s">
        <v>7</v>
      </c>
      <c r="G2" s="18"/>
    </row>
    <row r="3">
      <c r="A3" s="126" t="s">
        <v>11</v>
      </c>
      <c r="B3" s="6">
        <f>SUMIFS($F$26:$F1517,$C$26:$C1517,"食物",$H$26:$H1517,"1")</f>
        <v>320.0836248</v>
      </c>
      <c r="C3" s="6">
        <f>SUMIFS($F$26:$F1517,$C$26:$C1517,"食物",$I$26:$I1517,"1")</f>
        <v>321.5536248</v>
      </c>
      <c r="D3" s="6">
        <f>SUMIFS($F$26:$F1517,$C$26:$C1517,"食物",$J$26:$J1517,"1")</f>
        <v>422.6673248</v>
      </c>
      <c r="E3" s="6">
        <f>SUMIFS($F$26:$F1517,$C$26:$C1517,"食物",$K$26:$K1517,"1")</f>
        <v>374.2586248</v>
      </c>
      <c r="F3" s="127">
        <f>SUMIFS($F$26:$F1517,$C$26:$C1517,"食物",$N$26:$N1517,"1")</f>
        <v>220.6711248</v>
      </c>
    </row>
    <row r="4">
      <c r="A4" s="126" t="s">
        <v>19</v>
      </c>
      <c r="B4" s="6">
        <f>SUMIFS($F$26:$F1517,$C$26:$C1517,"飲品",$H$26:$H1517,"1")</f>
        <v>0</v>
      </c>
      <c r="C4" s="6">
        <f>SUMIFS($F$26:$F1517,$C$26:$C1517,"飲品",$I$26:$I1517,"1")</f>
        <v>0</v>
      </c>
      <c r="D4" s="6">
        <f>SUMIFS($F$26:$F1517,$C$26:$C1517,"飲品",$J$26:$J1517,"1")</f>
        <v>0</v>
      </c>
      <c r="E4" s="6">
        <f>SUMIFS($F$26:$F1517,$C$26:$C1517,"飲品",$K$26:$K1517,"1")</f>
        <v>0</v>
      </c>
      <c r="F4" s="127">
        <f>SUMIFS($F$26:$F1517,$C$26:$C1517,"飲品",$N$26:$N1517,"1")</f>
        <v>0</v>
      </c>
    </row>
    <row r="5">
      <c r="A5" s="126" t="s">
        <v>21</v>
      </c>
      <c r="B5" s="6">
        <f>SUMIFS($F$26:$F1517,$C$26:$C1517,"衣物",$H$26:$H1517,"1")</f>
        <v>0</v>
      </c>
      <c r="C5" s="6">
        <f>SUMIFS($F$26:$F1517,$C$26:$C1517,"衣物",$I$26:$I1517,"1")</f>
        <v>0</v>
      </c>
      <c r="D5" s="6">
        <f>SUMIFS($F$26:$F1517,$C$26:$C1517,"衣物",$J$26:$J1517,"1")</f>
        <v>0</v>
      </c>
      <c r="E5" s="6">
        <f>SUMIFS($F$26:$F1517,$C$26:$C1517,"衣物",$K$26:$K1517,"1")</f>
        <v>0</v>
      </c>
      <c r="F5" s="127">
        <f>SUMIFS($F$26:$F1517,$C$26:$C1517,"衣物",$N$26:$N1517,"1")</f>
        <v>0</v>
      </c>
    </row>
    <row r="6">
      <c r="A6" s="126" t="s">
        <v>327</v>
      </c>
      <c r="B6" s="6">
        <f>SUMIFS($F$26:$F1517,$C$26:$C1517,"居家",$H$26:$H1517,"1")+T57</f>
        <v>841.57382</v>
      </c>
      <c r="C6" s="6">
        <f>SUMIFS($F$26:$F1517,$C$26:$C1517,"居家",$I$26:$I1517,"1")+T57</f>
        <v>799.92202</v>
      </c>
      <c r="D6" s="6">
        <f>SUMIFS($F$26:$F1517,$C$26:$C1517,"居家",$J$26:$J1517,"1")+T57</f>
        <v>917.5319033</v>
      </c>
      <c r="E6" s="6">
        <f>SUMIFS($F$26:$F1517,$C$26:$C1517,"居家",$K$26:$K1517,"1")+T57</f>
        <v>844.1182033</v>
      </c>
      <c r="F6" s="127">
        <f>SUMIFS($F$26:$F1517,$C$26:$C1517,"居家",$N$26:$N1517,"1")+T57</f>
        <v>817.5575533</v>
      </c>
    </row>
    <row r="7">
      <c r="A7" s="126" t="s">
        <v>25</v>
      </c>
      <c r="B7" s="6">
        <f>SUMIFS($F$26:$F1517,$C$26:$C1517,"電子產品",$H$26:$H1517,"1")</f>
        <v>14.24704</v>
      </c>
      <c r="C7" s="6">
        <f>SUMIFS($F$26:$F1517,$C$26:$C1517,"電子產品",$I$26:$I1517,"1")</f>
        <v>7.21279</v>
      </c>
      <c r="D7" s="6">
        <f>SUMIFS($F$26:$F1517,$C$26:$C1517,"電子產品",$J$26:$J1517,"1")</f>
        <v>8.97559</v>
      </c>
      <c r="E7" s="6">
        <f>SUMIFS($F$26:$F1517,$C$26:$C1517,"電子產品",$K$26:$K1517,"1")</f>
        <v>1.94134</v>
      </c>
      <c r="F7" s="127">
        <f>SUMIFS($F$26:$F1517,$C$26:$C1517,"電子產品",$N$26:$N1517,"1")</f>
        <v>1.94134</v>
      </c>
    </row>
    <row r="8">
      <c r="A8" s="126" t="s">
        <v>27</v>
      </c>
      <c r="B8" s="6">
        <f>SUMIFS($F$26:$F1517,$C$26:$C1517,"娛樂",$H$26:$H1517,"1")</f>
        <v>39.40897</v>
      </c>
      <c r="C8" s="6">
        <f>SUMIFS($F$26:$F1517,$C$26:$C1517,"娛樂",$I$26:$I1517,"1")</f>
        <v>37.58967</v>
      </c>
      <c r="D8" s="6">
        <f>SUMIFS($F$26:$F1517,$C$26:$C1517,"娛樂",$J$26:$J1517,"1")</f>
        <v>33.61772</v>
      </c>
      <c r="E8" s="6">
        <f>SUMIFS($F$26:$F1517,$C$26:$C1517,"娛樂",$K$26:$K1517,"1")</f>
        <v>33.61772</v>
      </c>
      <c r="F8" s="127">
        <f>SUMIFS($F$26:$F1517,$C$26:$C1517,"娛樂",$N$26:$N1517,"1")</f>
        <v>33.61772</v>
      </c>
    </row>
    <row r="9">
      <c r="A9" s="126" t="s">
        <v>29</v>
      </c>
      <c r="B9" s="6">
        <f>SUMIFS($F$26:$F1517,$C$26:$C1517,"交通",$H$26:$H1517,"1")</f>
        <v>0</v>
      </c>
      <c r="C9" s="6">
        <f>SUMIFS($F$26:$F1517,$C$26:$C1517,"交通",$I$26:$I1517,"1")</f>
        <v>0</v>
      </c>
      <c r="D9" s="6">
        <f>SUMIFS($F$26:$F1517,$C$26:$C1517,"交通",$J$26:$J1517,"1")</f>
        <v>0</v>
      </c>
      <c r="E9" s="6">
        <f>SUMIFS($F$26:$F1517,$C$26:$C1517,"交通",$K$26:$K1517,"1")</f>
        <v>0</v>
      </c>
      <c r="F9" s="127">
        <f>SUMIFS($F$26:$F1517,$C$26:$C1517,"交通",$N$26:$N1517,"1")</f>
        <v>0</v>
      </c>
    </row>
    <row r="10">
      <c r="A10" s="126" t="s">
        <v>31</v>
      </c>
      <c r="B10" s="6">
        <f>SUMIFS($F$26:$F1517,$C$26:$C1517,"醫藥",$H$26:$H1517,"1")</f>
        <v>0</v>
      </c>
      <c r="C10" s="6">
        <f>SUMIFS($F$26:$F1517,$C$26:$C1517,"醫藥",$I$26:$I1517,"1")</f>
        <v>0</v>
      </c>
      <c r="D10" s="6">
        <f>SUMIFS($F$26:$F1517,$C$26:$C1517,"醫藥",$J$26:$J1517,"1")</f>
        <v>0</v>
      </c>
      <c r="E10" s="6">
        <f>SUMIFS($F$26:$F1517,$C$26:$C1517,"醫藥",$K$26:$K1517,"1")</f>
        <v>0</v>
      </c>
      <c r="F10" s="127">
        <f>SUMIFS($F$26:$F1517,$C$26:$C1517,"醫藥",$N$26:$N1517,"1")</f>
        <v>0</v>
      </c>
    </row>
    <row r="11">
      <c r="A11" s="128" t="s">
        <v>33</v>
      </c>
      <c r="B11" s="129">
        <f>SUMIFS($F$26:$F1517,$C$26:$C1517,"其他",$H$26:$H1517,"1")</f>
        <v>0</v>
      </c>
      <c r="C11" s="129">
        <f>SUMIFS($F$26:$F1517,$C$26:$C1517,"其他",$I$26:$I1517,"1")</f>
        <v>0</v>
      </c>
      <c r="D11" s="129">
        <f>SUMIFS($F$26:$F1517,$C$26:$C1517,"其他",$J$26:$J1517,"1")</f>
        <v>18.0687</v>
      </c>
      <c r="E11" s="129">
        <f>SUMIFS($F$26:$F1517,$C$26:$C1517,"其他",$K$26:$K1517,"1")</f>
        <v>0</v>
      </c>
      <c r="F11" s="130">
        <f>SUMIFS($F$26:$F1517,$C$26:$C1517,"其他",$N$26:$N1517,"1")</f>
        <v>0</v>
      </c>
    </row>
    <row r="12">
      <c r="A12" s="131" t="s">
        <v>328</v>
      </c>
      <c r="B12" s="6">
        <f t="shared" ref="B12:F12" si="1">SUM(B2:B11)</f>
        <v>1215.313455</v>
      </c>
      <c r="C12" s="6">
        <f t="shared" si="1"/>
        <v>1166.278105</v>
      </c>
      <c r="D12" s="6">
        <f t="shared" si="1"/>
        <v>1400.861238</v>
      </c>
      <c r="E12" s="6">
        <f t="shared" si="1"/>
        <v>1253.935888</v>
      </c>
      <c r="F12" s="6">
        <f t="shared" si="1"/>
        <v>1073.787738</v>
      </c>
    </row>
    <row r="25">
      <c r="A25" s="132" t="str">
        <f>IFERROR(__xludf.DUMMYFUNCTION("IMPORTRANGE(""https://docs.google.com/spreadsheets/d/1dZpkWD3REnvVALQwbfOZZpKYnujFN1S_8pHjXVTirOc/edit#gid=1977712179"", ""Daily Expense_Feb!A12:N"")
"),"Date")</f>
        <v>Date</v>
      </c>
      <c r="B25" s="132" t="str">
        <f>IFERROR(__xludf.DUMMYFUNCTION("""COMPUTED_VALUE"""),"Item")</f>
        <v>Item</v>
      </c>
      <c r="C25" s="132" t="str">
        <f>IFERROR(__xludf.DUMMYFUNCTION("""COMPUTED_VALUE"""),"Type")</f>
        <v>Type</v>
      </c>
      <c r="D25" s="132" t="str">
        <f>IFERROR(__xludf.DUMMYFUNCTION("""COMPUTED_VALUE"""),"Price")</f>
        <v>Price</v>
      </c>
      <c r="E25" s="132" t="str">
        <f>IFERROR(__xludf.DUMMYFUNCTION("""COMPUTED_VALUE"""),"Paid by")</f>
        <v>Paid by</v>
      </c>
      <c r="F25" s="132" t="str">
        <f>IFERROR(__xludf.DUMMYFUNCTION("""COMPUTED_VALUE"""),"For Record 請勿清除")</f>
        <v>For Record 請勿清除</v>
      </c>
      <c r="G25" s="132" t="str">
        <f>IFERROR(__xludf.DUMMYFUNCTION("""COMPUTED_VALUE"""),"Average 清算後可清除")</f>
        <v>Average 清算後可清除</v>
      </c>
      <c r="H25" s="132" t="str">
        <f>IFERROR(__xludf.DUMMYFUNCTION("""COMPUTED_VALUE"""),"Timothy")</f>
        <v>Timothy</v>
      </c>
      <c r="I25" s="132" t="str">
        <f>IFERROR(__xludf.DUMMYFUNCTION("""COMPUTED_VALUE"""),"Rachel")</f>
        <v>Rachel</v>
      </c>
      <c r="J25" s="132" t="str">
        <f>IFERROR(__xludf.DUMMYFUNCTION("""COMPUTED_VALUE"""),"Bryan")</f>
        <v>Bryan</v>
      </c>
      <c r="K25" s="132" t="str">
        <f>IFERROR(__xludf.DUMMYFUNCTION("""COMPUTED_VALUE"""),"Pigskin")</f>
        <v>Pigskin</v>
      </c>
      <c r="L25" s="132" t="str">
        <f>IFERROR(__xludf.DUMMYFUNCTION("""COMPUTED_VALUE"""),"Angel")</f>
        <v>Angel</v>
      </c>
      <c r="M25" s="132" t="str">
        <f>IFERROR(__xludf.DUMMYFUNCTION("""COMPUTED_VALUE"""),"Ivan")</f>
        <v>Ivan</v>
      </c>
      <c r="N25" s="132" t="str">
        <f>IFERROR(__xludf.DUMMYFUNCTION("""COMPUTED_VALUE"""),"Esther")</f>
        <v>Esther</v>
      </c>
      <c r="O25" s="132"/>
      <c r="P25" s="132"/>
      <c r="Q25" s="132" t="str">
        <f>IFERROR(__xludf.DUMMYFUNCTION("IMPORTRANGE(""https://docs.google.com/spreadsheets/d/1dZpkWD3REnvVALQwbfOZZpKYnujFN1S_8pHjXVTirOc/edit#gid=1388060777"", ""Monthly Constant Expense!A:I"")"),"Month")</f>
        <v>Month</v>
      </c>
      <c r="R25" s="132" t="str">
        <f>IFERROR(__xludf.DUMMYFUNCTION("""COMPUTED_VALUE"""),"Item")</f>
        <v>Item</v>
      </c>
      <c r="S25" s="132" t="str">
        <f>IFERROR(__xludf.DUMMYFUNCTION("""COMPUTED_VALUE"""),"Total Price")</f>
        <v>Total Price</v>
      </c>
      <c r="T25" s="132" t="str">
        <f>IFERROR(__xludf.DUMMYFUNCTION("""COMPUTED_VALUE"""),"Per person")</f>
        <v>Per person</v>
      </c>
      <c r="U25" s="132" t="str">
        <f>IFERROR(__xludf.DUMMYFUNCTION("""COMPUTED_VALUE"""),"Timothy")</f>
        <v>Timothy</v>
      </c>
      <c r="V25" s="132" t="str">
        <f>IFERROR(__xludf.DUMMYFUNCTION("""COMPUTED_VALUE"""),"Rachel")</f>
        <v>Rachel</v>
      </c>
      <c r="W25" s="132" t="str">
        <f>IFERROR(__xludf.DUMMYFUNCTION("""COMPUTED_VALUE"""),"Bryan")</f>
        <v>Bryan</v>
      </c>
      <c r="X25" s="132" t="str">
        <f>IFERROR(__xludf.DUMMYFUNCTION("""COMPUTED_VALUE"""),"Pigskin")</f>
        <v>Pigskin</v>
      </c>
      <c r="Y25" s="132" t="str">
        <f>IFERROR(__xludf.DUMMYFUNCTION("""COMPUTED_VALUE"""),"Apple")</f>
        <v>Apple</v>
      </c>
      <c r="Z25" s="132"/>
    </row>
    <row r="26">
      <c r="A26" s="133">
        <f>IFERROR(__xludf.DUMMYFUNCTION("""COMPUTED_VALUE"""),45326.0)</f>
        <v>45326</v>
      </c>
      <c r="B26" s="132" t="str">
        <f>IFERROR(__xludf.DUMMYFUNCTION("""COMPUTED_VALUE"""),"茶餐廳")</f>
        <v>茶餐廳</v>
      </c>
      <c r="C26" s="132" t="str">
        <f>IFERROR(__xludf.DUMMYFUNCTION("""COMPUTED_VALUE"""),"食物")</f>
        <v>食物</v>
      </c>
      <c r="D26" s="132">
        <f>IFERROR(__xludf.DUMMYFUNCTION("""COMPUTED_VALUE"""),67.0)</f>
        <v>67</v>
      </c>
      <c r="E26" s="132" t="str">
        <f>IFERROR(__xludf.DUMMYFUNCTION("""COMPUTED_VALUE"""),"Rachel")</f>
        <v>Rachel</v>
      </c>
      <c r="F26" s="132">
        <f>IFERROR(__xludf.DUMMYFUNCTION("""COMPUTED_VALUE"""),13.4)</f>
        <v>13.4</v>
      </c>
      <c r="G26" s="132">
        <f>IFERROR(__xludf.DUMMYFUNCTION("""COMPUTED_VALUE"""),13.4)</f>
        <v>13.4</v>
      </c>
      <c r="H26" s="132">
        <f>IFERROR(__xludf.DUMMYFUNCTION("""COMPUTED_VALUE"""),1.0)</f>
        <v>1</v>
      </c>
      <c r="I26" s="132">
        <f>IFERROR(__xludf.DUMMYFUNCTION("""COMPUTED_VALUE"""),1.0)</f>
        <v>1</v>
      </c>
      <c r="J26" s="132">
        <f>IFERROR(__xludf.DUMMYFUNCTION("""COMPUTED_VALUE"""),1.0)</f>
        <v>1</v>
      </c>
      <c r="K26" s="132">
        <f>IFERROR(__xludf.DUMMYFUNCTION("""COMPUTED_VALUE"""),1.0)</f>
        <v>1</v>
      </c>
      <c r="L26" s="132"/>
      <c r="M26" s="132"/>
      <c r="N26" s="132">
        <f>IFERROR(__xludf.DUMMYFUNCTION("""COMPUTED_VALUE"""),1.0)</f>
        <v>1</v>
      </c>
      <c r="O26" s="132"/>
      <c r="P26" s="132"/>
      <c r="Q26" s="134">
        <f>IFERROR(__xludf.DUMMYFUNCTION("""COMPUTED_VALUE"""),45200.0)</f>
        <v>45200</v>
      </c>
      <c r="R26" s="132" t="str">
        <f>IFERROR(__xludf.DUMMYFUNCTION("""COMPUTED_VALUE"""),"2 months rent")</f>
        <v>2 months rent</v>
      </c>
      <c r="S26" s="132">
        <f>IFERROR(__xludf.DUMMYFUNCTION("""COMPUTED_VALUE"""),7200.0)</f>
        <v>7200</v>
      </c>
      <c r="T26" s="132">
        <f>IFERROR(__xludf.DUMMYFUNCTION("""COMPUTED_VALUE"""),1440.0)</f>
        <v>1440</v>
      </c>
      <c r="U26" s="132" t="str">
        <f>IFERROR(__xludf.DUMMYFUNCTION("""COMPUTED_VALUE"""),"Paid")</f>
        <v>Paid</v>
      </c>
      <c r="V26" s="132" t="str">
        <f>IFERROR(__xludf.DUMMYFUNCTION("""COMPUTED_VALUE"""),"Paid")</f>
        <v>Paid</v>
      </c>
      <c r="W26" s="132" t="str">
        <f>IFERROR(__xludf.DUMMYFUNCTION("""COMPUTED_VALUE"""),"Paid")</f>
        <v>Paid</v>
      </c>
      <c r="X26" s="132" t="str">
        <f>IFERROR(__xludf.DUMMYFUNCTION("""COMPUTED_VALUE"""),"Paid")</f>
        <v>Paid</v>
      </c>
      <c r="Y26" s="132" t="str">
        <f>IFERROR(__xludf.DUMMYFUNCTION("""COMPUTED_VALUE"""),"Paid")</f>
        <v>Paid</v>
      </c>
      <c r="Z26" s="132"/>
    </row>
    <row r="27">
      <c r="A27" s="133">
        <f>IFERROR(__xludf.DUMMYFUNCTION("""COMPUTED_VALUE"""),45324.0)</f>
        <v>45324</v>
      </c>
      <c r="B27" s="132" t="str">
        <f>IFERROR(__xludf.DUMMYFUNCTION("""COMPUTED_VALUE"""),"gel 蛋糕")</f>
        <v>gel 蛋糕</v>
      </c>
      <c r="C27" s="132" t="str">
        <f>IFERROR(__xludf.DUMMYFUNCTION("""COMPUTED_VALUE"""),"食物")</f>
        <v>食物</v>
      </c>
      <c r="D27" s="132">
        <f>IFERROR(__xludf.DUMMYFUNCTION("""COMPUTED_VALUE"""),46.75)</f>
        <v>46.75</v>
      </c>
      <c r="E27" s="132" t="str">
        <f>IFERROR(__xludf.DUMMYFUNCTION("""COMPUTED_VALUE"""),"Rachel")</f>
        <v>Rachel</v>
      </c>
      <c r="F27" s="132">
        <f>IFERROR(__xludf.DUMMYFUNCTION("""COMPUTED_VALUE"""),7.791666666666667)</f>
        <v>7.791666667</v>
      </c>
      <c r="G27" s="132">
        <f>IFERROR(__xludf.DUMMYFUNCTION("""COMPUTED_VALUE"""),7.791666666666667)</f>
        <v>7.791666667</v>
      </c>
      <c r="H27" s="132">
        <f>IFERROR(__xludf.DUMMYFUNCTION("""COMPUTED_VALUE"""),1.0)</f>
        <v>1</v>
      </c>
      <c r="I27" s="132">
        <f>IFERROR(__xludf.DUMMYFUNCTION("""COMPUTED_VALUE"""),1.0)</f>
        <v>1</v>
      </c>
      <c r="J27" s="132">
        <f>IFERROR(__xludf.DUMMYFUNCTION("""COMPUTED_VALUE"""),1.0)</f>
        <v>1</v>
      </c>
      <c r="K27" s="132">
        <f>IFERROR(__xludf.DUMMYFUNCTION("""COMPUTED_VALUE"""),1.0)</f>
        <v>1</v>
      </c>
      <c r="L27" s="132"/>
      <c r="M27" s="132">
        <f>IFERROR(__xludf.DUMMYFUNCTION("""COMPUTED_VALUE"""),1.0)</f>
        <v>1</v>
      </c>
      <c r="N27" s="132">
        <f>IFERROR(__xludf.DUMMYFUNCTION("""COMPUTED_VALUE"""),1.0)</f>
        <v>1</v>
      </c>
      <c r="O27" s="132"/>
      <c r="P27" s="132"/>
      <c r="Q27" s="132"/>
      <c r="R27" s="132" t="str">
        <f>IFERROR(__xludf.DUMMYFUNCTION("""COMPUTED_VALUE"""),"Housing Insurance")</f>
        <v>Housing Insurance</v>
      </c>
      <c r="S27" s="132">
        <f>IFERROR(__xludf.DUMMYFUNCTION("""COMPUTED_VALUE"""),676.3)</f>
        <v>676.3</v>
      </c>
      <c r="T27" s="132">
        <f>IFERROR(__xludf.DUMMYFUNCTION("""COMPUTED_VALUE"""),135.26)</f>
        <v>135.26</v>
      </c>
      <c r="U27" s="132" t="str">
        <f>IFERROR(__xludf.DUMMYFUNCTION("""COMPUTED_VALUE"""),"Paid")</f>
        <v>Paid</v>
      </c>
      <c r="V27" s="132" t="str">
        <f>IFERROR(__xludf.DUMMYFUNCTION("""COMPUTED_VALUE"""),"Paid")</f>
        <v>Paid</v>
      </c>
      <c r="W27" s="132" t="str">
        <f>IFERROR(__xludf.DUMMYFUNCTION("""COMPUTED_VALUE"""),"Paid")</f>
        <v>Paid</v>
      </c>
      <c r="X27" s="132" t="str">
        <f>IFERROR(__xludf.DUMMYFUNCTION("""COMPUTED_VALUE"""),"Paid")</f>
        <v>Paid</v>
      </c>
      <c r="Y27" s="132"/>
      <c r="Z27" s="132"/>
    </row>
    <row r="28">
      <c r="A28" s="133">
        <f>IFERROR(__xludf.DUMMYFUNCTION("""COMPUTED_VALUE"""),45324.0)</f>
        <v>45324</v>
      </c>
      <c r="B28" s="132" t="str">
        <f>IFERROR(__xludf.DUMMYFUNCTION("""COMPUTED_VALUE"""),"Garlic chopper")</f>
        <v>Garlic chopper</v>
      </c>
      <c r="C28" s="132" t="str">
        <f>IFERROR(__xludf.DUMMYFUNCTION("""COMPUTED_VALUE"""),"電子產品")</f>
        <v>電子產品</v>
      </c>
      <c r="D28" s="135">
        <f>IFERROR(__xludf.DUMMYFUNCTION("""COMPUTED_VALUE"""),9.7067)</f>
        <v>9.7067</v>
      </c>
      <c r="E28" s="132" t="str">
        <f>IFERROR(__xludf.DUMMYFUNCTION("""COMPUTED_VALUE"""),"Timothy")</f>
        <v>Timothy</v>
      </c>
      <c r="F28" s="132">
        <f>IFERROR(__xludf.DUMMYFUNCTION("""COMPUTED_VALUE"""),1.9413399999999998)</f>
        <v>1.94134</v>
      </c>
      <c r="G28" s="132">
        <f>IFERROR(__xludf.DUMMYFUNCTION("""COMPUTED_VALUE"""),1.9413399999999998)</f>
        <v>1.94134</v>
      </c>
      <c r="H28" s="132">
        <f>IFERROR(__xludf.DUMMYFUNCTION("""COMPUTED_VALUE"""),1.0)</f>
        <v>1</v>
      </c>
      <c r="I28" s="132">
        <f>IFERROR(__xludf.DUMMYFUNCTION("""COMPUTED_VALUE"""),1.0)</f>
        <v>1</v>
      </c>
      <c r="J28" s="132">
        <f>IFERROR(__xludf.DUMMYFUNCTION("""COMPUTED_VALUE"""),1.0)</f>
        <v>1</v>
      </c>
      <c r="K28" s="132">
        <f>IFERROR(__xludf.DUMMYFUNCTION("""COMPUTED_VALUE"""),1.0)</f>
        <v>1</v>
      </c>
      <c r="L28" s="132"/>
      <c r="M28" s="132"/>
      <c r="N28" s="132">
        <f>IFERROR(__xludf.DUMMYFUNCTION("""COMPUTED_VALUE"""),1.0)</f>
        <v>1</v>
      </c>
      <c r="O28" s="132"/>
      <c r="P28" s="132"/>
      <c r="Q28" s="132"/>
      <c r="R28" s="132" t="str">
        <f>IFERROR(__xludf.DUMMYFUNCTION("""COMPUTED_VALUE"""),"Rent (up-front)")</f>
        <v>Rent (up-front)</v>
      </c>
      <c r="S28" s="132">
        <f>IFERROR(__xludf.DUMMYFUNCTION("""COMPUTED_VALUE"""),14400.0)</f>
        <v>14400</v>
      </c>
      <c r="T28" s="132">
        <f>IFERROR(__xludf.DUMMYFUNCTION("""COMPUTED_VALUE"""),2880.0)</f>
        <v>2880</v>
      </c>
      <c r="U28" s="132" t="str">
        <f>IFERROR(__xludf.DUMMYFUNCTION("""COMPUTED_VALUE"""),"Paid")</f>
        <v>Paid</v>
      </c>
      <c r="V28" s="132" t="str">
        <f>IFERROR(__xludf.DUMMYFUNCTION("""COMPUTED_VALUE"""),"Paid")</f>
        <v>Paid</v>
      </c>
      <c r="W28" s="132" t="str">
        <f>IFERROR(__xludf.DUMMYFUNCTION("""COMPUTED_VALUE"""),"Paid")</f>
        <v>Paid</v>
      </c>
      <c r="X28" s="132" t="str">
        <f>IFERROR(__xludf.DUMMYFUNCTION("""COMPUTED_VALUE"""),"Paid")</f>
        <v>Paid</v>
      </c>
      <c r="Y28" s="132" t="str">
        <f>IFERROR(__xludf.DUMMYFUNCTION("""COMPUTED_VALUE"""),"Paid")</f>
        <v>Paid</v>
      </c>
      <c r="Z28" s="132"/>
    </row>
    <row r="29">
      <c r="A29" s="133"/>
      <c r="B29" s="132" t="str">
        <f>IFERROR(__xludf.DUMMYFUNCTION("""COMPUTED_VALUE"""),"Garlic chopper")</f>
        <v>Garlic chopper</v>
      </c>
      <c r="C29" s="132" t="str">
        <f>IFERROR(__xludf.DUMMYFUNCTION("""COMPUTED_VALUE"""),"電子產品")</f>
        <v>電子產品</v>
      </c>
      <c r="D29" s="135">
        <f>IFERROR(__xludf.DUMMYFUNCTION("""COMPUTED_VALUE"""),9.7067)</f>
        <v>9.7067</v>
      </c>
      <c r="E29" s="132" t="str">
        <f>IFERROR(__xludf.DUMMYFUNCTION("""COMPUTED_VALUE"""),"Timothy")</f>
        <v>Timothy</v>
      </c>
      <c r="F29" s="132">
        <f>IFERROR(__xludf.DUMMYFUNCTION("""COMPUTED_VALUE"""),9.7067)</f>
        <v>9.7067</v>
      </c>
      <c r="G29" s="132">
        <f>IFERROR(__xludf.DUMMYFUNCTION("""COMPUTED_VALUE"""),9.7067)</f>
        <v>9.7067</v>
      </c>
      <c r="H29" s="132"/>
      <c r="I29" s="132"/>
      <c r="J29" s="132"/>
      <c r="K29" s="132"/>
      <c r="L29" s="132">
        <f>IFERROR(__xludf.DUMMYFUNCTION("""COMPUTED_VALUE"""),1.0)</f>
        <v>1</v>
      </c>
      <c r="M29" s="132"/>
      <c r="N29" s="132"/>
      <c r="O29" s="132"/>
      <c r="P29" s="132"/>
      <c r="Q29" s="132"/>
      <c r="R29" s="132" t="str">
        <f>IFERROR(__xludf.DUMMYFUNCTION("""COMPUTED_VALUE"""),"Key Deposit")</f>
        <v>Key Deposit</v>
      </c>
      <c r="S29" s="132">
        <f>IFERROR(__xludf.DUMMYFUNCTION("""COMPUTED_VALUE"""),200.0)</f>
        <v>200</v>
      </c>
      <c r="T29" s="132">
        <f>IFERROR(__xludf.DUMMYFUNCTION("""COMPUTED_VALUE"""),40.0)</f>
        <v>40</v>
      </c>
      <c r="U29" s="132" t="str">
        <f>IFERROR(__xludf.DUMMYFUNCTION("""COMPUTED_VALUE"""),"Paid")</f>
        <v>Paid</v>
      </c>
      <c r="V29" s="132" t="str">
        <f>IFERROR(__xludf.DUMMYFUNCTION("""COMPUTED_VALUE"""),"Paid")</f>
        <v>Paid</v>
      </c>
      <c r="W29" s="132" t="str">
        <f>IFERROR(__xludf.DUMMYFUNCTION("""COMPUTED_VALUE"""),"Paid")</f>
        <v>Paid</v>
      </c>
      <c r="X29" s="132" t="str">
        <f>IFERROR(__xludf.DUMMYFUNCTION("""COMPUTED_VALUE"""),"Paid")</f>
        <v>Paid</v>
      </c>
      <c r="Y29" s="132" t="str">
        <f>IFERROR(__xludf.DUMMYFUNCTION("""COMPUTED_VALUE"""),"Paid")</f>
        <v>Paid</v>
      </c>
      <c r="Z29" s="132"/>
    </row>
    <row r="30">
      <c r="A30" s="133"/>
      <c r="B30" s="132" t="str">
        <f>IFERROR(__xludf.DUMMYFUNCTION("""COMPUTED_VALUE"""),"Mobile Stand")</f>
        <v>Mobile Stand</v>
      </c>
      <c r="C30" s="132" t="str">
        <f>IFERROR(__xludf.DUMMYFUNCTION("""COMPUTED_VALUE"""),"電子產品")</f>
        <v>電子產品</v>
      </c>
      <c r="D30" s="135">
        <f>IFERROR(__xludf.DUMMYFUNCTION("""COMPUTED_VALUE"""),14.068499999999998)</f>
        <v>14.0685</v>
      </c>
      <c r="E30" s="132" t="str">
        <f>IFERROR(__xludf.DUMMYFUNCTION("""COMPUTED_VALUE"""),"Timothy")</f>
        <v>Timothy</v>
      </c>
      <c r="F30" s="132">
        <f>IFERROR(__xludf.DUMMYFUNCTION("""COMPUTED_VALUE"""),7.034249999999999)</f>
        <v>7.03425</v>
      </c>
      <c r="G30" s="132">
        <f>IFERROR(__xludf.DUMMYFUNCTION("""COMPUTED_VALUE"""),7.034249999999999)</f>
        <v>7.03425</v>
      </c>
      <c r="H30" s="132">
        <f>IFERROR(__xludf.DUMMYFUNCTION("""COMPUTED_VALUE"""),1.0)</f>
        <v>1</v>
      </c>
      <c r="I30" s="132"/>
      <c r="J30" s="132">
        <f>IFERROR(__xludf.DUMMYFUNCTION("""COMPUTED_VALUE"""),1.0)</f>
        <v>1</v>
      </c>
      <c r="K30" s="132"/>
      <c r="L30" s="132"/>
      <c r="M30" s="132"/>
      <c r="N30" s="132"/>
      <c r="O30" s="132"/>
      <c r="P30" s="132"/>
      <c r="Q30" s="132"/>
      <c r="R30" s="132" t="str">
        <f>IFERROR(__xludf.DUMMYFUNCTION("""COMPUTED_VALUE"""),"Furniture Deposit")</f>
        <v>Furniture Deposit</v>
      </c>
      <c r="S30" s="132">
        <f>IFERROR(__xludf.DUMMYFUNCTION("""COMPUTED_VALUE"""),800.0)</f>
        <v>800</v>
      </c>
      <c r="T30" s="132">
        <f>IFERROR(__xludf.DUMMYFUNCTION("""COMPUTED_VALUE"""),160.0)</f>
        <v>160</v>
      </c>
      <c r="U30" s="132" t="str">
        <f>IFERROR(__xludf.DUMMYFUNCTION("""COMPUTED_VALUE"""),"Paid")</f>
        <v>Paid</v>
      </c>
      <c r="V30" s="132" t="str">
        <f>IFERROR(__xludf.DUMMYFUNCTION("""COMPUTED_VALUE"""),"Paid")</f>
        <v>Paid</v>
      </c>
      <c r="W30" s="132" t="str">
        <f>IFERROR(__xludf.DUMMYFUNCTION("""COMPUTED_VALUE"""),"Paid")</f>
        <v>Paid</v>
      </c>
      <c r="X30" s="132" t="str">
        <f>IFERROR(__xludf.DUMMYFUNCTION("""COMPUTED_VALUE"""),"Paid")</f>
        <v>Paid</v>
      </c>
      <c r="Y30" s="132" t="str">
        <f>IFERROR(__xludf.DUMMYFUNCTION("""COMPUTED_VALUE"""),"Paid")</f>
        <v>Paid</v>
      </c>
      <c r="Z30" s="132"/>
    </row>
    <row r="31">
      <c r="A31" s="133"/>
      <c r="B31" s="132" t="str">
        <f>IFERROR(__xludf.DUMMYFUNCTION("""COMPUTED_VALUE"""),"air fryer paper")</f>
        <v>air fryer paper</v>
      </c>
      <c r="C31" s="132" t="str">
        <f>IFERROR(__xludf.DUMMYFUNCTION("""COMPUTED_VALUE"""),"居家")</f>
        <v>居家</v>
      </c>
      <c r="D31" s="135">
        <f>IFERROR(__xludf.DUMMYFUNCTION("""COMPUTED_VALUE"""),4.056699999999999)</f>
        <v>4.0567</v>
      </c>
      <c r="E31" s="132" t="str">
        <f>IFERROR(__xludf.DUMMYFUNCTION("""COMPUTED_VALUE"""),"Timothy")</f>
        <v>Timothy</v>
      </c>
      <c r="F31" s="132">
        <f>IFERROR(__xludf.DUMMYFUNCTION("""COMPUTED_VALUE"""),0.8113399999999998)</f>
        <v>0.81134</v>
      </c>
      <c r="G31" s="132">
        <f>IFERROR(__xludf.DUMMYFUNCTION("""COMPUTED_VALUE"""),0.8113399999999998)</f>
        <v>0.81134</v>
      </c>
      <c r="H31" s="132">
        <f>IFERROR(__xludf.DUMMYFUNCTION("""COMPUTED_VALUE"""),1.0)</f>
        <v>1</v>
      </c>
      <c r="I31" s="132">
        <f>IFERROR(__xludf.DUMMYFUNCTION("""COMPUTED_VALUE"""),1.0)</f>
        <v>1</v>
      </c>
      <c r="J31" s="132">
        <f>IFERROR(__xludf.DUMMYFUNCTION("""COMPUTED_VALUE"""),1.0)</f>
        <v>1</v>
      </c>
      <c r="K31" s="132">
        <f>IFERROR(__xludf.DUMMYFUNCTION("""COMPUTED_VALUE"""),1.0)</f>
        <v>1</v>
      </c>
      <c r="L31" s="132"/>
      <c r="M31" s="132"/>
      <c r="N31" s="132">
        <f>IFERROR(__xludf.DUMMYFUNCTION("""COMPUTED_VALUE"""),1.0)</f>
        <v>1</v>
      </c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>
      <c r="A32" s="133"/>
      <c r="B32" s="132" t="str">
        <f>IFERROR(__xludf.DUMMYFUNCTION("""COMPUTED_VALUE"""),"Key")</f>
        <v>Key</v>
      </c>
      <c r="C32" s="132" t="str">
        <f>IFERROR(__xludf.DUMMYFUNCTION("""COMPUTED_VALUE"""),"娛樂")</f>
        <v>娛樂</v>
      </c>
      <c r="D32" s="135">
        <f>IFERROR(__xludf.DUMMYFUNCTION("""COMPUTED_VALUE"""),1.8193)</f>
        <v>1.8193</v>
      </c>
      <c r="E32" s="132" t="str">
        <f>IFERROR(__xludf.DUMMYFUNCTION("""COMPUTED_VALUE"""),"Timothy")</f>
        <v>Timothy</v>
      </c>
      <c r="F32" s="132">
        <f>IFERROR(__xludf.DUMMYFUNCTION("""COMPUTED_VALUE"""),1.8193)</f>
        <v>1.8193</v>
      </c>
      <c r="G32" s="132">
        <f>IFERROR(__xludf.DUMMYFUNCTION("""COMPUTED_VALUE"""),1.8193)</f>
        <v>1.8193</v>
      </c>
      <c r="H32" s="132">
        <f>IFERROR(__xludf.DUMMYFUNCTION("""COMPUTED_VALUE"""),1.0)</f>
        <v>1</v>
      </c>
      <c r="I32" s="132"/>
      <c r="J32" s="132"/>
      <c r="K32" s="132"/>
      <c r="L32" s="132"/>
      <c r="M32" s="132"/>
      <c r="N32" s="132"/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>
      <c r="A33" s="133"/>
      <c r="B33" s="132" t="str">
        <f>IFERROR(__xludf.DUMMYFUNCTION("""COMPUTED_VALUE"""),"Planner")</f>
        <v>Planner</v>
      </c>
      <c r="C33" s="132" t="str">
        <f>IFERROR(__xludf.DUMMYFUNCTION("""COMPUTED_VALUE"""),"居家")</f>
        <v>居家</v>
      </c>
      <c r="D33" s="135">
        <f>IFERROR(__xludf.DUMMYFUNCTION("""COMPUTED_VALUE"""),11.8537)</f>
        <v>11.8537</v>
      </c>
      <c r="E33" s="132" t="str">
        <f>IFERROR(__xludf.DUMMYFUNCTION("""COMPUTED_VALUE"""),"Timothy")</f>
        <v>Timothy</v>
      </c>
      <c r="F33" s="132">
        <f>IFERROR(__xludf.DUMMYFUNCTION("""COMPUTED_VALUE"""),2.37074)</f>
        <v>2.37074</v>
      </c>
      <c r="G33" s="132">
        <f>IFERROR(__xludf.DUMMYFUNCTION("""COMPUTED_VALUE"""),2.37074)</f>
        <v>2.37074</v>
      </c>
      <c r="H33" s="132">
        <f>IFERROR(__xludf.DUMMYFUNCTION("""COMPUTED_VALUE"""),1.0)</f>
        <v>1</v>
      </c>
      <c r="I33" s="132">
        <f>IFERROR(__xludf.DUMMYFUNCTION("""COMPUTED_VALUE"""),1.0)</f>
        <v>1</v>
      </c>
      <c r="J33" s="132">
        <f>IFERROR(__xludf.DUMMYFUNCTION("""COMPUTED_VALUE"""),1.0)</f>
        <v>1</v>
      </c>
      <c r="K33" s="132">
        <f>IFERROR(__xludf.DUMMYFUNCTION("""COMPUTED_VALUE"""),1.0)</f>
        <v>1</v>
      </c>
      <c r="L33" s="132"/>
      <c r="M33" s="132"/>
      <c r="N33" s="132">
        <f>IFERROR(__xludf.DUMMYFUNCTION("""COMPUTED_VALUE"""),1.0)</f>
        <v>1</v>
      </c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>
      <c r="A34" s="133"/>
      <c r="B34" s="132" t="str">
        <f>IFERROR(__xludf.DUMMYFUNCTION("""COMPUTED_VALUE"""),"Cutting board")</f>
        <v>Cutting board</v>
      </c>
      <c r="C34" s="132" t="str">
        <f>IFERROR(__xludf.DUMMYFUNCTION("""COMPUTED_VALUE"""),"居家")</f>
        <v>居家</v>
      </c>
      <c r="D34" s="135">
        <f>IFERROR(__xludf.DUMMYFUNCTION("""COMPUTED_VALUE"""),2.3616999999999995)</f>
        <v>2.3617</v>
      </c>
      <c r="E34" s="132" t="str">
        <f>IFERROR(__xludf.DUMMYFUNCTION("""COMPUTED_VALUE"""),"Timothy")</f>
        <v>Timothy</v>
      </c>
      <c r="F34" s="132">
        <f>IFERROR(__xludf.DUMMYFUNCTION("""COMPUTED_VALUE"""),0.47233999999999987)</f>
        <v>0.47234</v>
      </c>
      <c r="G34" s="132">
        <f>IFERROR(__xludf.DUMMYFUNCTION("""COMPUTED_VALUE"""),0.47233999999999987)</f>
        <v>0.47234</v>
      </c>
      <c r="H34" s="132">
        <f>IFERROR(__xludf.DUMMYFUNCTION("""COMPUTED_VALUE"""),1.0)</f>
        <v>1</v>
      </c>
      <c r="I34" s="132">
        <f>IFERROR(__xludf.DUMMYFUNCTION("""COMPUTED_VALUE"""),1.0)</f>
        <v>1</v>
      </c>
      <c r="J34" s="132">
        <f>IFERROR(__xludf.DUMMYFUNCTION("""COMPUTED_VALUE"""),1.0)</f>
        <v>1</v>
      </c>
      <c r="K34" s="132">
        <f>IFERROR(__xludf.DUMMYFUNCTION("""COMPUTED_VALUE"""),1.0)</f>
        <v>1</v>
      </c>
      <c r="L34" s="132"/>
      <c r="M34" s="132"/>
      <c r="N34" s="132">
        <f>IFERROR(__xludf.DUMMYFUNCTION("""COMPUTED_VALUE"""),1.0)</f>
        <v>1</v>
      </c>
      <c r="O34" s="132"/>
      <c r="P34" s="132"/>
      <c r="Q34" s="132"/>
      <c r="R34" s="132"/>
      <c r="S34" s="132">
        <f>IFERROR(__xludf.DUMMYFUNCTION("""COMPUTED_VALUE"""),23276.3)</f>
        <v>23276.3</v>
      </c>
      <c r="T34" s="132">
        <f>IFERROR(__xludf.DUMMYFUNCTION("""COMPUTED_VALUE"""),4655.26)</f>
        <v>4655.26</v>
      </c>
      <c r="U34" s="132"/>
      <c r="V34" s="132"/>
      <c r="W34" s="132"/>
      <c r="X34" s="132"/>
      <c r="Y34" s="132"/>
      <c r="Z34" s="132"/>
    </row>
    <row r="35">
      <c r="A35" s="133"/>
      <c r="B35" s="132" t="str">
        <f>IFERROR(__xludf.DUMMYFUNCTION("""COMPUTED_VALUE"""),"Roll Chinese")</f>
        <v>Roll Chinese</v>
      </c>
      <c r="C35" s="132" t="str">
        <f>IFERROR(__xludf.DUMMYFUNCTION("""COMPUTED_VALUE"""),"居家")</f>
        <v>居家</v>
      </c>
      <c r="D35" s="135">
        <f>IFERROR(__xludf.DUMMYFUNCTION("""COMPUTED_VALUE"""),15.571399999999997)</f>
        <v>15.5714</v>
      </c>
      <c r="E35" s="132" t="str">
        <f>IFERROR(__xludf.DUMMYFUNCTION("""COMPUTED_VALUE"""),"Timothy")</f>
        <v>Timothy</v>
      </c>
      <c r="F35" s="132">
        <f>IFERROR(__xludf.DUMMYFUNCTION("""COMPUTED_VALUE"""),3.1142799999999995)</f>
        <v>3.11428</v>
      </c>
      <c r="G35" s="132">
        <f>IFERROR(__xludf.DUMMYFUNCTION("""COMPUTED_VALUE"""),3.1142799999999995)</f>
        <v>3.11428</v>
      </c>
      <c r="H35" s="132">
        <f>IFERROR(__xludf.DUMMYFUNCTION("""COMPUTED_VALUE"""),1.0)</f>
        <v>1</v>
      </c>
      <c r="I35" s="132">
        <f>IFERROR(__xludf.DUMMYFUNCTION("""COMPUTED_VALUE"""),1.0)</f>
        <v>1</v>
      </c>
      <c r="J35" s="132">
        <f>IFERROR(__xludf.DUMMYFUNCTION("""COMPUTED_VALUE"""),1.0)</f>
        <v>1</v>
      </c>
      <c r="K35" s="132">
        <f>IFERROR(__xludf.DUMMYFUNCTION("""COMPUTED_VALUE"""),1.0)</f>
        <v>1</v>
      </c>
      <c r="L35" s="132"/>
      <c r="M35" s="132"/>
      <c r="N35" s="132">
        <f>IFERROR(__xludf.DUMMYFUNCTION("""COMPUTED_VALUE"""),1.0)</f>
        <v>1</v>
      </c>
      <c r="O35" s="132"/>
      <c r="P35" s="132"/>
      <c r="Q35" s="134"/>
      <c r="R35" s="132"/>
      <c r="S35" s="132"/>
      <c r="T35" s="132"/>
      <c r="U35" s="132"/>
      <c r="V35" s="132"/>
      <c r="W35" s="132"/>
      <c r="X35" s="132"/>
      <c r="Y35" s="132"/>
      <c r="Z35" s="132"/>
    </row>
    <row r="36">
      <c r="A36" s="133"/>
      <c r="B36" s="132" t="str">
        <f>IFERROR(__xludf.DUMMYFUNCTION("""COMPUTED_VALUE"""),"Laundry Bag")</f>
        <v>Laundry Bag</v>
      </c>
      <c r="C36" s="132" t="str">
        <f>IFERROR(__xludf.DUMMYFUNCTION("""COMPUTED_VALUE"""),"居家")</f>
        <v>居家</v>
      </c>
      <c r="D36" s="135">
        <f>IFERROR(__xludf.DUMMYFUNCTION("""COMPUTED_VALUE"""),3.3673999999999995)</f>
        <v>3.3674</v>
      </c>
      <c r="E36" s="132" t="str">
        <f>IFERROR(__xludf.DUMMYFUNCTION("""COMPUTED_VALUE"""),"Timothy")</f>
        <v>Timothy</v>
      </c>
      <c r="F36" s="132">
        <f>IFERROR(__xludf.DUMMYFUNCTION("""COMPUTED_VALUE"""),3.3673999999999995)</f>
        <v>3.3674</v>
      </c>
      <c r="G36" s="132">
        <f>IFERROR(__xludf.DUMMYFUNCTION("""COMPUTED_VALUE"""),3.3673999999999995)</f>
        <v>3.3674</v>
      </c>
      <c r="H36" s="132">
        <f>IFERROR(__xludf.DUMMYFUNCTION("""COMPUTED_VALUE"""),1.0)</f>
        <v>1</v>
      </c>
      <c r="I36" s="132"/>
      <c r="J36" s="132"/>
      <c r="K36" s="132"/>
      <c r="L36" s="132"/>
      <c r="M36" s="132"/>
      <c r="N36" s="132"/>
      <c r="O36" s="132"/>
      <c r="P36" s="132"/>
      <c r="Q36" s="134">
        <f>IFERROR(__xludf.DUMMYFUNCTION("""COMPUTED_VALUE"""),45231.0)</f>
        <v>45231</v>
      </c>
      <c r="R36" s="132" t="str">
        <f>IFERROR(__xludf.DUMMYFUNCTION("""COMPUTED_VALUE"""),"Rent")</f>
        <v>Rent</v>
      </c>
      <c r="S36" s="132">
        <f>IFERROR(__xludf.DUMMYFUNCTION("""COMPUTED_VALUE"""),3600.0)</f>
        <v>3600</v>
      </c>
      <c r="T36" s="132">
        <f>IFERROR(__xludf.DUMMYFUNCTION("""COMPUTED_VALUE"""),720.0)</f>
        <v>720</v>
      </c>
      <c r="U36" s="132" t="str">
        <f>IFERROR(__xludf.DUMMYFUNCTION("""COMPUTED_VALUE"""),"Paid")</f>
        <v>Paid</v>
      </c>
      <c r="V36" s="132" t="str">
        <f>IFERROR(__xludf.DUMMYFUNCTION("""COMPUTED_VALUE"""),"Paid")</f>
        <v>Paid</v>
      </c>
      <c r="W36" s="132" t="str">
        <f>IFERROR(__xludf.DUMMYFUNCTION("""COMPUTED_VALUE"""),"Paid")</f>
        <v>Paid</v>
      </c>
      <c r="X36" s="132" t="str">
        <f>IFERROR(__xludf.DUMMYFUNCTION("""COMPUTED_VALUE"""),"Paid")</f>
        <v>Paid</v>
      </c>
      <c r="Y36" s="132" t="str">
        <f>IFERROR(__xludf.DUMMYFUNCTION("""COMPUTED_VALUE"""),"Paid")</f>
        <v>Paid</v>
      </c>
      <c r="Z36" s="132"/>
    </row>
    <row r="37">
      <c r="A37" s="133"/>
      <c r="B37" s="132" t="str">
        <f>IFERROR(__xludf.DUMMYFUNCTION("""COMPUTED_VALUE"""),"Household")</f>
        <v>Household</v>
      </c>
      <c r="C37" s="132" t="str">
        <f>IFERROR(__xludf.DUMMYFUNCTION("""COMPUTED_VALUE"""),"居家")</f>
        <v>居家</v>
      </c>
      <c r="D37" s="132">
        <f>IFERROR(__xludf.DUMMYFUNCTION("""COMPUTED_VALUE"""),7.1076999999999995)</f>
        <v>7.1077</v>
      </c>
      <c r="E37" s="132" t="str">
        <f>IFERROR(__xludf.DUMMYFUNCTION("""COMPUTED_VALUE"""),"Timothy")</f>
        <v>Timothy</v>
      </c>
      <c r="F37" s="132">
        <f>IFERROR(__xludf.DUMMYFUNCTION("""COMPUTED_VALUE"""),1.4215399999999998)</f>
        <v>1.42154</v>
      </c>
      <c r="G37" s="132">
        <f>IFERROR(__xludf.DUMMYFUNCTION("""COMPUTED_VALUE"""),1.4215399999999998)</f>
        <v>1.42154</v>
      </c>
      <c r="H37" s="132">
        <f>IFERROR(__xludf.DUMMYFUNCTION("""COMPUTED_VALUE"""),1.0)</f>
        <v>1</v>
      </c>
      <c r="I37" s="132">
        <f>IFERROR(__xludf.DUMMYFUNCTION("""COMPUTED_VALUE"""),1.0)</f>
        <v>1</v>
      </c>
      <c r="J37" s="132">
        <f>IFERROR(__xludf.DUMMYFUNCTION("""COMPUTED_VALUE"""),1.0)</f>
        <v>1</v>
      </c>
      <c r="K37" s="132">
        <f>IFERROR(__xludf.DUMMYFUNCTION("""COMPUTED_VALUE"""),1.0)</f>
        <v>1</v>
      </c>
      <c r="L37" s="132"/>
      <c r="M37" s="132"/>
      <c r="N37" s="132">
        <f>IFERROR(__xludf.DUMMYFUNCTION("""COMPUTED_VALUE"""),1.0)</f>
        <v>1</v>
      </c>
      <c r="O37" s="132"/>
      <c r="P37" s="132"/>
      <c r="Q37" s="132"/>
      <c r="R37" s="132" t="str">
        <f>IFERROR(__xludf.DUMMYFUNCTION("""COMPUTED_VALUE"""),"Water")</f>
        <v>Water</v>
      </c>
      <c r="S37" s="132"/>
      <c r="T37" s="132"/>
      <c r="U37" s="132"/>
      <c r="V37" s="132"/>
      <c r="W37" s="132"/>
      <c r="X37" s="132"/>
      <c r="Y37" s="132"/>
      <c r="Z37" s="132"/>
    </row>
    <row r="38">
      <c r="A38" s="133"/>
      <c r="B38" s="132" t="str">
        <f>IFERROR(__xludf.DUMMYFUNCTION("""COMPUTED_VALUE"""),"Water pressure")</f>
        <v>Water pressure</v>
      </c>
      <c r="C38" s="132" t="str">
        <f>IFERROR(__xludf.DUMMYFUNCTION("""COMPUTED_VALUE"""),"居家")</f>
        <v>居家</v>
      </c>
      <c r="D38" s="132">
        <f>IFERROR(__xludf.DUMMYFUNCTION("""COMPUTED_VALUE"""),3.1413999999999995)</f>
        <v>3.1414</v>
      </c>
      <c r="E38" s="132" t="str">
        <f>IFERROR(__xludf.DUMMYFUNCTION("""COMPUTED_VALUE"""),"Timothy")</f>
        <v>Timothy</v>
      </c>
      <c r="F38" s="132">
        <f>IFERROR(__xludf.DUMMYFUNCTION("""COMPUTED_VALUE"""),0.62828)</f>
        <v>0.62828</v>
      </c>
      <c r="G38" s="132">
        <f>IFERROR(__xludf.DUMMYFUNCTION("""COMPUTED_VALUE"""),0.62828)</f>
        <v>0.62828</v>
      </c>
      <c r="H38" s="132">
        <f>IFERROR(__xludf.DUMMYFUNCTION("""COMPUTED_VALUE"""),1.0)</f>
        <v>1</v>
      </c>
      <c r="I38" s="132">
        <f>IFERROR(__xludf.DUMMYFUNCTION("""COMPUTED_VALUE"""),1.0)</f>
        <v>1</v>
      </c>
      <c r="J38" s="132">
        <f>IFERROR(__xludf.DUMMYFUNCTION("""COMPUTED_VALUE"""),1.0)</f>
        <v>1</v>
      </c>
      <c r="K38" s="132">
        <f>IFERROR(__xludf.DUMMYFUNCTION("""COMPUTED_VALUE"""),1.0)</f>
        <v>1</v>
      </c>
      <c r="L38" s="132"/>
      <c r="M38" s="132"/>
      <c r="N38" s="132">
        <f>IFERROR(__xludf.DUMMYFUNCTION("""COMPUTED_VALUE"""),1.0)</f>
        <v>1</v>
      </c>
      <c r="O38" s="132"/>
      <c r="P38" s="132"/>
      <c r="Q38" s="132"/>
      <c r="R38" s="132" t="str">
        <f>IFERROR(__xludf.DUMMYFUNCTION("""COMPUTED_VALUE"""),"Heat (19/10-16/11)")</f>
        <v>Heat (19/10-16/11)</v>
      </c>
      <c r="S38" s="132">
        <f>IFERROR(__xludf.DUMMYFUNCTION("""COMPUTED_VALUE"""),136.95000000000002)</f>
        <v>136.95</v>
      </c>
      <c r="T38" s="132"/>
      <c r="U38" s="132">
        <f>IFERROR(__xludf.DUMMYFUNCTION("""COMPUTED_VALUE"""),40.53)</f>
        <v>40.53</v>
      </c>
      <c r="V38" s="132">
        <f>IFERROR(__xludf.DUMMYFUNCTION("""COMPUTED_VALUE"""),40.53)</f>
        <v>40.53</v>
      </c>
      <c r="W38" s="132">
        <f>IFERROR(__xludf.DUMMYFUNCTION("""COMPUTED_VALUE"""),25.15)</f>
        <v>25.15</v>
      </c>
      <c r="X38" s="132">
        <f>IFERROR(__xludf.DUMMYFUNCTION("""COMPUTED_VALUE"""),25.15)</f>
        <v>25.15</v>
      </c>
      <c r="Y38" s="132">
        <f>IFERROR(__xludf.DUMMYFUNCTION("""COMPUTED_VALUE"""),5.59)</f>
        <v>5.59</v>
      </c>
      <c r="Z38" s="132"/>
    </row>
    <row r="39">
      <c r="A39" s="133"/>
      <c r="B39" s="132" t="str">
        <f>IFERROR(__xludf.DUMMYFUNCTION("""COMPUTED_VALUE"""),"Clip")</f>
        <v>Clip</v>
      </c>
      <c r="C39" s="132" t="str">
        <f>IFERROR(__xludf.DUMMYFUNCTION("""COMPUTED_VALUE"""),"居家")</f>
        <v>居家</v>
      </c>
      <c r="D39" s="132">
        <f>IFERROR(__xludf.DUMMYFUNCTION("""COMPUTED_VALUE"""),4.4974)</f>
        <v>4.4974</v>
      </c>
      <c r="E39" s="132" t="str">
        <f>IFERROR(__xludf.DUMMYFUNCTION("""COMPUTED_VALUE"""),"Timothy")</f>
        <v>Timothy</v>
      </c>
      <c r="F39" s="132">
        <f>IFERROR(__xludf.DUMMYFUNCTION("""COMPUTED_VALUE"""),2.2487)</f>
        <v>2.2487</v>
      </c>
      <c r="G39" s="132">
        <f>IFERROR(__xludf.DUMMYFUNCTION("""COMPUTED_VALUE"""),2.2487)</f>
        <v>2.2487</v>
      </c>
      <c r="H39" s="132">
        <f>IFERROR(__xludf.DUMMYFUNCTION("""COMPUTED_VALUE"""),1.0)</f>
        <v>1</v>
      </c>
      <c r="I39" s="132"/>
      <c r="J39" s="132">
        <f>IFERROR(__xludf.DUMMYFUNCTION("""COMPUTED_VALUE"""),1.0)</f>
        <v>1</v>
      </c>
      <c r="K39" s="132"/>
      <c r="L39" s="132"/>
      <c r="M39" s="132"/>
      <c r="N39" s="132"/>
      <c r="O39" s="132"/>
      <c r="P39" s="132"/>
      <c r="Q39" s="132"/>
      <c r="R39" s="132" t="str">
        <f>IFERROR(__xludf.DUMMYFUNCTION("""COMPUTED_VALUE"""),"Electricity")</f>
        <v>Electricity</v>
      </c>
      <c r="S39" s="132"/>
      <c r="T39" s="132"/>
      <c r="U39" s="132" t="str">
        <f>IFERROR(__xludf.DUMMYFUNCTION("""COMPUTED_VALUE"""),"Paid")</f>
        <v>Paid</v>
      </c>
      <c r="V39" s="132" t="str">
        <f>IFERROR(__xludf.DUMMYFUNCTION("""COMPUTED_VALUE"""),"Paid")</f>
        <v>Paid</v>
      </c>
      <c r="W39" s="132" t="str">
        <f>IFERROR(__xludf.DUMMYFUNCTION("""COMPUTED_VALUE"""),"Paid")</f>
        <v>Paid</v>
      </c>
      <c r="X39" s="132" t="str">
        <f>IFERROR(__xludf.DUMMYFUNCTION("""COMPUTED_VALUE"""),"Paid")</f>
        <v>Paid</v>
      </c>
      <c r="Y39" s="132" t="str">
        <f>IFERROR(__xludf.DUMMYFUNCTION("""COMPUTED_VALUE"""),"Paid")</f>
        <v>Paid</v>
      </c>
      <c r="Z39" s="132"/>
    </row>
    <row r="40">
      <c r="A40" s="133"/>
      <c r="B40" s="132" t="str">
        <f>IFERROR(__xludf.DUMMYFUNCTION("""COMPUTED_VALUE"""),"Sponge")</f>
        <v>Sponge</v>
      </c>
      <c r="C40" s="132" t="str">
        <f>IFERROR(__xludf.DUMMYFUNCTION("""COMPUTED_VALUE"""),"居家")</f>
        <v>居家</v>
      </c>
      <c r="D40" s="132">
        <f>IFERROR(__xludf.DUMMYFUNCTION("""COMPUTED_VALUE"""),2.2373999999999996)</f>
        <v>2.2374</v>
      </c>
      <c r="E40" s="132" t="str">
        <f>IFERROR(__xludf.DUMMYFUNCTION("""COMPUTED_VALUE"""),"Timothy")</f>
        <v>Timothy</v>
      </c>
      <c r="F40" s="132">
        <f>IFERROR(__xludf.DUMMYFUNCTION("""COMPUTED_VALUE"""),2.2373999999999996)</f>
        <v>2.2374</v>
      </c>
      <c r="G40" s="132">
        <f>IFERROR(__xludf.DUMMYFUNCTION("""COMPUTED_VALUE"""),2.2373999999999996)</f>
        <v>2.2374</v>
      </c>
      <c r="H40" s="132">
        <f>IFERROR(__xludf.DUMMYFUNCTION("""COMPUTED_VALUE"""),1.0)</f>
        <v>1</v>
      </c>
      <c r="I40" s="132"/>
      <c r="J40" s="132"/>
      <c r="K40" s="132"/>
      <c r="L40" s="132"/>
      <c r="M40" s="132"/>
      <c r="N40" s="132"/>
      <c r="O40" s="132"/>
      <c r="P40" s="132"/>
      <c r="Q40" s="132"/>
      <c r="R40" s="132" t="str">
        <f>IFERROR(__xludf.DUMMYFUNCTION("""COMPUTED_VALUE"""),"Internet")</f>
        <v>Internet</v>
      </c>
      <c r="S40" s="132">
        <f>IFERROR(__xludf.DUMMYFUNCTION("""COMPUTED_VALUE"""),56.5)</f>
        <v>56.5</v>
      </c>
      <c r="T40" s="132"/>
      <c r="U40" s="132" t="str">
        <f>IFERROR(__xludf.DUMMYFUNCTION("""COMPUTED_VALUE"""),"Paid")</f>
        <v>Paid</v>
      </c>
      <c r="V40" s="132" t="str">
        <f>IFERROR(__xludf.DUMMYFUNCTION("""COMPUTED_VALUE"""),"Paid")</f>
        <v>Paid</v>
      </c>
      <c r="W40" s="132" t="str">
        <f>IFERROR(__xludf.DUMMYFUNCTION("""COMPUTED_VALUE"""),"Paid")</f>
        <v>Paid</v>
      </c>
      <c r="X40" s="132" t="str">
        <f>IFERROR(__xludf.DUMMYFUNCTION("""COMPUTED_VALUE"""),"Paid")</f>
        <v>Paid</v>
      </c>
      <c r="Y40" s="132" t="str">
        <f>IFERROR(__xludf.DUMMYFUNCTION("""COMPUTED_VALUE"""),"Paid")</f>
        <v>Paid</v>
      </c>
      <c r="Z40" s="132"/>
    </row>
    <row r="41">
      <c r="A41" s="133"/>
      <c r="B41" s="132" t="str">
        <f>IFERROR(__xludf.DUMMYFUNCTION("""COMPUTED_VALUE"""),"Ink")</f>
        <v>Ink</v>
      </c>
      <c r="C41" s="132" t="str">
        <f>IFERROR(__xludf.DUMMYFUNCTION("""COMPUTED_VALUE"""),"娛樂")</f>
        <v>娛樂</v>
      </c>
      <c r="D41" s="132">
        <f>IFERROR(__xludf.DUMMYFUNCTION("""COMPUTED_VALUE"""),3.6386)</f>
        <v>3.6386</v>
      </c>
      <c r="E41" s="132" t="str">
        <f>IFERROR(__xludf.DUMMYFUNCTION("""COMPUTED_VALUE"""),"Timothy")</f>
        <v>Timothy</v>
      </c>
      <c r="F41" s="132">
        <f>IFERROR(__xludf.DUMMYFUNCTION("""COMPUTED_VALUE"""),0.7277199999999999)</f>
        <v>0.72772</v>
      </c>
      <c r="G41" s="132">
        <f>IFERROR(__xludf.DUMMYFUNCTION("""COMPUTED_VALUE"""),0.7277199999999999)</f>
        <v>0.72772</v>
      </c>
      <c r="H41" s="132">
        <f>IFERROR(__xludf.DUMMYFUNCTION("""COMPUTED_VALUE"""),1.0)</f>
        <v>1</v>
      </c>
      <c r="I41" s="132">
        <f>IFERROR(__xludf.DUMMYFUNCTION("""COMPUTED_VALUE"""),1.0)</f>
        <v>1</v>
      </c>
      <c r="J41" s="132">
        <f>IFERROR(__xludf.DUMMYFUNCTION("""COMPUTED_VALUE"""),1.0)</f>
        <v>1</v>
      </c>
      <c r="K41" s="132">
        <f>IFERROR(__xludf.DUMMYFUNCTION("""COMPUTED_VALUE"""),1.0)</f>
        <v>1</v>
      </c>
      <c r="L41" s="132"/>
      <c r="M41" s="132"/>
      <c r="N41" s="132">
        <f>IFERROR(__xludf.DUMMYFUNCTION("""COMPUTED_VALUE"""),1.0)</f>
        <v>1</v>
      </c>
      <c r="O41" s="132"/>
      <c r="P41" s="132"/>
      <c r="Q41" s="132"/>
      <c r="R41" s="132"/>
      <c r="S41" s="132">
        <f>IFERROR(__xludf.DUMMYFUNCTION("""COMPUTED_VALUE"""),3793.45)</f>
        <v>3793.45</v>
      </c>
      <c r="T41" s="132">
        <f>IFERROR(__xludf.DUMMYFUNCTION("""COMPUTED_VALUE"""),720.0)</f>
        <v>720</v>
      </c>
      <c r="U41" s="132"/>
      <c r="V41" s="132"/>
      <c r="W41" s="132"/>
      <c r="X41" s="132"/>
      <c r="Y41" s="132"/>
      <c r="Z41" s="132"/>
    </row>
    <row r="42">
      <c r="A42" s="133"/>
      <c r="B42" s="132" t="str">
        <f>IFERROR(__xludf.DUMMYFUNCTION("""COMPUTED_VALUE"""),"Brush")</f>
        <v>Brush</v>
      </c>
      <c r="C42" s="132" t="str">
        <f>IFERROR(__xludf.DUMMYFUNCTION("""COMPUTED_VALUE"""),"居家")</f>
        <v>居家</v>
      </c>
      <c r="D42" s="132">
        <f>IFERROR(__xludf.DUMMYFUNCTION("""COMPUTED_VALUE"""),6.090699999999999)</f>
        <v>6.0907</v>
      </c>
      <c r="E42" s="132" t="str">
        <f>IFERROR(__xludf.DUMMYFUNCTION("""COMPUTED_VALUE"""),"Timothy")</f>
        <v>Timothy</v>
      </c>
      <c r="F42" s="132">
        <f>IFERROR(__xludf.DUMMYFUNCTION("""COMPUTED_VALUE"""),1.2181399999999998)</f>
        <v>1.21814</v>
      </c>
      <c r="G42" s="132">
        <f>IFERROR(__xludf.DUMMYFUNCTION("""COMPUTED_VALUE"""),1.2181399999999998)</f>
        <v>1.21814</v>
      </c>
      <c r="H42" s="132">
        <f>IFERROR(__xludf.DUMMYFUNCTION("""COMPUTED_VALUE"""),1.0)</f>
        <v>1</v>
      </c>
      <c r="I42" s="132">
        <f>IFERROR(__xludf.DUMMYFUNCTION("""COMPUTED_VALUE"""),1.0)</f>
        <v>1</v>
      </c>
      <c r="J42" s="132">
        <f>IFERROR(__xludf.DUMMYFUNCTION("""COMPUTED_VALUE"""),1.0)</f>
        <v>1</v>
      </c>
      <c r="K42" s="132">
        <f>IFERROR(__xludf.DUMMYFUNCTION("""COMPUTED_VALUE"""),1.0)</f>
        <v>1</v>
      </c>
      <c r="L42" s="132"/>
      <c r="M42" s="132"/>
      <c r="N42" s="132">
        <f>IFERROR(__xludf.DUMMYFUNCTION("""COMPUTED_VALUE"""),1.0)</f>
        <v>1</v>
      </c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3"/>
      <c r="B43" s="132" t="str">
        <f>IFERROR(__xludf.DUMMYFUNCTION("""COMPUTED_VALUE"""),"Charger")</f>
        <v>Charger</v>
      </c>
      <c r="C43" s="132" t="str">
        <f>IFERROR(__xludf.DUMMYFUNCTION("""COMPUTED_VALUE"""),"電子產品")</f>
        <v>電子產品</v>
      </c>
      <c r="D43" s="132">
        <f>IFERROR(__xludf.DUMMYFUNCTION("""COMPUTED_VALUE"""),10.5429)</f>
        <v>10.5429</v>
      </c>
      <c r="E43" s="132" t="str">
        <f>IFERROR(__xludf.DUMMYFUNCTION("""COMPUTED_VALUE"""),"Timothy")</f>
        <v>Timothy</v>
      </c>
      <c r="F43" s="132">
        <f>IFERROR(__xludf.DUMMYFUNCTION("""COMPUTED_VALUE"""),5.27145)</f>
        <v>5.27145</v>
      </c>
      <c r="G43" s="132">
        <f>IFERROR(__xludf.DUMMYFUNCTION("""COMPUTED_VALUE"""),5.27145)</f>
        <v>5.27145</v>
      </c>
      <c r="H43" s="132">
        <f>IFERROR(__xludf.DUMMYFUNCTION("""COMPUTED_VALUE"""),1.0)</f>
        <v>1</v>
      </c>
      <c r="I43" s="132">
        <f>IFERROR(__xludf.DUMMYFUNCTION("""COMPUTED_VALUE"""),1.0)</f>
        <v>1</v>
      </c>
      <c r="J43" s="132"/>
      <c r="K43" s="132"/>
      <c r="L43" s="132"/>
      <c r="M43" s="132"/>
      <c r="N43" s="132"/>
      <c r="O43" s="132"/>
      <c r="P43" s="132"/>
      <c r="Q43" s="134">
        <f>IFERROR(__xludf.DUMMYFUNCTION("""COMPUTED_VALUE"""),45261.0)</f>
        <v>45261</v>
      </c>
      <c r="R43" s="132" t="str">
        <f>IFERROR(__xludf.DUMMYFUNCTION("""COMPUTED_VALUE"""),"Rent")</f>
        <v>Rent</v>
      </c>
      <c r="S43" s="132">
        <f>IFERROR(__xludf.DUMMYFUNCTION("""COMPUTED_VALUE"""),3600.0)</f>
        <v>3600</v>
      </c>
      <c r="T43" s="132">
        <f>IFERROR(__xludf.DUMMYFUNCTION("""COMPUTED_VALUE"""),720.0)</f>
        <v>720</v>
      </c>
      <c r="U43" s="132" t="str">
        <f>IFERROR(__xludf.DUMMYFUNCTION("""COMPUTED_VALUE"""),"Paid")</f>
        <v>Paid</v>
      </c>
      <c r="V43" s="132" t="str">
        <f>IFERROR(__xludf.DUMMYFUNCTION("""COMPUTED_VALUE"""),"Paid")</f>
        <v>Paid</v>
      </c>
      <c r="W43" s="132" t="str">
        <f>IFERROR(__xludf.DUMMYFUNCTION("""COMPUTED_VALUE"""),"Paid")</f>
        <v>Paid</v>
      </c>
      <c r="X43" s="132" t="str">
        <f>IFERROR(__xludf.DUMMYFUNCTION("""COMPUTED_VALUE"""),"Paid")</f>
        <v>Paid</v>
      </c>
      <c r="Y43" s="132" t="str">
        <f>IFERROR(__xludf.DUMMYFUNCTION("""COMPUTED_VALUE"""),"Paid")</f>
        <v>Paid</v>
      </c>
      <c r="Z43" s="132"/>
    </row>
    <row r="44">
      <c r="A44" s="133"/>
      <c r="B44" s="132" t="str">
        <f>IFERROR(__xludf.DUMMYFUNCTION("""COMPUTED_VALUE"""),"Knief")</f>
        <v>Knief</v>
      </c>
      <c r="C44" s="132" t="str">
        <f>IFERROR(__xludf.DUMMYFUNCTION("""COMPUTED_VALUE"""),"居家")</f>
        <v>居家</v>
      </c>
      <c r="D44" s="132">
        <f>IFERROR(__xludf.DUMMYFUNCTION("""COMPUTED_VALUE"""),2.2487)</f>
        <v>2.2487</v>
      </c>
      <c r="E44" s="132" t="str">
        <f>IFERROR(__xludf.DUMMYFUNCTION("""COMPUTED_VALUE"""),"Timothy")</f>
        <v>Timothy</v>
      </c>
      <c r="F44" s="132">
        <f>IFERROR(__xludf.DUMMYFUNCTION("""COMPUTED_VALUE"""),0.44974)</f>
        <v>0.44974</v>
      </c>
      <c r="G44" s="132">
        <f>IFERROR(__xludf.DUMMYFUNCTION("""COMPUTED_VALUE"""),0.44974)</f>
        <v>0.44974</v>
      </c>
      <c r="H44" s="132">
        <f>IFERROR(__xludf.DUMMYFUNCTION("""COMPUTED_VALUE"""),1.0)</f>
        <v>1</v>
      </c>
      <c r="I44" s="132">
        <f>IFERROR(__xludf.DUMMYFUNCTION("""COMPUTED_VALUE"""),1.0)</f>
        <v>1</v>
      </c>
      <c r="J44" s="132">
        <f>IFERROR(__xludf.DUMMYFUNCTION("""COMPUTED_VALUE"""),1.0)</f>
        <v>1</v>
      </c>
      <c r="K44" s="132">
        <f>IFERROR(__xludf.DUMMYFUNCTION("""COMPUTED_VALUE"""),1.0)</f>
        <v>1</v>
      </c>
      <c r="L44" s="132"/>
      <c r="M44" s="132"/>
      <c r="N44" s="132">
        <f>IFERROR(__xludf.DUMMYFUNCTION("""COMPUTED_VALUE"""),1.0)</f>
        <v>1</v>
      </c>
      <c r="O44" s="132"/>
      <c r="P44" s="132"/>
      <c r="Q44" s="132"/>
      <c r="R44" s="132" t="str">
        <f>IFERROR(__xludf.DUMMYFUNCTION("""COMPUTED_VALUE"""),"Water")</f>
        <v>Water</v>
      </c>
      <c r="S44" s="132">
        <f>IFERROR(__xludf.DUMMYFUNCTION("""COMPUTED_VALUE"""),284.24)</f>
        <v>284.24</v>
      </c>
      <c r="T44" s="132">
        <f>IFERROR(__xludf.DUMMYFUNCTION("""COMPUTED_VALUE"""),56.848)</f>
        <v>56.848</v>
      </c>
      <c r="U44" s="132" t="str">
        <f>IFERROR(__xludf.DUMMYFUNCTION("""COMPUTED_VALUE"""),"Paid")</f>
        <v>Paid</v>
      </c>
      <c r="V44" s="132" t="str">
        <f>IFERROR(__xludf.DUMMYFUNCTION("""COMPUTED_VALUE"""),"Paid")</f>
        <v>Paid</v>
      </c>
      <c r="W44" s="132" t="str">
        <f>IFERROR(__xludf.DUMMYFUNCTION("""COMPUTED_VALUE"""),"Paid")</f>
        <v>Paid</v>
      </c>
      <c r="X44" s="132" t="str">
        <f>IFERROR(__xludf.DUMMYFUNCTION("""COMPUTED_VALUE"""),"Paid")</f>
        <v>Paid</v>
      </c>
      <c r="Y44" s="132" t="str">
        <f>IFERROR(__xludf.DUMMYFUNCTION("""COMPUTED_VALUE"""),"Paid")</f>
        <v>Paid</v>
      </c>
      <c r="Z44" s="132"/>
    </row>
    <row r="45">
      <c r="A45" s="133"/>
      <c r="B45" s="132" t="str">
        <f>IFERROR(__xludf.DUMMYFUNCTION("""COMPUTED_VALUE"""),"Forks")</f>
        <v>Forks</v>
      </c>
      <c r="C45" s="132" t="str">
        <f>IFERROR(__xludf.DUMMYFUNCTION("""COMPUTED_VALUE"""),"居家")</f>
        <v>居家</v>
      </c>
      <c r="D45" s="132">
        <f>IFERROR(__xludf.DUMMYFUNCTION("""COMPUTED_VALUE"""),4.666899999999999)</f>
        <v>4.6669</v>
      </c>
      <c r="E45" s="132" t="str">
        <f>IFERROR(__xludf.DUMMYFUNCTION("""COMPUTED_VALUE"""),"Timothy")</f>
        <v>Timothy</v>
      </c>
      <c r="F45" s="132">
        <f>IFERROR(__xludf.DUMMYFUNCTION("""COMPUTED_VALUE"""),0.9333799999999999)</f>
        <v>0.93338</v>
      </c>
      <c r="G45" s="132">
        <f>IFERROR(__xludf.DUMMYFUNCTION("""COMPUTED_VALUE"""),0.9333799999999999)</f>
        <v>0.93338</v>
      </c>
      <c r="H45" s="132">
        <f>IFERROR(__xludf.DUMMYFUNCTION("""COMPUTED_VALUE"""),1.0)</f>
        <v>1</v>
      </c>
      <c r="I45" s="132">
        <f>IFERROR(__xludf.DUMMYFUNCTION("""COMPUTED_VALUE"""),1.0)</f>
        <v>1</v>
      </c>
      <c r="J45" s="132">
        <f>IFERROR(__xludf.DUMMYFUNCTION("""COMPUTED_VALUE"""),1.0)</f>
        <v>1</v>
      </c>
      <c r="K45" s="132">
        <f>IFERROR(__xludf.DUMMYFUNCTION("""COMPUTED_VALUE"""),1.0)</f>
        <v>1</v>
      </c>
      <c r="L45" s="132"/>
      <c r="M45" s="132"/>
      <c r="N45" s="132">
        <f>IFERROR(__xludf.DUMMYFUNCTION("""COMPUTED_VALUE"""),1.0)</f>
        <v>1</v>
      </c>
      <c r="O45" s="132"/>
      <c r="P45" s="132"/>
      <c r="Q45" s="132"/>
      <c r="R45" s="132" t="str">
        <f>IFERROR(__xludf.DUMMYFUNCTION("""COMPUTED_VALUE"""),"Heat(17/11-14/12)")</f>
        <v>Heat(17/11-14/12)</v>
      </c>
      <c r="S45" s="132">
        <f>IFERROR(__xludf.DUMMYFUNCTION("""COMPUTED_VALUE"""),149.7)</f>
        <v>149.7</v>
      </c>
      <c r="T45" s="132">
        <f>IFERROR(__xludf.DUMMYFUNCTION("""COMPUTED_VALUE"""),29.939999999999998)</f>
        <v>29.94</v>
      </c>
      <c r="U45" s="132" t="str">
        <f>IFERROR(__xludf.DUMMYFUNCTION("""COMPUTED_VALUE"""),"Paid")</f>
        <v>Paid</v>
      </c>
      <c r="V45" s="132" t="str">
        <f>IFERROR(__xludf.DUMMYFUNCTION("""COMPUTED_VALUE"""),"Paid")</f>
        <v>Paid</v>
      </c>
      <c r="W45" s="132" t="str">
        <f>IFERROR(__xludf.DUMMYFUNCTION("""COMPUTED_VALUE"""),"Paid")</f>
        <v>Paid</v>
      </c>
      <c r="X45" s="132" t="str">
        <f>IFERROR(__xludf.DUMMYFUNCTION("""COMPUTED_VALUE"""),"Paid")</f>
        <v>Paid</v>
      </c>
      <c r="Y45" s="132" t="str">
        <f>IFERROR(__xludf.DUMMYFUNCTION("""COMPUTED_VALUE"""),"Paid")</f>
        <v>Paid</v>
      </c>
      <c r="Z45" s="132"/>
    </row>
    <row r="46">
      <c r="A46" s="133"/>
      <c r="B46" s="132" t="str">
        <f>IFERROR(__xludf.DUMMYFUNCTION("""COMPUTED_VALUE"""),"Spoons")</f>
        <v>Spoons</v>
      </c>
      <c r="C46" s="132" t="str">
        <f>IFERROR(__xludf.DUMMYFUNCTION("""COMPUTED_VALUE"""),"居家")</f>
        <v>居家</v>
      </c>
      <c r="D46" s="132">
        <f>IFERROR(__xludf.DUMMYFUNCTION("""COMPUTED_VALUE"""),8.633199999999999)</f>
        <v>8.6332</v>
      </c>
      <c r="E46" s="132" t="str">
        <f>IFERROR(__xludf.DUMMYFUNCTION("""COMPUTED_VALUE"""),"Timothy")</f>
        <v>Timothy</v>
      </c>
      <c r="F46" s="132">
        <f>IFERROR(__xludf.DUMMYFUNCTION("""COMPUTED_VALUE"""),1.7266399999999997)</f>
        <v>1.72664</v>
      </c>
      <c r="G46" s="132">
        <f>IFERROR(__xludf.DUMMYFUNCTION("""COMPUTED_VALUE"""),1.7266399999999997)</f>
        <v>1.72664</v>
      </c>
      <c r="H46" s="132">
        <f>IFERROR(__xludf.DUMMYFUNCTION("""COMPUTED_VALUE"""),1.0)</f>
        <v>1</v>
      </c>
      <c r="I46" s="132">
        <f>IFERROR(__xludf.DUMMYFUNCTION("""COMPUTED_VALUE"""),1.0)</f>
        <v>1</v>
      </c>
      <c r="J46" s="132">
        <f>IFERROR(__xludf.DUMMYFUNCTION("""COMPUTED_VALUE"""),1.0)</f>
        <v>1</v>
      </c>
      <c r="K46" s="132">
        <f>IFERROR(__xludf.DUMMYFUNCTION("""COMPUTED_VALUE"""),1.0)</f>
        <v>1</v>
      </c>
      <c r="L46" s="132"/>
      <c r="M46" s="132"/>
      <c r="N46" s="132">
        <f>IFERROR(__xludf.DUMMYFUNCTION("""COMPUTED_VALUE"""),1.0)</f>
        <v>1</v>
      </c>
      <c r="O46" s="132"/>
      <c r="P46" s="132"/>
      <c r="Q46" s="132"/>
      <c r="R46" s="132" t="str">
        <f>IFERROR(__xludf.DUMMYFUNCTION("""COMPUTED_VALUE"""),"Electricity")</f>
        <v>Electricity</v>
      </c>
      <c r="S46" s="132">
        <f>IFERROR(__xludf.DUMMYFUNCTION("""COMPUTED_VALUE"""),107.46)</f>
        <v>107.46</v>
      </c>
      <c r="T46" s="132">
        <f>IFERROR(__xludf.DUMMYFUNCTION("""COMPUTED_VALUE"""),21.491999999999997)</f>
        <v>21.492</v>
      </c>
      <c r="U46" s="132" t="str">
        <f>IFERROR(__xludf.DUMMYFUNCTION("""COMPUTED_VALUE"""),"Paid")</f>
        <v>Paid</v>
      </c>
      <c r="V46" s="132" t="str">
        <f>IFERROR(__xludf.DUMMYFUNCTION("""COMPUTED_VALUE"""),"Paid")</f>
        <v>Paid</v>
      </c>
      <c r="W46" s="132" t="str">
        <f>IFERROR(__xludf.DUMMYFUNCTION("""COMPUTED_VALUE"""),"Paid")</f>
        <v>Paid</v>
      </c>
      <c r="X46" s="132" t="str">
        <f>IFERROR(__xludf.DUMMYFUNCTION("""COMPUTED_VALUE"""),"Paid")</f>
        <v>Paid</v>
      </c>
      <c r="Y46" s="132" t="str">
        <f>IFERROR(__xludf.DUMMYFUNCTION("""COMPUTED_VALUE"""),"Paid")</f>
        <v>Paid</v>
      </c>
      <c r="Z46" s="132"/>
    </row>
    <row r="47">
      <c r="A47" s="136"/>
      <c r="B47" s="132" t="str">
        <f>IFERROR(__xludf.DUMMYFUNCTION("""COMPUTED_VALUE"""),"Brush ")</f>
        <v>Brush </v>
      </c>
      <c r="C47" s="132" t="str">
        <f>IFERROR(__xludf.DUMMYFUNCTION("""COMPUTED_VALUE"""),"居家")</f>
        <v>居家</v>
      </c>
      <c r="D47" s="132">
        <f>IFERROR(__xludf.DUMMYFUNCTION("""COMPUTED_VALUE"""),0.9944)</f>
        <v>0.9944</v>
      </c>
      <c r="E47" s="132" t="str">
        <f>IFERROR(__xludf.DUMMYFUNCTION("""COMPUTED_VALUE"""),"Timothy")</f>
        <v>Timothy</v>
      </c>
      <c r="F47" s="132">
        <f>IFERROR(__xludf.DUMMYFUNCTION("""COMPUTED_VALUE"""),0.9944)</f>
        <v>0.9944</v>
      </c>
      <c r="G47" s="132">
        <f>IFERROR(__xludf.DUMMYFUNCTION("""COMPUTED_VALUE"""),0.9944)</f>
        <v>0.9944</v>
      </c>
      <c r="H47" s="132">
        <f>IFERROR(__xludf.DUMMYFUNCTION("""COMPUTED_VALUE"""),1.0)</f>
        <v>1</v>
      </c>
      <c r="I47" s="132"/>
      <c r="J47" s="132"/>
      <c r="K47" s="132"/>
      <c r="L47" s="132"/>
      <c r="M47" s="132"/>
      <c r="N47" s="132"/>
      <c r="O47" s="132"/>
      <c r="P47" s="132"/>
      <c r="Q47" s="132"/>
      <c r="R47" s="132" t="str">
        <f>IFERROR(__xludf.DUMMYFUNCTION("""COMPUTED_VALUE"""),"Internet")</f>
        <v>Internet</v>
      </c>
      <c r="S47" s="132">
        <f>IFERROR(__xludf.DUMMYFUNCTION("""COMPUTED_VALUE"""),56.5)</f>
        <v>56.5</v>
      </c>
      <c r="T47" s="132">
        <f>IFERROR(__xludf.DUMMYFUNCTION("""COMPUTED_VALUE"""),11.3)</f>
        <v>11.3</v>
      </c>
      <c r="U47" s="132" t="str">
        <f>IFERROR(__xludf.DUMMYFUNCTION("""COMPUTED_VALUE"""),"Paid")</f>
        <v>Paid</v>
      </c>
      <c r="V47" s="132" t="str">
        <f>IFERROR(__xludf.DUMMYFUNCTION("""COMPUTED_VALUE"""),"Paid")</f>
        <v>Paid</v>
      </c>
      <c r="W47" s="132" t="str">
        <f>IFERROR(__xludf.DUMMYFUNCTION("""COMPUTED_VALUE"""),"Paid")</f>
        <v>Paid</v>
      </c>
      <c r="X47" s="132" t="str">
        <f>IFERROR(__xludf.DUMMYFUNCTION("""COMPUTED_VALUE"""),"Paid")</f>
        <v>Paid</v>
      </c>
      <c r="Y47" s="132" t="str">
        <f>IFERROR(__xludf.DUMMYFUNCTION("""COMPUTED_VALUE"""),"Paid")</f>
        <v>Paid</v>
      </c>
      <c r="Z47" s="132"/>
    </row>
    <row r="48">
      <c r="A48" s="136"/>
      <c r="B48" s="132" t="str">
        <f>IFERROR(__xludf.DUMMYFUNCTION("""COMPUTED_VALUE"""),"Mean ther")</f>
        <v>Mean ther</v>
      </c>
      <c r="C48" s="132" t="str">
        <f>IFERROR(__xludf.DUMMYFUNCTION("""COMPUTED_VALUE"""),"居家")</f>
        <v>居家</v>
      </c>
      <c r="D48" s="132">
        <f>IFERROR(__xludf.DUMMYFUNCTION("""COMPUTED_VALUE"""),2.8476)</f>
        <v>2.8476</v>
      </c>
      <c r="E48" s="132" t="str">
        <f>IFERROR(__xludf.DUMMYFUNCTION("""COMPUTED_VALUE"""),"Timothy")</f>
        <v>Timothy</v>
      </c>
      <c r="F48" s="132">
        <f>IFERROR(__xludf.DUMMYFUNCTION("""COMPUTED_VALUE"""),0.56952)</f>
        <v>0.56952</v>
      </c>
      <c r="G48" s="132">
        <f>IFERROR(__xludf.DUMMYFUNCTION("""COMPUTED_VALUE"""),0.56952)</f>
        <v>0.56952</v>
      </c>
      <c r="H48" s="132">
        <f>IFERROR(__xludf.DUMMYFUNCTION("""COMPUTED_VALUE"""),1.0)</f>
        <v>1</v>
      </c>
      <c r="I48" s="132">
        <f>IFERROR(__xludf.DUMMYFUNCTION("""COMPUTED_VALUE"""),1.0)</f>
        <v>1</v>
      </c>
      <c r="J48" s="132">
        <f>IFERROR(__xludf.DUMMYFUNCTION("""COMPUTED_VALUE"""),1.0)</f>
        <v>1</v>
      </c>
      <c r="K48" s="132">
        <f>IFERROR(__xludf.DUMMYFUNCTION("""COMPUTED_VALUE"""),1.0)</f>
        <v>1</v>
      </c>
      <c r="L48" s="132"/>
      <c r="M48" s="132"/>
      <c r="N48" s="132">
        <f>IFERROR(__xludf.DUMMYFUNCTION("""COMPUTED_VALUE"""),1.0)</f>
        <v>1</v>
      </c>
      <c r="O48" s="132"/>
      <c r="P48" s="132"/>
      <c r="Q48" s="132"/>
      <c r="R48" s="132"/>
      <c r="S48" s="132">
        <f>IFERROR(__xludf.DUMMYFUNCTION("""COMPUTED_VALUE"""),4197.9)</f>
        <v>4197.9</v>
      </c>
      <c r="T48" s="132">
        <f>IFERROR(__xludf.DUMMYFUNCTION("""COMPUTED_VALUE"""),839.5799999999999)</f>
        <v>839.58</v>
      </c>
      <c r="U48" s="132"/>
      <c r="V48" s="132"/>
      <c r="W48" s="132"/>
      <c r="X48" s="132"/>
      <c r="Y48" s="132"/>
      <c r="Z48" s="132"/>
    </row>
    <row r="49">
      <c r="A49" s="136"/>
      <c r="B49" s="132" t="str">
        <f>IFERROR(__xludf.DUMMYFUNCTION("""COMPUTED_VALUE"""),"Earring Backing")</f>
        <v>Earring Backing</v>
      </c>
      <c r="C49" s="132" t="str">
        <f>IFERROR(__xludf.DUMMYFUNCTION("""COMPUTED_VALUE"""),"衣服")</f>
        <v>衣服</v>
      </c>
      <c r="D49" s="132">
        <f>IFERROR(__xludf.DUMMYFUNCTION("""COMPUTED_VALUE"""),1.0056999999999998)</f>
        <v>1.0057</v>
      </c>
      <c r="E49" s="132" t="str">
        <f>IFERROR(__xludf.DUMMYFUNCTION("""COMPUTED_VALUE"""),"Timothy")</f>
        <v>Timothy</v>
      </c>
      <c r="F49" s="132">
        <f>IFERROR(__xludf.DUMMYFUNCTION("""COMPUTED_VALUE"""),1.0056999999999998)</f>
        <v>1.0057</v>
      </c>
      <c r="G49" s="132">
        <f>IFERROR(__xludf.DUMMYFUNCTION("""COMPUTED_VALUE"""),1.0056999999999998)</f>
        <v>1.0057</v>
      </c>
      <c r="H49" s="132"/>
      <c r="I49" s="132">
        <f>IFERROR(__xludf.DUMMYFUNCTION("""COMPUTED_VALUE"""),1.0)</f>
        <v>1</v>
      </c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>
      <c r="A50" s="136"/>
      <c r="B50" s="132" t="str">
        <f>IFERROR(__xludf.DUMMYFUNCTION("""COMPUTED_VALUE"""),"Table Cloth")</f>
        <v>Table Cloth</v>
      </c>
      <c r="C50" s="132" t="str">
        <f>IFERROR(__xludf.DUMMYFUNCTION("""COMPUTED_VALUE"""),"居家")</f>
        <v>居家</v>
      </c>
      <c r="D50" s="132">
        <f>IFERROR(__xludf.DUMMYFUNCTION("""COMPUTED_VALUE"""),12.927199999999997)</f>
        <v>12.9272</v>
      </c>
      <c r="E50" s="132" t="str">
        <f>IFERROR(__xludf.DUMMYFUNCTION("""COMPUTED_VALUE"""),"Timothy")</f>
        <v>Timothy</v>
      </c>
      <c r="F50" s="132">
        <f>IFERROR(__xludf.DUMMYFUNCTION("""COMPUTED_VALUE"""),2.5854399999999993)</f>
        <v>2.58544</v>
      </c>
      <c r="G50" s="132">
        <f>IFERROR(__xludf.DUMMYFUNCTION("""COMPUTED_VALUE"""),2.5854399999999993)</f>
        <v>2.58544</v>
      </c>
      <c r="H50" s="132">
        <f>IFERROR(__xludf.DUMMYFUNCTION("""COMPUTED_VALUE"""),1.0)</f>
        <v>1</v>
      </c>
      <c r="I50" s="132">
        <f>IFERROR(__xludf.DUMMYFUNCTION("""COMPUTED_VALUE"""),1.0)</f>
        <v>1</v>
      </c>
      <c r="J50" s="132">
        <f>IFERROR(__xludf.DUMMYFUNCTION("""COMPUTED_VALUE"""),1.0)</f>
        <v>1</v>
      </c>
      <c r="K50" s="132">
        <f>IFERROR(__xludf.DUMMYFUNCTION("""COMPUTED_VALUE"""),1.0)</f>
        <v>1</v>
      </c>
      <c r="L50" s="132"/>
      <c r="M50" s="132"/>
      <c r="N50" s="132">
        <f>IFERROR(__xludf.DUMMYFUNCTION("""COMPUTED_VALUE"""),1.0)</f>
        <v>1</v>
      </c>
      <c r="O50" s="132"/>
      <c r="P50" s="132"/>
      <c r="Q50" s="134">
        <f>IFERROR(__xludf.DUMMYFUNCTION("""COMPUTED_VALUE"""),45292.0)</f>
        <v>45292</v>
      </c>
      <c r="R50" s="132" t="str">
        <f>IFERROR(__xludf.DUMMYFUNCTION("""COMPUTED_VALUE"""),"Rent")</f>
        <v>Rent</v>
      </c>
      <c r="S50" s="132">
        <f>IFERROR(__xludf.DUMMYFUNCTION("""COMPUTED_VALUE"""),3600.0)</f>
        <v>3600</v>
      </c>
      <c r="T50" s="132">
        <f>IFERROR(__xludf.DUMMYFUNCTION("""COMPUTED_VALUE"""),720.0)</f>
        <v>720</v>
      </c>
      <c r="U50" s="132" t="str">
        <f>IFERROR(__xludf.DUMMYFUNCTION("""COMPUTED_VALUE"""),"Paid")</f>
        <v>Paid</v>
      </c>
      <c r="V50" s="132" t="str">
        <f>IFERROR(__xludf.DUMMYFUNCTION("""COMPUTED_VALUE"""),"Paid")</f>
        <v>Paid</v>
      </c>
      <c r="W50" s="132" t="str">
        <f>IFERROR(__xludf.DUMMYFUNCTION("""COMPUTED_VALUE"""),"Paid")</f>
        <v>Paid</v>
      </c>
      <c r="X50" s="132" t="str">
        <f>IFERROR(__xludf.DUMMYFUNCTION("""COMPUTED_VALUE"""),"Paid")</f>
        <v>Paid</v>
      </c>
      <c r="Y50" s="132" t="str">
        <f>IFERROR(__xludf.DUMMYFUNCTION("""COMPUTED_VALUE"""),"Paid")</f>
        <v>Paid</v>
      </c>
      <c r="Z50" s="132"/>
    </row>
    <row r="51">
      <c r="A51" s="136"/>
      <c r="B51" s="132" t="str">
        <f>IFERROR(__xludf.DUMMYFUNCTION("""COMPUTED_VALUE"""),"Poster")</f>
        <v>Poster</v>
      </c>
      <c r="C51" s="132" t="str">
        <f>IFERROR(__xludf.DUMMYFUNCTION("""COMPUTED_VALUE"""),"居家")</f>
        <v>居家</v>
      </c>
      <c r="D51" s="132">
        <f>IFERROR(__xludf.DUMMYFUNCTION("""COMPUTED_VALUE"""),6.542699999999999)</f>
        <v>6.5427</v>
      </c>
      <c r="E51" s="132" t="str">
        <f>IFERROR(__xludf.DUMMYFUNCTION("""COMPUTED_VALUE"""),"Timothy")</f>
        <v>Timothy</v>
      </c>
      <c r="F51" s="132">
        <f>IFERROR(__xludf.DUMMYFUNCTION("""COMPUTED_VALUE"""),1.3085399999999998)</f>
        <v>1.30854</v>
      </c>
      <c r="G51" s="132">
        <f>IFERROR(__xludf.DUMMYFUNCTION("""COMPUTED_VALUE"""),1.3085399999999998)</f>
        <v>1.30854</v>
      </c>
      <c r="H51" s="132">
        <f>IFERROR(__xludf.DUMMYFUNCTION("""COMPUTED_VALUE"""),1.0)</f>
        <v>1</v>
      </c>
      <c r="I51" s="132">
        <f>IFERROR(__xludf.DUMMYFUNCTION("""COMPUTED_VALUE"""),1.0)</f>
        <v>1</v>
      </c>
      <c r="J51" s="132">
        <f>IFERROR(__xludf.DUMMYFUNCTION("""COMPUTED_VALUE"""),1.0)</f>
        <v>1</v>
      </c>
      <c r="K51" s="132">
        <f>IFERROR(__xludf.DUMMYFUNCTION("""COMPUTED_VALUE"""),1.0)</f>
        <v>1</v>
      </c>
      <c r="L51" s="132"/>
      <c r="M51" s="132"/>
      <c r="N51" s="132">
        <f>IFERROR(__xludf.DUMMYFUNCTION("""COMPUTED_VALUE"""),1.0)</f>
        <v>1</v>
      </c>
      <c r="O51" s="132"/>
      <c r="P51" s="132"/>
      <c r="Q51" s="132"/>
      <c r="R51" s="132" t="str">
        <f>IFERROR(__xludf.DUMMYFUNCTION("""COMPUTED_VALUE"""),"Water")</f>
        <v>Water</v>
      </c>
      <c r="S51" s="132"/>
      <c r="T51" s="132"/>
      <c r="U51" s="132"/>
      <c r="V51" s="132"/>
      <c r="W51" s="132"/>
      <c r="X51" s="132"/>
      <c r="Y51" s="132"/>
      <c r="Z51" s="132"/>
    </row>
    <row r="52">
      <c r="A52" s="133"/>
      <c r="B52" s="132" t="str">
        <f>IFERROR(__xludf.DUMMYFUNCTION("""COMPUTED_VALUE"""),"Goose")</f>
        <v>Goose</v>
      </c>
      <c r="C52" s="132" t="str">
        <f>IFERROR(__xludf.DUMMYFUNCTION("""COMPUTED_VALUE"""),"娛樂")</f>
        <v>娛樂</v>
      </c>
      <c r="D52" s="135">
        <f>IFERROR(__xludf.DUMMYFUNCTION("""COMPUTED_VALUE"""),7.943899999999999)</f>
        <v>7.9439</v>
      </c>
      <c r="E52" s="132" t="str">
        <f>IFERROR(__xludf.DUMMYFUNCTION("""COMPUTED_VALUE"""),"Timothy")</f>
        <v>Timothy</v>
      </c>
      <c r="F52" s="132">
        <f>IFERROR(__xludf.DUMMYFUNCTION("""COMPUTED_VALUE"""),3.9719499999999996)</f>
        <v>3.97195</v>
      </c>
      <c r="G52" s="132">
        <f>IFERROR(__xludf.DUMMYFUNCTION("""COMPUTED_VALUE"""),3.9719499999999996)</f>
        <v>3.97195</v>
      </c>
      <c r="H52" s="132">
        <f>IFERROR(__xludf.DUMMYFUNCTION("""COMPUTED_VALUE"""),1.0)</f>
        <v>1</v>
      </c>
      <c r="I52" s="132">
        <f>IFERROR(__xludf.DUMMYFUNCTION("""COMPUTED_VALUE"""),1.0)</f>
        <v>1</v>
      </c>
      <c r="J52" s="132"/>
      <c r="K52" s="132"/>
      <c r="L52" s="132"/>
      <c r="M52" s="132"/>
      <c r="N52" s="132"/>
      <c r="O52" s="132"/>
      <c r="P52" s="132"/>
      <c r="Q52" s="132"/>
      <c r="R52" s="132" t="str">
        <f>IFERROR(__xludf.DUMMYFUNCTION("""COMPUTED_VALUE"""),"Heat")</f>
        <v>Heat</v>
      </c>
      <c r="S52" s="132">
        <f>IFERROR(__xludf.DUMMYFUNCTION("""COMPUTED_VALUE"""),210.09)</f>
        <v>210.09</v>
      </c>
      <c r="T52" s="132">
        <f>IFERROR(__xludf.DUMMYFUNCTION("""COMPUTED_VALUE"""),42.018)</f>
        <v>42.018</v>
      </c>
      <c r="U52" s="132" t="str">
        <f>IFERROR(__xludf.DUMMYFUNCTION("""COMPUTED_VALUE"""),"Paid")</f>
        <v>Paid</v>
      </c>
      <c r="V52" s="132" t="str">
        <f>IFERROR(__xludf.DUMMYFUNCTION("""COMPUTED_VALUE"""),"Paid")</f>
        <v>Paid</v>
      </c>
      <c r="W52" s="132" t="str">
        <f>IFERROR(__xludf.DUMMYFUNCTION("""COMPUTED_VALUE"""),"Paid")</f>
        <v>Paid</v>
      </c>
      <c r="X52" s="132" t="str">
        <f>IFERROR(__xludf.DUMMYFUNCTION("""COMPUTED_VALUE"""),"Paid")</f>
        <v>Paid</v>
      </c>
      <c r="Y52" s="132" t="str">
        <f>IFERROR(__xludf.DUMMYFUNCTION("""COMPUTED_VALUE"""),"Paid")</f>
        <v>Paid</v>
      </c>
      <c r="Z52" s="132"/>
    </row>
    <row r="53">
      <c r="A53" s="136">
        <f>IFERROR(__xludf.DUMMYFUNCTION("""COMPUTED_VALUE"""),45567.0)</f>
        <v>45567</v>
      </c>
      <c r="B53" s="132" t="str">
        <f>IFERROR(__xludf.DUMMYFUNCTION("""COMPUTED_VALUE"""),"年初一餸")</f>
        <v>年初一餸</v>
      </c>
      <c r="C53" s="132" t="str">
        <f>IFERROR(__xludf.DUMMYFUNCTION("""COMPUTED_VALUE"""),"食物")</f>
        <v>食物</v>
      </c>
      <c r="D53" s="132">
        <f>IFERROR(__xludf.DUMMYFUNCTION("""COMPUTED_VALUE"""),28.81)</f>
        <v>28.81</v>
      </c>
      <c r="E53" s="132" t="str">
        <f>IFERROR(__xludf.DUMMYFUNCTION("""COMPUTED_VALUE"""),"Esther")</f>
        <v>Esther</v>
      </c>
      <c r="F53" s="132">
        <f>IFERROR(__xludf.DUMMYFUNCTION("""COMPUTED_VALUE"""),5.762)</f>
        <v>5.762</v>
      </c>
      <c r="G53" s="132">
        <f>IFERROR(__xludf.DUMMYFUNCTION("""COMPUTED_VALUE"""),5.762)</f>
        <v>5.762</v>
      </c>
      <c r="H53" s="132">
        <f>IFERROR(__xludf.DUMMYFUNCTION("""COMPUTED_VALUE"""),1.0)</f>
        <v>1</v>
      </c>
      <c r="I53" s="132">
        <f>IFERROR(__xludf.DUMMYFUNCTION("""COMPUTED_VALUE"""),1.0)</f>
        <v>1</v>
      </c>
      <c r="J53" s="132">
        <f>IFERROR(__xludf.DUMMYFUNCTION("""COMPUTED_VALUE"""),1.0)</f>
        <v>1</v>
      </c>
      <c r="K53" s="132">
        <f>IFERROR(__xludf.DUMMYFUNCTION("""COMPUTED_VALUE"""),1.0)</f>
        <v>1</v>
      </c>
      <c r="L53" s="132"/>
      <c r="M53" s="132"/>
      <c r="N53" s="132">
        <f>IFERROR(__xludf.DUMMYFUNCTION("""COMPUTED_VALUE"""),1.0)</f>
        <v>1</v>
      </c>
      <c r="O53" s="132"/>
      <c r="P53" s="132"/>
      <c r="Q53" s="132"/>
      <c r="R53" s="132" t="str">
        <f>IFERROR(__xludf.DUMMYFUNCTION("""COMPUTED_VALUE"""),"Electricity")</f>
        <v>Electricity</v>
      </c>
      <c r="S53" s="132">
        <f>IFERROR(__xludf.DUMMYFUNCTION("""COMPUTED_VALUE"""),111.7)</f>
        <v>111.7</v>
      </c>
      <c r="T53" s="132">
        <f>IFERROR(__xludf.DUMMYFUNCTION("""COMPUTED_VALUE"""),22.34)</f>
        <v>22.34</v>
      </c>
      <c r="U53" s="132" t="str">
        <f>IFERROR(__xludf.DUMMYFUNCTION("""COMPUTED_VALUE"""),"Paid")</f>
        <v>Paid</v>
      </c>
      <c r="V53" s="132" t="str">
        <f>IFERROR(__xludf.DUMMYFUNCTION("""COMPUTED_VALUE"""),"Paid")</f>
        <v>Paid</v>
      </c>
      <c r="W53" s="132" t="str">
        <f>IFERROR(__xludf.DUMMYFUNCTION("""COMPUTED_VALUE"""),"Paid")</f>
        <v>Paid</v>
      </c>
      <c r="X53" s="132" t="str">
        <f>IFERROR(__xludf.DUMMYFUNCTION("""COMPUTED_VALUE"""),"Paid")</f>
        <v>Paid</v>
      </c>
      <c r="Y53" s="132" t="str">
        <f>IFERROR(__xludf.DUMMYFUNCTION("""COMPUTED_VALUE"""),"Paid")</f>
        <v>Paid</v>
      </c>
      <c r="Z53" s="132"/>
    </row>
    <row r="54">
      <c r="A54" s="136">
        <f>IFERROR(__xludf.DUMMYFUNCTION("""COMPUTED_VALUE"""),45573.0)</f>
        <v>45573</v>
      </c>
      <c r="B54" s="132" t="str">
        <f>IFERROR(__xludf.DUMMYFUNCTION("""COMPUTED_VALUE"""),"年三十+年初一餸")</f>
        <v>年三十+年初一餸</v>
      </c>
      <c r="C54" s="132" t="str">
        <f>IFERROR(__xludf.DUMMYFUNCTION("""COMPUTED_VALUE"""),"食物")</f>
        <v>食物</v>
      </c>
      <c r="D54" s="132">
        <f>IFERROR(__xludf.DUMMYFUNCTION("""COMPUTED_VALUE"""),51.64)</f>
        <v>51.64</v>
      </c>
      <c r="E54" s="132" t="str">
        <f>IFERROR(__xludf.DUMMYFUNCTION("""COMPUTED_VALUE"""),"Rachel")</f>
        <v>Rachel</v>
      </c>
      <c r="F54" s="132">
        <f>IFERROR(__xludf.DUMMYFUNCTION("""COMPUTED_VALUE"""),10.328)</f>
        <v>10.328</v>
      </c>
      <c r="G54" s="132">
        <f>IFERROR(__xludf.DUMMYFUNCTION("""COMPUTED_VALUE"""),10.328)</f>
        <v>10.328</v>
      </c>
      <c r="H54" s="132">
        <f>IFERROR(__xludf.DUMMYFUNCTION("""COMPUTED_VALUE"""),1.0)</f>
        <v>1</v>
      </c>
      <c r="I54" s="132">
        <f>IFERROR(__xludf.DUMMYFUNCTION("""COMPUTED_VALUE"""),1.0)</f>
        <v>1</v>
      </c>
      <c r="J54" s="132">
        <f>IFERROR(__xludf.DUMMYFUNCTION("""COMPUTED_VALUE"""),1.0)</f>
        <v>1</v>
      </c>
      <c r="K54" s="132">
        <f>IFERROR(__xludf.DUMMYFUNCTION("""COMPUTED_VALUE"""),1.0)</f>
        <v>1</v>
      </c>
      <c r="L54" s="132"/>
      <c r="M54" s="132"/>
      <c r="N54" s="132">
        <f>IFERROR(__xludf.DUMMYFUNCTION("""COMPUTED_VALUE"""),1.0)</f>
        <v>1</v>
      </c>
      <c r="O54" s="132"/>
      <c r="P54" s="132"/>
      <c r="Q54" s="132"/>
      <c r="R54" s="132" t="str">
        <f>IFERROR(__xludf.DUMMYFUNCTION("""COMPUTED_VALUE"""),"Internet")</f>
        <v>Internet</v>
      </c>
      <c r="S54" s="132">
        <f>IFERROR(__xludf.DUMMYFUNCTION("""COMPUTED_VALUE"""),56.5)</f>
        <v>56.5</v>
      </c>
      <c r="T54" s="132">
        <f>IFERROR(__xludf.DUMMYFUNCTION("""COMPUTED_VALUE"""),11.3)</f>
        <v>11.3</v>
      </c>
      <c r="U54" s="132" t="str">
        <f>IFERROR(__xludf.DUMMYFUNCTION("""COMPUTED_VALUE"""),"Paid")</f>
        <v>Paid</v>
      </c>
      <c r="V54" s="132" t="str">
        <f>IFERROR(__xludf.DUMMYFUNCTION("""COMPUTED_VALUE"""),"Paid")</f>
        <v>Paid</v>
      </c>
      <c r="W54" s="132" t="str">
        <f>IFERROR(__xludf.DUMMYFUNCTION("""COMPUTED_VALUE"""),"Paid")</f>
        <v>Paid</v>
      </c>
      <c r="X54" s="132" t="str">
        <f>IFERROR(__xludf.DUMMYFUNCTION("""COMPUTED_VALUE"""),"Paid")</f>
        <v>Paid</v>
      </c>
      <c r="Y54" s="132" t="str">
        <f>IFERROR(__xludf.DUMMYFUNCTION("""COMPUTED_VALUE"""),"Paid")</f>
        <v>Paid</v>
      </c>
      <c r="Z54" s="132"/>
    </row>
    <row r="55">
      <c r="A55" s="136">
        <f>IFERROR(__xludf.DUMMYFUNCTION("""COMPUTED_VALUE"""),45573.0)</f>
        <v>45573</v>
      </c>
      <c r="B55" s="132" t="str">
        <f>IFERROR(__xludf.DUMMYFUNCTION("""COMPUTED_VALUE"""),"年三十+年初一餸")</f>
        <v>年三十+年初一餸</v>
      </c>
      <c r="C55" s="132" t="str">
        <f>IFERROR(__xludf.DUMMYFUNCTION("""COMPUTED_VALUE"""),"食物")</f>
        <v>食物</v>
      </c>
      <c r="D55" s="132">
        <f>IFERROR(__xludf.DUMMYFUNCTION("""COMPUTED_VALUE"""),33.94)</f>
        <v>33.94</v>
      </c>
      <c r="E55" s="132" t="str">
        <f>IFERROR(__xludf.DUMMYFUNCTION("""COMPUTED_VALUE"""),"Rachel")</f>
        <v>Rachel</v>
      </c>
      <c r="F55" s="132">
        <f>IFERROR(__xludf.DUMMYFUNCTION("""COMPUTED_VALUE"""),6.787999999999999)</f>
        <v>6.788</v>
      </c>
      <c r="G55" s="132">
        <f>IFERROR(__xludf.DUMMYFUNCTION("""COMPUTED_VALUE"""),6.787999999999999)</f>
        <v>6.788</v>
      </c>
      <c r="H55" s="132">
        <f>IFERROR(__xludf.DUMMYFUNCTION("""COMPUTED_VALUE"""),1.0)</f>
        <v>1</v>
      </c>
      <c r="I55" s="132">
        <f>IFERROR(__xludf.DUMMYFUNCTION("""COMPUTED_VALUE"""),1.0)</f>
        <v>1</v>
      </c>
      <c r="J55" s="132">
        <f>IFERROR(__xludf.DUMMYFUNCTION("""COMPUTED_VALUE"""),1.0)</f>
        <v>1</v>
      </c>
      <c r="K55" s="132">
        <f>IFERROR(__xludf.DUMMYFUNCTION("""COMPUTED_VALUE"""),1.0)</f>
        <v>1</v>
      </c>
      <c r="L55" s="132"/>
      <c r="M55" s="132"/>
      <c r="N55" s="132">
        <f>IFERROR(__xludf.DUMMYFUNCTION("""COMPUTED_VALUE"""),1.0)</f>
        <v>1</v>
      </c>
      <c r="O55" s="132"/>
      <c r="P55" s="132"/>
      <c r="Q55" s="132"/>
      <c r="R55" s="132"/>
      <c r="S55" s="132">
        <f>IFERROR(__xludf.DUMMYFUNCTION("""COMPUTED_VALUE"""),3978.29)</f>
        <v>3978.29</v>
      </c>
      <c r="T55" s="132">
        <f>IFERROR(__xludf.DUMMYFUNCTION("""COMPUTED_VALUE"""),795.658)</f>
        <v>795.658</v>
      </c>
      <c r="U55" s="132"/>
      <c r="V55" s="132"/>
      <c r="W55" s="132"/>
      <c r="X55" s="132"/>
      <c r="Y55" s="132"/>
      <c r="Z55" s="132"/>
    </row>
    <row r="56">
      <c r="A56" s="136">
        <f>IFERROR(__xludf.DUMMYFUNCTION("""COMPUTED_VALUE"""),45331.0)</f>
        <v>45331</v>
      </c>
      <c r="B56" s="132" t="str">
        <f>IFERROR(__xludf.DUMMYFUNCTION("""COMPUTED_VALUE"""),"年三十+年初一餸")</f>
        <v>年三十+年初一餸</v>
      </c>
      <c r="C56" s="132" t="str">
        <f>IFERROR(__xludf.DUMMYFUNCTION("""COMPUTED_VALUE"""),"食物")</f>
        <v>食物</v>
      </c>
      <c r="D56" s="132">
        <f>IFERROR(__xludf.DUMMYFUNCTION("""COMPUTED_VALUE"""),13.5)</f>
        <v>13.5</v>
      </c>
      <c r="E56" s="132" t="str">
        <f>IFERROR(__xludf.DUMMYFUNCTION("""COMPUTED_VALUE"""),"BL")</f>
        <v>BL</v>
      </c>
      <c r="F56" s="132">
        <f>IFERROR(__xludf.DUMMYFUNCTION("""COMPUTED_VALUE"""),2.7)</f>
        <v>2.7</v>
      </c>
      <c r="G56" s="132">
        <f>IFERROR(__xludf.DUMMYFUNCTION("""COMPUTED_VALUE"""),2.7)</f>
        <v>2.7</v>
      </c>
      <c r="H56" s="132">
        <f>IFERROR(__xludf.DUMMYFUNCTION("""COMPUTED_VALUE"""),1.0)</f>
        <v>1</v>
      </c>
      <c r="I56" s="132">
        <f>IFERROR(__xludf.DUMMYFUNCTION("""COMPUTED_VALUE"""),1.0)</f>
        <v>1</v>
      </c>
      <c r="J56" s="132">
        <f>IFERROR(__xludf.DUMMYFUNCTION("""COMPUTED_VALUE"""),1.0)</f>
        <v>1</v>
      </c>
      <c r="K56" s="132">
        <f>IFERROR(__xludf.DUMMYFUNCTION("""COMPUTED_VALUE"""),1.0)</f>
        <v>1</v>
      </c>
      <c r="L56" s="132"/>
      <c r="M56" s="132"/>
      <c r="N56" s="132">
        <f>IFERROR(__xludf.DUMMYFUNCTION("""COMPUTED_VALUE"""),1.0)</f>
        <v>1</v>
      </c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6">
        <f>IFERROR(__xludf.DUMMYFUNCTION("""COMPUTED_VALUE"""),45330.0)</f>
        <v>45330</v>
      </c>
      <c r="B57" s="132" t="str">
        <f>IFERROR(__xludf.DUMMYFUNCTION("""COMPUTED_VALUE"""),"Cup+洗衣袋")</f>
        <v>Cup+洗衣袋</v>
      </c>
      <c r="C57" s="132" t="str">
        <f>IFERROR(__xludf.DUMMYFUNCTION("""COMPUTED_VALUE"""),"居家")</f>
        <v>居家</v>
      </c>
      <c r="D57" s="132">
        <f>IFERROR(__xludf.DUMMYFUNCTION("""COMPUTED_VALUE"""),5.06)</f>
        <v>5.06</v>
      </c>
      <c r="E57" s="132" t="str">
        <f>IFERROR(__xludf.DUMMYFUNCTION("""COMPUTED_VALUE"""),"BL")</f>
        <v>BL</v>
      </c>
      <c r="F57" s="132">
        <f>IFERROR(__xludf.DUMMYFUNCTION("""COMPUTED_VALUE"""),5.06)</f>
        <v>5.06</v>
      </c>
      <c r="G57" s="132">
        <f>IFERROR(__xludf.DUMMYFUNCTION("""COMPUTED_VALUE"""),5.06)</f>
        <v>5.06</v>
      </c>
      <c r="H57" s="132"/>
      <c r="I57" s="132"/>
      <c r="J57" s="132">
        <f>IFERROR(__xludf.DUMMYFUNCTION("""COMPUTED_VALUE"""),1.0)</f>
        <v>1</v>
      </c>
      <c r="K57" s="132"/>
      <c r="L57" s="132"/>
      <c r="M57" s="132"/>
      <c r="N57" s="132"/>
      <c r="O57" s="132"/>
      <c r="P57" s="132"/>
      <c r="Q57" s="134">
        <f>IFERROR(__xludf.DUMMYFUNCTION("""COMPUTED_VALUE"""),45323.0)</f>
        <v>45323</v>
      </c>
      <c r="R57" s="132" t="str">
        <f>IFERROR(__xludf.DUMMYFUNCTION("""COMPUTED_VALUE"""),"Rent")</f>
        <v>Rent</v>
      </c>
      <c r="S57" s="132">
        <f>IFERROR(__xludf.DUMMYFUNCTION("""COMPUTED_VALUE"""),3600.0)</f>
        <v>3600</v>
      </c>
      <c r="T57" s="132">
        <f>IFERROR(__xludf.DUMMYFUNCTION("""COMPUTED_VALUE"""),720.0)</f>
        <v>720</v>
      </c>
      <c r="U57" s="132" t="str">
        <f>IFERROR(__xludf.DUMMYFUNCTION("""COMPUTED_VALUE"""),"Paid")</f>
        <v>Paid</v>
      </c>
      <c r="V57" s="132" t="str">
        <f>IFERROR(__xludf.DUMMYFUNCTION("""COMPUTED_VALUE"""),"Paid")</f>
        <v>Paid</v>
      </c>
      <c r="W57" s="132" t="str">
        <f>IFERROR(__xludf.DUMMYFUNCTION("""COMPUTED_VALUE"""),"Paid")</f>
        <v>Paid</v>
      </c>
      <c r="X57" s="132" t="str">
        <f>IFERROR(__xludf.DUMMYFUNCTION("""COMPUTED_VALUE"""),"Paid")</f>
        <v>Paid</v>
      </c>
      <c r="Y57" s="132" t="str">
        <f>IFERROR(__xludf.DUMMYFUNCTION("""COMPUTED_VALUE"""),"Paid")</f>
        <v>Paid</v>
      </c>
      <c r="Z57" s="132"/>
    </row>
    <row r="58">
      <c r="A58" s="136">
        <f>IFERROR(__xludf.DUMMYFUNCTION("""COMPUTED_VALUE"""),45330.0)</f>
        <v>45330</v>
      </c>
      <c r="B58" s="132" t="str">
        <f>IFERROR(__xludf.DUMMYFUNCTION("""COMPUTED_VALUE"""),"Bamboo stick")</f>
        <v>Bamboo stick</v>
      </c>
      <c r="C58" s="132" t="str">
        <f>IFERROR(__xludf.DUMMYFUNCTION("""COMPUTED_VALUE"""),"居家")</f>
        <v>居家</v>
      </c>
      <c r="D58" s="132">
        <f>IFERROR(__xludf.DUMMYFUNCTION("""COMPUTED_VALUE"""),1.12)</f>
        <v>1.12</v>
      </c>
      <c r="E58" s="132" t="str">
        <f>IFERROR(__xludf.DUMMYFUNCTION("""COMPUTED_VALUE"""),"Pigskin")</f>
        <v>Pigskin</v>
      </c>
      <c r="F58" s="132">
        <f>IFERROR(__xludf.DUMMYFUNCTION("""COMPUTED_VALUE"""),0.22400000000000003)</f>
        <v>0.224</v>
      </c>
      <c r="G58" s="132">
        <f>IFERROR(__xludf.DUMMYFUNCTION("""COMPUTED_VALUE"""),0.22400000000000003)</f>
        <v>0.224</v>
      </c>
      <c r="H58" s="132">
        <f>IFERROR(__xludf.DUMMYFUNCTION("""COMPUTED_VALUE"""),1.0)</f>
        <v>1</v>
      </c>
      <c r="I58" s="132">
        <f>IFERROR(__xludf.DUMMYFUNCTION("""COMPUTED_VALUE"""),1.0)</f>
        <v>1</v>
      </c>
      <c r="J58" s="132">
        <f>IFERROR(__xludf.DUMMYFUNCTION("""COMPUTED_VALUE"""),1.0)</f>
        <v>1</v>
      </c>
      <c r="K58" s="132">
        <f>IFERROR(__xludf.DUMMYFUNCTION("""COMPUTED_VALUE"""),1.0)</f>
        <v>1</v>
      </c>
      <c r="L58" s="132"/>
      <c r="M58" s="132"/>
      <c r="N58" s="132">
        <f>IFERROR(__xludf.DUMMYFUNCTION("""COMPUTED_VALUE"""),1.0)</f>
        <v>1</v>
      </c>
      <c r="O58" s="132"/>
      <c r="P58" s="132"/>
      <c r="Q58" s="132"/>
      <c r="R58" s="132" t="str">
        <f>IFERROR(__xludf.DUMMYFUNCTION("""COMPUTED_VALUE"""),"Water")</f>
        <v>Water</v>
      </c>
      <c r="S58" s="132"/>
      <c r="T58" s="132"/>
      <c r="U58" s="132"/>
      <c r="V58" s="132"/>
      <c r="W58" s="132"/>
      <c r="X58" s="132"/>
      <c r="Y58" s="132"/>
      <c r="Z58" s="132"/>
    </row>
    <row r="59">
      <c r="A59" s="136">
        <f>IFERROR(__xludf.DUMMYFUNCTION("""COMPUTED_VALUE"""),45329.0)</f>
        <v>45329</v>
      </c>
      <c r="B59" s="132" t="str">
        <f>IFERROR(__xludf.DUMMYFUNCTION("""COMPUTED_VALUE"""),"Foody dinner")</f>
        <v>Foody dinner</v>
      </c>
      <c r="C59" s="132" t="str">
        <f>IFERROR(__xludf.DUMMYFUNCTION("""COMPUTED_VALUE"""),"食物")</f>
        <v>食物</v>
      </c>
      <c r="D59" s="132">
        <f>IFERROR(__xludf.DUMMYFUNCTION("""COMPUTED_VALUE"""),45.57)</f>
        <v>45.57</v>
      </c>
      <c r="E59" s="132" t="str">
        <f>IFERROR(__xludf.DUMMYFUNCTION("""COMPUTED_VALUE"""),"BL")</f>
        <v>BL</v>
      </c>
      <c r="F59" s="132">
        <f>IFERROR(__xludf.DUMMYFUNCTION("""COMPUTED_VALUE"""),9.114)</f>
        <v>9.114</v>
      </c>
      <c r="G59" s="132">
        <f>IFERROR(__xludf.DUMMYFUNCTION("""COMPUTED_VALUE"""),9.114)</f>
        <v>9.114</v>
      </c>
      <c r="H59" s="132">
        <f>IFERROR(__xludf.DUMMYFUNCTION("""COMPUTED_VALUE"""),1.0)</f>
        <v>1</v>
      </c>
      <c r="I59" s="132">
        <f>IFERROR(__xludf.DUMMYFUNCTION("""COMPUTED_VALUE"""),1.0)</f>
        <v>1</v>
      </c>
      <c r="J59" s="132">
        <f>IFERROR(__xludf.DUMMYFUNCTION("""COMPUTED_VALUE"""),1.0)</f>
        <v>1</v>
      </c>
      <c r="K59" s="132">
        <f>IFERROR(__xludf.DUMMYFUNCTION("""COMPUTED_VALUE"""),1.0)</f>
        <v>1</v>
      </c>
      <c r="L59" s="132"/>
      <c r="M59" s="132"/>
      <c r="N59" s="132">
        <f>IFERROR(__xludf.DUMMYFUNCTION("""COMPUTED_VALUE"""),1.0)</f>
        <v>1</v>
      </c>
      <c r="O59" s="132"/>
      <c r="P59" s="132"/>
      <c r="Q59" s="132"/>
      <c r="R59" s="132" t="str">
        <f>IFERROR(__xludf.DUMMYFUNCTION("""COMPUTED_VALUE"""),"Heat")</f>
        <v>Heat</v>
      </c>
      <c r="S59" s="132">
        <f>IFERROR(__xludf.DUMMYFUNCTION("""COMPUTED_VALUE"""),198.76)</f>
        <v>198.76</v>
      </c>
      <c r="T59" s="135">
        <f>IFERROR(__xludf.DUMMYFUNCTION("""COMPUTED_VALUE"""),33.126666666666665)</f>
        <v>33.12666667</v>
      </c>
      <c r="U59" s="132" t="str">
        <f>IFERROR(__xludf.DUMMYFUNCTION("""COMPUTED_VALUE"""),"Paid")</f>
        <v>Paid</v>
      </c>
      <c r="V59" s="132" t="str">
        <f>IFERROR(__xludf.DUMMYFUNCTION("""COMPUTED_VALUE"""),"Paid")</f>
        <v>Paid</v>
      </c>
      <c r="W59" s="132" t="str">
        <f>IFERROR(__xludf.DUMMYFUNCTION("""COMPUTED_VALUE"""),"Paid")</f>
        <v>Paid</v>
      </c>
      <c r="X59" s="132" t="str">
        <f>IFERROR(__xludf.DUMMYFUNCTION("""COMPUTED_VALUE"""),"Paid")</f>
        <v>Paid</v>
      </c>
      <c r="Y59" s="132" t="str">
        <f>IFERROR(__xludf.DUMMYFUNCTION("""COMPUTED_VALUE"""),"Paid")</f>
        <v>Paid</v>
      </c>
      <c r="Z59" s="132"/>
    </row>
    <row r="60">
      <c r="A60" s="136">
        <f>IFERROR(__xludf.DUMMYFUNCTION("""COMPUTED_VALUE"""),45325.0)</f>
        <v>45325</v>
      </c>
      <c r="B60" s="132" t="str">
        <f>IFERROR(__xludf.DUMMYFUNCTION("""COMPUTED_VALUE"""),"Tnt dinner")</f>
        <v>Tnt dinner</v>
      </c>
      <c r="C60" s="132" t="str">
        <f>IFERROR(__xludf.DUMMYFUNCTION("""COMPUTED_VALUE"""),"食物")</f>
        <v>食物</v>
      </c>
      <c r="D60" s="132">
        <f>IFERROR(__xludf.DUMMYFUNCTION("""COMPUTED_VALUE"""),12.78)</f>
        <v>12.78</v>
      </c>
      <c r="E60" s="132" t="str">
        <f>IFERROR(__xludf.DUMMYFUNCTION("""COMPUTED_VALUE"""),"Pigskin")</f>
        <v>Pigskin</v>
      </c>
      <c r="F60" s="132">
        <f>IFERROR(__xludf.DUMMYFUNCTION("""COMPUTED_VALUE"""),2.556)</f>
        <v>2.556</v>
      </c>
      <c r="G60" s="132">
        <f>IFERROR(__xludf.DUMMYFUNCTION("""COMPUTED_VALUE"""),2.556)</f>
        <v>2.556</v>
      </c>
      <c r="H60" s="132">
        <f>IFERROR(__xludf.DUMMYFUNCTION("""COMPUTED_VALUE"""),1.0)</f>
        <v>1</v>
      </c>
      <c r="I60" s="132">
        <f>IFERROR(__xludf.DUMMYFUNCTION("""COMPUTED_VALUE"""),1.0)</f>
        <v>1</v>
      </c>
      <c r="J60" s="132">
        <f>IFERROR(__xludf.DUMMYFUNCTION("""COMPUTED_VALUE"""),1.0)</f>
        <v>1</v>
      </c>
      <c r="K60" s="132">
        <f>IFERROR(__xludf.DUMMYFUNCTION("""COMPUTED_VALUE"""),1.0)</f>
        <v>1</v>
      </c>
      <c r="L60" s="132"/>
      <c r="M60" s="132"/>
      <c r="N60" s="132">
        <f>IFERROR(__xludf.DUMMYFUNCTION("""COMPUTED_VALUE"""),1.0)</f>
        <v>1</v>
      </c>
      <c r="O60" s="132"/>
      <c r="P60" s="132"/>
      <c r="Q60" s="132"/>
      <c r="R60" s="132" t="str">
        <f>IFERROR(__xludf.DUMMYFUNCTION("""COMPUTED_VALUE"""),"Electricity")</f>
        <v>Electricity</v>
      </c>
      <c r="S60" s="132">
        <f>IFERROR(__xludf.DUMMYFUNCTION("""COMPUTED_VALUE"""),117.83)</f>
        <v>117.83</v>
      </c>
      <c r="T60" s="135">
        <f>IFERROR(__xludf.DUMMYFUNCTION("""COMPUTED_VALUE"""),19.638333333333332)</f>
        <v>19.63833333</v>
      </c>
      <c r="U60" s="132" t="str">
        <f>IFERROR(__xludf.DUMMYFUNCTION("""COMPUTED_VALUE"""),"Paid")</f>
        <v>Paid</v>
      </c>
      <c r="V60" s="132" t="str">
        <f>IFERROR(__xludf.DUMMYFUNCTION("""COMPUTED_VALUE"""),"Paid")</f>
        <v>Paid</v>
      </c>
      <c r="W60" s="132" t="str">
        <f>IFERROR(__xludf.DUMMYFUNCTION("""COMPUTED_VALUE"""),"Paid")</f>
        <v>Paid</v>
      </c>
      <c r="X60" s="132" t="str">
        <f>IFERROR(__xludf.DUMMYFUNCTION("""COMPUTED_VALUE"""),"Paid")</f>
        <v>Paid</v>
      </c>
      <c r="Y60" s="132" t="str">
        <f>IFERROR(__xludf.DUMMYFUNCTION("""COMPUTED_VALUE"""),"Paid")</f>
        <v>Paid</v>
      </c>
      <c r="Z60" s="132"/>
    </row>
    <row r="61">
      <c r="A61" s="136">
        <f>IFERROR(__xludf.DUMMYFUNCTION("""COMPUTED_VALUE"""),45323.0)</f>
        <v>45323</v>
      </c>
      <c r="B61" s="132" t="str">
        <f>IFERROR(__xludf.DUMMYFUNCTION("""COMPUTED_VALUE"""),"Foody dinner")</f>
        <v>Foody dinner</v>
      </c>
      <c r="C61" s="132" t="str">
        <f>IFERROR(__xludf.DUMMYFUNCTION("""COMPUTED_VALUE"""),"食物")</f>
        <v>食物</v>
      </c>
      <c r="D61" s="132">
        <f>IFERROR(__xludf.DUMMYFUNCTION("""COMPUTED_VALUE"""),16.78)</f>
        <v>16.78</v>
      </c>
      <c r="E61" s="132" t="str">
        <f>IFERROR(__xludf.DUMMYFUNCTION("""COMPUTED_VALUE"""),"BL")</f>
        <v>BL</v>
      </c>
      <c r="F61" s="132">
        <f>IFERROR(__xludf.DUMMYFUNCTION("""COMPUTED_VALUE"""),3.3560000000000003)</f>
        <v>3.356</v>
      </c>
      <c r="G61" s="132">
        <f>IFERROR(__xludf.DUMMYFUNCTION("""COMPUTED_VALUE"""),3.3560000000000003)</f>
        <v>3.356</v>
      </c>
      <c r="H61" s="132">
        <f>IFERROR(__xludf.DUMMYFUNCTION("""COMPUTED_VALUE"""),1.0)</f>
        <v>1</v>
      </c>
      <c r="I61" s="132">
        <f>IFERROR(__xludf.DUMMYFUNCTION("""COMPUTED_VALUE"""),1.0)</f>
        <v>1</v>
      </c>
      <c r="J61" s="132">
        <f>IFERROR(__xludf.DUMMYFUNCTION("""COMPUTED_VALUE"""),1.0)</f>
        <v>1</v>
      </c>
      <c r="K61" s="132">
        <f>IFERROR(__xludf.DUMMYFUNCTION("""COMPUTED_VALUE"""),1.0)</f>
        <v>1</v>
      </c>
      <c r="L61" s="132"/>
      <c r="M61" s="132"/>
      <c r="N61" s="132">
        <f>IFERROR(__xludf.DUMMYFUNCTION("""COMPUTED_VALUE"""),1.0)</f>
        <v>1</v>
      </c>
      <c r="O61" s="132"/>
      <c r="P61" s="132"/>
      <c r="Q61" s="132"/>
      <c r="R61" s="132" t="str">
        <f>IFERROR(__xludf.DUMMYFUNCTION("""COMPUTED_VALUE"""),"Internet")</f>
        <v>Internet</v>
      </c>
      <c r="S61" s="132">
        <f>IFERROR(__xludf.DUMMYFUNCTION("""COMPUTED_VALUE"""),56.5)</f>
        <v>56.5</v>
      </c>
      <c r="T61" s="135">
        <f>IFERROR(__xludf.DUMMYFUNCTION("""COMPUTED_VALUE"""),9.416666666666666)</f>
        <v>9.416666667</v>
      </c>
      <c r="U61" s="132" t="str">
        <f>IFERROR(__xludf.DUMMYFUNCTION("""COMPUTED_VALUE"""),"Paid")</f>
        <v>Paid</v>
      </c>
      <c r="V61" s="132" t="str">
        <f>IFERROR(__xludf.DUMMYFUNCTION("""COMPUTED_VALUE"""),"Paid")</f>
        <v>Paid</v>
      </c>
      <c r="W61" s="132" t="str">
        <f>IFERROR(__xludf.DUMMYFUNCTION("""COMPUTED_VALUE"""),"Paid")</f>
        <v>Paid</v>
      </c>
      <c r="X61" s="132" t="str">
        <f>IFERROR(__xludf.DUMMYFUNCTION("""COMPUTED_VALUE"""),"Paid")</f>
        <v>Paid</v>
      </c>
      <c r="Y61" s="132" t="str">
        <f>IFERROR(__xludf.DUMMYFUNCTION("""COMPUTED_VALUE"""),"Paid")</f>
        <v>Paid</v>
      </c>
      <c r="Z61" s="132"/>
    </row>
    <row r="62">
      <c r="A62" s="133">
        <f>IFERROR(__xludf.DUMMYFUNCTION("""COMPUTED_VALUE"""),45323.0)</f>
        <v>45323</v>
      </c>
      <c r="B62" s="132" t="str">
        <f>IFERROR(__xludf.DUMMYFUNCTION("""COMPUTED_VALUE"""),"Foody dinner")</f>
        <v>Foody dinner</v>
      </c>
      <c r="C62" s="132" t="str">
        <f>IFERROR(__xludf.DUMMYFUNCTION("""COMPUTED_VALUE"""),"食物")</f>
        <v>食物</v>
      </c>
      <c r="D62" s="132">
        <f>IFERROR(__xludf.DUMMYFUNCTION("""COMPUTED_VALUE"""),26.73)</f>
        <v>26.73</v>
      </c>
      <c r="E62" s="132" t="str">
        <f>IFERROR(__xludf.DUMMYFUNCTION("""COMPUTED_VALUE"""),"Timothy")</f>
        <v>Timothy</v>
      </c>
      <c r="F62" s="132">
        <f>IFERROR(__xludf.DUMMYFUNCTION("""COMPUTED_VALUE"""),5.346)</f>
        <v>5.346</v>
      </c>
      <c r="G62" s="132">
        <f>IFERROR(__xludf.DUMMYFUNCTION("""COMPUTED_VALUE"""),5.346)</f>
        <v>5.346</v>
      </c>
      <c r="H62" s="132">
        <f>IFERROR(__xludf.DUMMYFUNCTION("""COMPUTED_VALUE"""),1.0)</f>
        <v>1</v>
      </c>
      <c r="I62" s="132">
        <f>IFERROR(__xludf.DUMMYFUNCTION("""COMPUTED_VALUE"""),1.0)</f>
        <v>1</v>
      </c>
      <c r="J62" s="132">
        <f>IFERROR(__xludf.DUMMYFUNCTION("""COMPUTED_VALUE"""),1.0)</f>
        <v>1</v>
      </c>
      <c r="K62" s="132">
        <f>IFERROR(__xludf.DUMMYFUNCTION("""COMPUTED_VALUE"""),1.0)</f>
        <v>1</v>
      </c>
      <c r="L62" s="132"/>
      <c r="M62" s="132"/>
      <c r="N62" s="132">
        <f>IFERROR(__xludf.DUMMYFUNCTION("""COMPUTED_VALUE"""),1.0)</f>
        <v>1</v>
      </c>
      <c r="O62" s="132"/>
      <c r="P62" s="132"/>
      <c r="Q62" s="132"/>
      <c r="R62" s="132"/>
      <c r="S62" s="132">
        <f>IFERROR(__xludf.DUMMYFUNCTION("""COMPUTED_VALUE"""),3973.09)</f>
        <v>3973.09</v>
      </c>
      <c r="T62" s="132">
        <f>IFERROR(__xludf.DUMMYFUNCTION("""COMPUTED_VALUE"""),782.1816666666666)</f>
        <v>782.1816667</v>
      </c>
      <c r="U62" s="132"/>
      <c r="V62" s="132"/>
      <c r="W62" s="132"/>
      <c r="X62" s="132"/>
      <c r="Y62" s="132"/>
      <c r="Z62" s="132"/>
    </row>
    <row r="63">
      <c r="A63" s="133">
        <f>IFERROR(__xludf.DUMMYFUNCTION("""COMPUTED_VALUE"""),45323.0)</f>
        <v>45323</v>
      </c>
      <c r="B63" s="132" t="str">
        <f>IFERROR(__xludf.DUMMYFUNCTION("""COMPUTED_VALUE"""),"Foody dinner")</f>
        <v>Foody dinner</v>
      </c>
      <c r="C63" s="132" t="str">
        <f>IFERROR(__xludf.DUMMYFUNCTION("""COMPUTED_VALUE"""),"食物")</f>
        <v>食物</v>
      </c>
      <c r="D63" s="132">
        <f>IFERROR(__xludf.DUMMYFUNCTION("""COMPUTED_VALUE"""),7.75)</f>
        <v>7.75</v>
      </c>
      <c r="E63" s="132" t="str">
        <f>IFERROR(__xludf.DUMMYFUNCTION("""COMPUTED_VALUE"""),"Pigskin")</f>
        <v>Pigskin</v>
      </c>
      <c r="F63" s="132">
        <f>IFERROR(__xludf.DUMMYFUNCTION("""COMPUTED_VALUE"""),1.55)</f>
        <v>1.55</v>
      </c>
      <c r="G63" s="132">
        <f>IFERROR(__xludf.DUMMYFUNCTION("""COMPUTED_VALUE"""),1.55)</f>
        <v>1.55</v>
      </c>
      <c r="H63" s="132">
        <f>IFERROR(__xludf.DUMMYFUNCTION("""COMPUTED_VALUE"""),1.0)</f>
        <v>1</v>
      </c>
      <c r="I63" s="132">
        <f>IFERROR(__xludf.DUMMYFUNCTION("""COMPUTED_VALUE"""),1.0)</f>
        <v>1</v>
      </c>
      <c r="J63" s="132">
        <f>IFERROR(__xludf.DUMMYFUNCTION("""COMPUTED_VALUE"""),1.0)</f>
        <v>1</v>
      </c>
      <c r="K63" s="132">
        <f>IFERROR(__xludf.DUMMYFUNCTION("""COMPUTED_VALUE"""),1.0)</f>
        <v>1</v>
      </c>
      <c r="L63" s="132"/>
      <c r="M63" s="132"/>
      <c r="N63" s="132">
        <f>IFERROR(__xludf.DUMMYFUNCTION("""COMPUTED_VALUE"""),1.0)</f>
        <v>1</v>
      </c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6">
        <f>IFERROR(__xludf.DUMMYFUNCTION("""COMPUTED_VALUE"""),45324.0)</f>
        <v>45324</v>
      </c>
      <c r="B64" s="132" t="str">
        <f>IFERROR(__xludf.DUMMYFUNCTION("""COMPUTED_VALUE"""),"Foody Dinner")</f>
        <v>Foody Dinner</v>
      </c>
      <c r="C64" s="132" t="str">
        <f>IFERROR(__xludf.DUMMYFUNCTION("""COMPUTED_VALUE"""),"食物")</f>
        <v>食物</v>
      </c>
      <c r="D64" s="132">
        <f>IFERROR(__xludf.DUMMYFUNCTION("""COMPUTED_VALUE"""),35.4)</f>
        <v>35.4</v>
      </c>
      <c r="E64" s="132" t="str">
        <f>IFERROR(__xludf.DUMMYFUNCTION("""COMPUTED_VALUE"""),"Pigskin")</f>
        <v>Pigskin</v>
      </c>
      <c r="F64" s="132">
        <f>IFERROR(__xludf.DUMMYFUNCTION("""COMPUTED_VALUE"""),8.85)</f>
        <v>8.85</v>
      </c>
      <c r="G64" s="132">
        <f>IFERROR(__xludf.DUMMYFUNCTION("""COMPUTED_VALUE"""),8.85)</f>
        <v>8.85</v>
      </c>
      <c r="H64" s="132">
        <f>IFERROR(__xludf.DUMMYFUNCTION("""COMPUTED_VALUE"""),1.0)</f>
        <v>1</v>
      </c>
      <c r="I64" s="132">
        <f>IFERROR(__xludf.DUMMYFUNCTION("""COMPUTED_VALUE"""),1.0)</f>
        <v>1</v>
      </c>
      <c r="J64" s="132">
        <f>IFERROR(__xludf.DUMMYFUNCTION("""COMPUTED_VALUE"""),1.0)</f>
        <v>1</v>
      </c>
      <c r="K64" s="132">
        <f>IFERROR(__xludf.DUMMYFUNCTION("""COMPUTED_VALUE"""),1.0)</f>
        <v>1</v>
      </c>
      <c r="L64" s="132"/>
      <c r="M64" s="132"/>
      <c r="N64" s="132"/>
      <c r="O64" s="132"/>
      <c r="P64" s="132"/>
      <c r="Q64" s="134">
        <f>IFERROR(__xludf.DUMMYFUNCTION("""COMPUTED_VALUE"""),45352.0)</f>
        <v>45352</v>
      </c>
      <c r="R64" s="132" t="str">
        <f>IFERROR(__xludf.DUMMYFUNCTION("""COMPUTED_VALUE"""),"Rent")</f>
        <v>Rent</v>
      </c>
      <c r="S64" s="132">
        <f>IFERROR(__xludf.DUMMYFUNCTION("""COMPUTED_VALUE"""),3600.0)</f>
        <v>3600</v>
      </c>
      <c r="T64" s="132">
        <f>IFERROR(__xludf.DUMMYFUNCTION("""COMPUTED_VALUE"""),720.0)</f>
        <v>720</v>
      </c>
      <c r="U64" s="132" t="str">
        <f>IFERROR(__xludf.DUMMYFUNCTION("""COMPUTED_VALUE"""),"Paid")</f>
        <v>Paid</v>
      </c>
      <c r="V64" s="132" t="str">
        <f>IFERROR(__xludf.DUMMYFUNCTION("""COMPUTED_VALUE"""),"Paid")</f>
        <v>Paid</v>
      </c>
      <c r="W64" s="132" t="str">
        <f>IFERROR(__xludf.DUMMYFUNCTION("""COMPUTED_VALUE"""),"Paid")</f>
        <v>Paid</v>
      </c>
      <c r="X64" s="132" t="str">
        <f>IFERROR(__xludf.DUMMYFUNCTION("""COMPUTED_VALUE"""),"Paid")</f>
        <v>Paid</v>
      </c>
      <c r="Y64" s="132" t="str">
        <f>IFERROR(__xludf.DUMMYFUNCTION("""COMPUTED_VALUE"""),"Paid")</f>
        <v>Paid</v>
      </c>
      <c r="Z64" s="132"/>
    </row>
    <row r="65">
      <c r="A65" s="136">
        <f>IFERROR(__xludf.DUMMYFUNCTION("""COMPUTED_VALUE"""),45324.0)</f>
        <v>45324</v>
      </c>
      <c r="B65" s="132" t="str">
        <f>IFERROR(__xludf.DUMMYFUNCTION("""COMPUTED_VALUE"""),"3A Dinner")</f>
        <v>3A Dinner</v>
      </c>
      <c r="C65" s="132" t="str">
        <f>IFERROR(__xludf.DUMMYFUNCTION("""COMPUTED_VALUE"""),"食物")</f>
        <v>食物</v>
      </c>
      <c r="D65" s="132">
        <f>IFERROR(__xludf.DUMMYFUNCTION("""COMPUTED_VALUE"""),87.0)</f>
        <v>87</v>
      </c>
      <c r="E65" s="132" t="str">
        <f>IFERROR(__xludf.DUMMYFUNCTION("""COMPUTED_VALUE"""),"Pigskin")</f>
        <v>Pigskin</v>
      </c>
      <c r="F65" s="132">
        <f>IFERROR(__xludf.DUMMYFUNCTION("""COMPUTED_VALUE"""),12.428571428571429)</f>
        <v>12.42857143</v>
      </c>
      <c r="G65" s="132">
        <f>IFERROR(__xludf.DUMMYFUNCTION("""COMPUTED_VALUE"""),12.428571428571429)</f>
        <v>12.42857143</v>
      </c>
      <c r="H65" s="132">
        <f>IFERROR(__xludf.DUMMYFUNCTION("""COMPUTED_VALUE"""),1.0)</f>
        <v>1</v>
      </c>
      <c r="I65" s="132">
        <f>IFERROR(__xludf.DUMMYFUNCTION("""COMPUTED_VALUE"""),1.0)</f>
        <v>1</v>
      </c>
      <c r="J65" s="132">
        <f>IFERROR(__xludf.DUMMYFUNCTION("""COMPUTED_VALUE"""),1.0)</f>
        <v>1</v>
      </c>
      <c r="K65" s="132">
        <f>IFERROR(__xludf.DUMMYFUNCTION("""COMPUTED_VALUE"""),1.0)</f>
        <v>1</v>
      </c>
      <c r="L65" s="132">
        <f>IFERROR(__xludf.DUMMYFUNCTION("""COMPUTED_VALUE"""),1.0)</f>
        <v>1</v>
      </c>
      <c r="M65" s="132">
        <f>IFERROR(__xludf.DUMMYFUNCTION("""COMPUTED_VALUE"""),1.0)</f>
        <v>1</v>
      </c>
      <c r="N65" s="132">
        <f>IFERROR(__xludf.DUMMYFUNCTION("""COMPUTED_VALUE"""),1.0)</f>
        <v>1</v>
      </c>
      <c r="O65" s="132"/>
      <c r="P65" s="132"/>
      <c r="Q65" s="132"/>
      <c r="R65" s="132" t="str">
        <f>IFERROR(__xludf.DUMMYFUNCTION("""COMPUTED_VALUE"""),"Water")</f>
        <v>Water</v>
      </c>
      <c r="S65" s="132"/>
      <c r="T65" s="132">
        <f>IFERROR(__xludf.DUMMYFUNCTION("""COMPUTED_VALUE"""),0.0)</f>
        <v>0</v>
      </c>
      <c r="U65" s="132"/>
      <c r="V65" s="132"/>
      <c r="W65" s="132"/>
      <c r="X65" s="132"/>
      <c r="Y65" s="132"/>
      <c r="Z65" s="132"/>
    </row>
    <row r="66">
      <c r="A66" s="133">
        <f>IFERROR(__xludf.DUMMYFUNCTION("""COMPUTED_VALUE"""),45330.0)</f>
        <v>45330</v>
      </c>
      <c r="B66" s="132" t="str">
        <f>IFERROR(__xludf.DUMMYFUNCTION("""COMPUTED_VALUE"""),"Sam woo")</f>
        <v>Sam woo</v>
      </c>
      <c r="C66" s="132" t="str">
        <f>IFERROR(__xludf.DUMMYFUNCTION("""COMPUTED_VALUE"""),"食物")</f>
        <v>食物</v>
      </c>
      <c r="D66" s="132">
        <f>IFERROR(__xludf.DUMMYFUNCTION("""COMPUTED_VALUE"""),63.28)</f>
        <v>63.28</v>
      </c>
      <c r="E66" s="132" t="str">
        <f>IFERROR(__xludf.DUMMYFUNCTION("""COMPUTED_VALUE"""),"BL")</f>
        <v>BL</v>
      </c>
      <c r="F66" s="132">
        <f>IFERROR(__xludf.DUMMYFUNCTION("""COMPUTED_VALUE"""),15.82)</f>
        <v>15.82</v>
      </c>
      <c r="G66" s="132">
        <f>IFERROR(__xludf.DUMMYFUNCTION("""COMPUTED_VALUE"""),15.82)</f>
        <v>15.82</v>
      </c>
      <c r="H66" s="132">
        <f>IFERROR(__xludf.DUMMYFUNCTION("""COMPUTED_VALUE"""),1.0)</f>
        <v>1</v>
      </c>
      <c r="I66" s="132">
        <f>IFERROR(__xludf.DUMMYFUNCTION("""COMPUTED_VALUE"""),1.0)</f>
        <v>1</v>
      </c>
      <c r="J66" s="132">
        <f>IFERROR(__xludf.DUMMYFUNCTION("""COMPUTED_VALUE"""),1.0)</f>
        <v>1</v>
      </c>
      <c r="K66" s="132">
        <f>IFERROR(__xludf.DUMMYFUNCTION("""COMPUTED_VALUE"""),1.0)</f>
        <v>1</v>
      </c>
      <c r="L66" s="132"/>
      <c r="M66" s="132"/>
      <c r="N66" s="132"/>
      <c r="O66" s="132"/>
      <c r="P66" s="132"/>
      <c r="Q66" s="132"/>
      <c r="R66" s="132" t="str">
        <f>IFERROR(__xludf.DUMMYFUNCTION("""COMPUTED_VALUE"""),"Heat")</f>
        <v>Heat</v>
      </c>
      <c r="S66" s="132">
        <f>IFERROR(__xludf.DUMMYFUNCTION("""COMPUTED_VALUE"""),173.22)</f>
        <v>173.22</v>
      </c>
      <c r="T66" s="132">
        <f>IFERROR(__xludf.DUMMYFUNCTION("""COMPUTED_VALUE"""),34.644)</f>
        <v>34.644</v>
      </c>
      <c r="U66" s="132" t="str">
        <f>IFERROR(__xludf.DUMMYFUNCTION("""COMPUTED_VALUE"""),"Paid")</f>
        <v>Paid</v>
      </c>
      <c r="V66" s="132" t="str">
        <f>IFERROR(__xludf.DUMMYFUNCTION("""COMPUTED_VALUE"""),"Paid")</f>
        <v>Paid</v>
      </c>
      <c r="W66" s="132" t="str">
        <f>IFERROR(__xludf.DUMMYFUNCTION("""COMPUTED_VALUE"""),"Paid")</f>
        <v>Paid</v>
      </c>
      <c r="X66" s="132" t="str">
        <f>IFERROR(__xludf.DUMMYFUNCTION("""COMPUTED_VALUE"""),"Paid")</f>
        <v>Paid</v>
      </c>
      <c r="Y66" s="132" t="str">
        <f>IFERROR(__xludf.DUMMYFUNCTION("""COMPUTED_VALUE"""),"Paid")</f>
        <v>Paid</v>
      </c>
      <c r="Z66" s="132"/>
    </row>
    <row r="67">
      <c r="A67" s="133">
        <f>IFERROR(__xludf.DUMMYFUNCTION("""COMPUTED_VALUE"""),45332.0)</f>
        <v>45332</v>
      </c>
      <c r="B67" s="132" t="str">
        <f>IFERROR(__xludf.DUMMYFUNCTION("""COMPUTED_VALUE"""),"Banana")</f>
        <v>Banana</v>
      </c>
      <c r="C67" s="132" t="str">
        <f>IFERROR(__xludf.DUMMYFUNCTION("""COMPUTED_VALUE"""),"食物")</f>
        <v>食物</v>
      </c>
      <c r="D67" s="132">
        <f>IFERROR(__xludf.DUMMYFUNCTION("""COMPUTED_VALUE"""),1.24)</f>
        <v>1.24</v>
      </c>
      <c r="E67" s="132" t="str">
        <f>IFERROR(__xludf.DUMMYFUNCTION("""COMPUTED_VALUE"""),"Pigskin")</f>
        <v>Pigskin</v>
      </c>
      <c r="F67" s="132">
        <f>IFERROR(__xludf.DUMMYFUNCTION("""COMPUTED_VALUE"""),0.248)</f>
        <v>0.248</v>
      </c>
      <c r="G67" s="132">
        <f>IFERROR(__xludf.DUMMYFUNCTION("""COMPUTED_VALUE"""),0.248)</f>
        <v>0.248</v>
      </c>
      <c r="H67" s="132">
        <f>IFERROR(__xludf.DUMMYFUNCTION("""COMPUTED_VALUE"""),1.0)</f>
        <v>1</v>
      </c>
      <c r="I67" s="132">
        <f>IFERROR(__xludf.DUMMYFUNCTION("""COMPUTED_VALUE"""),1.0)</f>
        <v>1</v>
      </c>
      <c r="J67" s="132">
        <f>IFERROR(__xludf.DUMMYFUNCTION("""COMPUTED_VALUE"""),1.0)</f>
        <v>1</v>
      </c>
      <c r="K67" s="132">
        <f>IFERROR(__xludf.DUMMYFUNCTION("""COMPUTED_VALUE"""),1.0)</f>
        <v>1</v>
      </c>
      <c r="L67" s="132"/>
      <c r="M67" s="132"/>
      <c r="N67" s="132">
        <f>IFERROR(__xludf.DUMMYFUNCTION("""COMPUTED_VALUE"""),1.0)</f>
        <v>1</v>
      </c>
      <c r="O67" s="132"/>
      <c r="P67" s="132"/>
      <c r="Q67" s="132"/>
      <c r="R67" s="132" t="str">
        <f>IFERROR(__xludf.DUMMYFUNCTION("""COMPUTED_VALUE"""),"Electricity")</f>
        <v>Electricity</v>
      </c>
      <c r="S67" s="132">
        <f>IFERROR(__xludf.DUMMYFUNCTION("""COMPUTED_VALUE"""),97.82)</f>
        <v>97.82</v>
      </c>
      <c r="T67" s="132">
        <f>IFERROR(__xludf.DUMMYFUNCTION("""COMPUTED_VALUE"""),19.564)</f>
        <v>19.564</v>
      </c>
      <c r="U67" s="132" t="str">
        <f>IFERROR(__xludf.DUMMYFUNCTION("""COMPUTED_VALUE"""),"Paid")</f>
        <v>Paid</v>
      </c>
      <c r="V67" s="132" t="str">
        <f>IFERROR(__xludf.DUMMYFUNCTION("""COMPUTED_VALUE"""),"Paid")</f>
        <v>Paid</v>
      </c>
      <c r="W67" s="132" t="str">
        <f>IFERROR(__xludf.DUMMYFUNCTION("""COMPUTED_VALUE"""),"Paid")</f>
        <v>Paid</v>
      </c>
      <c r="X67" s="132" t="str">
        <f>IFERROR(__xludf.DUMMYFUNCTION("""COMPUTED_VALUE"""),"Paid")</f>
        <v>Paid</v>
      </c>
      <c r="Y67" s="132" t="str">
        <f>IFERROR(__xludf.DUMMYFUNCTION("""COMPUTED_VALUE"""),"Paid")</f>
        <v>Paid</v>
      </c>
      <c r="Z67" s="132"/>
    </row>
    <row r="68">
      <c r="A68" s="133">
        <f>IFERROR(__xludf.DUMMYFUNCTION("""COMPUTED_VALUE"""),45598.0)</f>
        <v>45598</v>
      </c>
      <c r="B68" s="132" t="str">
        <f>IFERROR(__xludf.DUMMYFUNCTION("""COMPUTED_VALUE"""),"Activate")</f>
        <v>Activate</v>
      </c>
      <c r="C68" s="132" t="str">
        <f>IFERROR(__xludf.DUMMYFUNCTION("""COMPUTED_VALUE"""),"娛樂")</f>
        <v>娛樂</v>
      </c>
      <c r="D68" s="132">
        <f>IFERROR(__xludf.DUMMYFUNCTION("""COMPUTED_VALUE"""),263.12)</f>
        <v>263.12</v>
      </c>
      <c r="E68" s="132" t="str">
        <f>IFERROR(__xludf.DUMMYFUNCTION("""COMPUTED_VALUE"""),"Esther")</f>
        <v>Esther</v>
      </c>
      <c r="F68" s="132">
        <f>IFERROR(__xludf.DUMMYFUNCTION("""COMPUTED_VALUE"""),32.89)</f>
        <v>32.89</v>
      </c>
      <c r="G68" s="132">
        <f>IFERROR(__xludf.DUMMYFUNCTION("""COMPUTED_VALUE"""),32.89)</f>
        <v>32.89</v>
      </c>
      <c r="H68" s="132">
        <f>IFERROR(__xludf.DUMMYFUNCTION("""COMPUTED_VALUE"""),1.0)</f>
        <v>1</v>
      </c>
      <c r="I68" s="132">
        <f>IFERROR(__xludf.DUMMYFUNCTION("""COMPUTED_VALUE"""),1.0)</f>
        <v>1</v>
      </c>
      <c r="J68" s="132">
        <f>IFERROR(__xludf.DUMMYFUNCTION("""COMPUTED_VALUE"""),1.0)</f>
        <v>1</v>
      </c>
      <c r="K68" s="132">
        <f>IFERROR(__xludf.DUMMYFUNCTION("""COMPUTED_VALUE"""),1.0)</f>
        <v>1</v>
      </c>
      <c r="L68" s="132">
        <f>IFERROR(__xludf.DUMMYFUNCTION("""COMPUTED_VALUE"""),1.0)</f>
        <v>1</v>
      </c>
      <c r="M68" s="132"/>
      <c r="N68" s="132">
        <f>IFERROR(__xludf.DUMMYFUNCTION("""COMPUTED_VALUE"""),1.0)</f>
        <v>1</v>
      </c>
      <c r="O68" s="132"/>
      <c r="P68" s="132"/>
      <c r="Q68" s="132"/>
      <c r="R68" s="132" t="str">
        <f>IFERROR(__xludf.DUMMYFUNCTION("""COMPUTED_VALUE"""),"Internet")</f>
        <v>Internet</v>
      </c>
      <c r="S68" s="132">
        <f>IFERROR(__xludf.DUMMYFUNCTION("""COMPUTED_VALUE"""),56.5)</f>
        <v>56.5</v>
      </c>
      <c r="T68" s="132">
        <f>IFERROR(__xludf.DUMMYFUNCTION("""COMPUTED_VALUE"""),11.3)</f>
        <v>11.3</v>
      </c>
      <c r="U68" s="132" t="str">
        <f>IFERROR(__xludf.DUMMYFUNCTION("""COMPUTED_VALUE"""),"Paid")</f>
        <v>Paid</v>
      </c>
      <c r="V68" s="132" t="str">
        <f>IFERROR(__xludf.DUMMYFUNCTION("""COMPUTED_VALUE"""),"Paid")</f>
        <v>Paid</v>
      </c>
      <c r="W68" s="132" t="str">
        <f>IFERROR(__xludf.DUMMYFUNCTION("""COMPUTED_VALUE"""),"Paid")</f>
        <v>Paid</v>
      </c>
      <c r="X68" s="132" t="str">
        <f>IFERROR(__xludf.DUMMYFUNCTION("""COMPUTED_VALUE"""),"Paid")</f>
        <v>Paid</v>
      </c>
      <c r="Y68" s="132" t="str">
        <f>IFERROR(__xludf.DUMMYFUNCTION("""COMPUTED_VALUE"""),"Paid")</f>
        <v>Paid</v>
      </c>
      <c r="Z68" s="132"/>
    </row>
    <row r="69">
      <c r="A69" s="133">
        <f>IFERROR(__xludf.DUMMYFUNCTION("""COMPUTED_VALUE"""),45335.0)</f>
        <v>45335</v>
      </c>
      <c r="B69" s="132" t="str">
        <f>IFERROR(__xludf.DUMMYFUNCTION("""COMPUTED_VALUE"""),"Foody Dinner")</f>
        <v>Foody Dinner</v>
      </c>
      <c r="C69" s="132" t="str">
        <f>IFERROR(__xludf.DUMMYFUNCTION("""COMPUTED_VALUE"""),"食物")</f>
        <v>食物</v>
      </c>
      <c r="D69" s="132">
        <f>IFERROR(__xludf.DUMMYFUNCTION("""COMPUTED_VALUE"""),11.48)</f>
        <v>11.48</v>
      </c>
      <c r="E69" s="132" t="str">
        <f>IFERROR(__xludf.DUMMYFUNCTION("""COMPUTED_VALUE"""),"BL")</f>
        <v>BL</v>
      </c>
      <c r="F69" s="132">
        <f>IFERROR(__xludf.DUMMYFUNCTION("""COMPUTED_VALUE"""),2.2960000000000003)</f>
        <v>2.296</v>
      </c>
      <c r="G69" s="132">
        <f>IFERROR(__xludf.DUMMYFUNCTION("""COMPUTED_VALUE"""),2.2960000000000003)</f>
        <v>2.296</v>
      </c>
      <c r="H69" s="132">
        <f>IFERROR(__xludf.DUMMYFUNCTION("""COMPUTED_VALUE"""),1.0)</f>
        <v>1</v>
      </c>
      <c r="I69" s="132">
        <f>IFERROR(__xludf.DUMMYFUNCTION("""COMPUTED_VALUE"""),1.0)</f>
        <v>1</v>
      </c>
      <c r="J69" s="132">
        <f>IFERROR(__xludf.DUMMYFUNCTION("""COMPUTED_VALUE"""),1.0)</f>
        <v>1</v>
      </c>
      <c r="K69" s="132">
        <f>IFERROR(__xludf.DUMMYFUNCTION("""COMPUTED_VALUE"""),1.0)</f>
        <v>1</v>
      </c>
      <c r="L69" s="132"/>
      <c r="M69" s="132"/>
      <c r="N69" s="132">
        <f>IFERROR(__xludf.DUMMYFUNCTION("""COMPUTED_VALUE"""),1.0)</f>
        <v>1</v>
      </c>
      <c r="O69" s="132"/>
      <c r="P69" s="132"/>
      <c r="Q69" s="132"/>
      <c r="R69" s="132"/>
      <c r="S69" s="132">
        <f>IFERROR(__xludf.DUMMYFUNCTION("""COMPUTED_VALUE"""),3927.54)</f>
        <v>3927.54</v>
      </c>
      <c r="T69" s="132">
        <f>IFERROR(__xludf.DUMMYFUNCTION("""COMPUTED_VALUE"""),785.5079999999999)</f>
        <v>785.508</v>
      </c>
      <c r="U69" s="132"/>
      <c r="V69" s="132"/>
      <c r="W69" s="132"/>
      <c r="X69" s="132"/>
      <c r="Y69" s="132"/>
      <c r="Z69" s="132"/>
    </row>
    <row r="70">
      <c r="A70" s="136">
        <f>IFERROR(__xludf.DUMMYFUNCTION("""COMPUTED_VALUE"""),45333.0)</f>
        <v>45333</v>
      </c>
      <c r="B70" s="132" t="str">
        <f>IFERROR(__xludf.DUMMYFUNCTION("""COMPUTED_VALUE"""),"Ajisen ramen")</f>
        <v>Ajisen ramen</v>
      </c>
      <c r="C70" s="132" t="str">
        <f>IFERROR(__xludf.DUMMYFUNCTION("""COMPUTED_VALUE"""),"食物")</f>
        <v>食物</v>
      </c>
      <c r="D70" s="132">
        <f>IFERROR(__xludf.DUMMYFUNCTION("""COMPUTED_VALUE"""),104.36)</f>
        <v>104.36</v>
      </c>
      <c r="E70" s="132" t="str">
        <f>IFERROR(__xludf.DUMMYFUNCTION("""COMPUTED_VALUE"""),"BL")</f>
        <v>BL</v>
      </c>
      <c r="F70" s="132">
        <f>IFERROR(__xludf.DUMMYFUNCTION("""COMPUTED_VALUE"""),20.872)</f>
        <v>20.872</v>
      </c>
      <c r="G70" s="132">
        <f>IFERROR(__xludf.DUMMYFUNCTION("""COMPUTED_VALUE"""),20.872)</f>
        <v>20.872</v>
      </c>
      <c r="H70" s="132">
        <f>IFERROR(__xludf.DUMMYFUNCTION("""COMPUTED_VALUE"""),1.0)</f>
        <v>1</v>
      </c>
      <c r="I70" s="132">
        <f>IFERROR(__xludf.DUMMYFUNCTION("""COMPUTED_VALUE"""),1.0)</f>
        <v>1</v>
      </c>
      <c r="J70" s="132">
        <f>IFERROR(__xludf.DUMMYFUNCTION("""COMPUTED_VALUE"""),1.0)</f>
        <v>1</v>
      </c>
      <c r="K70" s="132">
        <f>IFERROR(__xludf.DUMMYFUNCTION("""COMPUTED_VALUE"""),1.0)</f>
        <v>1</v>
      </c>
      <c r="L70" s="132"/>
      <c r="M70" s="132"/>
      <c r="N70" s="132">
        <f>IFERROR(__xludf.DUMMYFUNCTION("""COMPUTED_VALUE"""),1.0)</f>
        <v>1</v>
      </c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6">
        <f>IFERROR(__xludf.DUMMYFUNCTION("""COMPUTED_VALUE"""),45340.0)</f>
        <v>45340</v>
      </c>
      <c r="B71" s="132" t="str">
        <f>IFERROR(__xludf.DUMMYFUNCTION("""COMPUTED_VALUE"""),"Foody dinner")</f>
        <v>Foody dinner</v>
      </c>
      <c r="C71" s="132" t="str">
        <f>IFERROR(__xludf.DUMMYFUNCTION("""COMPUTED_VALUE"""),"食物")</f>
        <v>食物</v>
      </c>
      <c r="D71" s="132">
        <f>IFERROR(__xludf.DUMMYFUNCTION("""COMPUTED_VALUE"""),22.83)</f>
        <v>22.83</v>
      </c>
      <c r="E71" s="132" t="str">
        <f>IFERROR(__xludf.DUMMYFUNCTION("""COMPUTED_VALUE"""),"BL")</f>
        <v>BL</v>
      </c>
      <c r="F71" s="132">
        <f>IFERROR(__xludf.DUMMYFUNCTION("""COMPUTED_VALUE"""),4.566)</f>
        <v>4.566</v>
      </c>
      <c r="G71" s="132">
        <f>IFERROR(__xludf.DUMMYFUNCTION("""COMPUTED_VALUE"""),4.566)</f>
        <v>4.566</v>
      </c>
      <c r="H71" s="132">
        <f>IFERROR(__xludf.DUMMYFUNCTION("""COMPUTED_VALUE"""),1.0)</f>
        <v>1</v>
      </c>
      <c r="I71" s="132">
        <f>IFERROR(__xludf.DUMMYFUNCTION("""COMPUTED_VALUE"""),1.0)</f>
        <v>1</v>
      </c>
      <c r="J71" s="132">
        <f>IFERROR(__xludf.DUMMYFUNCTION("""COMPUTED_VALUE"""),1.0)</f>
        <v>1</v>
      </c>
      <c r="K71" s="132">
        <f>IFERROR(__xludf.DUMMYFUNCTION("""COMPUTED_VALUE"""),1.0)</f>
        <v>1</v>
      </c>
      <c r="L71" s="132"/>
      <c r="M71" s="132"/>
      <c r="N71" s="132">
        <f>IFERROR(__xludf.DUMMYFUNCTION("""COMPUTED_VALUE"""),1.0)</f>
        <v>1</v>
      </c>
      <c r="O71" s="132"/>
      <c r="P71" s="132"/>
      <c r="Q71" s="134">
        <f>IFERROR(__xludf.DUMMYFUNCTION("""COMPUTED_VALUE"""),45383.0)</f>
        <v>45383</v>
      </c>
      <c r="R71" s="132" t="str">
        <f>IFERROR(__xludf.DUMMYFUNCTION("""COMPUTED_VALUE"""),"Rent")</f>
        <v>Rent</v>
      </c>
      <c r="S71" s="132">
        <f>IFERROR(__xludf.DUMMYFUNCTION("""COMPUTED_VALUE"""),3600.0)</f>
        <v>3600</v>
      </c>
      <c r="T71" s="132">
        <f>IFERROR(__xludf.DUMMYFUNCTION("""COMPUTED_VALUE"""),720.0)</f>
        <v>720</v>
      </c>
      <c r="U71" s="132" t="str">
        <f>IFERROR(__xludf.DUMMYFUNCTION("""COMPUTED_VALUE"""),"Paid")</f>
        <v>Paid</v>
      </c>
      <c r="V71" s="132" t="str">
        <f>IFERROR(__xludf.DUMMYFUNCTION("""COMPUTED_VALUE"""),"Paid")</f>
        <v>Paid</v>
      </c>
      <c r="W71" s="132" t="str">
        <f>IFERROR(__xludf.DUMMYFUNCTION("""COMPUTED_VALUE"""),"Paid")</f>
        <v>Paid</v>
      </c>
      <c r="X71" s="132" t="str">
        <f>IFERROR(__xludf.DUMMYFUNCTION("""COMPUTED_VALUE"""),"Paid")</f>
        <v>Paid</v>
      </c>
      <c r="Y71" s="132" t="str">
        <f>IFERROR(__xludf.DUMMYFUNCTION("""COMPUTED_VALUE"""),"Paid")</f>
        <v>Paid</v>
      </c>
      <c r="Z71" s="132"/>
    </row>
    <row r="72">
      <c r="A72" s="136">
        <f>IFERROR(__xludf.DUMMYFUNCTION("""COMPUTED_VALUE"""),45335.0)</f>
        <v>45335</v>
      </c>
      <c r="B72" s="132" t="str">
        <f>IFERROR(__xludf.DUMMYFUNCTION("""COMPUTED_VALUE"""),"Fish")</f>
        <v>Fish</v>
      </c>
      <c r="C72" s="132" t="str">
        <f>IFERROR(__xludf.DUMMYFUNCTION("""COMPUTED_VALUE"""),"食物")</f>
        <v>食物</v>
      </c>
      <c r="D72" s="132">
        <f>IFERROR(__xludf.DUMMYFUNCTION("""COMPUTED_VALUE"""),12.58)</f>
        <v>12.58</v>
      </c>
      <c r="E72" s="132" t="str">
        <f>IFERROR(__xludf.DUMMYFUNCTION("""COMPUTED_VALUE"""),"Pigskin")</f>
        <v>Pigskin</v>
      </c>
      <c r="F72" s="132">
        <f>IFERROR(__xludf.DUMMYFUNCTION("""COMPUTED_VALUE"""),2.516)</f>
        <v>2.516</v>
      </c>
      <c r="G72" s="132">
        <f>IFERROR(__xludf.DUMMYFUNCTION("""COMPUTED_VALUE"""),2.516)</f>
        <v>2.516</v>
      </c>
      <c r="H72" s="132">
        <f>IFERROR(__xludf.DUMMYFUNCTION("""COMPUTED_VALUE"""),1.0)</f>
        <v>1</v>
      </c>
      <c r="I72" s="132">
        <f>IFERROR(__xludf.DUMMYFUNCTION("""COMPUTED_VALUE"""),1.0)</f>
        <v>1</v>
      </c>
      <c r="J72" s="132">
        <f>IFERROR(__xludf.DUMMYFUNCTION("""COMPUTED_VALUE"""),1.0)</f>
        <v>1</v>
      </c>
      <c r="K72" s="132">
        <f>IFERROR(__xludf.DUMMYFUNCTION("""COMPUTED_VALUE"""),1.0)</f>
        <v>1</v>
      </c>
      <c r="L72" s="132"/>
      <c r="M72" s="132"/>
      <c r="N72" s="132">
        <f>IFERROR(__xludf.DUMMYFUNCTION("""COMPUTED_VALUE"""),1.0)</f>
        <v>1</v>
      </c>
      <c r="O72" s="132"/>
      <c r="P72" s="132"/>
      <c r="Q72" s="132"/>
      <c r="R72" s="132" t="str">
        <f>IFERROR(__xludf.DUMMYFUNCTION("""COMPUTED_VALUE"""),"o")</f>
        <v>o</v>
      </c>
      <c r="S72" s="132"/>
      <c r="T72" s="132"/>
      <c r="U72" s="132"/>
      <c r="V72" s="132"/>
      <c r="W72" s="132"/>
      <c r="X72" s="132"/>
      <c r="Y72" s="132"/>
      <c r="Z72" s="132"/>
    </row>
    <row r="73">
      <c r="A73" s="136">
        <f>IFERROR(__xludf.DUMMYFUNCTION("""COMPUTED_VALUE"""),45336.0)</f>
        <v>45336</v>
      </c>
      <c r="B73" s="132" t="str">
        <f>IFERROR(__xludf.DUMMYFUNCTION("""COMPUTED_VALUE"""),"Pai")</f>
        <v>Pai</v>
      </c>
      <c r="C73" s="132" t="str">
        <f>IFERROR(__xludf.DUMMYFUNCTION("""COMPUTED_VALUE"""),"食物")</f>
        <v>食物</v>
      </c>
      <c r="D73" s="132">
        <f>IFERROR(__xludf.DUMMYFUNCTION("""COMPUTED_VALUE"""),121.35)</f>
        <v>121.35</v>
      </c>
      <c r="E73" s="132" t="str">
        <f>IFERROR(__xludf.DUMMYFUNCTION("""COMPUTED_VALUE"""),"BL")</f>
        <v>BL</v>
      </c>
      <c r="F73" s="132">
        <f>IFERROR(__xludf.DUMMYFUNCTION("""COMPUTED_VALUE"""),60.675)</f>
        <v>60.675</v>
      </c>
      <c r="G73" s="132">
        <f>IFERROR(__xludf.DUMMYFUNCTION("""COMPUTED_VALUE"""),60.675)</f>
        <v>60.675</v>
      </c>
      <c r="H73" s="132"/>
      <c r="I73" s="132"/>
      <c r="J73" s="132">
        <f>IFERROR(__xludf.DUMMYFUNCTION("""COMPUTED_VALUE"""),1.0)</f>
        <v>1</v>
      </c>
      <c r="K73" s="132">
        <f>IFERROR(__xludf.DUMMYFUNCTION("""COMPUTED_VALUE"""),1.0)</f>
        <v>1</v>
      </c>
      <c r="L73" s="132"/>
      <c r="M73" s="132"/>
      <c r="N73" s="132"/>
      <c r="O73" s="132"/>
      <c r="P73" s="132"/>
      <c r="Q73" s="132"/>
      <c r="R73" s="132" t="str">
        <f>IFERROR(__xludf.DUMMYFUNCTION("""COMPUTED_VALUE"""),"Heat")</f>
        <v>Heat</v>
      </c>
      <c r="S73" s="132">
        <f>IFERROR(__xludf.DUMMYFUNCTION("""COMPUTED_VALUE"""),169.33)</f>
        <v>169.33</v>
      </c>
      <c r="T73" s="132">
        <f>IFERROR(__xludf.DUMMYFUNCTION("""COMPUTED_VALUE"""),33.866)</f>
        <v>33.866</v>
      </c>
      <c r="U73" s="132" t="str">
        <f>IFERROR(__xludf.DUMMYFUNCTION("""COMPUTED_VALUE"""),"Paid")</f>
        <v>Paid</v>
      </c>
      <c r="V73" s="132" t="str">
        <f>IFERROR(__xludf.DUMMYFUNCTION("""COMPUTED_VALUE"""),"Paid")</f>
        <v>Paid</v>
      </c>
      <c r="W73" s="132" t="str">
        <f>IFERROR(__xludf.DUMMYFUNCTION("""COMPUTED_VALUE"""),"Paid")</f>
        <v>Paid</v>
      </c>
      <c r="X73" s="132" t="str">
        <f>IFERROR(__xludf.DUMMYFUNCTION("""COMPUTED_VALUE"""),"Paid")</f>
        <v>Paid</v>
      </c>
      <c r="Y73" s="132" t="str">
        <f>IFERROR(__xludf.DUMMYFUNCTION("""COMPUTED_VALUE"""),"Paid")</f>
        <v>Paid</v>
      </c>
      <c r="Z73" s="132"/>
    </row>
    <row r="74">
      <c r="A74" s="136">
        <f>IFERROR(__xludf.DUMMYFUNCTION("""COMPUTED_VALUE"""),45339.0)</f>
        <v>45339</v>
      </c>
      <c r="B74" s="132" t="str">
        <f>IFERROR(__xludf.DUMMYFUNCTION("""COMPUTED_VALUE"""),"Foody dinner")</f>
        <v>Foody dinner</v>
      </c>
      <c r="C74" s="132" t="str">
        <f>IFERROR(__xludf.DUMMYFUNCTION("""COMPUTED_VALUE"""),"食物")</f>
        <v>食物</v>
      </c>
      <c r="D74" s="132">
        <f>IFERROR(__xludf.DUMMYFUNCTION("""COMPUTED_VALUE"""),12.18)</f>
        <v>12.18</v>
      </c>
      <c r="E74" s="132" t="str">
        <f>IFERROR(__xludf.DUMMYFUNCTION("""COMPUTED_VALUE"""),"BL")</f>
        <v>BL</v>
      </c>
      <c r="F74" s="132">
        <f>IFERROR(__xludf.DUMMYFUNCTION("""COMPUTED_VALUE"""),2.436)</f>
        <v>2.436</v>
      </c>
      <c r="G74" s="132">
        <f>IFERROR(__xludf.DUMMYFUNCTION("""COMPUTED_VALUE"""),2.436)</f>
        <v>2.436</v>
      </c>
      <c r="H74" s="132">
        <f>IFERROR(__xludf.DUMMYFUNCTION("""COMPUTED_VALUE"""),1.0)</f>
        <v>1</v>
      </c>
      <c r="I74" s="132">
        <f>IFERROR(__xludf.DUMMYFUNCTION("""COMPUTED_VALUE"""),1.0)</f>
        <v>1</v>
      </c>
      <c r="J74" s="132">
        <f>IFERROR(__xludf.DUMMYFUNCTION("""COMPUTED_VALUE"""),1.0)</f>
        <v>1</v>
      </c>
      <c r="K74" s="132">
        <f>IFERROR(__xludf.DUMMYFUNCTION("""COMPUTED_VALUE"""),1.0)</f>
        <v>1</v>
      </c>
      <c r="L74" s="132"/>
      <c r="M74" s="132"/>
      <c r="N74" s="132">
        <f>IFERROR(__xludf.DUMMYFUNCTION("""COMPUTED_VALUE"""),1.0)</f>
        <v>1</v>
      </c>
      <c r="O74" s="132"/>
      <c r="P74" s="132"/>
      <c r="Q74" s="132"/>
      <c r="R74" s="132" t="str">
        <f>IFERROR(__xludf.DUMMYFUNCTION("""COMPUTED_VALUE"""),"Electricity")</f>
        <v>Electricity</v>
      </c>
      <c r="S74" s="132">
        <f>IFERROR(__xludf.DUMMYFUNCTION("""COMPUTED_VALUE"""),104.26)</f>
        <v>104.26</v>
      </c>
      <c r="T74" s="132">
        <f>IFERROR(__xludf.DUMMYFUNCTION("""COMPUTED_VALUE"""),20.852)</f>
        <v>20.852</v>
      </c>
      <c r="U74" s="132" t="str">
        <f>IFERROR(__xludf.DUMMYFUNCTION("""COMPUTED_VALUE"""),"Paid")</f>
        <v>Paid</v>
      </c>
      <c r="V74" s="132" t="str">
        <f>IFERROR(__xludf.DUMMYFUNCTION("""COMPUTED_VALUE"""),"Paid")</f>
        <v>Paid</v>
      </c>
      <c r="W74" s="132" t="str">
        <f>IFERROR(__xludf.DUMMYFUNCTION("""COMPUTED_VALUE"""),"Paid")</f>
        <v>Paid</v>
      </c>
      <c r="X74" s="132" t="str">
        <f>IFERROR(__xludf.DUMMYFUNCTION("""COMPUTED_VALUE"""),"Paid")</f>
        <v>Paid</v>
      </c>
      <c r="Y74" s="132" t="str">
        <f>IFERROR(__xludf.DUMMYFUNCTION("""COMPUTED_VALUE"""),"Paid")</f>
        <v>Paid</v>
      </c>
      <c r="Z74" s="132"/>
    </row>
    <row r="75">
      <c r="A75" s="136">
        <f>IFERROR(__xludf.DUMMYFUNCTION("""COMPUTED_VALUE"""),45336.0)</f>
        <v>45336</v>
      </c>
      <c r="B75" s="132" t="str">
        <f>IFERROR(__xludf.DUMMYFUNCTION("""COMPUTED_VALUE"""),"MEtro")</f>
        <v>MEtro</v>
      </c>
      <c r="C75" s="132" t="str">
        <f>IFERROR(__xludf.DUMMYFUNCTION("""COMPUTED_VALUE"""),"食物")</f>
        <v>食物</v>
      </c>
      <c r="D75" s="132">
        <f>IFERROR(__xludf.DUMMYFUNCTION("""COMPUTED_VALUE"""),11.76)</f>
        <v>11.76</v>
      </c>
      <c r="E75" s="132" t="str">
        <f>IFERROR(__xludf.DUMMYFUNCTION("""COMPUTED_VALUE"""),"Timothy")</f>
        <v>Timothy</v>
      </c>
      <c r="F75" s="132">
        <f>IFERROR(__xludf.DUMMYFUNCTION("""COMPUTED_VALUE"""),2.352)</f>
        <v>2.352</v>
      </c>
      <c r="G75" s="132">
        <f>IFERROR(__xludf.DUMMYFUNCTION("""COMPUTED_VALUE"""),2.352)</f>
        <v>2.352</v>
      </c>
      <c r="H75" s="132">
        <f>IFERROR(__xludf.DUMMYFUNCTION("""COMPUTED_VALUE"""),1.0)</f>
        <v>1</v>
      </c>
      <c r="I75" s="132">
        <f>IFERROR(__xludf.DUMMYFUNCTION("""COMPUTED_VALUE"""),1.0)</f>
        <v>1</v>
      </c>
      <c r="J75" s="132">
        <f>IFERROR(__xludf.DUMMYFUNCTION("""COMPUTED_VALUE"""),1.0)</f>
        <v>1</v>
      </c>
      <c r="K75" s="132">
        <f>IFERROR(__xludf.DUMMYFUNCTION("""COMPUTED_VALUE"""),1.0)</f>
        <v>1</v>
      </c>
      <c r="L75" s="132"/>
      <c r="M75" s="132"/>
      <c r="N75" s="132">
        <f>IFERROR(__xludf.DUMMYFUNCTION("""COMPUTED_VALUE"""),1.0)</f>
        <v>1</v>
      </c>
      <c r="O75" s="132"/>
      <c r="P75" s="132"/>
      <c r="Q75" s="132"/>
      <c r="R75" s="132" t="str">
        <f>IFERROR(__xludf.DUMMYFUNCTION("""COMPUTED_VALUE"""),"Internet")</f>
        <v>Internet</v>
      </c>
      <c r="S75" s="132">
        <f>IFERROR(__xludf.DUMMYFUNCTION("""COMPUTED_VALUE"""),56.5)</f>
        <v>56.5</v>
      </c>
      <c r="T75" s="132">
        <f>IFERROR(__xludf.DUMMYFUNCTION("""COMPUTED_VALUE"""),11.3)</f>
        <v>11.3</v>
      </c>
      <c r="U75" s="132" t="str">
        <f>IFERROR(__xludf.DUMMYFUNCTION("""COMPUTED_VALUE"""),"Paid")</f>
        <v>Paid</v>
      </c>
      <c r="V75" s="132" t="str">
        <f>IFERROR(__xludf.DUMMYFUNCTION("""COMPUTED_VALUE"""),"Paid")</f>
        <v>Paid</v>
      </c>
      <c r="W75" s="132" t="str">
        <f>IFERROR(__xludf.DUMMYFUNCTION("""COMPUTED_VALUE"""),"Paid")</f>
        <v>Paid</v>
      </c>
      <c r="X75" s="132" t="str">
        <f>IFERROR(__xludf.DUMMYFUNCTION("""COMPUTED_VALUE"""),"Paid")</f>
        <v>Paid</v>
      </c>
      <c r="Y75" s="132" t="str">
        <f>IFERROR(__xludf.DUMMYFUNCTION("""COMPUTED_VALUE"""),"Paid")</f>
        <v>Paid</v>
      </c>
      <c r="Z75" s="132"/>
    </row>
    <row r="76">
      <c r="A76" s="136">
        <f>IFERROR(__xludf.DUMMYFUNCTION("""COMPUTED_VALUE"""),45337.0)</f>
        <v>45337</v>
      </c>
      <c r="B76" s="132" t="str">
        <f>IFERROR(__xludf.DUMMYFUNCTION("""COMPUTED_VALUE"""),"Tnt dinner")</f>
        <v>Tnt dinner</v>
      </c>
      <c r="C76" s="132" t="str">
        <f>IFERROR(__xludf.DUMMYFUNCTION("""COMPUTED_VALUE"""),"食物")</f>
        <v>食物</v>
      </c>
      <c r="D76" s="132">
        <f>IFERROR(__xludf.DUMMYFUNCTION("""COMPUTED_VALUE"""),53.95)</f>
        <v>53.95</v>
      </c>
      <c r="E76" s="132" t="str">
        <f>IFERROR(__xludf.DUMMYFUNCTION("""COMPUTED_VALUE"""),"Pigskin")</f>
        <v>Pigskin</v>
      </c>
      <c r="F76" s="132">
        <f>IFERROR(__xludf.DUMMYFUNCTION("""COMPUTED_VALUE"""),10.790000000000001)</f>
        <v>10.79</v>
      </c>
      <c r="G76" s="132">
        <f>IFERROR(__xludf.DUMMYFUNCTION("""COMPUTED_VALUE"""),10.790000000000001)</f>
        <v>10.79</v>
      </c>
      <c r="H76" s="132">
        <f>IFERROR(__xludf.DUMMYFUNCTION("""COMPUTED_VALUE"""),1.0)</f>
        <v>1</v>
      </c>
      <c r="I76" s="132">
        <f>IFERROR(__xludf.DUMMYFUNCTION("""COMPUTED_VALUE"""),1.0)</f>
        <v>1</v>
      </c>
      <c r="J76" s="132">
        <f>IFERROR(__xludf.DUMMYFUNCTION("""COMPUTED_VALUE"""),1.0)</f>
        <v>1</v>
      </c>
      <c r="K76" s="132">
        <f>IFERROR(__xludf.DUMMYFUNCTION("""COMPUTED_VALUE"""),1.0)</f>
        <v>1</v>
      </c>
      <c r="L76" s="132"/>
      <c r="M76" s="132"/>
      <c r="N76" s="132">
        <f>IFERROR(__xludf.DUMMYFUNCTION("""COMPUTED_VALUE"""),1.0)</f>
        <v>1</v>
      </c>
      <c r="O76" s="132"/>
      <c r="P76" s="132"/>
      <c r="Q76" s="132"/>
      <c r="R76" s="132"/>
      <c r="S76" s="132">
        <f>IFERROR(__xludf.DUMMYFUNCTION("""COMPUTED_VALUE"""),3930.09)</f>
        <v>3930.09</v>
      </c>
      <c r="T76" s="132">
        <f>IFERROR(__xludf.DUMMYFUNCTION("""COMPUTED_VALUE"""),786.0179999999999)</f>
        <v>786.018</v>
      </c>
      <c r="U76" s="132"/>
      <c r="V76" s="132"/>
      <c r="W76" s="132"/>
      <c r="X76" s="132"/>
      <c r="Y76" s="132"/>
      <c r="Z76" s="132"/>
    </row>
    <row r="77">
      <c r="A77" s="136">
        <f>IFERROR(__xludf.DUMMYFUNCTION("""COMPUTED_VALUE"""),45296.0)</f>
        <v>45296</v>
      </c>
      <c r="B77" s="132" t="str">
        <f>IFERROR(__xludf.DUMMYFUNCTION("""COMPUTED_VALUE"""),"Dollarama")</f>
        <v>Dollarama</v>
      </c>
      <c r="C77" s="132" t="str">
        <f>IFERROR(__xludf.DUMMYFUNCTION("""COMPUTED_VALUE"""),"居家")</f>
        <v>居家</v>
      </c>
      <c r="D77" s="132">
        <f>IFERROR(__xludf.DUMMYFUNCTION("""COMPUTED_VALUE"""),8.05)</f>
        <v>8.05</v>
      </c>
      <c r="E77" s="132" t="str">
        <f>IFERROR(__xludf.DUMMYFUNCTION("""COMPUTED_VALUE"""),"Rachel")</f>
        <v>Rachel</v>
      </c>
      <c r="F77" s="132">
        <f>IFERROR(__xludf.DUMMYFUNCTION("""COMPUTED_VALUE"""),1.61)</f>
        <v>1.61</v>
      </c>
      <c r="G77" s="132">
        <f>IFERROR(__xludf.DUMMYFUNCTION("""COMPUTED_VALUE"""),1.61)</f>
        <v>1.61</v>
      </c>
      <c r="H77" s="132">
        <f>IFERROR(__xludf.DUMMYFUNCTION("""COMPUTED_VALUE"""),1.0)</f>
        <v>1</v>
      </c>
      <c r="I77" s="132">
        <f>IFERROR(__xludf.DUMMYFUNCTION("""COMPUTED_VALUE"""),1.0)</f>
        <v>1</v>
      </c>
      <c r="J77" s="132">
        <f>IFERROR(__xludf.DUMMYFUNCTION("""COMPUTED_VALUE"""),1.0)</f>
        <v>1</v>
      </c>
      <c r="K77" s="132">
        <f>IFERROR(__xludf.DUMMYFUNCTION("""COMPUTED_VALUE"""),1.0)</f>
        <v>1</v>
      </c>
      <c r="L77" s="132"/>
      <c r="M77" s="132"/>
      <c r="N77" s="132">
        <f>IFERROR(__xludf.DUMMYFUNCTION("""COMPUTED_VALUE"""),1.0)</f>
        <v>1</v>
      </c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6">
        <f>IFERROR(__xludf.DUMMYFUNCTION("""COMPUTED_VALUE"""),45340.0)</f>
        <v>45340</v>
      </c>
      <c r="B78" s="132" t="str">
        <f>IFERROR(__xludf.DUMMYFUNCTION("""COMPUTED_VALUE"""),"Nofrills")</f>
        <v>Nofrills</v>
      </c>
      <c r="C78" s="132" t="str">
        <f>IFERROR(__xludf.DUMMYFUNCTION("""COMPUTED_VALUE"""),"食物")</f>
        <v>食物</v>
      </c>
      <c r="D78" s="132">
        <f>IFERROR(__xludf.DUMMYFUNCTION("""COMPUTED_VALUE"""),26.71)</f>
        <v>26.71</v>
      </c>
      <c r="E78" s="132" t="str">
        <f>IFERROR(__xludf.DUMMYFUNCTION("""COMPUTED_VALUE"""),"Timothy")</f>
        <v>Timothy</v>
      </c>
      <c r="F78" s="132">
        <f>IFERROR(__xludf.DUMMYFUNCTION("""COMPUTED_VALUE"""),5.3420000000000005)</f>
        <v>5.342</v>
      </c>
      <c r="G78" s="132">
        <f>IFERROR(__xludf.DUMMYFUNCTION("""COMPUTED_VALUE"""),5.3420000000000005)</f>
        <v>5.342</v>
      </c>
      <c r="H78" s="132">
        <f>IFERROR(__xludf.DUMMYFUNCTION("""COMPUTED_VALUE"""),1.0)</f>
        <v>1</v>
      </c>
      <c r="I78" s="132">
        <f>IFERROR(__xludf.DUMMYFUNCTION("""COMPUTED_VALUE"""),1.0)</f>
        <v>1</v>
      </c>
      <c r="J78" s="132">
        <f>IFERROR(__xludf.DUMMYFUNCTION("""COMPUTED_VALUE"""),1.0)</f>
        <v>1</v>
      </c>
      <c r="K78" s="132">
        <f>IFERROR(__xludf.DUMMYFUNCTION("""COMPUTED_VALUE"""),1.0)</f>
        <v>1</v>
      </c>
      <c r="L78" s="132"/>
      <c r="M78" s="132"/>
      <c r="N78" s="132">
        <f>IFERROR(__xludf.DUMMYFUNCTION("""COMPUTED_VALUE"""),1.0)</f>
        <v>1</v>
      </c>
      <c r="O78" s="132"/>
      <c r="P78" s="132"/>
      <c r="Q78" s="134">
        <f>IFERROR(__xludf.DUMMYFUNCTION("""COMPUTED_VALUE"""),45413.0)</f>
        <v>45413</v>
      </c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6">
        <f>IFERROR(__xludf.DUMMYFUNCTION("""COMPUTED_VALUE"""),45341.0)</f>
        <v>45341</v>
      </c>
      <c r="B79" s="132" t="str">
        <f>IFERROR(__xludf.DUMMYFUNCTION("""COMPUTED_VALUE"""),"Foody dinner")</f>
        <v>Foody dinner</v>
      </c>
      <c r="C79" s="132" t="str">
        <f>IFERROR(__xludf.DUMMYFUNCTION("""COMPUTED_VALUE"""),"食物")</f>
        <v>食物</v>
      </c>
      <c r="D79" s="132">
        <f>IFERROR(__xludf.DUMMYFUNCTION("""COMPUTED_VALUE"""),44.52)</f>
        <v>44.52</v>
      </c>
      <c r="E79" s="132" t="str">
        <f>IFERROR(__xludf.DUMMYFUNCTION("""COMPUTED_VALUE"""),"Rachel")</f>
        <v>Rachel</v>
      </c>
      <c r="F79" s="132">
        <f>IFERROR(__xludf.DUMMYFUNCTION("""COMPUTED_VALUE"""),8.904)</f>
        <v>8.904</v>
      </c>
      <c r="G79" s="132">
        <f>IFERROR(__xludf.DUMMYFUNCTION("""COMPUTED_VALUE"""),8.904)</f>
        <v>8.904</v>
      </c>
      <c r="H79" s="132">
        <f>IFERROR(__xludf.DUMMYFUNCTION("""COMPUTED_VALUE"""),1.0)</f>
        <v>1</v>
      </c>
      <c r="I79" s="132">
        <f>IFERROR(__xludf.DUMMYFUNCTION("""COMPUTED_VALUE"""),1.0)</f>
        <v>1</v>
      </c>
      <c r="J79" s="132">
        <f>IFERROR(__xludf.DUMMYFUNCTION("""COMPUTED_VALUE"""),1.0)</f>
        <v>1</v>
      </c>
      <c r="K79" s="132">
        <f>IFERROR(__xludf.DUMMYFUNCTION("""COMPUTED_VALUE"""),1.0)</f>
        <v>1</v>
      </c>
      <c r="L79" s="132"/>
      <c r="M79" s="132"/>
      <c r="N79" s="132">
        <f>IFERROR(__xludf.DUMMYFUNCTION("""COMPUTED_VALUE"""),1.0)</f>
        <v>1</v>
      </c>
      <c r="O79" s="132"/>
      <c r="P79" s="132"/>
      <c r="Q79" s="132"/>
      <c r="R79" s="132" t="str">
        <f>IFERROR(__xludf.DUMMYFUNCTION("""COMPUTED_VALUE"""),"Water")</f>
        <v>Water</v>
      </c>
      <c r="S79" s="132">
        <f>IFERROR(__xludf.DUMMYFUNCTION("""COMPUTED_VALUE"""),428.7)</f>
        <v>428.7</v>
      </c>
      <c r="T79" s="132">
        <f>IFERROR(__xludf.DUMMYFUNCTION("""COMPUTED_VALUE"""),85.74)</f>
        <v>85.74</v>
      </c>
      <c r="U79" s="132" t="str">
        <f>IFERROR(__xludf.DUMMYFUNCTION("""COMPUTED_VALUE"""),"Paid")</f>
        <v>Paid</v>
      </c>
      <c r="V79" s="132" t="str">
        <f>IFERROR(__xludf.DUMMYFUNCTION("""COMPUTED_VALUE"""),"Paid")</f>
        <v>Paid</v>
      </c>
      <c r="W79" s="132" t="str">
        <f>IFERROR(__xludf.DUMMYFUNCTION("""COMPUTED_VALUE"""),"Paid")</f>
        <v>Paid</v>
      </c>
      <c r="X79" s="132" t="str">
        <f>IFERROR(__xludf.DUMMYFUNCTION("""COMPUTED_VALUE"""),"Paid")</f>
        <v>Paid</v>
      </c>
      <c r="Y79" s="132" t="str">
        <f>IFERROR(__xludf.DUMMYFUNCTION("""COMPUTED_VALUE"""),"Paid")</f>
        <v>Paid</v>
      </c>
      <c r="Z79" s="132"/>
    </row>
    <row r="80">
      <c r="A80" s="136">
        <f>IFERROR(__xludf.DUMMYFUNCTION("""COMPUTED_VALUE"""),45319.0)</f>
        <v>45319</v>
      </c>
      <c r="B80" s="132" t="str">
        <f>IFERROR(__xludf.DUMMYFUNCTION("""COMPUTED_VALUE"""),"haircut")</f>
        <v>haircut</v>
      </c>
      <c r="C80" s="132" t="str">
        <f>IFERROR(__xludf.DUMMYFUNCTION("""COMPUTED_VALUE"""),"居家")</f>
        <v>居家</v>
      </c>
      <c r="D80" s="132">
        <f>IFERROR(__xludf.DUMMYFUNCTION("""COMPUTED_VALUE"""),12.4187)</f>
        <v>12.4187</v>
      </c>
      <c r="E80" s="132" t="str">
        <f>IFERROR(__xludf.DUMMYFUNCTION("""COMPUTED_VALUE"""),"BL")</f>
        <v>BL</v>
      </c>
      <c r="F80" s="132">
        <f>IFERROR(__xludf.DUMMYFUNCTION("""COMPUTED_VALUE"""),12.4187)</f>
        <v>12.4187</v>
      </c>
      <c r="G80" s="132">
        <f>IFERROR(__xludf.DUMMYFUNCTION("""COMPUTED_VALUE"""),12.4187)</f>
        <v>12.4187</v>
      </c>
      <c r="H80" s="132"/>
      <c r="I80" s="132"/>
      <c r="J80" s="132">
        <f>IFERROR(__xludf.DUMMYFUNCTION("""COMPUTED_VALUE"""),1.0)</f>
        <v>1</v>
      </c>
      <c r="K80" s="132"/>
      <c r="L80" s="132"/>
      <c r="M80" s="132"/>
      <c r="N80" s="132"/>
      <c r="O80" s="132"/>
      <c r="P80" s="132"/>
      <c r="Q80" s="132"/>
      <c r="R80" s="132" t="str">
        <f>IFERROR(__xludf.DUMMYFUNCTION("""COMPUTED_VALUE"""),"Heat")</f>
        <v>Heat</v>
      </c>
      <c r="S80" s="132">
        <f>IFERROR(__xludf.DUMMYFUNCTION("""COMPUTED_VALUE"""),109.38)</f>
        <v>109.38</v>
      </c>
      <c r="T80" s="132">
        <f>IFERROR(__xludf.DUMMYFUNCTION("""COMPUTED_VALUE"""),21.875999999999998)</f>
        <v>21.876</v>
      </c>
      <c r="U80" s="132" t="str">
        <f>IFERROR(__xludf.DUMMYFUNCTION("""COMPUTED_VALUE"""),"Paid")</f>
        <v>Paid</v>
      </c>
      <c r="V80" s="132" t="str">
        <f>IFERROR(__xludf.DUMMYFUNCTION("""COMPUTED_VALUE"""),"Paid")</f>
        <v>Paid</v>
      </c>
      <c r="W80" s="132" t="str">
        <f>IFERROR(__xludf.DUMMYFUNCTION("""COMPUTED_VALUE"""),"Paid")</f>
        <v>Paid</v>
      </c>
      <c r="X80" s="132" t="str">
        <f>IFERROR(__xludf.DUMMYFUNCTION("""COMPUTED_VALUE"""),"Paid")</f>
        <v>Paid</v>
      </c>
      <c r="Y80" s="132" t="str">
        <f>IFERROR(__xludf.DUMMYFUNCTION("""COMPUTED_VALUE"""),"Paid")</f>
        <v>Paid</v>
      </c>
      <c r="Z80" s="132"/>
    </row>
    <row r="81">
      <c r="A81" s="136">
        <f>IFERROR(__xludf.DUMMYFUNCTION("""COMPUTED_VALUE"""),45319.0)</f>
        <v>45319</v>
      </c>
      <c r="B81" s="132" t="str">
        <f>IFERROR(__xludf.DUMMYFUNCTION("""COMPUTED_VALUE"""),"haircut")</f>
        <v>haircut</v>
      </c>
      <c r="C81" s="132" t="str">
        <f>IFERROR(__xludf.DUMMYFUNCTION("""COMPUTED_VALUE"""),"居家")</f>
        <v>居家</v>
      </c>
      <c r="D81" s="132">
        <f>IFERROR(__xludf.DUMMYFUNCTION("""COMPUTED_VALUE"""),107.3726)</f>
        <v>107.3726</v>
      </c>
      <c r="E81" s="132" t="str">
        <f>IFERROR(__xludf.DUMMYFUNCTION("""COMPUTED_VALUE"""),"BL")</f>
        <v>BL</v>
      </c>
      <c r="F81" s="132">
        <f>IFERROR(__xludf.DUMMYFUNCTION("""COMPUTED_VALUE"""),53.6863)</f>
        <v>53.6863</v>
      </c>
      <c r="G81" s="132">
        <f>IFERROR(__xludf.DUMMYFUNCTION("""COMPUTED_VALUE"""),53.6863)</f>
        <v>53.6863</v>
      </c>
      <c r="H81" s="132">
        <f>IFERROR(__xludf.DUMMYFUNCTION("""COMPUTED_VALUE"""),1.0)</f>
        <v>1</v>
      </c>
      <c r="I81" s="132"/>
      <c r="J81" s="132">
        <f>IFERROR(__xludf.DUMMYFUNCTION("""COMPUTED_VALUE"""),1.0)</f>
        <v>1</v>
      </c>
      <c r="K81" s="132"/>
      <c r="L81" s="132"/>
      <c r="M81" s="132"/>
      <c r="N81" s="132"/>
      <c r="O81" s="132"/>
      <c r="P81" s="132"/>
      <c r="Q81" s="132"/>
      <c r="R81" s="132" t="str">
        <f>IFERROR(__xludf.DUMMYFUNCTION("""COMPUTED_VALUE"""),"Electricity")</f>
        <v>Electricity</v>
      </c>
      <c r="S81" s="132">
        <f>IFERROR(__xludf.DUMMYFUNCTION("""COMPUTED_VALUE"""),97.82)</f>
        <v>97.82</v>
      </c>
      <c r="T81" s="132">
        <f>IFERROR(__xludf.DUMMYFUNCTION("""COMPUTED_VALUE"""),19.564)</f>
        <v>19.564</v>
      </c>
      <c r="U81" s="132" t="str">
        <f>IFERROR(__xludf.DUMMYFUNCTION("""COMPUTED_VALUE"""),"Paid")</f>
        <v>Paid</v>
      </c>
      <c r="V81" s="132" t="str">
        <f>IFERROR(__xludf.DUMMYFUNCTION("""COMPUTED_VALUE"""),"Paid")</f>
        <v>Paid</v>
      </c>
      <c r="W81" s="132" t="str">
        <f>IFERROR(__xludf.DUMMYFUNCTION("""COMPUTED_VALUE"""),"Paid")</f>
        <v>Paid</v>
      </c>
      <c r="X81" s="132" t="str">
        <f>IFERROR(__xludf.DUMMYFUNCTION("""COMPUTED_VALUE"""),"Paid")</f>
        <v>Paid</v>
      </c>
      <c r="Y81" s="132" t="str">
        <f>IFERROR(__xludf.DUMMYFUNCTION("""COMPUTED_VALUE"""),"Paid")</f>
        <v>Paid</v>
      </c>
      <c r="Z81" s="132"/>
    </row>
    <row r="82">
      <c r="A82" s="136">
        <f>IFERROR(__xludf.DUMMYFUNCTION("""COMPUTED_VALUE"""),45333.0)</f>
        <v>45333</v>
      </c>
      <c r="B82" s="132" t="str">
        <f>IFERROR(__xludf.DUMMYFUNCTION("""COMPUTED_VALUE"""),"Ordinary")</f>
        <v>Ordinary</v>
      </c>
      <c r="C82" s="132" t="str">
        <f>IFERROR(__xludf.DUMMYFUNCTION("""COMPUTED_VALUE"""),"居家")</f>
        <v>居家</v>
      </c>
      <c r="D82" s="132">
        <f>IFERROR(__xludf.DUMMYFUNCTION("""COMPUTED_VALUE"""),20.882399999999997)</f>
        <v>20.8824</v>
      </c>
      <c r="E82" s="132" t="str">
        <f>IFERROR(__xludf.DUMMYFUNCTION("""COMPUTED_VALUE"""),"BL")</f>
        <v>BL</v>
      </c>
      <c r="F82" s="132">
        <f>IFERROR(__xludf.DUMMYFUNCTION("""COMPUTED_VALUE"""),20.882399999999997)</f>
        <v>20.8824</v>
      </c>
      <c r="G82" s="132">
        <f>IFERROR(__xludf.DUMMYFUNCTION("""COMPUTED_VALUE"""),20.882399999999997)</f>
        <v>20.8824</v>
      </c>
      <c r="H82" s="132"/>
      <c r="I82" s="132">
        <f>IFERROR(__xludf.DUMMYFUNCTION("""COMPUTED_VALUE"""),1.0)</f>
        <v>1</v>
      </c>
      <c r="J82" s="132"/>
      <c r="K82" s="132"/>
      <c r="L82" s="132"/>
      <c r="M82" s="132"/>
      <c r="N82" s="132"/>
      <c r="O82" s="132"/>
      <c r="P82" s="132"/>
      <c r="Q82" s="132"/>
      <c r="R82" s="132" t="str">
        <f>IFERROR(__xludf.DUMMYFUNCTION("""COMPUTED_VALUE"""),"Internet")</f>
        <v>Internet</v>
      </c>
      <c r="S82" s="132">
        <f>IFERROR(__xludf.DUMMYFUNCTION("""COMPUTED_VALUE"""),56.5)</f>
        <v>56.5</v>
      </c>
      <c r="T82" s="132">
        <f>IFERROR(__xludf.DUMMYFUNCTION("""COMPUTED_VALUE"""),11.3)</f>
        <v>11.3</v>
      </c>
      <c r="U82" s="132" t="str">
        <f>IFERROR(__xludf.DUMMYFUNCTION("""COMPUTED_VALUE"""),"Paid")</f>
        <v>Paid</v>
      </c>
      <c r="V82" s="132" t="str">
        <f>IFERROR(__xludf.DUMMYFUNCTION("""COMPUTED_VALUE"""),"Paid")</f>
        <v>Paid</v>
      </c>
      <c r="W82" s="132" t="str">
        <f>IFERROR(__xludf.DUMMYFUNCTION("""COMPUTED_VALUE"""),"Paid")</f>
        <v>Paid</v>
      </c>
      <c r="X82" s="132" t="str">
        <f>IFERROR(__xludf.DUMMYFUNCTION("""COMPUTED_VALUE"""),"Paid")</f>
        <v>Paid</v>
      </c>
      <c r="Y82" s="132" t="str">
        <f>IFERROR(__xludf.DUMMYFUNCTION("""COMPUTED_VALUE"""),"Paid")</f>
        <v>Paid</v>
      </c>
      <c r="Z82" s="132"/>
    </row>
    <row r="83">
      <c r="A83" s="136">
        <f>IFERROR(__xludf.DUMMYFUNCTION("""COMPUTED_VALUE"""),45333.0)</f>
        <v>45333</v>
      </c>
      <c r="B83" s="132" t="str">
        <f>IFERROR(__xludf.DUMMYFUNCTION("""COMPUTED_VALUE"""),"Kitchen tongs")</f>
        <v>Kitchen tongs</v>
      </c>
      <c r="C83" s="132" t="str">
        <f>IFERROR(__xludf.DUMMYFUNCTION("""COMPUTED_VALUE"""),"居家")</f>
        <v>居家</v>
      </c>
      <c r="D83" s="132">
        <f>IFERROR(__xludf.DUMMYFUNCTION("""COMPUTED_VALUE"""),14.452699999999998)</f>
        <v>14.4527</v>
      </c>
      <c r="E83" s="132" t="str">
        <f>IFERROR(__xludf.DUMMYFUNCTION("""COMPUTED_VALUE"""),"BL")</f>
        <v>BL</v>
      </c>
      <c r="F83" s="132">
        <f>IFERROR(__xludf.DUMMYFUNCTION("""COMPUTED_VALUE"""),2.8905399999999997)</f>
        <v>2.89054</v>
      </c>
      <c r="G83" s="132">
        <f>IFERROR(__xludf.DUMMYFUNCTION("""COMPUTED_VALUE"""),2.8905399999999997)</f>
        <v>2.89054</v>
      </c>
      <c r="H83" s="132">
        <f>IFERROR(__xludf.DUMMYFUNCTION("""COMPUTED_VALUE"""),1.0)</f>
        <v>1</v>
      </c>
      <c r="I83" s="132">
        <f>IFERROR(__xludf.DUMMYFUNCTION("""COMPUTED_VALUE"""),1.0)</f>
        <v>1</v>
      </c>
      <c r="J83" s="132">
        <f>IFERROR(__xludf.DUMMYFUNCTION("""COMPUTED_VALUE"""),1.0)</f>
        <v>1</v>
      </c>
      <c r="K83" s="132">
        <f>IFERROR(__xludf.DUMMYFUNCTION("""COMPUTED_VALUE"""),1.0)</f>
        <v>1</v>
      </c>
      <c r="L83" s="132"/>
      <c r="M83" s="132"/>
      <c r="N83" s="132">
        <f>IFERROR(__xludf.DUMMYFUNCTION("""COMPUTED_VALUE"""),1.0)</f>
        <v>1</v>
      </c>
      <c r="O83" s="132"/>
      <c r="P83" s="132"/>
      <c r="Q83" s="132"/>
      <c r="R83" s="132"/>
      <c r="S83" s="132">
        <f>IFERROR(__xludf.DUMMYFUNCTION("""COMPUTED_VALUE"""),692.3999999999999)</f>
        <v>692.4</v>
      </c>
      <c r="T83" s="132">
        <f>IFERROR(__xludf.DUMMYFUNCTION("""COMPUTED_VALUE"""),138.48)</f>
        <v>138.48</v>
      </c>
      <c r="U83" s="132"/>
      <c r="V83" s="132"/>
      <c r="W83" s="132"/>
      <c r="X83" s="132"/>
      <c r="Y83" s="132"/>
      <c r="Z83" s="132"/>
    </row>
    <row r="84">
      <c r="A84" s="136">
        <f>IFERROR(__xludf.DUMMYFUNCTION("""COMPUTED_VALUE"""),45333.0)</f>
        <v>45333</v>
      </c>
      <c r="B84" s="132" t="str">
        <f>IFERROR(__xludf.DUMMYFUNCTION("""COMPUTED_VALUE"""),"BB")</f>
        <v>BB</v>
      </c>
      <c r="C84" s="132" t="str">
        <f>IFERROR(__xludf.DUMMYFUNCTION("""COMPUTED_VALUE"""),"娛樂")</f>
        <v>娛樂</v>
      </c>
      <c r="D84" s="132">
        <f>IFERROR(__xludf.DUMMYFUNCTION("""COMPUTED_VALUE"""),15.469699999999998)</f>
        <v>15.4697</v>
      </c>
      <c r="E84" s="132" t="str">
        <f>IFERROR(__xludf.DUMMYFUNCTION("""COMPUTED_VALUE"""),"BL")</f>
        <v>BL</v>
      </c>
      <c r="F84" s="132">
        <f>IFERROR(__xludf.DUMMYFUNCTION("""COMPUTED_VALUE"""),15.469699999999998)</f>
        <v>15.4697</v>
      </c>
      <c r="G84" s="132">
        <f>IFERROR(__xludf.DUMMYFUNCTION("""COMPUTED_VALUE"""),15.469699999999998)</f>
        <v>15.4697</v>
      </c>
      <c r="H84" s="132"/>
      <c r="I84" s="132"/>
      <c r="J84" s="132"/>
      <c r="K84" s="132"/>
      <c r="L84" s="132"/>
      <c r="M84" s="132">
        <f>IFERROR(__xludf.DUMMYFUNCTION("""COMPUTED_VALUE"""),1.0)</f>
        <v>1</v>
      </c>
      <c r="N84" s="132"/>
      <c r="O84" s="132"/>
      <c r="P84" s="132"/>
      <c r="Q84" s="134">
        <f>IFERROR(__xludf.DUMMYFUNCTION("""COMPUTED_VALUE"""),45444.0)</f>
        <v>45444</v>
      </c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3">
        <f>IFERROR(__xludf.DUMMYFUNCTION("""COMPUTED_VALUE"""),45333.0)</f>
        <v>45333</v>
      </c>
      <c r="B85" s="132" t="str">
        <f>IFERROR(__xludf.DUMMYFUNCTION("""COMPUTED_VALUE"""),"Clothing rack")</f>
        <v>Clothing rack</v>
      </c>
      <c r="C85" s="132" t="str">
        <f>IFERROR(__xludf.DUMMYFUNCTION("""COMPUTED_VALUE"""),"居家")</f>
        <v>居家</v>
      </c>
      <c r="D85" s="132">
        <f>IFERROR(__xludf.DUMMYFUNCTION("""COMPUTED_VALUE"""),40.397499999999994)</f>
        <v>40.3975</v>
      </c>
      <c r="E85" s="132" t="str">
        <f>IFERROR(__xludf.DUMMYFUNCTION("""COMPUTED_VALUE"""),"BL")</f>
        <v>BL</v>
      </c>
      <c r="F85" s="132">
        <f>IFERROR(__xludf.DUMMYFUNCTION("""COMPUTED_VALUE"""),8.0795)</f>
        <v>8.0795</v>
      </c>
      <c r="G85" s="132">
        <f>IFERROR(__xludf.DUMMYFUNCTION("""COMPUTED_VALUE"""),8.0795)</f>
        <v>8.0795</v>
      </c>
      <c r="H85" s="132">
        <f>IFERROR(__xludf.DUMMYFUNCTION("""COMPUTED_VALUE"""),1.0)</f>
        <v>1</v>
      </c>
      <c r="I85" s="132">
        <f>IFERROR(__xludf.DUMMYFUNCTION("""COMPUTED_VALUE"""),1.0)</f>
        <v>1</v>
      </c>
      <c r="J85" s="132">
        <f>IFERROR(__xludf.DUMMYFUNCTION("""COMPUTED_VALUE"""),1.0)</f>
        <v>1</v>
      </c>
      <c r="K85" s="132">
        <f>IFERROR(__xludf.DUMMYFUNCTION("""COMPUTED_VALUE"""),1.0)</f>
        <v>1</v>
      </c>
      <c r="L85" s="132"/>
      <c r="M85" s="132"/>
      <c r="N85" s="132">
        <f>IFERROR(__xludf.DUMMYFUNCTION("""COMPUTED_VALUE"""),1.0)</f>
        <v>1</v>
      </c>
      <c r="O85" s="132"/>
      <c r="P85" s="132"/>
      <c r="Q85" s="132"/>
      <c r="R85" s="132" t="str">
        <f>IFERROR(__xludf.DUMMYFUNCTION("""COMPUTED_VALUE"""),"Water")</f>
        <v>Water</v>
      </c>
      <c r="S85" s="132"/>
      <c r="T85" s="132">
        <f>IFERROR(__xludf.DUMMYFUNCTION("""COMPUTED_VALUE"""),0.0)</f>
        <v>0</v>
      </c>
      <c r="U85" s="132"/>
      <c r="V85" s="132"/>
      <c r="W85" s="132"/>
      <c r="X85" s="132"/>
      <c r="Y85" s="132"/>
      <c r="Z85" s="132"/>
    </row>
    <row r="86">
      <c r="A86" s="133">
        <f>IFERROR(__xludf.DUMMYFUNCTION("""COMPUTED_VALUE"""),45333.0)</f>
        <v>45333</v>
      </c>
      <c r="B86" s="132" t="str">
        <f>IFERROR(__xludf.DUMMYFUNCTION("""COMPUTED_VALUE"""),"Toothpaste and iron skillet")</f>
        <v>Toothpaste and iron skillet</v>
      </c>
      <c r="C86" s="132" t="str">
        <f>IFERROR(__xludf.DUMMYFUNCTION("""COMPUTED_VALUE"""),"居家")</f>
        <v>居家</v>
      </c>
      <c r="D86" s="132">
        <f>IFERROR(__xludf.DUMMYFUNCTION("""COMPUTED_VALUE"""),48.52219999999999)</f>
        <v>48.5222</v>
      </c>
      <c r="E86" s="132" t="str">
        <f>IFERROR(__xludf.DUMMYFUNCTION("""COMPUTED_VALUE"""),"BL")</f>
        <v>BL</v>
      </c>
      <c r="F86" s="132">
        <f>IFERROR(__xludf.DUMMYFUNCTION("""COMPUTED_VALUE"""),9.704439999999998)</f>
        <v>9.70444</v>
      </c>
      <c r="G86" s="132">
        <f>IFERROR(__xludf.DUMMYFUNCTION("""COMPUTED_VALUE"""),9.704439999999998)</f>
        <v>9.70444</v>
      </c>
      <c r="H86" s="132">
        <f>IFERROR(__xludf.DUMMYFUNCTION("""COMPUTED_VALUE"""),1.0)</f>
        <v>1</v>
      </c>
      <c r="I86" s="132">
        <f>IFERROR(__xludf.DUMMYFUNCTION("""COMPUTED_VALUE"""),1.0)</f>
        <v>1</v>
      </c>
      <c r="J86" s="132">
        <f>IFERROR(__xludf.DUMMYFUNCTION("""COMPUTED_VALUE"""),1.0)</f>
        <v>1</v>
      </c>
      <c r="K86" s="132">
        <f>IFERROR(__xludf.DUMMYFUNCTION("""COMPUTED_VALUE"""),1.0)</f>
        <v>1</v>
      </c>
      <c r="L86" s="132"/>
      <c r="M86" s="132"/>
      <c r="N86" s="132">
        <f>IFERROR(__xludf.DUMMYFUNCTION("""COMPUTED_VALUE"""),1.0)</f>
        <v>1</v>
      </c>
      <c r="O86" s="132"/>
      <c r="P86" s="132"/>
      <c r="Q86" s="132"/>
      <c r="R86" s="132" t="str">
        <f>IFERROR(__xludf.DUMMYFUNCTION("""COMPUTED_VALUE"""),"Heat")</f>
        <v>Heat</v>
      </c>
      <c r="S86" s="132">
        <f>IFERROR(__xludf.DUMMYFUNCTION("""COMPUTED_VALUE"""),91.03)</f>
        <v>91.03</v>
      </c>
      <c r="T86" s="132">
        <f>IFERROR(__xludf.DUMMYFUNCTION("""COMPUTED_VALUE"""),18.206)</f>
        <v>18.206</v>
      </c>
      <c r="U86" s="132" t="str">
        <f>IFERROR(__xludf.DUMMYFUNCTION("""COMPUTED_VALUE"""),"Paid")</f>
        <v>Paid</v>
      </c>
      <c r="V86" s="132" t="str">
        <f>IFERROR(__xludf.DUMMYFUNCTION("""COMPUTED_VALUE"""),"Paid")</f>
        <v>Paid</v>
      </c>
      <c r="W86" s="132" t="str">
        <f>IFERROR(__xludf.DUMMYFUNCTION("""COMPUTED_VALUE"""),"Paid")</f>
        <v>Paid</v>
      </c>
      <c r="X86" s="132" t="str">
        <f>IFERROR(__xludf.DUMMYFUNCTION("""COMPUTED_VALUE"""),"Paid")</f>
        <v>Paid</v>
      </c>
      <c r="Y86" s="132" t="str">
        <f>IFERROR(__xludf.DUMMYFUNCTION("""COMPUTED_VALUE"""),"Paid")</f>
        <v>Paid</v>
      </c>
      <c r="Z86" s="132"/>
    </row>
    <row r="87">
      <c r="A87" s="136">
        <f>IFERROR(__xludf.DUMMYFUNCTION("""COMPUTED_VALUE"""),45333.0)</f>
        <v>45333</v>
      </c>
      <c r="B87" s="132" t="str">
        <f>IFERROR(__xludf.DUMMYFUNCTION("""COMPUTED_VALUE"""),"Desk")</f>
        <v>Desk</v>
      </c>
      <c r="C87" s="132" t="str">
        <f>IFERROR(__xludf.DUMMYFUNCTION("""COMPUTED_VALUE"""),"居家")</f>
        <v>居家</v>
      </c>
      <c r="D87" s="132">
        <f>IFERROR(__xludf.DUMMYFUNCTION("""COMPUTED_VALUE"""),84.73869999999998)</f>
        <v>84.7387</v>
      </c>
      <c r="E87" s="132" t="str">
        <f>IFERROR(__xludf.DUMMYFUNCTION("""COMPUTED_VALUE"""),"BL")</f>
        <v>BL</v>
      </c>
      <c r="F87" s="132">
        <f>IFERROR(__xludf.DUMMYFUNCTION("""COMPUTED_VALUE"""),42.36934999999999)</f>
        <v>42.36935</v>
      </c>
      <c r="G87" s="132">
        <f>IFERROR(__xludf.DUMMYFUNCTION("""COMPUTED_VALUE"""),42.36934999999999)</f>
        <v>42.36935</v>
      </c>
      <c r="H87" s="132"/>
      <c r="I87" s="132"/>
      <c r="J87" s="132">
        <f>IFERROR(__xludf.DUMMYFUNCTION("""COMPUTED_VALUE"""),1.0)</f>
        <v>1</v>
      </c>
      <c r="K87" s="132">
        <f>IFERROR(__xludf.DUMMYFUNCTION("""COMPUTED_VALUE"""),1.0)</f>
        <v>1</v>
      </c>
      <c r="L87" s="132"/>
      <c r="M87" s="132"/>
      <c r="N87" s="132"/>
      <c r="O87" s="132"/>
      <c r="P87" s="132"/>
      <c r="Q87" s="132"/>
      <c r="R87" s="132" t="str">
        <f>IFERROR(__xludf.DUMMYFUNCTION("""COMPUTED_VALUE"""),"Electricity")</f>
        <v>Electricity</v>
      </c>
      <c r="S87" s="132">
        <f>IFERROR(__xludf.DUMMYFUNCTION("""COMPUTED_VALUE"""),122.11)</f>
        <v>122.11</v>
      </c>
      <c r="T87" s="132">
        <f>IFERROR(__xludf.DUMMYFUNCTION("""COMPUTED_VALUE"""),24.422)</f>
        <v>24.422</v>
      </c>
      <c r="U87" s="132" t="str">
        <f>IFERROR(__xludf.DUMMYFUNCTION("""COMPUTED_VALUE"""),"Paid")</f>
        <v>Paid</v>
      </c>
      <c r="V87" s="132" t="str">
        <f>IFERROR(__xludf.DUMMYFUNCTION("""COMPUTED_VALUE"""),"Paid")</f>
        <v>Paid</v>
      </c>
      <c r="W87" s="132" t="str">
        <f>IFERROR(__xludf.DUMMYFUNCTION("""COMPUTED_VALUE"""),"Paid")</f>
        <v>Paid</v>
      </c>
      <c r="X87" s="132" t="str">
        <f>IFERROR(__xludf.DUMMYFUNCTION("""COMPUTED_VALUE"""),"Paid")</f>
        <v>Paid</v>
      </c>
      <c r="Y87" s="132" t="str">
        <f>IFERROR(__xludf.DUMMYFUNCTION("""COMPUTED_VALUE"""),"Paid")</f>
        <v>Paid</v>
      </c>
      <c r="Z87" s="132"/>
    </row>
    <row r="88">
      <c r="A88" s="136">
        <f>IFERROR(__xludf.DUMMYFUNCTION("""COMPUTED_VALUE"""),45333.0)</f>
        <v>45333</v>
      </c>
      <c r="B88" s="132" t="str">
        <f>IFERROR(__xludf.DUMMYFUNCTION("""COMPUTED_VALUE"""),"Suit")</f>
        <v>Suit</v>
      </c>
      <c r="C88" s="132" t="str">
        <f>IFERROR(__xludf.DUMMYFUNCTION("""COMPUTED_VALUE"""),"衣服")</f>
        <v>衣服</v>
      </c>
      <c r="D88" s="132">
        <f>IFERROR(__xludf.DUMMYFUNCTION("""COMPUTED_VALUE"""),41.7987)</f>
        <v>41.7987</v>
      </c>
      <c r="E88" s="132" t="str">
        <f>IFERROR(__xludf.DUMMYFUNCTION("""COMPUTED_VALUE"""),"BL")</f>
        <v>BL</v>
      </c>
      <c r="F88" s="132">
        <f>IFERROR(__xludf.DUMMYFUNCTION("""COMPUTED_VALUE"""),41.7987)</f>
        <v>41.7987</v>
      </c>
      <c r="G88" s="132">
        <f>IFERROR(__xludf.DUMMYFUNCTION("""COMPUTED_VALUE"""),41.7987)</f>
        <v>41.7987</v>
      </c>
      <c r="H88" s="132"/>
      <c r="I88" s="132"/>
      <c r="J88" s="132"/>
      <c r="K88" s="132"/>
      <c r="L88" s="132">
        <f>IFERROR(__xludf.DUMMYFUNCTION("""COMPUTED_VALUE"""),1.0)</f>
        <v>1</v>
      </c>
      <c r="M88" s="132"/>
      <c r="N88" s="132"/>
      <c r="O88" s="132"/>
      <c r="P88" s="132"/>
      <c r="Q88" s="132"/>
      <c r="R88" s="132" t="str">
        <f>IFERROR(__xludf.DUMMYFUNCTION("""COMPUTED_VALUE"""),"Internet")</f>
        <v>Internet</v>
      </c>
      <c r="S88" s="132">
        <f>IFERROR(__xludf.DUMMYFUNCTION("""COMPUTED_VALUE"""),56.5)</f>
        <v>56.5</v>
      </c>
      <c r="T88" s="132">
        <f>IFERROR(__xludf.DUMMYFUNCTION("""COMPUTED_VALUE"""),11.3)</f>
        <v>11.3</v>
      </c>
      <c r="U88" s="132" t="str">
        <f>IFERROR(__xludf.DUMMYFUNCTION("""COMPUTED_VALUE"""),"Paid")</f>
        <v>Paid</v>
      </c>
      <c r="V88" s="132" t="str">
        <f>IFERROR(__xludf.DUMMYFUNCTION("""COMPUTED_VALUE"""),"Paid")</f>
        <v>Paid</v>
      </c>
      <c r="W88" s="132" t="str">
        <f>IFERROR(__xludf.DUMMYFUNCTION("""COMPUTED_VALUE"""),"Paid")</f>
        <v>Paid</v>
      </c>
      <c r="X88" s="132" t="str">
        <f>IFERROR(__xludf.DUMMYFUNCTION("""COMPUTED_VALUE"""),"Paid")</f>
        <v>Paid</v>
      </c>
      <c r="Y88" s="132" t="str">
        <f>IFERROR(__xludf.DUMMYFUNCTION("""COMPUTED_VALUE"""),"Paid")</f>
        <v>Paid</v>
      </c>
      <c r="Z88" s="132"/>
    </row>
    <row r="89">
      <c r="A89" s="136">
        <f>IFERROR(__xludf.DUMMYFUNCTION("""COMPUTED_VALUE"""),45340.0)</f>
        <v>45340</v>
      </c>
      <c r="B89" s="132" t="str">
        <f>IFERROR(__xludf.DUMMYFUNCTION("""COMPUTED_VALUE"""),"Water bottle")</f>
        <v>Water bottle</v>
      </c>
      <c r="C89" s="132" t="str">
        <f>IFERROR(__xludf.DUMMYFUNCTION("""COMPUTED_VALUE"""),"居家")</f>
        <v>居家</v>
      </c>
      <c r="D89" s="132">
        <f>IFERROR(__xludf.DUMMYFUNCTION("""COMPUTED_VALUE"""),15.808699999999998)</f>
        <v>15.8087</v>
      </c>
      <c r="E89" s="132" t="str">
        <f>IFERROR(__xludf.DUMMYFUNCTION("""COMPUTED_VALUE"""),"BL")</f>
        <v>BL</v>
      </c>
      <c r="F89" s="132">
        <f>IFERROR(__xludf.DUMMYFUNCTION("""COMPUTED_VALUE"""),15.808699999999998)</f>
        <v>15.8087</v>
      </c>
      <c r="G89" s="132">
        <f>IFERROR(__xludf.DUMMYFUNCTION("""COMPUTED_VALUE"""),15.808699999999998)</f>
        <v>15.8087</v>
      </c>
      <c r="H89" s="132"/>
      <c r="I89" s="132"/>
      <c r="J89" s="132"/>
      <c r="K89" s="132"/>
      <c r="L89" s="132"/>
      <c r="M89" s="132"/>
      <c r="N89" s="132">
        <f>IFERROR(__xludf.DUMMYFUNCTION("""COMPUTED_VALUE"""),1.0)</f>
        <v>1</v>
      </c>
      <c r="O89" s="132"/>
      <c r="P89" s="132"/>
      <c r="Q89" s="132"/>
      <c r="R89" s="132"/>
      <c r="S89" s="132">
        <f>IFERROR(__xludf.DUMMYFUNCTION("""COMPUTED_VALUE"""),269.64)</f>
        <v>269.64</v>
      </c>
      <c r="T89" s="132">
        <f>IFERROR(__xludf.DUMMYFUNCTION("""COMPUTED_VALUE"""),53.928)</f>
        <v>53.928</v>
      </c>
      <c r="U89" s="132"/>
      <c r="V89" s="132"/>
      <c r="W89" s="132"/>
      <c r="X89" s="132"/>
      <c r="Y89" s="132"/>
      <c r="Z89" s="132"/>
    </row>
    <row r="90">
      <c r="A90" s="136">
        <f>IFERROR(__xludf.DUMMYFUNCTION("""COMPUTED_VALUE"""),45340.0)</f>
        <v>45340</v>
      </c>
      <c r="B90" s="132" t="str">
        <f>IFERROR(__xludf.DUMMYFUNCTION("""COMPUTED_VALUE"""),"Shower filter")</f>
        <v>Shower filter</v>
      </c>
      <c r="C90" s="132" t="str">
        <f>IFERROR(__xludf.DUMMYFUNCTION("""COMPUTED_VALUE"""),"居家")</f>
        <v>居家</v>
      </c>
      <c r="D90" s="132">
        <f>IFERROR(__xludf.DUMMYFUNCTION("""COMPUTED_VALUE"""),31.990299999999994)</f>
        <v>31.9903</v>
      </c>
      <c r="E90" s="132" t="str">
        <f>IFERROR(__xludf.DUMMYFUNCTION("""COMPUTED_VALUE"""),"BL")</f>
        <v>BL</v>
      </c>
      <c r="F90" s="132">
        <f>IFERROR(__xludf.DUMMYFUNCTION("""COMPUTED_VALUE"""),10.663433333333332)</f>
        <v>10.66343333</v>
      </c>
      <c r="G90" s="132">
        <f>IFERROR(__xludf.DUMMYFUNCTION("""COMPUTED_VALUE"""),10.663433333333332)</f>
        <v>10.66343333</v>
      </c>
      <c r="H90" s="132"/>
      <c r="I90" s="132"/>
      <c r="J90" s="132">
        <f>IFERROR(__xludf.DUMMYFUNCTION("""COMPUTED_VALUE"""),1.0)</f>
        <v>1</v>
      </c>
      <c r="K90" s="132">
        <f>IFERROR(__xludf.DUMMYFUNCTION("""COMPUTED_VALUE"""),1.0)</f>
        <v>1</v>
      </c>
      <c r="L90" s="132"/>
      <c r="M90" s="132"/>
      <c r="N90" s="132">
        <f>IFERROR(__xludf.DUMMYFUNCTION("""COMPUTED_VALUE"""),1.0)</f>
        <v>1</v>
      </c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3">
        <f>IFERROR(__xludf.DUMMYFUNCTION("""COMPUTED_VALUE"""),45340.0)</f>
        <v>45340</v>
      </c>
      <c r="B91" s="132" t="str">
        <f>IFERROR(__xludf.DUMMYFUNCTION("""COMPUTED_VALUE"""),"Water bottle")</f>
        <v>Water bottle</v>
      </c>
      <c r="C91" s="132" t="str">
        <f>IFERROR(__xludf.DUMMYFUNCTION("""COMPUTED_VALUE"""),"居家")</f>
        <v>居家</v>
      </c>
      <c r="D91" s="132">
        <f>IFERROR(__xludf.DUMMYFUNCTION("""COMPUTED_VALUE"""),49.7087)</f>
        <v>49.7087</v>
      </c>
      <c r="E91" s="132" t="str">
        <f>IFERROR(__xludf.DUMMYFUNCTION("""COMPUTED_VALUE"""),"BL")</f>
        <v>BL</v>
      </c>
      <c r="F91" s="132">
        <f>IFERROR(__xludf.DUMMYFUNCTION("""COMPUTED_VALUE"""),9.94174)</f>
        <v>9.94174</v>
      </c>
      <c r="G91" s="132">
        <f>IFERROR(__xludf.DUMMYFUNCTION("""COMPUTED_VALUE"""),9.94174)</f>
        <v>9.94174</v>
      </c>
      <c r="H91" s="132">
        <f>IFERROR(__xludf.DUMMYFUNCTION("""COMPUTED_VALUE"""),1.0)</f>
        <v>1</v>
      </c>
      <c r="I91" s="132">
        <f>IFERROR(__xludf.DUMMYFUNCTION("""COMPUTED_VALUE"""),1.0)</f>
        <v>1</v>
      </c>
      <c r="J91" s="132">
        <f>IFERROR(__xludf.DUMMYFUNCTION("""COMPUTED_VALUE"""),1.0)</f>
        <v>1</v>
      </c>
      <c r="K91" s="132">
        <f>IFERROR(__xludf.DUMMYFUNCTION("""COMPUTED_VALUE"""),1.0)</f>
        <v>1</v>
      </c>
      <c r="L91" s="132"/>
      <c r="M91" s="132"/>
      <c r="N91" s="132">
        <f>IFERROR(__xludf.DUMMYFUNCTION("""COMPUTED_VALUE"""),1.0)</f>
        <v>1</v>
      </c>
      <c r="O91" s="132"/>
      <c r="P91" s="132"/>
      <c r="Q91" s="134">
        <f>IFERROR(__xludf.DUMMYFUNCTION("""COMPUTED_VALUE"""),45474.0)</f>
        <v>45474</v>
      </c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6">
        <f>IFERROR(__xludf.DUMMYFUNCTION("""COMPUTED_VALUE"""),45340.0)</f>
        <v>45340</v>
      </c>
      <c r="B92" s="132" t="str">
        <f>IFERROR(__xludf.DUMMYFUNCTION("""COMPUTED_VALUE"""),"Test strips")</f>
        <v>Test strips</v>
      </c>
      <c r="C92" s="132" t="str">
        <f>IFERROR(__xludf.DUMMYFUNCTION("""COMPUTED_VALUE"""),"居家")</f>
        <v>居家</v>
      </c>
      <c r="D92" s="132">
        <f>IFERROR(__xludf.DUMMYFUNCTION("""COMPUTED_VALUE"""),15.808699999999998)</f>
        <v>15.8087</v>
      </c>
      <c r="E92" s="132" t="str">
        <f>IFERROR(__xludf.DUMMYFUNCTION("""COMPUTED_VALUE"""),"BL")</f>
        <v>BL</v>
      </c>
      <c r="F92" s="132">
        <f>IFERROR(__xludf.DUMMYFUNCTION("""COMPUTED_VALUE"""),5.269566666666666)</f>
        <v>5.269566667</v>
      </c>
      <c r="G92" s="132">
        <f>IFERROR(__xludf.DUMMYFUNCTION("""COMPUTED_VALUE"""),5.269566666666666)</f>
        <v>5.269566667</v>
      </c>
      <c r="H92" s="132"/>
      <c r="I92" s="132"/>
      <c r="J92" s="132">
        <f>IFERROR(__xludf.DUMMYFUNCTION("""COMPUTED_VALUE"""),1.0)</f>
        <v>1</v>
      </c>
      <c r="K92" s="132">
        <f>IFERROR(__xludf.DUMMYFUNCTION("""COMPUTED_VALUE"""),1.0)</f>
        <v>1</v>
      </c>
      <c r="L92" s="132"/>
      <c r="M92" s="132"/>
      <c r="N92" s="132">
        <f>IFERROR(__xludf.DUMMYFUNCTION("""COMPUTED_VALUE"""),1.0)</f>
        <v>1</v>
      </c>
      <c r="O92" s="132"/>
      <c r="P92" s="132"/>
      <c r="Q92" s="132"/>
      <c r="R92" s="132" t="str">
        <f>IFERROR(__xludf.DUMMYFUNCTION("""COMPUTED_VALUE"""),"Water")</f>
        <v>Water</v>
      </c>
      <c r="S92" s="132"/>
      <c r="T92" s="132">
        <f>IFERROR(__xludf.DUMMYFUNCTION("""COMPUTED_VALUE"""),0.0)</f>
        <v>0</v>
      </c>
      <c r="U92" s="132"/>
      <c r="V92" s="132"/>
      <c r="W92" s="132"/>
      <c r="X92" s="132"/>
      <c r="Y92" s="132"/>
      <c r="Z92" s="132"/>
    </row>
    <row r="93">
      <c r="A93" s="136">
        <f>IFERROR(__xludf.DUMMYFUNCTION("""COMPUTED_VALUE"""),45336.0)</f>
        <v>45336</v>
      </c>
      <c r="B93" s="132" t="str">
        <f>IFERROR(__xludf.DUMMYFUNCTION("""COMPUTED_VALUE"""),"Dollarama")</f>
        <v>Dollarama</v>
      </c>
      <c r="C93" s="132" t="str">
        <f>IFERROR(__xludf.DUMMYFUNCTION("""COMPUTED_VALUE"""),"居家")</f>
        <v>居家</v>
      </c>
      <c r="D93" s="132">
        <f>IFERROR(__xludf.DUMMYFUNCTION("""COMPUTED_VALUE"""),11.02)</f>
        <v>11.02</v>
      </c>
      <c r="E93" s="132" t="str">
        <f>IFERROR(__xludf.DUMMYFUNCTION("""COMPUTED_VALUE"""),"Pigskin")</f>
        <v>Pigskin</v>
      </c>
      <c r="F93" s="132">
        <f>IFERROR(__xludf.DUMMYFUNCTION("""COMPUTED_VALUE"""),2.2039999999999997)</f>
        <v>2.204</v>
      </c>
      <c r="G93" s="132">
        <f>IFERROR(__xludf.DUMMYFUNCTION("""COMPUTED_VALUE"""),2.2039999999999997)</f>
        <v>2.204</v>
      </c>
      <c r="H93" s="132">
        <f>IFERROR(__xludf.DUMMYFUNCTION("""COMPUTED_VALUE"""),1.0)</f>
        <v>1</v>
      </c>
      <c r="I93" s="132">
        <f>IFERROR(__xludf.DUMMYFUNCTION("""COMPUTED_VALUE"""),1.0)</f>
        <v>1</v>
      </c>
      <c r="J93" s="132">
        <f>IFERROR(__xludf.DUMMYFUNCTION("""COMPUTED_VALUE"""),1.0)</f>
        <v>1</v>
      </c>
      <c r="K93" s="132">
        <f>IFERROR(__xludf.DUMMYFUNCTION("""COMPUTED_VALUE"""),1.0)</f>
        <v>1</v>
      </c>
      <c r="L93" s="132"/>
      <c r="M93" s="132"/>
      <c r="N93" s="132">
        <f>IFERROR(__xludf.DUMMYFUNCTION("""COMPUTED_VALUE"""),1.0)</f>
        <v>1</v>
      </c>
      <c r="O93" s="132"/>
      <c r="P93" s="132"/>
      <c r="Q93" s="132"/>
      <c r="R93" s="132" t="str">
        <f>IFERROR(__xludf.DUMMYFUNCTION("""COMPUTED_VALUE"""),"Heat")</f>
        <v>Heat</v>
      </c>
      <c r="S93" s="132">
        <f>IFERROR(__xludf.DUMMYFUNCTION("""COMPUTED_VALUE"""),101.27)</f>
        <v>101.27</v>
      </c>
      <c r="T93" s="132">
        <f>IFERROR(__xludf.DUMMYFUNCTION("""COMPUTED_VALUE"""),20.253999999999998)</f>
        <v>20.254</v>
      </c>
      <c r="U93" s="132" t="str">
        <f>IFERROR(__xludf.DUMMYFUNCTION("""COMPUTED_VALUE"""),"Paid")</f>
        <v>Paid</v>
      </c>
      <c r="V93" s="132" t="str">
        <f>IFERROR(__xludf.DUMMYFUNCTION("""COMPUTED_VALUE"""),"Paid")</f>
        <v>Paid</v>
      </c>
      <c r="W93" s="132" t="str">
        <f>IFERROR(__xludf.DUMMYFUNCTION("""COMPUTED_VALUE"""),"Paid")</f>
        <v>Paid</v>
      </c>
      <c r="X93" s="132" t="str">
        <f>IFERROR(__xludf.DUMMYFUNCTION("""COMPUTED_VALUE"""),"Paid")</f>
        <v>Paid</v>
      </c>
      <c r="Y93" s="132" t="str">
        <f>IFERROR(__xludf.DUMMYFUNCTION("""COMPUTED_VALUE"""),"Paid")</f>
        <v>Paid</v>
      </c>
      <c r="Z93" s="132"/>
    </row>
    <row r="94">
      <c r="A94" s="133">
        <f>IFERROR(__xludf.DUMMYFUNCTION("""COMPUTED_VALUE"""),45337.0)</f>
        <v>45337</v>
      </c>
      <c r="B94" s="132" t="str">
        <f>IFERROR(__xludf.DUMMYFUNCTION("""COMPUTED_VALUE"""),"Foody Tam jai")</f>
        <v>Foody Tam jai</v>
      </c>
      <c r="C94" s="132" t="str">
        <f>IFERROR(__xludf.DUMMYFUNCTION("""COMPUTED_VALUE"""),"食物")</f>
        <v>食物</v>
      </c>
      <c r="D94" s="132">
        <f>IFERROR(__xludf.DUMMYFUNCTION("""COMPUTED_VALUE"""),42.25)</f>
        <v>42.25</v>
      </c>
      <c r="E94" s="132" t="str">
        <f>IFERROR(__xludf.DUMMYFUNCTION("""COMPUTED_VALUE"""),"Timothy")</f>
        <v>Timothy</v>
      </c>
      <c r="F94" s="132">
        <f>IFERROR(__xludf.DUMMYFUNCTION("""COMPUTED_VALUE"""),10.5625)</f>
        <v>10.5625</v>
      </c>
      <c r="G94" s="132">
        <f>IFERROR(__xludf.DUMMYFUNCTION("""COMPUTED_VALUE"""),10.5625)</f>
        <v>10.5625</v>
      </c>
      <c r="H94" s="132">
        <f>IFERROR(__xludf.DUMMYFUNCTION("""COMPUTED_VALUE"""),1.0)</f>
        <v>1</v>
      </c>
      <c r="I94" s="132">
        <f>IFERROR(__xludf.DUMMYFUNCTION("""COMPUTED_VALUE"""),1.0)</f>
        <v>1</v>
      </c>
      <c r="J94" s="132">
        <f>IFERROR(__xludf.DUMMYFUNCTION("""COMPUTED_VALUE"""),1.0)</f>
        <v>1</v>
      </c>
      <c r="K94" s="132">
        <f>IFERROR(__xludf.DUMMYFUNCTION("""COMPUTED_VALUE"""),1.0)</f>
        <v>1</v>
      </c>
      <c r="L94" s="132"/>
      <c r="M94" s="132"/>
      <c r="N94" s="132"/>
      <c r="O94" s="132"/>
      <c r="P94" s="132"/>
      <c r="Q94" s="132"/>
      <c r="R94" s="132" t="str">
        <f>IFERROR(__xludf.DUMMYFUNCTION("""COMPUTED_VALUE"""),"Electricity")</f>
        <v>Electricity</v>
      </c>
      <c r="S94" s="132">
        <f>IFERROR(__xludf.DUMMYFUNCTION("""COMPUTED_VALUE"""),170.93)</f>
        <v>170.93</v>
      </c>
      <c r="T94" s="132">
        <f>IFERROR(__xludf.DUMMYFUNCTION("""COMPUTED_VALUE"""),34.186)</f>
        <v>34.186</v>
      </c>
      <c r="U94" s="132" t="str">
        <f>IFERROR(__xludf.DUMMYFUNCTION("""COMPUTED_VALUE"""),"Paid")</f>
        <v>Paid</v>
      </c>
      <c r="V94" s="132" t="str">
        <f>IFERROR(__xludf.DUMMYFUNCTION("""COMPUTED_VALUE"""),"Paid")</f>
        <v>Paid</v>
      </c>
      <c r="W94" s="132" t="str">
        <f>IFERROR(__xludf.DUMMYFUNCTION("""COMPUTED_VALUE"""),"Paid")</f>
        <v>Paid</v>
      </c>
      <c r="X94" s="132" t="str">
        <f>IFERROR(__xludf.DUMMYFUNCTION("""COMPUTED_VALUE"""),"Paid")</f>
        <v>Paid</v>
      </c>
      <c r="Y94" s="132" t="str">
        <f>IFERROR(__xludf.DUMMYFUNCTION("""COMPUTED_VALUE"""),"Paid")</f>
        <v>Paid</v>
      </c>
      <c r="Z94" s="132"/>
    </row>
    <row r="95">
      <c r="A95" s="133">
        <f>IFERROR(__xludf.DUMMYFUNCTION("""COMPUTED_VALUE"""),45324.0)</f>
        <v>45324</v>
      </c>
      <c r="B95" s="132" t="str">
        <f>IFERROR(__xludf.DUMMYFUNCTION("""COMPUTED_VALUE"""),"PEPSI")</f>
        <v>PEPSI</v>
      </c>
      <c r="C95" s="132" t="str">
        <f>IFERROR(__xludf.DUMMYFUNCTION("""COMPUTED_VALUE"""),"食物")</f>
        <v>食物</v>
      </c>
      <c r="D95" s="132">
        <f>IFERROR(__xludf.DUMMYFUNCTION("""COMPUTED_VALUE"""),16.3737)</f>
        <v>16.3737</v>
      </c>
      <c r="E95" s="132" t="str">
        <f>IFERROR(__xludf.DUMMYFUNCTION("""COMPUTED_VALUE"""),"Timothy")</f>
        <v>Timothy</v>
      </c>
      <c r="F95" s="132">
        <f>IFERROR(__xludf.DUMMYFUNCTION("""COMPUTED_VALUE"""),3.27474)</f>
        <v>3.27474</v>
      </c>
      <c r="G95" s="132">
        <f>IFERROR(__xludf.DUMMYFUNCTION("""COMPUTED_VALUE"""),3.27474)</f>
        <v>3.27474</v>
      </c>
      <c r="H95" s="132">
        <f>IFERROR(__xludf.DUMMYFUNCTION("""COMPUTED_VALUE"""),1.0)</f>
        <v>1</v>
      </c>
      <c r="I95" s="132">
        <f>IFERROR(__xludf.DUMMYFUNCTION("""COMPUTED_VALUE"""),1.0)</f>
        <v>1</v>
      </c>
      <c r="J95" s="132">
        <f>IFERROR(__xludf.DUMMYFUNCTION("""COMPUTED_VALUE"""),1.0)</f>
        <v>1</v>
      </c>
      <c r="K95" s="132">
        <f>IFERROR(__xludf.DUMMYFUNCTION("""COMPUTED_VALUE"""),1.0)</f>
        <v>1</v>
      </c>
      <c r="L95" s="132"/>
      <c r="M95" s="132"/>
      <c r="N95" s="132">
        <f>IFERROR(__xludf.DUMMYFUNCTION("""COMPUTED_VALUE"""),1.0)</f>
        <v>1</v>
      </c>
      <c r="O95" s="132"/>
      <c r="P95" s="132"/>
      <c r="Q95" s="132"/>
      <c r="R95" s="132" t="str">
        <f>IFERROR(__xludf.DUMMYFUNCTION("""COMPUTED_VALUE"""),"Internet")</f>
        <v>Internet</v>
      </c>
      <c r="S95" s="132">
        <f>IFERROR(__xludf.DUMMYFUNCTION("""COMPUTED_VALUE"""),56.5)</f>
        <v>56.5</v>
      </c>
      <c r="T95" s="132">
        <f>IFERROR(__xludf.DUMMYFUNCTION("""COMPUTED_VALUE"""),11.3)</f>
        <v>11.3</v>
      </c>
      <c r="U95" s="132" t="str">
        <f>IFERROR(__xludf.DUMMYFUNCTION("""COMPUTED_VALUE"""),"Paid")</f>
        <v>Paid</v>
      </c>
      <c r="V95" s="132" t="str">
        <f>IFERROR(__xludf.DUMMYFUNCTION("""COMPUTED_VALUE"""),"Paid")</f>
        <v>Paid</v>
      </c>
      <c r="W95" s="132" t="str">
        <f>IFERROR(__xludf.DUMMYFUNCTION("""COMPUTED_VALUE"""),"Paid")</f>
        <v>Paid</v>
      </c>
      <c r="X95" s="132" t="str">
        <f>IFERROR(__xludf.DUMMYFUNCTION("""COMPUTED_VALUE"""),"Paid")</f>
        <v>Paid</v>
      </c>
      <c r="Y95" s="132" t="str">
        <f>IFERROR(__xludf.DUMMYFUNCTION("""COMPUTED_VALUE"""),"Paid")</f>
        <v>Paid</v>
      </c>
      <c r="Z95" s="132"/>
    </row>
    <row r="96">
      <c r="A96" s="133"/>
      <c r="B96" s="132" t="str">
        <f>IFERROR(__xludf.DUMMYFUNCTION("""COMPUTED_VALUE"""),"TOMATOES")</f>
        <v>TOMATOES</v>
      </c>
      <c r="C96" s="132" t="str">
        <f>IFERROR(__xludf.DUMMYFUNCTION("""COMPUTED_VALUE"""),"食物")</f>
        <v>食物</v>
      </c>
      <c r="D96" s="132">
        <f>IFERROR(__xludf.DUMMYFUNCTION("""COMPUTED_VALUE"""),8.99)</f>
        <v>8.99</v>
      </c>
      <c r="E96" s="132" t="str">
        <f>IFERROR(__xludf.DUMMYFUNCTION("""COMPUTED_VALUE"""),"Timothy")</f>
        <v>Timothy</v>
      </c>
      <c r="F96" s="132">
        <f>IFERROR(__xludf.DUMMYFUNCTION("""COMPUTED_VALUE"""),1.798)</f>
        <v>1.798</v>
      </c>
      <c r="G96" s="132">
        <f>IFERROR(__xludf.DUMMYFUNCTION("""COMPUTED_VALUE"""),1.798)</f>
        <v>1.798</v>
      </c>
      <c r="H96" s="132">
        <f>IFERROR(__xludf.DUMMYFUNCTION("""COMPUTED_VALUE"""),1.0)</f>
        <v>1</v>
      </c>
      <c r="I96" s="132">
        <f>IFERROR(__xludf.DUMMYFUNCTION("""COMPUTED_VALUE"""),1.0)</f>
        <v>1</v>
      </c>
      <c r="J96" s="132">
        <f>IFERROR(__xludf.DUMMYFUNCTION("""COMPUTED_VALUE"""),1.0)</f>
        <v>1</v>
      </c>
      <c r="K96" s="132">
        <f>IFERROR(__xludf.DUMMYFUNCTION("""COMPUTED_VALUE"""),1.0)</f>
        <v>1</v>
      </c>
      <c r="L96" s="132"/>
      <c r="M96" s="132"/>
      <c r="N96" s="132">
        <f>IFERROR(__xludf.DUMMYFUNCTION("""COMPUTED_VALUE"""),1.0)</f>
        <v>1</v>
      </c>
      <c r="O96" s="132"/>
      <c r="P96" s="132"/>
      <c r="Q96" s="132"/>
      <c r="R96" s="132"/>
      <c r="S96" s="132">
        <f>IFERROR(__xludf.DUMMYFUNCTION("""COMPUTED_VALUE"""),328.7)</f>
        <v>328.7</v>
      </c>
      <c r="T96" s="132">
        <f>IFERROR(__xludf.DUMMYFUNCTION("""COMPUTED_VALUE"""),65.74)</f>
        <v>65.74</v>
      </c>
      <c r="U96" s="132"/>
      <c r="V96" s="132"/>
      <c r="W96" s="132"/>
      <c r="X96" s="132"/>
      <c r="Y96" s="132"/>
      <c r="Z96" s="132"/>
    </row>
    <row r="97">
      <c r="A97" s="133"/>
      <c r="B97" s="132" t="str">
        <f>IFERROR(__xludf.DUMMYFUNCTION("""COMPUTED_VALUE"""),"DORITOS")</f>
        <v>DORITOS</v>
      </c>
      <c r="C97" s="132" t="str">
        <f>IFERROR(__xludf.DUMMYFUNCTION("""COMPUTED_VALUE"""),"食物")</f>
        <v>食物</v>
      </c>
      <c r="D97" s="132">
        <f>IFERROR(__xludf.DUMMYFUNCTION("""COMPUTED_VALUE"""),8.4637)</f>
        <v>8.4637</v>
      </c>
      <c r="E97" s="132" t="str">
        <f>IFERROR(__xludf.DUMMYFUNCTION("""COMPUTED_VALUE"""),"Timothy")</f>
        <v>Timothy</v>
      </c>
      <c r="F97" s="132">
        <f>IFERROR(__xludf.DUMMYFUNCTION("""COMPUTED_VALUE"""),1.69274)</f>
        <v>1.69274</v>
      </c>
      <c r="G97" s="132">
        <f>IFERROR(__xludf.DUMMYFUNCTION("""COMPUTED_VALUE"""),1.69274)</f>
        <v>1.69274</v>
      </c>
      <c r="H97" s="132">
        <f>IFERROR(__xludf.DUMMYFUNCTION("""COMPUTED_VALUE"""),1.0)</f>
        <v>1</v>
      </c>
      <c r="I97" s="132">
        <f>IFERROR(__xludf.DUMMYFUNCTION("""COMPUTED_VALUE"""),1.0)</f>
        <v>1</v>
      </c>
      <c r="J97" s="132">
        <f>IFERROR(__xludf.DUMMYFUNCTION("""COMPUTED_VALUE"""),1.0)</f>
        <v>1</v>
      </c>
      <c r="K97" s="132">
        <f>IFERROR(__xludf.DUMMYFUNCTION("""COMPUTED_VALUE"""),1.0)</f>
        <v>1</v>
      </c>
      <c r="L97" s="132"/>
      <c r="M97" s="132"/>
      <c r="N97" s="132">
        <f>IFERROR(__xludf.DUMMYFUNCTION("""COMPUTED_VALUE"""),1.0)</f>
        <v>1</v>
      </c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3"/>
      <c r="B98" s="132" t="str">
        <f>IFERROR(__xludf.DUMMYFUNCTION("""COMPUTED_VALUE"""),"MILK")</f>
        <v>MILK</v>
      </c>
      <c r="C98" s="132" t="str">
        <f>IFERROR(__xludf.DUMMYFUNCTION("""COMPUTED_VALUE"""),"飲品")</f>
        <v>飲品</v>
      </c>
      <c r="D98" s="132">
        <f>IFERROR(__xludf.DUMMYFUNCTION("""COMPUTED_VALUE"""),5.99)</f>
        <v>5.99</v>
      </c>
      <c r="E98" s="132" t="str">
        <f>IFERROR(__xludf.DUMMYFUNCTION("""COMPUTED_VALUE"""),"Timothy")</f>
        <v>Timothy</v>
      </c>
      <c r="F98" s="132">
        <f>IFERROR(__xludf.DUMMYFUNCTION("""COMPUTED_VALUE"""),5.99)</f>
        <v>5.99</v>
      </c>
      <c r="G98" s="132">
        <f>IFERROR(__xludf.DUMMYFUNCTION("""COMPUTED_VALUE"""),5.99)</f>
        <v>5.99</v>
      </c>
      <c r="H98" s="132"/>
      <c r="I98" s="132"/>
      <c r="J98" s="132"/>
      <c r="K98" s="132"/>
      <c r="L98" s="132">
        <f>IFERROR(__xludf.DUMMYFUNCTION("""COMPUTED_VALUE"""),1.0)</f>
        <v>1</v>
      </c>
      <c r="M98" s="132"/>
      <c r="N98" s="132"/>
      <c r="O98" s="132"/>
      <c r="P98" s="132"/>
      <c r="Q98" s="134">
        <f>IFERROR(__xludf.DUMMYFUNCTION("""COMPUTED_VALUE"""),45505.0)</f>
        <v>45505</v>
      </c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3"/>
      <c r="B99" s="132" t="str">
        <f>IFERROR(__xludf.DUMMYFUNCTION("""COMPUTED_VALUE"""),"SHAMPOO")</f>
        <v>SHAMPOO</v>
      </c>
      <c r="C99" s="132" t="str">
        <f>IFERROR(__xludf.DUMMYFUNCTION("""COMPUTED_VALUE"""),"居家")</f>
        <v>居家</v>
      </c>
      <c r="D99" s="132">
        <f>IFERROR(__xludf.DUMMYFUNCTION("""COMPUTED_VALUE"""),22.588699999999996)</f>
        <v>22.5887</v>
      </c>
      <c r="E99" s="132" t="str">
        <f>IFERROR(__xludf.DUMMYFUNCTION("""COMPUTED_VALUE"""),"Timothy")</f>
        <v>Timothy</v>
      </c>
      <c r="F99" s="132">
        <f>IFERROR(__xludf.DUMMYFUNCTION("""COMPUTED_VALUE"""),22.588699999999996)</f>
        <v>22.5887</v>
      </c>
      <c r="G99" s="132">
        <f>IFERROR(__xludf.DUMMYFUNCTION("""COMPUTED_VALUE"""),22.588699999999996)</f>
        <v>22.5887</v>
      </c>
      <c r="H99" s="132"/>
      <c r="I99" s="132"/>
      <c r="J99" s="132"/>
      <c r="K99" s="132"/>
      <c r="L99" s="132">
        <f>IFERROR(__xludf.DUMMYFUNCTION("""COMPUTED_VALUE"""),1.0)</f>
        <v>1</v>
      </c>
      <c r="M99" s="132"/>
      <c r="N99" s="132"/>
      <c r="O99" s="132"/>
      <c r="P99" s="132"/>
      <c r="Q99" s="132"/>
      <c r="R99" s="132" t="str">
        <f>IFERROR(__xludf.DUMMYFUNCTION("""COMPUTED_VALUE"""),"Water (Pay by Rachel)")</f>
        <v>Water (Pay by Rachel)</v>
      </c>
      <c r="S99" s="132">
        <f>IFERROR(__xludf.DUMMYFUNCTION("""COMPUTED_VALUE"""),375.27)</f>
        <v>375.27</v>
      </c>
      <c r="T99" s="132">
        <f>IFERROR(__xludf.DUMMYFUNCTION("""COMPUTED_VALUE"""),75.054)</f>
        <v>75.054</v>
      </c>
      <c r="U99" s="132" t="str">
        <f>IFERROR(__xludf.DUMMYFUNCTION("""COMPUTED_VALUE"""),"Paid")</f>
        <v>Paid</v>
      </c>
      <c r="V99" s="132" t="str">
        <f>IFERROR(__xludf.DUMMYFUNCTION("""COMPUTED_VALUE"""),"Paid")</f>
        <v>Paid</v>
      </c>
      <c r="W99" s="132" t="str">
        <f>IFERROR(__xludf.DUMMYFUNCTION("""COMPUTED_VALUE"""),"Paid")</f>
        <v>Paid</v>
      </c>
      <c r="X99" s="132" t="str">
        <f>IFERROR(__xludf.DUMMYFUNCTION("""COMPUTED_VALUE"""),"Paid")</f>
        <v>Paid</v>
      </c>
      <c r="Y99" s="132" t="str">
        <f>IFERROR(__xludf.DUMMYFUNCTION("""COMPUTED_VALUE"""),"Paid")</f>
        <v>Paid</v>
      </c>
      <c r="Z99" s="132"/>
    </row>
    <row r="100">
      <c r="A100" s="133"/>
      <c r="B100" s="132" t="str">
        <f>IFERROR(__xludf.DUMMYFUNCTION("""COMPUTED_VALUE"""),"Vit D")</f>
        <v>Vit D</v>
      </c>
      <c r="C100" s="132" t="str">
        <f>IFERROR(__xludf.DUMMYFUNCTION("""COMPUTED_VALUE"""),"其他")</f>
        <v>其他</v>
      </c>
      <c r="D100" s="132">
        <f>IFERROR(__xludf.DUMMYFUNCTION("""COMPUTED_VALUE"""),9.028699999999999)</f>
        <v>9.0287</v>
      </c>
      <c r="E100" s="132" t="str">
        <f>IFERROR(__xludf.DUMMYFUNCTION("""COMPUTED_VALUE"""),"Timothy")</f>
        <v>Timothy</v>
      </c>
      <c r="F100" s="132">
        <f>IFERROR(__xludf.DUMMYFUNCTION("""COMPUTED_VALUE"""),9.028699999999999)</f>
        <v>9.0287</v>
      </c>
      <c r="G100" s="132">
        <f>IFERROR(__xludf.DUMMYFUNCTION("""COMPUTED_VALUE"""),9.028699999999999)</f>
        <v>9.0287</v>
      </c>
      <c r="H100" s="132"/>
      <c r="I100" s="132"/>
      <c r="J100" s="132"/>
      <c r="K100" s="132"/>
      <c r="L100" s="132">
        <f>IFERROR(__xludf.DUMMYFUNCTION("""COMPUTED_VALUE"""),1.0)</f>
        <v>1</v>
      </c>
      <c r="M100" s="132"/>
      <c r="N100" s="132"/>
      <c r="O100" s="132"/>
      <c r="P100" s="132"/>
      <c r="Q100" s="132"/>
      <c r="R100" s="132" t="str">
        <f>IFERROR(__xludf.DUMMYFUNCTION("""COMPUTED_VALUE"""),"Heat")</f>
        <v>Heat</v>
      </c>
      <c r="S100" s="132">
        <f>IFERROR(__xludf.DUMMYFUNCTION("""COMPUTED_VALUE"""),47.34)</f>
        <v>47.34</v>
      </c>
      <c r="T100" s="132">
        <f>IFERROR(__xludf.DUMMYFUNCTION("""COMPUTED_VALUE"""),9.468)</f>
        <v>9.468</v>
      </c>
      <c r="U100" s="132" t="str">
        <f>IFERROR(__xludf.DUMMYFUNCTION("""COMPUTED_VALUE"""),"Paid")</f>
        <v>Paid</v>
      </c>
      <c r="V100" s="132" t="str">
        <f>IFERROR(__xludf.DUMMYFUNCTION("""COMPUTED_VALUE"""),"Paid")</f>
        <v>Paid</v>
      </c>
      <c r="W100" s="132" t="str">
        <f>IFERROR(__xludf.DUMMYFUNCTION("""COMPUTED_VALUE"""),"Paid")</f>
        <v>Paid</v>
      </c>
      <c r="X100" s="132" t="str">
        <f>IFERROR(__xludf.DUMMYFUNCTION("""COMPUTED_VALUE"""),"Paid")</f>
        <v>Paid</v>
      </c>
      <c r="Y100" s="132" t="str">
        <f>IFERROR(__xludf.DUMMYFUNCTION("""COMPUTED_VALUE"""),"Paid")</f>
        <v>Paid</v>
      </c>
      <c r="Z100" s="132"/>
    </row>
    <row r="101">
      <c r="A101" s="133"/>
      <c r="B101" s="132" t="str">
        <f>IFERROR(__xludf.DUMMYFUNCTION("""COMPUTED_VALUE"""),"Sausage")</f>
        <v>Sausage</v>
      </c>
      <c r="C101" s="132" t="str">
        <f>IFERROR(__xludf.DUMMYFUNCTION("""COMPUTED_VALUE"""),"食物")</f>
        <v>食物</v>
      </c>
      <c r="D101" s="132">
        <f>IFERROR(__xludf.DUMMYFUNCTION("""COMPUTED_VALUE"""),14.99)</f>
        <v>14.99</v>
      </c>
      <c r="E101" s="132" t="str">
        <f>IFERROR(__xludf.DUMMYFUNCTION("""COMPUTED_VALUE"""),"Timothy")</f>
        <v>Timothy</v>
      </c>
      <c r="F101" s="132">
        <f>IFERROR(__xludf.DUMMYFUNCTION("""COMPUTED_VALUE"""),2.998)</f>
        <v>2.998</v>
      </c>
      <c r="G101" s="132">
        <f>IFERROR(__xludf.DUMMYFUNCTION("""COMPUTED_VALUE"""),2.998)</f>
        <v>2.998</v>
      </c>
      <c r="H101" s="132">
        <f>IFERROR(__xludf.DUMMYFUNCTION("""COMPUTED_VALUE"""),1.0)</f>
        <v>1</v>
      </c>
      <c r="I101" s="132">
        <f>IFERROR(__xludf.DUMMYFUNCTION("""COMPUTED_VALUE"""),1.0)</f>
        <v>1</v>
      </c>
      <c r="J101" s="132">
        <f>IFERROR(__xludf.DUMMYFUNCTION("""COMPUTED_VALUE"""),1.0)</f>
        <v>1</v>
      </c>
      <c r="K101" s="132">
        <f>IFERROR(__xludf.DUMMYFUNCTION("""COMPUTED_VALUE"""),1.0)</f>
        <v>1</v>
      </c>
      <c r="L101" s="132"/>
      <c r="M101" s="132"/>
      <c r="N101" s="132">
        <f>IFERROR(__xludf.DUMMYFUNCTION("""COMPUTED_VALUE"""),1.0)</f>
        <v>1</v>
      </c>
      <c r="O101" s="132"/>
      <c r="P101" s="132"/>
      <c r="Q101" s="132"/>
      <c r="R101" s="132" t="str">
        <f>IFERROR(__xludf.DUMMYFUNCTION("""COMPUTED_VALUE"""),"Electricity")</f>
        <v>Electricity</v>
      </c>
      <c r="S101" s="132">
        <f>IFERROR(__xludf.DUMMYFUNCTION("""COMPUTED_VALUE"""),208.04)</f>
        <v>208.04</v>
      </c>
      <c r="T101" s="132">
        <f>IFERROR(__xludf.DUMMYFUNCTION("""COMPUTED_VALUE"""),41.608)</f>
        <v>41.608</v>
      </c>
      <c r="U101" s="132" t="str">
        <f>IFERROR(__xludf.DUMMYFUNCTION("""COMPUTED_VALUE"""),"Paid")</f>
        <v>Paid</v>
      </c>
      <c r="V101" s="132" t="str">
        <f>IFERROR(__xludf.DUMMYFUNCTION("""COMPUTED_VALUE"""),"Paid")</f>
        <v>Paid</v>
      </c>
      <c r="W101" s="132" t="str">
        <f>IFERROR(__xludf.DUMMYFUNCTION("""COMPUTED_VALUE"""),"Paid")</f>
        <v>Paid</v>
      </c>
      <c r="X101" s="132" t="str">
        <f>IFERROR(__xludf.DUMMYFUNCTION("""COMPUTED_VALUE"""),"Paid")</f>
        <v>Paid</v>
      </c>
      <c r="Y101" s="132" t="str">
        <f>IFERROR(__xludf.DUMMYFUNCTION("""COMPUTED_VALUE"""),"Paid")</f>
        <v>Paid</v>
      </c>
      <c r="Z101" s="132"/>
    </row>
    <row r="102">
      <c r="A102" s="133"/>
      <c r="B102" s="132" t="str">
        <f>IFERROR(__xludf.DUMMYFUNCTION("""COMPUTED_VALUE"""),"Sausage")</f>
        <v>Sausage</v>
      </c>
      <c r="C102" s="132" t="str">
        <f>IFERROR(__xludf.DUMMYFUNCTION("""COMPUTED_VALUE"""),"食物")</f>
        <v>食物</v>
      </c>
      <c r="D102" s="132">
        <f>IFERROR(__xludf.DUMMYFUNCTION("""COMPUTED_VALUE"""),14.99)</f>
        <v>14.99</v>
      </c>
      <c r="E102" s="132" t="str">
        <f>IFERROR(__xludf.DUMMYFUNCTION("""COMPUTED_VALUE"""),"Timothy")</f>
        <v>Timothy</v>
      </c>
      <c r="F102" s="132">
        <f>IFERROR(__xludf.DUMMYFUNCTION("""COMPUTED_VALUE"""),2.998)</f>
        <v>2.998</v>
      </c>
      <c r="G102" s="132">
        <f>IFERROR(__xludf.DUMMYFUNCTION("""COMPUTED_VALUE"""),2.998)</f>
        <v>2.998</v>
      </c>
      <c r="H102" s="132">
        <f>IFERROR(__xludf.DUMMYFUNCTION("""COMPUTED_VALUE"""),1.0)</f>
        <v>1</v>
      </c>
      <c r="I102" s="132">
        <f>IFERROR(__xludf.DUMMYFUNCTION("""COMPUTED_VALUE"""),1.0)</f>
        <v>1</v>
      </c>
      <c r="J102" s="132">
        <f>IFERROR(__xludf.DUMMYFUNCTION("""COMPUTED_VALUE"""),1.0)</f>
        <v>1</v>
      </c>
      <c r="K102" s="132">
        <f>IFERROR(__xludf.DUMMYFUNCTION("""COMPUTED_VALUE"""),1.0)</f>
        <v>1</v>
      </c>
      <c r="L102" s="132"/>
      <c r="M102" s="132"/>
      <c r="N102" s="132">
        <f>IFERROR(__xludf.DUMMYFUNCTION("""COMPUTED_VALUE"""),1.0)</f>
        <v>1</v>
      </c>
      <c r="O102" s="132"/>
      <c r="P102" s="132"/>
      <c r="Q102" s="132"/>
      <c r="R102" s="132" t="str">
        <f>IFERROR(__xludf.DUMMYFUNCTION("""COMPUTED_VALUE"""),"Internet")</f>
        <v>Internet</v>
      </c>
      <c r="S102" s="132">
        <f>IFERROR(__xludf.DUMMYFUNCTION("""COMPUTED_VALUE"""),56.5)</f>
        <v>56.5</v>
      </c>
      <c r="T102" s="132">
        <f>IFERROR(__xludf.DUMMYFUNCTION("""COMPUTED_VALUE"""),11.3)</f>
        <v>11.3</v>
      </c>
      <c r="U102" s="132" t="str">
        <f>IFERROR(__xludf.DUMMYFUNCTION("""COMPUTED_VALUE"""),"Paid")</f>
        <v>Paid</v>
      </c>
      <c r="V102" s="132" t="str">
        <f>IFERROR(__xludf.DUMMYFUNCTION("""COMPUTED_VALUE"""),"Paid")</f>
        <v>Paid</v>
      </c>
      <c r="W102" s="132" t="str">
        <f>IFERROR(__xludf.DUMMYFUNCTION("""COMPUTED_VALUE"""),"Paid")</f>
        <v>Paid</v>
      </c>
      <c r="X102" s="132" t="str">
        <f>IFERROR(__xludf.DUMMYFUNCTION("""COMPUTED_VALUE"""),"Paid")</f>
        <v>Paid</v>
      </c>
      <c r="Y102" s="132" t="str">
        <f>IFERROR(__xludf.DUMMYFUNCTION("""COMPUTED_VALUE"""),"Paid")</f>
        <v>Paid</v>
      </c>
      <c r="Z102" s="132"/>
    </row>
    <row r="103">
      <c r="A103" s="133"/>
      <c r="B103" s="132" t="str">
        <f>IFERROR(__xludf.DUMMYFUNCTION("""COMPUTED_VALUE"""),"Lis")</f>
        <v>Lis</v>
      </c>
      <c r="C103" s="132" t="str">
        <f>IFERROR(__xludf.DUMMYFUNCTION("""COMPUTED_VALUE"""),"其他")</f>
        <v>其他</v>
      </c>
      <c r="D103" s="132">
        <f>IFERROR(__xludf.DUMMYFUNCTION("""COMPUTED_VALUE"""),18.0687)</f>
        <v>18.0687</v>
      </c>
      <c r="E103" s="132" t="str">
        <f>IFERROR(__xludf.DUMMYFUNCTION("""COMPUTED_VALUE"""),"Timothy")</f>
        <v>Timothy</v>
      </c>
      <c r="F103" s="132">
        <f>IFERROR(__xludf.DUMMYFUNCTION("""COMPUTED_VALUE"""),18.0687)</f>
        <v>18.0687</v>
      </c>
      <c r="G103" s="132">
        <f>IFERROR(__xludf.DUMMYFUNCTION("""COMPUTED_VALUE"""),18.0687)</f>
        <v>18.0687</v>
      </c>
      <c r="H103" s="132"/>
      <c r="I103" s="132"/>
      <c r="J103" s="132">
        <f>IFERROR(__xludf.DUMMYFUNCTION("""COMPUTED_VALUE"""),1.0)</f>
        <v>1</v>
      </c>
      <c r="K103" s="132"/>
      <c r="L103" s="132"/>
      <c r="M103" s="132"/>
      <c r="N103" s="132"/>
      <c r="O103" s="132"/>
      <c r="P103" s="132"/>
      <c r="Q103" s="132"/>
      <c r="R103" s="132"/>
      <c r="S103" s="132">
        <f>IFERROR(__xludf.DUMMYFUNCTION("""COMPUTED_VALUE"""),687.15)</f>
        <v>687.15</v>
      </c>
      <c r="T103" s="132">
        <f>IFERROR(__xludf.DUMMYFUNCTION("""COMPUTED_VALUE"""),137.43)</f>
        <v>137.43</v>
      </c>
      <c r="U103" s="132"/>
      <c r="V103" s="132"/>
      <c r="W103" s="132"/>
      <c r="X103" s="132"/>
      <c r="Y103" s="132"/>
      <c r="Z103" s="132"/>
    </row>
    <row r="104">
      <c r="A104" s="133"/>
      <c r="B104" s="132" t="str">
        <f>IFERROR(__xludf.DUMMYFUNCTION("""COMPUTED_VALUE"""),"Garlic")</f>
        <v>Garlic</v>
      </c>
      <c r="C104" s="132" t="str">
        <f>IFERROR(__xludf.DUMMYFUNCTION("""COMPUTED_VALUE"""),"食物")</f>
        <v>食物</v>
      </c>
      <c r="D104" s="132">
        <f>IFERROR(__xludf.DUMMYFUNCTION("""COMPUTED_VALUE"""),8.99)</f>
        <v>8.99</v>
      </c>
      <c r="E104" s="132" t="str">
        <f>IFERROR(__xludf.DUMMYFUNCTION("""COMPUTED_VALUE"""),"Timothy")</f>
        <v>Timothy</v>
      </c>
      <c r="F104" s="132">
        <f>IFERROR(__xludf.DUMMYFUNCTION("""COMPUTED_VALUE"""),1.798)</f>
        <v>1.798</v>
      </c>
      <c r="G104" s="132">
        <f>IFERROR(__xludf.DUMMYFUNCTION("""COMPUTED_VALUE"""),1.798)</f>
        <v>1.798</v>
      </c>
      <c r="H104" s="132">
        <f>IFERROR(__xludf.DUMMYFUNCTION("""COMPUTED_VALUE"""),1.0)</f>
        <v>1</v>
      </c>
      <c r="I104" s="132">
        <f>IFERROR(__xludf.DUMMYFUNCTION("""COMPUTED_VALUE"""),1.0)</f>
        <v>1</v>
      </c>
      <c r="J104" s="132">
        <f>IFERROR(__xludf.DUMMYFUNCTION("""COMPUTED_VALUE"""),1.0)</f>
        <v>1</v>
      </c>
      <c r="K104" s="132">
        <f>IFERROR(__xludf.DUMMYFUNCTION("""COMPUTED_VALUE"""),1.0)</f>
        <v>1</v>
      </c>
      <c r="L104" s="132"/>
      <c r="M104" s="132"/>
      <c r="N104" s="132">
        <f>IFERROR(__xludf.DUMMYFUNCTION("""COMPUTED_VALUE"""),1.0)</f>
        <v>1</v>
      </c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3"/>
      <c r="B105" s="132" t="str">
        <f>IFERROR(__xludf.DUMMYFUNCTION("""COMPUTED_VALUE"""),"Broom")</f>
        <v>Broom</v>
      </c>
      <c r="C105" s="132" t="str">
        <f>IFERROR(__xludf.DUMMYFUNCTION("""COMPUTED_VALUE"""),"居家")</f>
        <v>居家</v>
      </c>
      <c r="D105" s="132">
        <f>IFERROR(__xludf.DUMMYFUNCTION("""COMPUTED_VALUE"""),11.288699999999999)</f>
        <v>11.2887</v>
      </c>
      <c r="E105" s="132" t="str">
        <f>IFERROR(__xludf.DUMMYFUNCTION("""COMPUTED_VALUE"""),"Timothy")</f>
        <v>Timothy</v>
      </c>
      <c r="F105" s="132">
        <f>IFERROR(__xludf.DUMMYFUNCTION("""COMPUTED_VALUE"""),2.2577399999999996)</f>
        <v>2.25774</v>
      </c>
      <c r="G105" s="132">
        <f>IFERROR(__xludf.DUMMYFUNCTION("""COMPUTED_VALUE"""),2.2577399999999996)</f>
        <v>2.25774</v>
      </c>
      <c r="H105" s="132">
        <f>IFERROR(__xludf.DUMMYFUNCTION("""COMPUTED_VALUE"""),1.0)</f>
        <v>1</v>
      </c>
      <c r="I105" s="132">
        <f>IFERROR(__xludf.DUMMYFUNCTION("""COMPUTED_VALUE"""),1.0)</f>
        <v>1</v>
      </c>
      <c r="J105" s="132">
        <f>IFERROR(__xludf.DUMMYFUNCTION("""COMPUTED_VALUE"""),1.0)</f>
        <v>1</v>
      </c>
      <c r="K105" s="132">
        <f>IFERROR(__xludf.DUMMYFUNCTION("""COMPUTED_VALUE"""),1.0)</f>
        <v>1</v>
      </c>
      <c r="L105" s="132"/>
      <c r="M105" s="132"/>
      <c r="N105" s="132">
        <f>IFERROR(__xludf.DUMMYFUNCTION("""COMPUTED_VALUE"""),1.0)</f>
        <v>1</v>
      </c>
      <c r="O105" s="132"/>
      <c r="P105" s="132"/>
      <c r="Q105" s="134">
        <f>IFERROR(__xludf.DUMMYFUNCTION("""COMPUTED_VALUE"""),45536.0)</f>
        <v>45536</v>
      </c>
      <c r="R105" s="132" t="str">
        <f>IFERROR(__xludf.DUMMYFUNCTION("""COMPUTED_VALUE"""),"Water ")</f>
        <v>Water </v>
      </c>
      <c r="S105" s="132">
        <f>IFERROR(__xludf.DUMMYFUNCTION("""COMPUTED_VALUE"""),100.0)</f>
        <v>100</v>
      </c>
      <c r="T105" s="132" t="str">
        <f>IFERROR(__xludf.DUMMYFUNCTION("""COMPUTED_VALUE"""),"喺key deposit退咗")</f>
        <v>喺key deposit退咗</v>
      </c>
      <c r="U105" s="132" t="str">
        <f>IFERROR(__xludf.DUMMYFUNCTION("""COMPUTED_VALUE"""),"Paid")</f>
        <v>Paid</v>
      </c>
      <c r="V105" s="132" t="str">
        <f>IFERROR(__xludf.DUMMYFUNCTION("""COMPUTED_VALUE"""),"Paid")</f>
        <v>Paid</v>
      </c>
      <c r="W105" s="132" t="str">
        <f>IFERROR(__xludf.DUMMYFUNCTION("""COMPUTED_VALUE"""),"Paid")</f>
        <v>Paid</v>
      </c>
      <c r="X105" s="132" t="str">
        <f>IFERROR(__xludf.DUMMYFUNCTION("""COMPUTED_VALUE"""),"Paid")</f>
        <v>Paid</v>
      </c>
      <c r="Y105" s="132" t="str">
        <f>IFERROR(__xludf.DUMMYFUNCTION("""COMPUTED_VALUE"""),"Paid")</f>
        <v>Paid</v>
      </c>
      <c r="Z105" s="132"/>
    </row>
    <row r="106">
      <c r="A106" s="133"/>
      <c r="B106" s="132" t="str">
        <f>IFERROR(__xludf.DUMMYFUNCTION("""COMPUTED_VALUE"""),"Onion")</f>
        <v>Onion</v>
      </c>
      <c r="C106" s="132" t="str">
        <f>IFERROR(__xludf.DUMMYFUNCTION("""COMPUTED_VALUE"""),"食物")</f>
        <v>食物</v>
      </c>
      <c r="D106" s="132">
        <f>IFERROR(__xludf.DUMMYFUNCTION("""COMPUTED_VALUE"""),7.99)</f>
        <v>7.99</v>
      </c>
      <c r="E106" s="132" t="str">
        <f>IFERROR(__xludf.DUMMYFUNCTION("""COMPUTED_VALUE"""),"Timothy")</f>
        <v>Timothy</v>
      </c>
      <c r="F106" s="132">
        <f>IFERROR(__xludf.DUMMYFUNCTION("""COMPUTED_VALUE"""),1.598)</f>
        <v>1.598</v>
      </c>
      <c r="G106" s="132">
        <f>IFERROR(__xludf.DUMMYFUNCTION("""COMPUTED_VALUE"""),1.598)</f>
        <v>1.598</v>
      </c>
      <c r="H106" s="132">
        <f>IFERROR(__xludf.DUMMYFUNCTION("""COMPUTED_VALUE"""),1.0)</f>
        <v>1</v>
      </c>
      <c r="I106" s="132">
        <f>IFERROR(__xludf.DUMMYFUNCTION("""COMPUTED_VALUE"""),1.0)</f>
        <v>1</v>
      </c>
      <c r="J106" s="132">
        <f>IFERROR(__xludf.DUMMYFUNCTION("""COMPUTED_VALUE"""),1.0)</f>
        <v>1</v>
      </c>
      <c r="K106" s="132">
        <f>IFERROR(__xludf.DUMMYFUNCTION("""COMPUTED_VALUE"""),1.0)</f>
        <v>1</v>
      </c>
      <c r="L106" s="132"/>
      <c r="M106" s="132"/>
      <c r="N106" s="132">
        <f>IFERROR(__xludf.DUMMYFUNCTION("""COMPUTED_VALUE"""),1.0)</f>
        <v>1</v>
      </c>
      <c r="O106" s="132"/>
      <c r="P106" s="132"/>
      <c r="Q106" s="132"/>
      <c r="R106" s="132" t="str">
        <f>IFERROR(__xludf.DUMMYFUNCTION("""COMPUTED_VALUE"""),"Key deposit (退俾大家）")</f>
        <v>Key deposit (退俾大家）</v>
      </c>
      <c r="S106" s="132">
        <f>IFERROR(__xludf.DUMMYFUNCTION("""COMPUTED_VALUE"""),-900.0)</f>
        <v>-900</v>
      </c>
      <c r="T106" s="132">
        <f>IFERROR(__xludf.DUMMYFUNCTION("""COMPUTED_VALUE"""),-180.0)</f>
        <v>-180</v>
      </c>
      <c r="U106" s="132" t="str">
        <f>IFERROR(__xludf.DUMMYFUNCTION("""COMPUTED_VALUE"""),"Paid")</f>
        <v>Paid</v>
      </c>
      <c r="V106" s="132" t="str">
        <f>IFERROR(__xludf.DUMMYFUNCTION("""COMPUTED_VALUE"""),"Paid")</f>
        <v>Paid</v>
      </c>
      <c r="W106" s="132" t="str">
        <f>IFERROR(__xludf.DUMMYFUNCTION("""COMPUTED_VALUE"""),"Paid")</f>
        <v>Paid</v>
      </c>
      <c r="X106" s="132" t="str">
        <f>IFERROR(__xludf.DUMMYFUNCTION("""COMPUTED_VALUE"""),"Paid")</f>
        <v>Paid</v>
      </c>
      <c r="Y106" s="132" t="str">
        <f>IFERROR(__xludf.DUMMYFUNCTION("""COMPUTED_VALUE"""),"Paid")</f>
        <v>Paid</v>
      </c>
      <c r="Z106" s="132"/>
    </row>
    <row r="107">
      <c r="A107" s="133"/>
      <c r="B107" s="132" t="str">
        <f>IFERROR(__xludf.DUMMYFUNCTION("""COMPUTED_VALUE"""),"Breasts")</f>
        <v>Breasts</v>
      </c>
      <c r="C107" s="132" t="str">
        <f>IFERROR(__xludf.DUMMYFUNCTION("""COMPUTED_VALUE"""),"食物")</f>
        <v>食物</v>
      </c>
      <c r="D107" s="132">
        <f>IFERROR(__xludf.DUMMYFUNCTION("""COMPUTED_VALUE"""),30.34)</f>
        <v>30.34</v>
      </c>
      <c r="E107" s="132" t="str">
        <f>IFERROR(__xludf.DUMMYFUNCTION("""COMPUTED_VALUE"""),"Timothy")</f>
        <v>Timothy</v>
      </c>
      <c r="F107" s="132">
        <f>IFERROR(__xludf.DUMMYFUNCTION("""COMPUTED_VALUE"""),30.34)</f>
        <v>30.34</v>
      </c>
      <c r="G107" s="132">
        <f>IFERROR(__xludf.DUMMYFUNCTION("""COMPUTED_VALUE"""),30.34)</f>
        <v>30.34</v>
      </c>
      <c r="H107" s="132"/>
      <c r="I107" s="132"/>
      <c r="J107" s="132">
        <f>IFERROR(__xludf.DUMMYFUNCTION("""COMPUTED_VALUE"""),1.0)</f>
        <v>1</v>
      </c>
      <c r="K107" s="132"/>
      <c r="L107" s="132"/>
      <c r="M107" s="132"/>
      <c r="N107" s="132"/>
      <c r="O107" s="132"/>
      <c r="P107" s="132"/>
      <c r="Q107" s="132"/>
      <c r="R107" s="132" t="str">
        <f>IFERROR(__xludf.DUMMYFUNCTION("""COMPUTED_VALUE"""),"Heat")</f>
        <v>Heat</v>
      </c>
      <c r="S107" s="132">
        <f>IFERROR(__xludf.DUMMYFUNCTION("""COMPUTED_VALUE"""),68.81)</f>
        <v>68.81</v>
      </c>
      <c r="T107" s="132">
        <f>IFERROR(__xludf.DUMMYFUNCTION("""COMPUTED_VALUE"""),13.762)</f>
        <v>13.762</v>
      </c>
      <c r="U107" s="132" t="str">
        <f>IFERROR(__xludf.DUMMYFUNCTION("""COMPUTED_VALUE"""),"Paid")</f>
        <v>Paid</v>
      </c>
      <c r="V107" s="132" t="str">
        <f>IFERROR(__xludf.DUMMYFUNCTION("""COMPUTED_VALUE"""),"Paid")</f>
        <v>Paid</v>
      </c>
      <c r="W107" s="132" t="str">
        <f>IFERROR(__xludf.DUMMYFUNCTION("""COMPUTED_VALUE"""),"Paid")</f>
        <v>Paid</v>
      </c>
      <c r="X107" s="132" t="str">
        <f>IFERROR(__xludf.DUMMYFUNCTION("""COMPUTED_VALUE"""),"Paid")</f>
        <v>Paid</v>
      </c>
      <c r="Y107" s="132" t="str">
        <f>IFERROR(__xludf.DUMMYFUNCTION("""COMPUTED_VALUE"""),"Paid")</f>
        <v>Paid</v>
      </c>
      <c r="Z107" s="132"/>
    </row>
    <row r="108">
      <c r="A108" s="133"/>
      <c r="B108" s="132" t="str">
        <f>IFERROR(__xludf.DUMMYFUNCTION("""COMPUTED_VALUE"""),"Shrimp")</f>
        <v>Shrimp</v>
      </c>
      <c r="C108" s="132" t="str">
        <f>IFERROR(__xludf.DUMMYFUNCTION("""COMPUTED_VALUE"""),"食物")</f>
        <v>食物</v>
      </c>
      <c r="D108" s="132">
        <f>IFERROR(__xludf.DUMMYFUNCTION("""COMPUTED_VALUE"""),14.99)</f>
        <v>14.99</v>
      </c>
      <c r="E108" s="132" t="str">
        <f>IFERROR(__xludf.DUMMYFUNCTION("""COMPUTED_VALUE"""),"Timothy")</f>
        <v>Timothy</v>
      </c>
      <c r="F108" s="132">
        <f>IFERROR(__xludf.DUMMYFUNCTION("""COMPUTED_VALUE"""),2.998)</f>
        <v>2.998</v>
      </c>
      <c r="G108" s="132">
        <f>IFERROR(__xludf.DUMMYFUNCTION("""COMPUTED_VALUE"""),2.998)</f>
        <v>2.998</v>
      </c>
      <c r="H108" s="132">
        <f>IFERROR(__xludf.DUMMYFUNCTION("""COMPUTED_VALUE"""),1.0)</f>
        <v>1</v>
      </c>
      <c r="I108" s="132">
        <f>IFERROR(__xludf.DUMMYFUNCTION("""COMPUTED_VALUE"""),1.0)</f>
        <v>1</v>
      </c>
      <c r="J108" s="132">
        <f>IFERROR(__xludf.DUMMYFUNCTION("""COMPUTED_VALUE"""),1.0)</f>
        <v>1</v>
      </c>
      <c r="K108" s="132">
        <f>IFERROR(__xludf.DUMMYFUNCTION("""COMPUTED_VALUE"""),1.0)</f>
        <v>1</v>
      </c>
      <c r="L108" s="132"/>
      <c r="M108" s="132"/>
      <c r="N108" s="132">
        <f>IFERROR(__xludf.DUMMYFUNCTION("""COMPUTED_VALUE"""),1.0)</f>
        <v>1</v>
      </c>
      <c r="O108" s="132"/>
      <c r="P108" s="132"/>
      <c r="Q108" s="132"/>
      <c r="R108" s="132" t="str">
        <f>IFERROR(__xludf.DUMMYFUNCTION("""COMPUTED_VALUE"""),"Electricity")</f>
        <v>Electricity</v>
      </c>
      <c r="S108" s="132">
        <f>IFERROR(__xludf.DUMMYFUNCTION("""COMPUTED_VALUE"""),185.28)</f>
        <v>185.28</v>
      </c>
      <c r="T108" s="132">
        <f>IFERROR(__xludf.DUMMYFUNCTION("""COMPUTED_VALUE"""),37.056)</f>
        <v>37.056</v>
      </c>
      <c r="U108" s="132" t="str">
        <f>IFERROR(__xludf.DUMMYFUNCTION("""COMPUTED_VALUE"""),"Paid")</f>
        <v>Paid</v>
      </c>
      <c r="V108" s="132" t="str">
        <f>IFERROR(__xludf.DUMMYFUNCTION("""COMPUTED_VALUE"""),"Paid")</f>
        <v>Paid</v>
      </c>
      <c r="W108" s="132" t="str">
        <f>IFERROR(__xludf.DUMMYFUNCTION("""COMPUTED_VALUE"""),"Paid")</f>
        <v>Paid</v>
      </c>
      <c r="X108" s="132" t="str">
        <f>IFERROR(__xludf.DUMMYFUNCTION("""COMPUTED_VALUE"""),"Paid")</f>
        <v>Paid</v>
      </c>
      <c r="Y108" s="132" t="str">
        <f>IFERROR(__xludf.DUMMYFUNCTION("""COMPUTED_VALUE"""),"Paid")</f>
        <v>Paid</v>
      </c>
      <c r="Z108" s="132"/>
    </row>
    <row r="109">
      <c r="A109" s="133"/>
      <c r="B109" s="132" t="str">
        <f>IFERROR(__xludf.DUMMYFUNCTION("""COMPUTED_VALUE"""),"nuts")</f>
        <v>nuts</v>
      </c>
      <c r="C109" s="132" t="str">
        <f>IFERROR(__xludf.DUMMYFUNCTION("""COMPUTED_VALUE"""),"食物")</f>
        <v>食物</v>
      </c>
      <c r="D109" s="132">
        <f>IFERROR(__xludf.DUMMYFUNCTION("""COMPUTED_VALUE"""),15.99)</f>
        <v>15.99</v>
      </c>
      <c r="E109" s="132" t="str">
        <f>IFERROR(__xludf.DUMMYFUNCTION("""COMPUTED_VALUE"""),"Timothy")</f>
        <v>Timothy</v>
      </c>
      <c r="F109" s="132">
        <f>IFERROR(__xludf.DUMMYFUNCTION("""COMPUTED_VALUE"""),3.198)</f>
        <v>3.198</v>
      </c>
      <c r="G109" s="132">
        <f>IFERROR(__xludf.DUMMYFUNCTION("""COMPUTED_VALUE"""),3.198)</f>
        <v>3.198</v>
      </c>
      <c r="H109" s="132">
        <f>IFERROR(__xludf.DUMMYFUNCTION("""COMPUTED_VALUE"""),1.0)</f>
        <v>1</v>
      </c>
      <c r="I109" s="132">
        <f>IFERROR(__xludf.DUMMYFUNCTION("""COMPUTED_VALUE"""),1.0)</f>
        <v>1</v>
      </c>
      <c r="J109" s="132">
        <f>IFERROR(__xludf.DUMMYFUNCTION("""COMPUTED_VALUE"""),1.0)</f>
        <v>1</v>
      </c>
      <c r="K109" s="132">
        <f>IFERROR(__xludf.DUMMYFUNCTION("""COMPUTED_VALUE"""),1.0)</f>
        <v>1</v>
      </c>
      <c r="L109" s="132"/>
      <c r="M109" s="132"/>
      <c r="N109" s="132">
        <f>IFERROR(__xludf.DUMMYFUNCTION("""COMPUTED_VALUE"""),1.0)</f>
        <v>1</v>
      </c>
      <c r="O109" s="132"/>
      <c r="P109" s="132"/>
      <c r="Q109" s="132"/>
      <c r="R109" s="132" t="str">
        <f>IFERROR(__xludf.DUMMYFUNCTION("""COMPUTED_VALUE"""),"Internet")</f>
        <v>Internet</v>
      </c>
      <c r="S109" s="132">
        <f>IFERROR(__xludf.DUMMYFUNCTION("""COMPUTED_VALUE"""),56.5)</f>
        <v>56.5</v>
      </c>
      <c r="T109" s="132">
        <f>IFERROR(__xludf.DUMMYFUNCTION("""COMPUTED_VALUE"""),11.3)</f>
        <v>11.3</v>
      </c>
      <c r="U109" s="132" t="str">
        <f>IFERROR(__xludf.DUMMYFUNCTION("""COMPUTED_VALUE"""),"Paid")</f>
        <v>Paid</v>
      </c>
      <c r="V109" s="132" t="str">
        <f>IFERROR(__xludf.DUMMYFUNCTION("""COMPUTED_VALUE"""),"Paid")</f>
        <v>Paid</v>
      </c>
      <c r="W109" s="132" t="str">
        <f>IFERROR(__xludf.DUMMYFUNCTION("""COMPUTED_VALUE"""),"Paid")</f>
        <v>Paid</v>
      </c>
      <c r="X109" s="132" t="str">
        <f>IFERROR(__xludf.DUMMYFUNCTION("""COMPUTED_VALUE"""),"Paid")</f>
        <v>Paid</v>
      </c>
      <c r="Y109" s="132" t="str">
        <f>IFERROR(__xludf.DUMMYFUNCTION("""COMPUTED_VALUE"""),"Paid")</f>
        <v>Paid</v>
      </c>
      <c r="Z109" s="132"/>
    </row>
    <row r="110">
      <c r="A110" s="133"/>
      <c r="B110" s="132" t="str">
        <f>IFERROR(__xludf.DUMMYFUNCTION("""COMPUTED_VALUE"""),"pop corn")</f>
        <v>pop corn</v>
      </c>
      <c r="C110" s="132" t="str">
        <f>IFERROR(__xludf.DUMMYFUNCTION("""COMPUTED_VALUE"""),"食物")</f>
        <v>食物</v>
      </c>
      <c r="D110" s="132">
        <f>IFERROR(__xludf.DUMMYFUNCTION("""COMPUTED_VALUE"""),9.028699999999999)</f>
        <v>9.0287</v>
      </c>
      <c r="E110" s="132" t="str">
        <f>IFERROR(__xludf.DUMMYFUNCTION("""COMPUTED_VALUE"""),"Timothy")</f>
        <v>Timothy</v>
      </c>
      <c r="F110" s="132">
        <f>IFERROR(__xludf.DUMMYFUNCTION("""COMPUTED_VALUE"""),1.8057399999999997)</f>
        <v>1.80574</v>
      </c>
      <c r="G110" s="132">
        <f>IFERROR(__xludf.DUMMYFUNCTION("""COMPUTED_VALUE"""),1.8057399999999997)</f>
        <v>1.80574</v>
      </c>
      <c r="H110" s="132">
        <f>IFERROR(__xludf.DUMMYFUNCTION("""COMPUTED_VALUE"""),1.0)</f>
        <v>1</v>
      </c>
      <c r="I110" s="132">
        <f>IFERROR(__xludf.DUMMYFUNCTION("""COMPUTED_VALUE"""),1.0)</f>
        <v>1</v>
      </c>
      <c r="J110" s="132">
        <f>IFERROR(__xludf.DUMMYFUNCTION("""COMPUTED_VALUE"""),1.0)</f>
        <v>1</v>
      </c>
      <c r="K110" s="132">
        <f>IFERROR(__xludf.DUMMYFUNCTION("""COMPUTED_VALUE"""),1.0)</f>
        <v>1</v>
      </c>
      <c r="L110" s="132"/>
      <c r="M110" s="132"/>
      <c r="N110" s="132">
        <f>IFERROR(__xludf.DUMMYFUNCTION("""COMPUTED_VALUE"""),1.0)</f>
        <v>1</v>
      </c>
      <c r="O110" s="132"/>
      <c r="P110" s="132"/>
      <c r="Q110" s="132"/>
      <c r="R110" s="132"/>
      <c r="S110" s="132">
        <f>IFERROR(__xludf.DUMMYFUNCTION("""COMPUTED_VALUE"""),-489.4100000000001)</f>
        <v>-489.41</v>
      </c>
      <c r="T110" s="132">
        <f>IFERROR(__xludf.DUMMYFUNCTION("""COMPUTED_VALUE"""),-117.88200000000002)</f>
        <v>-117.882</v>
      </c>
      <c r="U110" s="132"/>
      <c r="V110" s="132"/>
      <c r="W110" s="132"/>
      <c r="X110" s="132"/>
      <c r="Y110" s="132"/>
      <c r="Z110" s="132"/>
    </row>
    <row r="111">
      <c r="A111" s="133"/>
      <c r="B111" s="132" t="str">
        <f>IFERROR(__xludf.DUMMYFUNCTION("""COMPUTED_VALUE"""),"Ygrt")</f>
        <v>Ygrt</v>
      </c>
      <c r="C111" s="132" t="str">
        <f>IFERROR(__xludf.DUMMYFUNCTION("""COMPUTED_VALUE"""),"食物")</f>
        <v>食物</v>
      </c>
      <c r="D111" s="132">
        <f>IFERROR(__xludf.DUMMYFUNCTION("""COMPUTED_VALUE"""),11.49)</f>
        <v>11.49</v>
      </c>
      <c r="E111" s="132" t="str">
        <f>IFERROR(__xludf.DUMMYFUNCTION("""COMPUTED_VALUE"""),"Timothy")</f>
        <v>Timothy</v>
      </c>
      <c r="F111" s="132">
        <f>IFERROR(__xludf.DUMMYFUNCTION("""COMPUTED_VALUE"""),11.49)</f>
        <v>11.49</v>
      </c>
      <c r="G111" s="132">
        <f>IFERROR(__xludf.DUMMYFUNCTION("""COMPUTED_VALUE"""),11.49)</f>
        <v>11.49</v>
      </c>
      <c r="H111" s="132"/>
      <c r="I111" s="132"/>
      <c r="J111" s="132"/>
      <c r="K111" s="132"/>
      <c r="L111" s="132">
        <f>IFERROR(__xludf.DUMMYFUNCTION("""COMPUTED_VALUE"""),1.0)</f>
        <v>1</v>
      </c>
      <c r="M111" s="132"/>
      <c r="N111" s="132"/>
      <c r="O111" s="132"/>
      <c r="P111" s="132"/>
      <c r="Q111" s="134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3"/>
      <c r="B112" s="132" t="str">
        <f>IFERROR(__xludf.DUMMYFUNCTION("""COMPUTED_VALUE"""),"paper")</f>
        <v>paper</v>
      </c>
      <c r="C112" s="132" t="str">
        <f>IFERROR(__xludf.DUMMYFUNCTION("""COMPUTED_VALUE"""),"居家")</f>
        <v>居家</v>
      </c>
      <c r="D112" s="132">
        <f>IFERROR(__xludf.DUMMYFUNCTION("""COMPUTED_VALUE"""),22.588699999999996)</f>
        <v>22.5887</v>
      </c>
      <c r="E112" s="132" t="str">
        <f>IFERROR(__xludf.DUMMYFUNCTION("""COMPUTED_VALUE"""),"Timothy")</f>
        <v>Timothy</v>
      </c>
      <c r="F112" s="132">
        <f>IFERROR(__xludf.DUMMYFUNCTION("""COMPUTED_VALUE"""),4.517739999999999)</f>
        <v>4.51774</v>
      </c>
      <c r="G112" s="132">
        <f>IFERROR(__xludf.DUMMYFUNCTION("""COMPUTED_VALUE"""),4.517739999999999)</f>
        <v>4.51774</v>
      </c>
      <c r="H112" s="132">
        <f>IFERROR(__xludf.DUMMYFUNCTION("""COMPUTED_VALUE"""),1.0)</f>
        <v>1</v>
      </c>
      <c r="I112" s="132">
        <f>IFERROR(__xludf.DUMMYFUNCTION("""COMPUTED_VALUE"""),1.0)</f>
        <v>1</v>
      </c>
      <c r="J112" s="132">
        <f>IFERROR(__xludf.DUMMYFUNCTION("""COMPUTED_VALUE"""),1.0)</f>
        <v>1</v>
      </c>
      <c r="K112" s="132">
        <f>IFERROR(__xludf.DUMMYFUNCTION("""COMPUTED_VALUE"""),1.0)</f>
        <v>1</v>
      </c>
      <c r="L112" s="132"/>
      <c r="M112" s="132"/>
      <c r="N112" s="132">
        <f>IFERROR(__xludf.DUMMYFUNCTION("""COMPUTED_VALUE"""),1.0)</f>
        <v>1</v>
      </c>
      <c r="O112" s="132"/>
      <c r="P112" s="132"/>
      <c r="Q112" s="134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3"/>
      <c r="B113" s="132" t="str">
        <f>IFERROR(__xludf.DUMMYFUNCTION("""COMPUTED_VALUE"""),"Eggs")</f>
        <v>Eggs</v>
      </c>
      <c r="C113" s="132" t="str">
        <f>IFERROR(__xludf.DUMMYFUNCTION("""COMPUTED_VALUE"""),"食物")</f>
        <v>食物</v>
      </c>
      <c r="D113" s="132">
        <f>IFERROR(__xludf.DUMMYFUNCTION("""COMPUTED_VALUE"""),10.98)</f>
        <v>10.98</v>
      </c>
      <c r="E113" s="132" t="str">
        <f>IFERROR(__xludf.DUMMYFUNCTION("""COMPUTED_VALUE"""),"Timothy")</f>
        <v>Timothy</v>
      </c>
      <c r="F113" s="132">
        <f>IFERROR(__xludf.DUMMYFUNCTION("""COMPUTED_VALUE"""),2.196)</f>
        <v>2.196</v>
      </c>
      <c r="G113" s="132">
        <f>IFERROR(__xludf.DUMMYFUNCTION("""COMPUTED_VALUE"""),2.196)</f>
        <v>2.196</v>
      </c>
      <c r="H113" s="132">
        <f>IFERROR(__xludf.DUMMYFUNCTION("""COMPUTED_VALUE"""),1.0)</f>
        <v>1</v>
      </c>
      <c r="I113" s="132">
        <f>IFERROR(__xludf.DUMMYFUNCTION("""COMPUTED_VALUE"""),1.0)</f>
        <v>1</v>
      </c>
      <c r="J113" s="132">
        <f>IFERROR(__xludf.DUMMYFUNCTION("""COMPUTED_VALUE"""),1.0)</f>
        <v>1</v>
      </c>
      <c r="K113" s="132">
        <f>IFERROR(__xludf.DUMMYFUNCTION("""COMPUTED_VALUE"""),1.0)</f>
        <v>1</v>
      </c>
      <c r="L113" s="132"/>
      <c r="M113" s="132"/>
      <c r="N113" s="132">
        <f>IFERROR(__xludf.DUMMYFUNCTION("""COMPUTED_VALUE"""),1.0)</f>
        <v>1</v>
      </c>
      <c r="O113" s="132"/>
      <c r="P113" s="132"/>
      <c r="Q113" s="134">
        <f>IFERROR(__xludf.DUMMYFUNCTION("""COMPUTED_VALUE"""),45566.0)</f>
        <v>45566</v>
      </c>
      <c r="R113" s="132" t="str">
        <f>IFERROR(__xludf.DUMMYFUNCTION("""COMPUTED_VALUE"""),"Heat")</f>
        <v>Heat</v>
      </c>
      <c r="S113" s="132">
        <f>IFERROR(__xludf.DUMMYFUNCTION("""COMPUTED_VALUE"""),68.81)</f>
        <v>68.81</v>
      </c>
      <c r="T113" s="132">
        <f>IFERROR(__xludf.DUMMYFUNCTION("""COMPUTED_VALUE"""),11.468333333333334)</f>
        <v>11.46833333</v>
      </c>
      <c r="U113" s="132" t="str">
        <f>IFERROR(__xludf.DUMMYFUNCTION("""COMPUTED_VALUE"""),"Paid")</f>
        <v>Paid</v>
      </c>
      <c r="V113" s="132" t="str">
        <f>IFERROR(__xludf.DUMMYFUNCTION("""COMPUTED_VALUE"""),"Paid")</f>
        <v>Paid</v>
      </c>
      <c r="W113" s="132" t="str">
        <f>IFERROR(__xludf.DUMMYFUNCTION("""COMPUTED_VALUE"""),"Paid")</f>
        <v>Paid</v>
      </c>
      <c r="X113" s="132" t="str">
        <f>IFERROR(__xludf.DUMMYFUNCTION("""COMPUTED_VALUE"""),"Paid")</f>
        <v>Paid</v>
      </c>
      <c r="Y113" s="132" t="str">
        <f>IFERROR(__xludf.DUMMYFUNCTION("""COMPUTED_VALUE"""),"Paid")</f>
        <v>Paid</v>
      </c>
      <c r="Z113" s="132"/>
    </row>
    <row r="114">
      <c r="A114" s="133"/>
      <c r="B114" s="132" t="str">
        <f>IFERROR(__xludf.DUMMYFUNCTION("""COMPUTED_VALUE"""),"Egg")</f>
        <v>Egg</v>
      </c>
      <c r="C114" s="132" t="str">
        <f>IFERROR(__xludf.DUMMYFUNCTION("""COMPUTED_VALUE"""),"食物")</f>
        <v>食物</v>
      </c>
      <c r="D114" s="132">
        <f>IFERROR(__xludf.DUMMYFUNCTION("""COMPUTED_VALUE"""),8.29)</f>
        <v>8.29</v>
      </c>
      <c r="E114" s="132" t="str">
        <f>IFERROR(__xludf.DUMMYFUNCTION("""COMPUTED_VALUE"""),"Timothy")</f>
        <v>Timothy</v>
      </c>
      <c r="F114" s="132">
        <f>IFERROR(__xludf.DUMMYFUNCTION("""COMPUTED_VALUE"""),8.29)</f>
        <v>8.29</v>
      </c>
      <c r="G114" s="132">
        <f>IFERROR(__xludf.DUMMYFUNCTION("""COMPUTED_VALUE"""),8.29)</f>
        <v>8.29</v>
      </c>
      <c r="H114" s="132"/>
      <c r="I114" s="132"/>
      <c r="J114" s="132"/>
      <c r="K114" s="132"/>
      <c r="L114" s="132">
        <f>IFERROR(__xludf.DUMMYFUNCTION("""COMPUTED_VALUE"""),1.0)</f>
        <v>1</v>
      </c>
      <c r="M114" s="132"/>
      <c r="N114" s="132"/>
      <c r="O114" s="132"/>
      <c r="P114" s="132"/>
      <c r="Q114" s="132"/>
      <c r="R114" s="132" t="str">
        <f>IFERROR(__xludf.DUMMYFUNCTION("""COMPUTED_VALUE"""),"Electricity")</f>
        <v>Electricity</v>
      </c>
      <c r="S114" s="132">
        <f>IFERROR(__xludf.DUMMYFUNCTION("""COMPUTED_VALUE"""),128.04)</f>
        <v>128.04</v>
      </c>
      <c r="T114" s="132">
        <f>IFERROR(__xludf.DUMMYFUNCTION("""COMPUTED_VALUE"""),21.34)</f>
        <v>21.34</v>
      </c>
      <c r="U114" s="132" t="str">
        <f>IFERROR(__xludf.DUMMYFUNCTION("""COMPUTED_VALUE"""),"Paid")</f>
        <v>Paid</v>
      </c>
      <c r="V114" s="132" t="str">
        <f>IFERROR(__xludf.DUMMYFUNCTION("""COMPUTED_VALUE"""),"Paid")</f>
        <v>Paid</v>
      </c>
      <c r="W114" s="132" t="str">
        <f>IFERROR(__xludf.DUMMYFUNCTION("""COMPUTED_VALUE"""),"Paid")</f>
        <v>Paid</v>
      </c>
      <c r="X114" s="132" t="str">
        <f>IFERROR(__xludf.DUMMYFUNCTION("""COMPUTED_VALUE"""),"Paid")</f>
        <v>Paid</v>
      </c>
      <c r="Y114" s="132" t="str">
        <f>IFERROR(__xludf.DUMMYFUNCTION("""COMPUTED_VALUE"""),"Paid")</f>
        <v>Paid</v>
      </c>
      <c r="Z114" s="132"/>
    </row>
    <row r="115">
      <c r="A115" s="133"/>
      <c r="B115" s="132" t="str">
        <f>IFERROR(__xludf.DUMMYFUNCTION("""COMPUTED_VALUE"""),"Simply")</f>
        <v>Simply</v>
      </c>
      <c r="C115" s="132" t="str">
        <f>IFERROR(__xludf.DUMMYFUNCTION("""COMPUTED_VALUE"""),"食物")</f>
        <v>食物</v>
      </c>
      <c r="D115" s="132">
        <f>IFERROR(__xludf.DUMMYFUNCTION("""COMPUTED_VALUE"""),18.0687)</f>
        <v>18.0687</v>
      </c>
      <c r="E115" s="132" t="str">
        <f>IFERROR(__xludf.DUMMYFUNCTION("""COMPUTED_VALUE"""),"Timothy")</f>
        <v>Timothy</v>
      </c>
      <c r="F115" s="132">
        <f>IFERROR(__xludf.DUMMYFUNCTION("""COMPUTED_VALUE"""),18.0687)</f>
        <v>18.0687</v>
      </c>
      <c r="G115" s="132">
        <f>IFERROR(__xludf.DUMMYFUNCTION("""COMPUTED_VALUE"""),18.0687)</f>
        <v>18.0687</v>
      </c>
      <c r="H115" s="132"/>
      <c r="I115" s="132"/>
      <c r="J115" s="132"/>
      <c r="K115" s="132"/>
      <c r="L115" s="132"/>
      <c r="M115" s="132">
        <f>IFERROR(__xludf.DUMMYFUNCTION("""COMPUTED_VALUE"""),1.0)</f>
        <v>1</v>
      </c>
      <c r="N115" s="132"/>
      <c r="O115" s="132"/>
      <c r="P115" s="132"/>
      <c r="Q115" s="132"/>
      <c r="R115" s="132" t="str">
        <f>IFERROR(__xludf.DUMMYFUNCTION("""COMPUTED_VALUE"""),"Internet")</f>
        <v>Internet</v>
      </c>
      <c r="S115" s="132">
        <f>IFERROR(__xludf.DUMMYFUNCTION("""COMPUTED_VALUE"""),56.5)</f>
        <v>56.5</v>
      </c>
      <c r="T115" s="132">
        <f>IFERROR(__xludf.DUMMYFUNCTION("""COMPUTED_VALUE"""),9.416666666666666)</f>
        <v>9.416666667</v>
      </c>
      <c r="U115" s="132" t="str">
        <f>IFERROR(__xludf.DUMMYFUNCTION("""COMPUTED_VALUE"""),"Paid")</f>
        <v>Paid</v>
      </c>
      <c r="V115" s="132" t="str">
        <f>IFERROR(__xludf.DUMMYFUNCTION("""COMPUTED_VALUE"""),"Paid")</f>
        <v>Paid</v>
      </c>
      <c r="W115" s="132" t="str">
        <f>IFERROR(__xludf.DUMMYFUNCTION("""COMPUTED_VALUE"""),"Paid")</f>
        <v>Paid</v>
      </c>
      <c r="X115" s="132" t="str">
        <f>IFERROR(__xludf.DUMMYFUNCTION("""COMPUTED_VALUE"""),"Paid")</f>
        <v>Paid</v>
      </c>
      <c r="Y115" s="132" t="str">
        <f>IFERROR(__xludf.DUMMYFUNCTION("""COMPUTED_VALUE"""),"Paid")</f>
        <v>Paid</v>
      </c>
      <c r="Z115" s="132"/>
    </row>
    <row r="116">
      <c r="A116" s="133"/>
      <c r="B116" s="132" t="str">
        <f>IFERROR(__xludf.DUMMYFUNCTION("""COMPUTED_VALUE"""),"Lotus")</f>
        <v>Lotus</v>
      </c>
      <c r="C116" s="132" t="str">
        <f>IFERROR(__xludf.DUMMYFUNCTION("""COMPUTED_VALUE"""),"食物")</f>
        <v>食物</v>
      </c>
      <c r="D116" s="132">
        <f>IFERROR(__xludf.DUMMYFUNCTION("""COMPUTED_VALUE"""),23.98)</f>
        <v>23.98</v>
      </c>
      <c r="E116" s="132" t="str">
        <f>IFERROR(__xludf.DUMMYFUNCTION("""COMPUTED_VALUE"""),"Timothy")</f>
        <v>Timothy</v>
      </c>
      <c r="F116" s="132">
        <f>IFERROR(__xludf.DUMMYFUNCTION("""COMPUTED_VALUE"""),4.796)</f>
        <v>4.796</v>
      </c>
      <c r="G116" s="132">
        <f>IFERROR(__xludf.DUMMYFUNCTION("""COMPUTED_VALUE"""),4.796)</f>
        <v>4.796</v>
      </c>
      <c r="H116" s="132">
        <f>IFERROR(__xludf.DUMMYFUNCTION("""COMPUTED_VALUE"""),1.0)</f>
        <v>1</v>
      </c>
      <c r="I116" s="132">
        <f>IFERROR(__xludf.DUMMYFUNCTION("""COMPUTED_VALUE"""),1.0)</f>
        <v>1</v>
      </c>
      <c r="J116" s="132">
        <f>IFERROR(__xludf.DUMMYFUNCTION("""COMPUTED_VALUE"""),1.0)</f>
        <v>1</v>
      </c>
      <c r="K116" s="132">
        <f>IFERROR(__xludf.DUMMYFUNCTION("""COMPUTED_VALUE"""),1.0)</f>
        <v>1</v>
      </c>
      <c r="L116" s="132"/>
      <c r="M116" s="132"/>
      <c r="N116" s="132">
        <f>IFERROR(__xludf.DUMMYFUNCTION("""COMPUTED_VALUE"""),1.0)</f>
        <v>1</v>
      </c>
      <c r="O116" s="132"/>
      <c r="P116" s="132"/>
      <c r="Q116" s="132"/>
      <c r="R116" s="132" t="str">
        <f>IFERROR(__xludf.DUMMYFUNCTION("""COMPUTED_VALUE"""),"Rent for 2 months")</f>
        <v>Rent for 2 months</v>
      </c>
      <c r="S116" s="132">
        <f>IFERROR(__xludf.DUMMYFUNCTION("""COMPUTED_VALUE"""),7800.0)</f>
        <v>7800</v>
      </c>
      <c r="T116" s="132">
        <f>IFERROR(__xludf.DUMMYFUNCTION("""COMPUTED_VALUE"""),1300.0)</f>
        <v>1300</v>
      </c>
      <c r="U116" s="132" t="str">
        <f>IFERROR(__xludf.DUMMYFUNCTION("""COMPUTED_VALUE"""),"Paid")</f>
        <v>Paid</v>
      </c>
      <c r="V116" s="132" t="str">
        <f>IFERROR(__xludf.DUMMYFUNCTION("""COMPUTED_VALUE"""),"Paid")</f>
        <v>Paid</v>
      </c>
      <c r="W116" s="132" t="str">
        <f>IFERROR(__xludf.DUMMYFUNCTION("""COMPUTED_VALUE"""),"Paid")</f>
        <v>Paid</v>
      </c>
      <c r="X116" s="132" t="str">
        <f>IFERROR(__xludf.DUMMYFUNCTION("""COMPUTED_VALUE"""),"Paid")</f>
        <v>Paid</v>
      </c>
      <c r="Y116" s="132" t="str">
        <f>IFERROR(__xludf.DUMMYFUNCTION("""COMPUTED_VALUE"""),"Paid")</f>
        <v>Paid</v>
      </c>
      <c r="Z116" s="132"/>
    </row>
    <row r="117">
      <c r="A117" s="133"/>
      <c r="B117" s="132" t="str">
        <f>IFERROR(__xludf.DUMMYFUNCTION("""COMPUTED_VALUE"""),"Simply")</f>
        <v>Simply</v>
      </c>
      <c r="C117" s="132" t="str">
        <f>IFERROR(__xludf.DUMMYFUNCTION("""COMPUTED_VALUE"""),"食物")</f>
        <v>食物</v>
      </c>
      <c r="D117" s="132">
        <f>IFERROR(__xludf.DUMMYFUNCTION("""COMPUTED_VALUE"""),18.0687)</f>
        <v>18.0687</v>
      </c>
      <c r="E117" s="132" t="str">
        <f>IFERROR(__xludf.DUMMYFUNCTION("""COMPUTED_VALUE"""),"Timothy")</f>
        <v>Timothy</v>
      </c>
      <c r="F117" s="132">
        <f>IFERROR(__xludf.DUMMYFUNCTION("""COMPUTED_VALUE"""),18.0687)</f>
        <v>18.0687</v>
      </c>
      <c r="G117" s="132">
        <f>IFERROR(__xludf.DUMMYFUNCTION("""COMPUTED_VALUE"""),18.0687)</f>
        <v>18.0687</v>
      </c>
      <c r="H117" s="132"/>
      <c r="I117" s="132"/>
      <c r="J117" s="132">
        <f>IFERROR(__xludf.DUMMYFUNCTION("""COMPUTED_VALUE"""),1.0)</f>
        <v>1</v>
      </c>
      <c r="K117" s="132"/>
      <c r="L117" s="132"/>
      <c r="M117" s="132"/>
      <c r="N117" s="132"/>
      <c r="O117" s="132"/>
      <c r="P117" s="132"/>
      <c r="Q117" s="132"/>
      <c r="R117" s="132" t="str">
        <f>IFERROR(__xludf.DUMMYFUNCTION("""COMPUTED_VALUE"""),"Key deposit")</f>
        <v>Key deposit</v>
      </c>
      <c r="S117" s="132">
        <f>IFERROR(__xludf.DUMMYFUNCTION("""COMPUTED_VALUE"""),500.0)</f>
        <v>500</v>
      </c>
      <c r="T117" s="132">
        <f>IFERROR(__xludf.DUMMYFUNCTION("""COMPUTED_VALUE"""),83.33333333333333)</f>
        <v>83.33333333</v>
      </c>
      <c r="U117" s="132" t="str">
        <f>IFERROR(__xludf.DUMMYFUNCTION("""COMPUTED_VALUE"""),"Paid")</f>
        <v>Paid</v>
      </c>
      <c r="V117" s="132" t="str">
        <f>IFERROR(__xludf.DUMMYFUNCTION("""COMPUTED_VALUE"""),"Paid")</f>
        <v>Paid</v>
      </c>
      <c r="W117" s="132" t="str">
        <f>IFERROR(__xludf.DUMMYFUNCTION("""COMPUTED_VALUE"""),"Paid")</f>
        <v>Paid</v>
      </c>
      <c r="X117" s="132" t="str">
        <f>IFERROR(__xludf.DUMMYFUNCTION("""COMPUTED_VALUE"""),"Paid")</f>
        <v>Paid</v>
      </c>
      <c r="Y117" s="132" t="str">
        <f>IFERROR(__xludf.DUMMYFUNCTION("""COMPUTED_VALUE"""),"Paid")</f>
        <v>Paid</v>
      </c>
      <c r="Z117" s="132"/>
    </row>
    <row r="118">
      <c r="A118" s="133"/>
      <c r="B118" s="132" t="str">
        <f>IFERROR(__xludf.DUMMYFUNCTION("""COMPUTED_VALUE"""),"TOMATOES")</f>
        <v>TOMATOES</v>
      </c>
      <c r="C118" s="132" t="str">
        <f>IFERROR(__xludf.DUMMYFUNCTION("""COMPUTED_VALUE"""),"食物")</f>
        <v>食物</v>
      </c>
      <c r="D118" s="132">
        <f>IFERROR(__xludf.DUMMYFUNCTION("""COMPUTED_VALUE"""),8.99)</f>
        <v>8.99</v>
      </c>
      <c r="E118" s="132" t="str">
        <f>IFERROR(__xludf.DUMMYFUNCTION("""COMPUTED_VALUE"""),"Timothy")</f>
        <v>Timothy</v>
      </c>
      <c r="F118" s="132">
        <f>IFERROR(__xludf.DUMMYFUNCTION("""COMPUTED_VALUE"""),8.99)</f>
        <v>8.99</v>
      </c>
      <c r="G118" s="132">
        <f>IFERROR(__xludf.DUMMYFUNCTION("""COMPUTED_VALUE"""),8.99)</f>
        <v>8.99</v>
      </c>
      <c r="H118" s="132"/>
      <c r="I118" s="132"/>
      <c r="J118" s="132"/>
      <c r="K118" s="132"/>
      <c r="L118" s="132">
        <f>IFERROR(__xludf.DUMMYFUNCTION("""COMPUTED_VALUE"""),1.0)</f>
        <v>1</v>
      </c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3"/>
      <c r="B119" s="132" t="str">
        <f>IFERROR(__xludf.DUMMYFUNCTION("""COMPUTED_VALUE"""),"Dove")</f>
        <v>Dove</v>
      </c>
      <c r="C119" s="132" t="str">
        <f>IFERROR(__xludf.DUMMYFUNCTION("""COMPUTED_VALUE"""),"居家")</f>
        <v>居家</v>
      </c>
      <c r="D119" s="132">
        <f>IFERROR(__xludf.DUMMYFUNCTION("""COMPUTED_VALUE"""),20.328699999999998)</f>
        <v>20.3287</v>
      </c>
      <c r="E119" s="132" t="str">
        <f>IFERROR(__xludf.DUMMYFUNCTION("""COMPUTED_VALUE"""),"Timothy")</f>
        <v>Timothy</v>
      </c>
      <c r="F119" s="132">
        <f>IFERROR(__xludf.DUMMYFUNCTION("""COMPUTED_VALUE"""),6.776233333333333)</f>
        <v>6.776233333</v>
      </c>
      <c r="G119" s="132">
        <f>IFERROR(__xludf.DUMMYFUNCTION("""COMPUTED_VALUE"""),6.776233333333333)</f>
        <v>6.776233333</v>
      </c>
      <c r="H119" s="132"/>
      <c r="I119" s="132"/>
      <c r="J119" s="132">
        <f>IFERROR(__xludf.DUMMYFUNCTION("""COMPUTED_VALUE"""),1.0)</f>
        <v>1</v>
      </c>
      <c r="K119" s="132">
        <f>IFERROR(__xludf.DUMMYFUNCTION("""COMPUTED_VALUE"""),1.0)</f>
        <v>1</v>
      </c>
      <c r="L119" s="132"/>
      <c r="M119" s="132"/>
      <c r="N119" s="132">
        <f>IFERROR(__xludf.DUMMYFUNCTION("""COMPUTED_VALUE"""),1.0)</f>
        <v>1</v>
      </c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3">
        <f>IFERROR(__xludf.DUMMYFUNCTION("""COMPUTED_VALUE"""),45327.0)</f>
        <v>45327</v>
      </c>
      <c r="B120" s="132" t="str">
        <f>IFERROR(__xludf.DUMMYFUNCTION("""COMPUTED_VALUE"""),"dinner")</f>
        <v>dinner</v>
      </c>
      <c r="C120" s="132" t="str">
        <f>IFERROR(__xludf.DUMMYFUNCTION("""COMPUTED_VALUE"""),"食物")</f>
        <v>食物</v>
      </c>
      <c r="D120" s="132">
        <f>IFERROR(__xludf.DUMMYFUNCTION("""COMPUTED_VALUE"""),21.02)</f>
        <v>21.02</v>
      </c>
      <c r="E120" s="132" t="str">
        <f>IFERROR(__xludf.DUMMYFUNCTION("""COMPUTED_VALUE"""),"Rachel")</f>
        <v>Rachel</v>
      </c>
      <c r="F120" s="132">
        <f>IFERROR(__xludf.DUMMYFUNCTION("""COMPUTED_VALUE"""),4.204)</f>
        <v>4.204</v>
      </c>
      <c r="G120" s="132">
        <f>IFERROR(__xludf.DUMMYFUNCTION("""COMPUTED_VALUE"""),4.204)</f>
        <v>4.204</v>
      </c>
      <c r="H120" s="132">
        <f>IFERROR(__xludf.DUMMYFUNCTION("""COMPUTED_VALUE"""),1.0)</f>
        <v>1</v>
      </c>
      <c r="I120" s="132">
        <f>IFERROR(__xludf.DUMMYFUNCTION("""COMPUTED_VALUE"""),1.0)</f>
        <v>1</v>
      </c>
      <c r="J120" s="132">
        <f>IFERROR(__xludf.DUMMYFUNCTION("""COMPUTED_VALUE"""),1.0)</f>
        <v>1</v>
      </c>
      <c r="K120" s="132">
        <f>IFERROR(__xludf.DUMMYFUNCTION("""COMPUTED_VALUE"""),1.0)</f>
        <v>1</v>
      </c>
      <c r="L120" s="132"/>
      <c r="M120" s="132"/>
      <c r="N120" s="132">
        <f>IFERROR(__xludf.DUMMYFUNCTION("""COMPUTED_VALUE"""),1.0)</f>
        <v>1</v>
      </c>
      <c r="O120" s="132"/>
      <c r="P120" s="132"/>
      <c r="Q120" s="134">
        <f>IFERROR(__xludf.DUMMYFUNCTION("""COMPUTED_VALUE"""),45597.0)</f>
        <v>45597</v>
      </c>
      <c r="R120" s="132" t="str">
        <f>IFERROR(__xludf.DUMMYFUNCTION("""COMPUTED_VALUE"""),"Rent")</f>
        <v>Rent</v>
      </c>
      <c r="S120" s="132">
        <f>IFERROR(__xludf.DUMMYFUNCTION("""COMPUTED_VALUE"""),3900.0)</f>
        <v>3900</v>
      </c>
      <c r="T120" s="132">
        <f>IFERROR(__xludf.DUMMYFUNCTION("""COMPUTED_VALUE"""),650.0)</f>
        <v>650</v>
      </c>
      <c r="U120" s="132" t="str">
        <f>IFERROR(__xludf.DUMMYFUNCTION("""COMPUTED_VALUE"""),"Paid")</f>
        <v>Paid</v>
      </c>
      <c r="V120" s="132" t="str">
        <f>IFERROR(__xludf.DUMMYFUNCTION("""COMPUTED_VALUE"""),"Paid")</f>
        <v>Paid</v>
      </c>
      <c r="W120" s="132" t="str">
        <f>IFERROR(__xludf.DUMMYFUNCTION("""COMPUTED_VALUE"""),"Paid")</f>
        <v>Paid</v>
      </c>
      <c r="X120" s="132" t="str">
        <f>IFERROR(__xludf.DUMMYFUNCTION("""COMPUTED_VALUE"""),"Paid")</f>
        <v>Paid</v>
      </c>
      <c r="Y120" s="132" t="str">
        <f>IFERROR(__xludf.DUMMYFUNCTION("""COMPUTED_VALUE"""),"Paid")</f>
        <v>Paid</v>
      </c>
      <c r="Z120" s="132"/>
    </row>
    <row r="121">
      <c r="A121" s="133">
        <f>IFERROR(__xludf.DUMMYFUNCTION("""COMPUTED_VALUE"""),45346.0)</f>
        <v>45346</v>
      </c>
      <c r="B121" s="132" t="str">
        <f>IFERROR(__xludf.DUMMYFUNCTION("""COMPUTED_VALUE"""),"dinner")</f>
        <v>dinner</v>
      </c>
      <c r="C121" s="132" t="str">
        <f>IFERROR(__xludf.DUMMYFUNCTION("""COMPUTED_VALUE"""),"食物")</f>
        <v>食物</v>
      </c>
      <c r="D121" s="132">
        <f>IFERROR(__xludf.DUMMYFUNCTION("""COMPUTED_VALUE"""),23.8)</f>
        <v>23.8</v>
      </c>
      <c r="E121" s="132" t="str">
        <f>IFERROR(__xludf.DUMMYFUNCTION("""COMPUTED_VALUE"""),"Rachel")</f>
        <v>Rachel</v>
      </c>
      <c r="F121" s="132">
        <f>IFERROR(__xludf.DUMMYFUNCTION("""COMPUTED_VALUE"""),4.76)</f>
        <v>4.76</v>
      </c>
      <c r="G121" s="132">
        <f>IFERROR(__xludf.DUMMYFUNCTION("""COMPUTED_VALUE"""),4.76)</f>
        <v>4.76</v>
      </c>
      <c r="H121" s="132">
        <f>IFERROR(__xludf.DUMMYFUNCTION("""COMPUTED_VALUE"""),1.0)</f>
        <v>1</v>
      </c>
      <c r="I121" s="132">
        <f>IFERROR(__xludf.DUMMYFUNCTION("""COMPUTED_VALUE"""),1.0)</f>
        <v>1</v>
      </c>
      <c r="J121" s="132">
        <f>IFERROR(__xludf.DUMMYFUNCTION("""COMPUTED_VALUE"""),1.0)</f>
        <v>1</v>
      </c>
      <c r="K121" s="132">
        <f>IFERROR(__xludf.DUMMYFUNCTION("""COMPUTED_VALUE"""),1.0)</f>
        <v>1</v>
      </c>
      <c r="L121" s="132">
        <f>IFERROR(__xludf.DUMMYFUNCTION("""COMPUTED_VALUE"""),1.0)</f>
        <v>1</v>
      </c>
      <c r="M121" s="132"/>
      <c r="N121" s="132"/>
      <c r="O121" s="132"/>
      <c r="P121" s="132"/>
      <c r="Q121" s="132"/>
      <c r="R121" s="132" t="str">
        <f>IFERROR(__xludf.DUMMYFUNCTION("""COMPUTED_VALUE"""),"Heat")</f>
        <v>Heat</v>
      </c>
      <c r="S121" s="132">
        <f>IFERROR(__xludf.DUMMYFUNCTION("""COMPUTED_VALUE"""),158.95)</f>
        <v>158.95</v>
      </c>
      <c r="T121" s="132">
        <f>IFERROR(__xludf.DUMMYFUNCTION("""COMPUTED_VALUE"""),26.491666666666664)</f>
        <v>26.49166667</v>
      </c>
      <c r="U121" s="132" t="str">
        <f>IFERROR(__xludf.DUMMYFUNCTION("""COMPUTED_VALUE"""),"Paid")</f>
        <v>Paid</v>
      </c>
      <c r="V121" s="132" t="str">
        <f>IFERROR(__xludf.DUMMYFUNCTION("""COMPUTED_VALUE"""),"Paid")</f>
        <v>Paid</v>
      </c>
      <c r="W121" s="132" t="str">
        <f>IFERROR(__xludf.DUMMYFUNCTION("""COMPUTED_VALUE"""),"Paid")</f>
        <v>Paid</v>
      </c>
      <c r="X121" s="132" t="str">
        <f>IFERROR(__xludf.DUMMYFUNCTION("""COMPUTED_VALUE"""),"Paid")</f>
        <v>Paid</v>
      </c>
      <c r="Y121" s="132" t="str">
        <f>IFERROR(__xludf.DUMMYFUNCTION("""COMPUTED_VALUE"""),"Paid")</f>
        <v>Paid</v>
      </c>
      <c r="Z121" s="132"/>
    </row>
    <row r="122">
      <c r="A122" s="133">
        <f>IFERROR(__xludf.DUMMYFUNCTION("""COMPUTED_VALUE"""),45350.0)</f>
        <v>45350</v>
      </c>
      <c r="B122" s="132" t="str">
        <f>IFERROR(__xludf.DUMMYFUNCTION("""COMPUTED_VALUE"""),"dinner")</f>
        <v>dinner</v>
      </c>
      <c r="C122" s="132" t="str">
        <f>IFERROR(__xludf.DUMMYFUNCTION("""COMPUTED_VALUE"""),"食物")</f>
        <v>食物</v>
      </c>
      <c r="D122" s="132">
        <f>IFERROR(__xludf.DUMMYFUNCTION("""COMPUTED_VALUE"""),24.27)</f>
        <v>24.27</v>
      </c>
      <c r="E122" s="132" t="str">
        <f>IFERROR(__xludf.DUMMYFUNCTION("""COMPUTED_VALUE"""),"Rachel")</f>
        <v>Rachel</v>
      </c>
      <c r="F122" s="132">
        <f>IFERROR(__xludf.DUMMYFUNCTION("""COMPUTED_VALUE"""),6.0675)</f>
        <v>6.0675</v>
      </c>
      <c r="G122" s="132">
        <f>IFERROR(__xludf.DUMMYFUNCTION("""COMPUTED_VALUE"""),6.0675)</f>
        <v>6.0675</v>
      </c>
      <c r="H122" s="132">
        <f>IFERROR(__xludf.DUMMYFUNCTION("""COMPUTED_VALUE"""),1.0)</f>
        <v>1</v>
      </c>
      <c r="I122" s="132">
        <f>IFERROR(__xludf.DUMMYFUNCTION("""COMPUTED_VALUE"""),1.0)</f>
        <v>1</v>
      </c>
      <c r="J122" s="132">
        <f>IFERROR(__xludf.DUMMYFUNCTION("""COMPUTED_VALUE"""),1.0)</f>
        <v>1</v>
      </c>
      <c r="K122" s="132">
        <f>IFERROR(__xludf.DUMMYFUNCTION("""COMPUTED_VALUE"""),1.0)</f>
        <v>1</v>
      </c>
      <c r="L122" s="132"/>
      <c r="M122" s="132"/>
      <c r="N122" s="132"/>
      <c r="O122" s="132"/>
      <c r="P122" s="132"/>
      <c r="Q122" s="132"/>
      <c r="R122" s="132" t="str">
        <f>IFERROR(__xludf.DUMMYFUNCTION("""COMPUTED_VALUE"""),"Electricity")</f>
        <v>Electricity</v>
      </c>
      <c r="S122" s="132">
        <f>IFERROR(__xludf.DUMMYFUNCTION("""COMPUTED_VALUE"""),167.9)</f>
        <v>167.9</v>
      </c>
      <c r="T122" s="132">
        <f>IFERROR(__xludf.DUMMYFUNCTION("""COMPUTED_VALUE"""),27.983333333333334)</f>
        <v>27.98333333</v>
      </c>
      <c r="U122" s="132" t="str">
        <f>IFERROR(__xludf.DUMMYFUNCTION("""COMPUTED_VALUE"""),"Paid")</f>
        <v>Paid</v>
      </c>
      <c r="V122" s="132" t="str">
        <f>IFERROR(__xludf.DUMMYFUNCTION("""COMPUTED_VALUE"""),"Paid")</f>
        <v>Paid</v>
      </c>
      <c r="W122" s="132" t="str">
        <f>IFERROR(__xludf.DUMMYFUNCTION("""COMPUTED_VALUE"""),"Paid")</f>
        <v>Paid</v>
      </c>
      <c r="X122" s="132" t="str">
        <f>IFERROR(__xludf.DUMMYFUNCTION("""COMPUTED_VALUE"""),"Paid")</f>
        <v>Paid</v>
      </c>
      <c r="Y122" s="132" t="str">
        <f>IFERROR(__xludf.DUMMYFUNCTION("""COMPUTED_VALUE"""),"Paid")</f>
        <v>Paid</v>
      </c>
      <c r="Z122" s="132"/>
    </row>
    <row r="123">
      <c r="A123" s="133">
        <f>IFERROR(__xludf.DUMMYFUNCTION("""COMPUTED_VALUE"""),45350.0)</f>
        <v>45350</v>
      </c>
      <c r="B123" s="132" t="str">
        <f>IFERROR(__xludf.DUMMYFUNCTION("""COMPUTED_VALUE"""),"in G ")</f>
        <v>in G </v>
      </c>
      <c r="C123" s="132" t="str">
        <f>IFERROR(__xludf.DUMMYFUNCTION("""COMPUTED_VALUE"""),"食物")</f>
        <v>食物</v>
      </c>
      <c r="D123" s="132">
        <f>IFERROR(__xludf.DUMMYFUNCTION("""COMPUTED_VALUE"""),42.35)</f>
        <v>42.35</v>
      </c>
      <c r="E123" s="132" t="str">
        <f>IFERROR(__xludf.DUMMYFUNCTION("""COMPUTED_VALUE"""),"Timothy")</f>
        <v>Timothy</v>
      </c>
      <c r="F123" s="132">
        <f>IFERROR(__xludf.DUMMYFUNCTION("""COMPUTED_VALUE"""),10.5875)</f>
        <v>10.5875</v>
      </c>
      <c r="G123" s="132">
        <f>IFERROR(__xludf.DUMMYFUNCTION("""COMPUTED_VALUE"""),10.5875)</f>
        <v>10.5875</v>
      </c>
      <c r="H123" s="132">
        <f>IFERROR(__xludf.DUMMYFUNCTION("""COMPUTED_VALUE"""),1.0)</f>
        <v>1</v>
      </c>
      <c r="I123" s="132">
        <f>IFERROR(__xludf.DUMMYFUNCTION("""COMPUTED_VALUE"""),1.0)</f>
        <v>1</v>
      </c>
      <c r="J123" s="132">
        <f>IFERROR(__xludf.DUMMYFUNCTION("""COMPUTED_VALUE"""),1.0)</f>
        <v>1</v>
      </c>
      <c r="K123" s="132">
        <f>IFERROR(__xludf.DUMMYFUNCTION("""COMPUTED_VALUE"""),1.0)</f>
        <v>1</v>
      </c>
      <c r="L123" s="132"/>
      <c r="M123" s="132"/>
      <c r="N123" s="132"/>
      <c r="O123" s="132"/>
      <c r="P123" s="132"/>
      <c r="Q123" s="132"/>
      <c r="R123" s="132" t="str">
        <f>IFERROR(__xludf.DUMMYFUNCTION("""COMPUTED_VALUE"""),"Internet")</f>
        <v>Internet</v>
      </c>
      <c r="S123" s="132">
        <f>IFERROR(__xludf.DUMMYFUNCTION("""COMPUTED_VALUE"""),56.5)</f>
        <v>56.5</v>
      </c>
      <c r="T123" s="132">
        <f>IFERROR(__xludf.DUMMYFUNCTION("""COMPUTED_VALUE"""),9.416666666666666)</f>
        <v>9.416666667</v>
      </c>
      <c r="U123" s="132" t="str">
        <f>IFERROR(__xludf.DUMMYFUNCTION("""COMPUTED_VALUE"""),"Paid")</f>
        <v>Paid</v>
      </c>
      <c r="V123" s="132" t="str">
        <f>IFERROR(__xludf.DUMMYFUNCTION("""COMPUTED_VALUE"""),"Paid")</f>
        <v>Paid</v>
      </c>
      <c r="W123" s="132" t="str">
        <f>IFERROR(__xludf.DUMMYFUNCTION("""COMPUTED_VALUE"""),"Paid")</f>
        <v>Paid</v>
      </c>
      <c r="X123" s="132" t="str">
        <f>IFERROR(__xludf.DUMMYFUNCTION("""COMPUTED_VALUE"""),"Paid")</f>
        <v>Paid</v>
      </c>
      <c r="Y123" s="132" t="str">
        <f>IFERROR(__xludf.DUMMYFUNCTION("""COMPUTED_VALUE"""),"Paid")</f>
        <v>Paid</v>
      </c>
      <c r="Z123" s="132"/>
    </row>
    <row r="124">
      <c r="A124" s="133">
        <f>IFERROR(__xludf.DUMMYFUNCTION("""COMPUTED_VALUE"""),45342.0)</f>
        <v>45342</v>
      </c>
      <c r="B124" s="132" t="str">
        <f>IFERROR(__xludf.DUMMYFUNCTION("""COMPUTED_VALUE"""),"Foody 車仔面")</f>
        <v>Foody 車仔面</v>
      </c>
      <c r="C124" s="132" t="str">
        <f>IFERROR(__xludf.DUMMYFUNCTION("""COMPUTED_VALUE"""),"食物")</f>
        <v>食物</v>
      </c>
      <c r="D124" s="132">
        <f>IFERROR(__xludf.DUMMYFUNCTION("""COMPUTED_VALUE"""),58.47)</f>
        <v>58.47</v>
      </c>
      <c r="E124" s="132" t="str">
        <f>IFERROR(__xludf.DUMMYFUNCTION("""COMPUTED_VALUE"""),"BL")</f>
        <v>BL</v>
      </c>
      <c r="F124" s="132">
        <f>IFERROR(__xludf.DUMMYFUNCTION("""COMPUTED_VALUE"""),11.693999999999999)</f>
        <v>11.694</v>
      </c>
      <c r="G124" s="132">
        <f>IFERROR(__xludf.DUMMYFUNCTION("""COMPUTED_VALUE"""),11.693999999999999)</f>
        <v>11.694</v>
      </c>
      <c r="H124" s="132">
        <f>IFERROR(__xludf.DUMMYFUNCTION("""COMPUTED_VALUE"""),1.0)</f>
        <v>1</v>
      </c>
      <c r="I124" s="132">
        <f>IFERROR(__xludf.DUMMYFUNCTION("""COMPUTED_VALUE"""),1.0)</f>
        <v>1</v>
      </c>
      <c r="J124" s="132">
        <f>IFERROR(__xludf.DUMMYFUNCTION("""COMPUTED_VALUE"""),1.0)</f>
        <v>1</v>
      </c>
      <c r="K124" s="132">
        <f>IFERROR(__xludf.DUMMYFUNCTION("""COMPUTED_VALUE"""),1.0)</f>
        <v>1</v>
      </c>
      <c r="L124" s="132"/>
      <c r="M124" s="132"/>
      <c r="N124" s="132">
        <f>IFERROR(__xludf.DUMMYFUNCTION("""COMPUTED_VALUE"""),1.0)</f>
        <v>1</v>
      </c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3">
        <f>IFERROR(__xludf.DUMMYFUNCTION("""COMPUTED_VALUE"""),45346.0)</f>
        <v>45346</v>
      </c>
      <c r="B125" s="132" t="str">
        <f>IFERROR(__xludf.DUMMYFUNCTION("""COMPUTED_VALUE"""),"Tnt 牛角dinner")</f>
        <v>Tnt 牛角dinner</v>
      </c>
      <c r="C125" s="132" t="str">
        <f>IFERROR(__xludf.DUMMYFUNCTION("""COMPUTED_VALUE"""),"食物")</f>
        <v>食物</v>
      </c>
      <c r="D125" s="132">
        <f>IFERROR(__xludf.DUMMYFUNCTION("""COMPUTED_VALUE"""),83.47)</f>
        <v>83.47</v>
      </c>
      <c r="E125" s="132" t="str">
        <f>IFERROR(__xludf.DUMMYFUNCTION("""COMPUTED_VALUE"""),"Pigskin")</f>
        <v>Pigskin</v>
      </c>
      <c r="F125" s="132">
        <f>IFERROR(__xludf.DUMMYFUNCTION("""COMPUTED_VALUE"""),13.911666666666667)</f>
        <v>13.91166667</v>
      </c>
      <c r="G125" s="132">
        <f>IFERROR(__xludf.DUMMYFUNCTION("""COMPUTED_VALUE"""),13.911666666666667)</f>
        <v>13.91166667</v>
      </c>
      <c r="H125" s="132">
        <f>IFERROR(__xludf.DUMMYFUNCTION("""COMPUTED_VALUE"""),1.0)</f>
        <v>1</v>
      </c>
      <c r="I125" s="132">
        <f>IFERROR(__xludf.DUMMYFUNCTION("""COMPUTED_VALUE"""),1.0)</f>
        <v>1</v>
      </c>
      <c r="J125" s="132">
        <f>IFERROR(__xludf.DUMMYFUNCTION("""COMPUTED_VALUE"""),1.0)</f>
        <v>1</v>
      </c>
      <c r="K125" s="132">
        <f>IFERROR(__xludf.DUMMYFUNCTION("""COMPUTED_VALUE"""),1.0)</f>
        <v>1</v>
      </c>
      <c r="L125" s="132">
        <f>IFERROR(__xludf.DUMMYFUNCTION("""COMPUTED_VALUE"""),1.0)</f>
        <v>1</v>
      </c>
      <c r="M125" s="132"/>
      <c r="N125" s="132">
        <f>IFERROR(__xludf.DUMMYFUNCTION("""COMPUTED_VALUE"""),1.0)</f>
        <v>1</v>
      </c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3">
        <f>IFERROR(__xludf.DUMMYFUNCTION("""COMPUTED_VALUE"""),45347.0)</f>
        <v>45347</v>
      </c>
      <c r="B126" s="132" t="str">
        <f>IFERROR(__xludf.DUMMYFUNCTION("""COMPUTED_VALUE"""),"mcdonald")</f>
        <v>mcdonald</v>
      </c>
      <c r="C126" s="132" t="str">
        <f>IFERROR(__xludf.DUMMYFUNCTION("""COMPUTED_VALUE"""),"食物")</f>
        <v>食物</v>
      </c>
      <c r="D126" s="132">
        <f>IFERROR(__xludf.DUMMYFUNCTION("""COMPUTED_VALUE"""),7.97)</f>
        <v>7.97</v>
      </c>
      <c r="E126" s="132" t="str">
        <f>IFERROR(__xludf.DUMMYFUNCTION("""COMPUTED_VALUE"""),"BL")</f>
        <v>BL</v>
      </c>
      <c r="F126" s="132">
        <f>IFERROR(__xludf.DUMMYFUNCTION("""COMPUTED_VALUE"""),7.97)</f>
        <v>7.97</v>
      </c>
      <c r="G126" s="132">
        <f>IFERROR(__xludf.DUMMYFUNCTION("""COMPUTED_VALUE"""),7.97)</f>
        <v>7.97</v>
      </c>
      <c r="H126" s="132"/>
      <c r="I126" s="132">
        <f>IFERROR(__xludf.DUMMYFUNCTION("""COMPUTED_VALUE"""),1.0)</f>
        <v>1</v>
      </c>
      <c r="J126" s="132"/>
      <c r="K126" s="132"/>
      <c r="L126" s="132"/>
      <c r="M126" s="132"/>
      <c r="N126" s="132"/>
      <c r="O126" s="132"/>
      <c r="P126" s="132"/>
      <c r="Q126" s="134">
        <f>IFERROR(__xludf.DUMMYFUNCTION("""COMPUTED_VALUE"""),45627.0)</f>
        <v>45627</v>
      </c>
      <c r="R126" s="132" t="str">
        <f>IFERROR(__xludf.DUMMYFUNCTION("""COMPUTED_VALUE"""),"Rent")</f>
        <v>Rent</v>
      </c>
      <c r="S126" s="132">
        <f>IFERROR(__xludf.DUMMYFUNCTION("""COMPUTED_VALUE"""),3900.0)</f>
        <v>3900</v>
      </c>
      <c r="T126" s="132">
        <f>IFERROR(__xludf.DUMMYFUNCTION("""COMPUTED_VALUE"""),650.0)</f>
        <v>650</v>
      </c>
      <c r="U126" s="132" t="str">
        <f>IFERROR(__xludf.DUMMYFUNCTION("""COMPUTED_VALUE"""),"Paid")</f>
        <v>Paid</v>
      </c>
      <c r="V126" s="132" t="str">
        <f>IFERROR(__xludf.DUMMYFUNCTION("""COMPUTED_VALUE"""),"Paid")</f>
        <v>Paid</v>
      </c>
      <c r="W126" s="132" t="str">
        <f>IFERROR(__xludf.DUMMYFUNCTION("""COMPUTED_VALUE"""),"Paid")</f>
        <v>Paid</v>
      </c>
      <c r="X126" s="132" t="str">
        <f>IFERROR(__xludf.DUMMYFUNCTION("""COMPUTED_VALUE"""),"Paid")</f>
        <v>Paid</v>
      </c>
      <c r="Y126" s="132" t="str">
        <f>IFERROR(__xludf.DUMMYFUNCTION("""COMPUTED_VALUE"""),"Paid")</f>
        <v>Paid</v>
      </c>
      <c r="Z126" s="132"/>
    </row>
    <row r="127">
      <c r="A127" s="133">
        <f>IFERROR(__xludf.DUMMYFUNCTION("""COMPUTED_VALUE"""),45347.0)</f>
        <v>45347</v>
      </c>
      <c r="B127" s="132" t="str">
        <f>IFERROR(__xludf.DUMMYFUNCTION("""COMPUTED_VALUE"""),"mcdonald")</f>
        <v>mcdonald</v>
      </c>
      <c r="C127" s="132" t="str">
        <f>IFERROR(__xludf.DUMMYFUNCTION("""COMPUTED_VALUE"""),"食物")</f>
        <v>食物</v>
      </c>
      <c r="D127" s="132">
        <f>IFERROR(__xludf.DUMMYFUNCTION("""COMPUTED_VALUE"""),6.5)</f>
        <v>6.5</v>
      </c>
      <c r="E127" s="132" t="str">
        <f>IFERROR(__xludf.DUMMYFUNCTION("""COMPUTED_VALUE"""),"BL")</f>
        <v>BL</v>
      </c>
      <c r="F127" s="132">
        <f>IFERROR(__xludf.DUMMYFUNCTION("""COMPUTED_VALUE"""),6.5)</f>
        <v>6.5</v>
      </c>
      <c r="G127" s="132">
        <f>IFERROR(__xludf.DUMMYFUNCTION("""COMPUTED_VALUE"""),6.5)</f>
        <v>6.5</v>
      </c>
      <c r="H127" s="132">
        <f>IFERROR(__xludf.DUMMYFUNCTION("""COMPUTED_VALUE"""),1.0)</f>
        <v>1</v>
      </c>
      <c r="I127" s="132"/>
      <c r="J127" s="132"/>
      <c r="K127" s="132"/>
      <c r="L127" s="132"/>
      <c r="M127" s="132"/>
      <c r="N127" s="132"/>
      <c r="O127" s="132"/>
      <c r="P127" s="132"/>
      <c r="Q127" s="132"/>
      <c r="R127" s="132" t="str">
        <f>IFERROR(__xludf.DUMMYFUNCTION("""COMPUTED_VALUE"""),"Heat")</f>
        <v>Heat</v>
      </c>
      <c r="S127" s="132">
        <f>IFERROR(__xludf.DUMMYFUNCTION("""COMPUTED_VALUE"""),182.8)</f>
        <v>182.8</v>
      </c>
      <c r="T127" s="132">
        <f>IFERROR(__xludf.DUMMYFUNCTION("""COMPUTED_VALUE"""),30.46666666666667)</f>
        <v>30.46666667</v>
      </c>
      <c r="U127" s="132" t="str">
        <f>IFERROR(__xludf.DUMMYFUNCTION("""COMPUTED_VALUE"""),"Paid")</f>
        <v>Paid</v>
      </c>
      <c r="V127" s="132" t="str">
        <f>IFERROR(__xludf.DUMMYFUNCTION("""COMPUTED_VALUE"""),"Paid")</f>
        <v>Paid</v>
      </c>
      <c r="W127" s="132" t="str">
        <f>IFERROR(__xludf.DUMMYFUNCTION("""COMPUTED_VALUE"""),"Paid")</f>
        <v>Paid</v>
      </c>
      <c r="X127" s="132" t="str">
        <f>IFERROR(__xludf.DUMMYFUNCTION("""COMPUTED_VALUE"""),"Paid")</f>
        <v>Paid</v>
      </c>
      <c r="Y127" s="132" t="str">
        <f>IFERROR(__xludf.DUMMYFUNCTION("""COMPUTED_VALUE"""),"Paid")</f>
        <v>Paid</v>
      </c>
      <c r="Z127" s="132"/>
    </row>
    <row r="128">
      <c r="A128" s="133">
        <f>IFERROR(__xludf.DUMMYFUNCTION("""COMPUTED_VALUE"""),45345.0)</f>
        <v>45345</v>
      </c>
      <c r="B128" s="132" t="str">
        <f>IFERROR(__xludf.DUMMYFUNCTION("""COMPUTED_VALUE"""),"dinner")</f>
        <v>dinner</v>
      </c>
      <c r="C128" s="132" t="str">
        <f>IFERROR(__xludf.DUMMYFUNCTION("""COMPUTED_VALUE"""),"食物")</f>
        <v>食物</v>
      </c>
      <c r="D128" s="132">
        <f>IFERROR(__xludf.DUMMYFUNCTION("""COMPUTED_VALUE"""),26.15)</f>
        <v>26.15</v>
      </c>
      <c r="E128" s="132" t="str">
        <f>IFERROR(__xludf.DUMMYFUNCTION("""COMPUTED_VALUE"""),"Pigskin")</f>
        <v>Pigskin</v>
      </c>
      <c r="F128" s="132">
        <f>IFERROR(__xludf.DUMMYFUNCTION("""COMPUTED_VALUE"""),6.5375)</f>
        <v>6.5375</v>
      </c>
      <c r="G128" s="132">
        <f>IFERROR(__xludf.DUMMYFUNCTION("""COMPUTED_VALUE"""),6.5375)</f>
        <v>6.5375</v>
      </c>
      <c r="H128" s="132">
        <f>IFERROR(__xludf.DUMMYFUNCTION("""COMPUTED_VALUE"""),1.0)</f>
        <v>1</v>
      </c>
      <c r="I128" s="132">
        <f>IFERROR(__xludf.DUMMYFUNCTION("""COMPUTED_VALUE"""),1.0)</f>
        <v>1</v>
      </c>
      <c r="J128" s="132">
        <f>IFERROR(__xludf.DUMMYFUNCTION("""COMPUTED_VALUE"""),1.0)</f>
        <v>1</v>
      </c>
      <c r="K128" s="132">
        <f>IFERROR(__xludf.DUMMYFUNCTION("""COMPUTED_VALUE"""),1.0)</f>
        <v>1</v>
      </c>
      <c r="L128" s="132"/>
      <c r="M128" s="132"/>
      <c r="N128" s="132"/>
      <c r="O128" s="132"/>
      <c r="P128" s="132"/>
      <c r="Q128" s="132"/>
      <c r="R128" s="132" t="str">
        <f>IFERROR(__xludf.DUMMYFUNCTION("""COMPUTED_VALUE"""),"Electricity")</f>
        <v>Electricity</v>
      </c>
      <c r="S128" s="132">
        <f>IFERROR(__xludf.DUMMYFUNCTION("""COMPUTED_VALUE"""),166.37)</f>
        <v>166.37</v>
      </c>
      <c r="T128" s="132">
        <f>IFERROR(__xludf.DUMMYFUNCTION("""COMPUTED_VALUE"""),27.728333333333335)</f>
        <v>27.72833333</v>
      </c>
      <c r="U128" s="132" t="str">
        <f>IFERROR(__xludf.DUMMYFUNCTION("""COMPUTED_VALUE"""),"Paid")</f>
        <v>Paid</v>
      </c>
      <c r="V128" s="132" t="str">
        <f>IFERROR(__xludf.DUMMYFUNCTION("""COMPUTED_VALUE"""),"Paid")</f>
        <v>Paid</v>
      </c>
      <c r="W128" s="132" t="str">
        <f>IFERROR(__xludf.DUMMYFUNCTION("""COMPUTED_VALUE"""),"Paid")</f>
        <v>Paid</v>
      </c>
      <c r="X128" s="132" t="str">
        <f>IFERROR(__xludf.DUMMYFUNCTION("""COMPUTED_VALUE"""),"Paid")</f>
        <v>Paid</v>
      </c>
      <c r="Y128" s="132" t="str">
        <f>IFERROR(__xludf.DUMMYFUNCTION("""COMPUTED_VALUE"""),"Paid")</f>
        <v>Paid</v>
      </c>
      <c r="Z128" s="132"/>
    </row>
    <row r="129">
      <c r="A129" s="137">
        <f>IFERROR(__xludf.DUMMYFUNCTION("""COMPUTED_VALUE"""),45344.0)</f>
        <v>45344</v>
      </c>
      <c r="B129" s="88" t="str">
        <f>IFERROR(__xludf.DUMMYFUNCTION("""COMPUTED_VALUE"""),"Food basic")</f>
        <v>Food basic</v>
      </c>
      <c r="C129" s="88" t="str">
        <f>IFERROR(__xludf.DUMMYFUNCTION("""COMPUTED_VALUE"""),"食物")</f>
        <v>食物</v>
      </c>
      <c r="D129" s="88">
        <f>IFERROR(__xludf.DUMMYFUNCTION("""COMPUTED_VALUE"""),7.19)</f>
        <v>7.19</v>
      </c>
      <c r="E129" s="88" t="str">
        <f>IFERROR(__xludf.DUMMYFUNCTION("""COMPUTED_VALUE"""),"Pigskin")</f>
        <v>Pigskin</v>
      </c>
      <c r="F129" s="88">
        <f>IFERROR(__xludf.DUMMYFUNCTION("""COMPUTED_VALUE"""),1.4380000000000002)</f>
        <v>1.438</v>
      </c>
      <c r="G129" s="88">
        <f>IFERROR(__xludf.DUMMYFUNCTION("""COMPUTED_VALUE"""),1.4380000000000002)</f>
        <v>1.438</v>
      </c>
      <c r="H129" s="88">
        <f>IFERROR(__xludf.DUMMYFUNCTION("""COMPUTED_VALUE"""),1.0)</f>
        <v>1</v>
      </c>
      <c r="I129" s="88">
        <f>IFERROR(__xludf.DUMMYFUNCTION("""COMPUTED_VALUE"""),1.0)</f>
        <v>1</v>
      </c>
      <c r="J129" s="88">
        <f>IFERROR(__xludf.DUMMYFUNCTION("""COMPUTED_VALUE"""),1.0)</f>
        <v>1</v>
      </c>
      <c r="K129" s="88">
        <f>IFERROR(__xludf.DUMMYFUNCTION("""COMPUTED_VALUE"""),1.0)</f>
        <v>1</v>
      </c>
      <c r="L129" s="88"/>
      <c r="M129" s="88"/>
      <c r="N129" s="88">
        <f>IFERROR(__xludf.DUMMYFUNCTION("""COMPUTED_VALUE"""),1.0)</f>
        <v>1</v>
      </c>
      <c r="Q129" s="88"/>
      <c r="R129" s="88" t="str">
        <f>IFERROR(__xludf.DUMMYFUNCTION("""COMPUTED_VALUE"""),"Internet")</f>
        <v>Internet</v>
      </c>
      <c r="S129" s="88">
        <f>IFERROR(__xludf.DUMMYFUNCTION("""COMPUTED_VALUE"""),56.5)</f>
        <v>56.5</v>
      </c>
      <c r="T129" s="88">
        <f>IFERROR(__xludf.DUMMYFUNCTION("""COMPUTED_VALUE"""),9.416666666666666)</f>
        <v>9.416666667</v>
      </c>
      <c r="U129" s="88" t="str">
        <f>IFERROR(__xludf.DUMMYFUNCTION("""COMPUTED_VALUE"""),"Paid")</f>
        <v>Paid</v>
      </c>
      <c r="V129" s="88" t="str">
        <f>IFERROR(__xludf.DUMMYFUNCTION("""COMPUTED_VALUE"""),"Paid")</f>
        <v>Paid</v>
      </c>
      <c r="W129" s="88" t="str">
        <f>IFERROR(__xludf.DUMMYFUNCTION("""COMPUTED_VALUE"""),"Paid")</f>
        <v>Paid</v>
      </c>
      <c r="X129" s="88" t="str">
        <f>IFERROR(__xludf.DUMMYFUNCTION("""COMPUTED_VALUE"""),"Paid")</f>
        <v>Paid</v>
      </c>
      <c r="Y129" s="88" t="str">
        <f>IFERROR(__xludf.DUMMYFUNCTION("""COMPUTED_VALUE"""),"Paid")</f>
        <v>Paid</v>
      </c>
    </row>
    <row r="130">
      <c r="A130" s="137">
        <f>IFERROR(__xludf.DUMMYFUNCTION("""COMPUTED_VALUE"""),45343.0)</f>
        <v>45343</v>
      </c>
      <c r="B130" s="88" t="str">
        <f>IFERROR(__xludf.DUMMYFUNCTION("""COMPUTED_VALUE"""),"Foody thai dinner")</f>
        <v>Foody thai dinner</v>
      </c>
      <c r="C130" s="88" t="str">
        <f>IFERROR(__xludf.DUMMYFUNCTION("""COMPUTED_VALUE"""),"食物")</f>
        <v>食物</v>
      </c>
      <c r="D130" s="88">
        <f>IFERROR(__xludf.DUMMYFUNCTION("""COMPUTED_VALUE"""),60.09)</f>
        <v>60.09</v>
      </c>
      <c r="E130" s="88" t="str">
        <f>IFERROR(__xludf.DUMMYFUNCTION("""COMPUTED_VALUE"""),"Pigskin")</f>
        <v>Pigskin</v>
      </c>
      <c r="F130" s="88">
        <f>IFERROR(__xludf.DUMMYFUNCTION("""COMPUTED_VALUE"""),15.0225)</f>
        <v>15.0225</v>
      </c>
      <c r="G130" s="88">
        <f>IFERROR(__xludf.DUMMYFUNCTION("""COMPUTED_VALUE"""),15.0225)</f>
        <v>15.0225</v>
      </c>
      <c r="H130" s="88">
        <f>IFERROR(__xludf.DUMMYFUNCTION("""COMPUTED_VALUE"""),1.0)</f>
        <v>1</v>
      </c>
      <c r="I130" s="88">
        <f>IFERROR(__xludf.DUMMYFUNCTION("""COMPUTED_VALUE"""),1.0)</f>
        <v>1</v>
      </c>
      <c r="J130" s="88">
        <f>IFERROR(__xludf.DUMMYFUNCTION("""COMPUTED_VALUE"""),1.0)</f>
        <v>1</v>
      </c>
      <c r="K130" s="88">
        <f>IFERROR(__xludf.DUMMYFUNCTION("""COMPUTED_VALUE"""),1.0)</f>
        <v>1</v>
      </c>
      <c r="L130" s="88"/>
      <c r="M130" s="88"/>
      <c r="N130" s="88"/>
      <c r="Q130" s="88"/>
      <c r="R130" s="88"/>
      <c r="S130" s="88"/>
      <c r="T130" s="88"/>
      <c r="U130" s="88"/>
      <c r="V130" s="88"/>
      <c r="W130" s="88"/>
      <c r="X130" s="88"/>
      <c r="Y130" s="88"/>
    </row>
    <row r="131">
      <c r="A131" s="137">
        <f>IFERROR(__xludf.DUMMYFUNCTION("""COMPUTED_VALUE"""),45343.0)</f>
        <v>45343</v>
      </c>
      <c r="B131" s="88" t="str">
        <f>IFERROR(__xludf.DUMMYFUNCTION("""COMPUTED_VALUE"""),"Foody")</f>
        <v>Foody</v>
      </c>
      <c r="C131" s="88" t="str">
        <f>IFERROR(__xludf.DUMMYFUNCTION("""COMPUTED_VALUE"""),"食物")</f>
        <v>食物</v>
      </c>
      <c r="D131" s="88">
        <f>IFERROR(__xludf.DUMMYFUNCTION("""COMPUTED_VALUE"""),4.58)</f>
        <v>4.58</v>
      </c>
      <c r="E131" s="88" t="str">
        <f>IFERROR(__xludf.DUMMYFUNCTION("""COMPUTED_VALUE"""),"Pigskin")</f>
        <v>Pigskin</v>
      </c>
      <c r="F131" s="88">
        <f>IFERROR(__xludf.DUMMYFUNCTION("""COMPUTED_VALUE"""),0.916)</f>
        <v>0.916</v>
      </c>
      <c r="G131" s="88">
        <f>IFERROR(__xludf.DUMMYFUNCTION("""COMPUTED_VALUE"""),0.916)</f>
        <v>0.916</v>
      </c>
      <c r="H131" s="88">
        <f>IFERROR(__xludf.DUMMYFUNCTION("""COMPUTED_VALUE"""),1.0)</f>
        <v>1</v>
      </c>
      <c r="I131" s="88">
        <f>IFERROR(__xludf.DUMMYFUNCTION("""COMPUTED_VALUE"""),1.0)</f>
        <v>1</v>
      </c>
      <c r="J131" s="88">
        <f>IFERROR(__xludf.DUMMYFUNCTION("""COMPUTED_VALUE"""),1.0)</f>
        <v>1</v>
      </c>
      <c r="K131" s="88">
        <f>IFERROR(__xludf.DUMMYFUNCTION("""COMPUTED_VALUE"""),1.0)</f>
        <v>1</v>
      </c>
      <c r="L131" s="88"/>
      <c r="M131" s="88"/>
      <c r="N131" s="88">
        <f>IFERROR(__xludf.DUMMYFUNCTION("""COMPUTED_VALUE"""),1.0)</f>
        <v>1</v>
      </c>
      <c r="Q131" s="138">
        <f>IFERROR(__xludf.DUMMYFUNCTION("""COMPUTED_VALUE"""),45658.0)</f>
        <v>45658</v>
      </c>
      <c r="R131" s="88" t="str">
        <f>IFERROR(__xludf.DUMMYFUNCTION("""COMPUTED_VALUE"""),"Rent")</f>
        <v>Rent</v>
      </c>
      <c r="S131" s="88">
        <f>IFERROR(__xludf.DUMMYFUNCTION("""COMPUTED_VALUE"""),3900.0)</f>
        <v>3900</v>
      </c>
      <c r="T131" s="88">
        <f>IFERROR(__xludf.DUMMYFUNCTION("""COMPUTED_VALUE"""),650.0)</f>
        <v>650</v>
      </c>
      <c r="U131" s="88" t="str">
        <f>IFERROR(__xludf.DUMMYFUNCTION("""COMPUTED_VALUE"""),"Paid")</f>
        <v>Paid</v>
      </c>
      <c r="V131" s="88" t="str">
        <f>IFERROR(__xludf.DUMMYFUNCTION("""COMPUTED_VALUE"""),"Paid")</f>
        <v>Paid</v>
      </c>
      <c r="W131" s="88" t="str">
        <f>IFERROR(__xludf.DUMMYFUNCTION("""COMPUTED_VALUE"""),"Paid")</f>
        <v>Paid</v>
      </c>
      <c r="X131" s="88" t="str">
        <f>IFERROR(__xludf.DUMMYFUNCTION("""COMPUTED_VALUE"""),"Paid")</f>
        <v>Paid</v>
      </c>
      <c r="Y131" s="88" t="str">
        <f>IFERROR(__xludf.DUMMYFUNCTION("""COMPUTED_VALUE"""),"Paid")</f>
        <v>Paid</v>
      </c>
    </row>
    <row r="132">
      <c r="A132" s="137">
        <f>IFERROR(__xludf.DUMMYFUNCTION("""COMPUTED_VALUE"""),45348.0)</f>
        <v>45348</v>
      </c>
      <c r="B132" s="88" t="str">
        <f>IFERROR(__xludf.DUMMYFUNCTION("""COMPUTED_VALUE"""),"Foody ")</f>
        <v>Foody </v>
      </c>
      <c r="C132" s="88" t="str">
        <f>IFERROR(__xludf.DUMMYFUNCTION("""COMPUTED_VALUE"""),"食物")</f>
        <v>食物</v>
      </c>
      <c r="D132" s="88">
        <f>IFERROR(__xludf.DUMMYFUNCTION("""COMPUTED_VALUE"""),7.02)</f>
        <v>7.02</v>
      </c>
      <c r="E132" s="88" t="str">
        <f>IFERROR(__xludf.DUMMYFUNCTION("""COMPUTED_VALUE"""),"BL")</f>
        <v>BL</v>
      </c>
      <c r="F132" s="88">
        <f>IFERROR(__xludf.DUMMYFUNCTION("""COMPUTED_VALUE"""),1.755)</f>
        <v>1.755</v>
      </c>
      <c r="G132" s="88">
        <f>IFERROR(__xludf.DUMMYFUNCTION("""COMPUTED_VALUE"""),1.755)</f>
        <v>1.755</v>
      </c>
      <c r="H132" s="88">
        <f>IFERROR(__xludf.DUMMYFUNCTION("""COMPUTED_VALUE"""),1.0)</f>
        <v>1</v>
      </c>
      <c r="I132" s="88">
        <f>IFERROR(__xludf.DUMMYFUNCTION("""COMPUTED_VALUE"""),1.0)</f>
        <v>1</v>
      </c>
      <c r="J132" s="88">
        <f>IFERROR(__xludf.DUMMYFUNCTION("""COMPUTED_VALUE"""),1.0)</f>
        <v>1</v>
      </c>
      <c r="K132" s="88">
        <f>IFERROR(__xludf.DUMMYFUNCTION("""COMPUTED_VALUE"""),1.0)</f>
        <v>1</v>
      </c>
      <c r="L132" s="88"/>
      <c r="M132" s="88"/>
      <c r="N132" s="88"/>
      <c r="Q132" s="88"/>
      <c r="R132" s="88" t="str">
        <f>IFERROR(__xludf.DUMMYFUNCTION("""COMPUTED_VALUE"""),"Heat January 17, 2025 - February 18, 2025")</f>
        <v>Heat January 17, 2025 - February 18, 2025</v>
      </c>
      <c r="S132" s="88">
        <f>IFERROR(__xludf.DUMMYFUNCTION("""COMPUTED_VALUE"""),303.55)</f>
        <v>303.55</v>
      </c>
      <c r="T132" s="88">
        <f>IFERROR(__xludf.DUMMYFUNCTION("""COMPUTED_VALUE"""),60.71)</f>
        <v>60.71</v>
      </c>
      <c r="U132" s="88"/>
      <c r="V132" s="88"/>
      <c r="W132" s="88"/>
      <c r="X132" s="88"/>
      <c r="Y132" s="88"/>
    </row>
    <row r="133">
      <c r="A133" s="137">
        <f>IFERROR(__xludf.DUMMYFUNCTION("""COMPUTED_VALUE"""),45351.0)</f>
        <v>45351</v>
      </c>
      <c r="B133" s="88" t="str">
        <f>IFERROR(__xludf.DUMMYFUNCTION("""COMPUTED_VALUE"""),"Food basic")</f>
        <v>Food basic</v>
      </c>
      <c r="C133" s="88" t="str">
        <f>IFERROR(__xludf.DUMMYFUNCTION("""COMPUTED_VALUE"""),"食物")</f>
        <v>食物</v>
      </c>
      <c r="D133" s="88">
        <f>IFERROR(__xludf.DUMMYFUNCTION("""COMPUTED_VALUE"""),21.45)</f>
        <v>21.45</v>
      </c>
      <c r="E133" s="88" t="str">
        <f>IFERROR(__xludf.DUMMYFUNCTION("""COMPUTED_VALUE"""),"Pigskin")</f>
        <v>Pigskin</v>
      </c>
      <c r="F133" s="88">
        <f>IFERROR(__xludf.DUMMYFUNCTION("""COMPUTED_VALUE"""),4.29)</f>
        <v>4.29</v>
      </c>
      <c r="G133" s="88">
        <f>IFERROR(__xludf.DUMMYFUNCTION("""COMPUTED_VALUE"""),4.29)</f>
        <v>4.29</v>
      </c>
      <c r="H133" s="88">
        <f>IFERROR(__xludf.DUMMYFUNCTION("""COMPUTED_VALUE"""),1.0)</f>
        <v>1</v>
      </c>
      <c r="I133" s="88">
        <f>IFERROR(__xludf.DUMMYFUNCTION("""COMPUTED_VALUE"""),1.0)</f>
        <v>1</v>
      </c>
      <c r="J133" s="88">
        <f>IFERROR(__xludf.DUMMYFUNCTION("""COMPUTED_VALUE"""),1.0)</f>
        <v>1</v>
      </c>
      <c r="K133" s="88">
        <f>IFERROR(__xludf.DUMMYFUNCTION("""COMPUTED_VALUE"""),1.0)</f>
        <v>1</v>
      </c>
      <c r="L133" s="88"/>
      <c r="M133" s="88"/>
      <c r="N133" s="88">
        <f>IFERROR(__xludf.DUMMYFUNCTION("""COMPUTED_VALUE"""),1.0)</f>
        <v>1</v>
      </c>
      <c r="Q133" s="88"/>
      <c r="R133" s="88" t="str">
        <f>IFERROR(__xludf.DUMMYFUNCTION("""COMPUTED_VALUE"""),"Electricity")</f>
        <v>Electricity</v>
      </c>
      <c r="S133" s="88">
        <f>IFERROR(__xludf.DUMMYFUNCTION("""COMPUTED_VALUE"""),202.18)</f>
        <v>202.18</v>
      </c>
      <c r="T133" s="88">
        <f>IFERROR(__xludf.DUMMYFUNCTION("""COMPUTED_VALUE"""),33.696666666666665)</f>
        <v>33.69666667</v>
      </c>
      <c r="U133" s="88"/>
      <c r="V133" s="88"/>
      <c r="W133" s="88"/>
      <c r="X133" s="88"/>
      <c r="Y133" s="88"/>
    </row>
    <row r="134">
      <c r="A134" s="137">
        <f>IFERROR(__xludf.DUMMYFUNCTION("""COMPUTED_VALUE"""),45348.0)</f>
        <v>45348</v>
      </c>
      <c r="B134" s="88" t="str">
        <f>IFERROR(__xludf.DUMMYFUNCTION("""COMPUTED_VALUE"""),"Pork")</f>
        <v>Pork</v>
      </c>
      <c r="C134" s="88" t="str">
        <f>IFERROR(__xludf.DUMMYFUNCTION("""COMPUTED_VALUE"""),"食物")</f>
        <v>食物</v>
      </c>
      <c r="D134" s="88">
        <f>IFERROR(__xludf.DUMMYFUNCTION("""COMPUTED_VALUE"""),16.87)</f>
        <v>16.87</v>
      </c>
      <c r="E134" s="88" t="str">
        <f>IFERROR(__xludf.DUMMYFUNCTION("""COMPUTED_VALUE"""),"Rachel")</f>
        <v>Rachel</v>
      </c>
      <c r="F134" s="88">
        <f>IFERROR(__xludf.DUMMYFUNCTION("""COMPUTED_VALUE"""),3.374)</f>
        <v>3.374</v>
      </c>
      <c r="G134" s="88">
        <f>IFERROR(__xludf.DUMMYFUNCTION("""COMPUTED_VALUE"""),3.374)</f>
        <v>3.374</v>
      </c>
      <c r="H134" s="88">
        <f>IFERROR(__xludf.DUMMYFUNCTION("""COMPUTED_VALUE"""),1.0)</f>
        <v>1</v>
      </c>
      <c r="I134" s="88">
        <f>IFERROR(__xludf.DUMMYFUNCTION("""COMPUTED_VALUE"""),1.0)</f>
        <v>1</v>
      </c>
      <c r="J134" s="88">
        <f>IFERROR(__xludf.DUMMYFUNCTION("""COMPUTED_VALUE"""),1.0)</f>
        <v>1</v>
      </c>
      <c r="K134" s="88">
        <f>IFERROR(__xludf.DUMMYFUNCTION("""COMPUTED_VALUE"""),1.0)</f>
        <v>1</v>
      </c>
      <c r="L134" s="88"/>
      <c r="M134" s="88"/>
      <c r="N134" s="88">
        <f>IFERROR(__xludf.DUMMYFUNCTION("""COMPUTED_VALUE"""),1.0)</f>
        <v>1</v>
      </c>
      <c r="Q134" s="88"/>
      <c r="R134" s="88" t="str">
        <f>IFERROR(__xludf.DUMMYFUNCTION("""COMPUTED_VALUE"""),"Internet")</f>
        <v>Internet</v>
      </c>
      <c r="S134" s="88">
        <f>IFERROR(__xludf.DUMMYFUNCTION("""COMPUTED_VALUE"""),56.5)</f>
        <v>56.5</v>
      </c>
      <c r="T134" s="88">
        <f>IFERROR(__xludf.DUMMYFUNCTION("""COMPUTED_VALUE"""),9.416666666666666)</f>
        <v>9.416666667</v>
      </c>
      <c r="U134" s="88"/>
      <c r="V134" s="88"/>
      <c r="W134" s="88"/>
      <c r="X134" s="88"/>
      <c r="Y134" s="88"/>
    </row>
    <row r="135">
      <c r="A135" s="137">
        <f>IFERROR(__xludf.DUMMYFUNCTION("""COMPUTED_VALUE"""),45349.0)</f>
        <v>45349</v>
      </c>
      <c r="B135" s="88" t="str">
        <f>IFERROR(__xludf.DUMMYFUNCTION("""COMPUTED_VALUE"""),"Food basic")</f>
        <v>Food basic</v>
      </c>
      <c r="C135" s="88" t="str">
        <f>IFERROR(__xludf.DUMMYFUNCTION("""COMPUTED_VALUE"""),"食物")</f>
        <v>食物</v>
      </c>
      <c r="D135" s="88">
        <f>IFERROR(__xludf.DUMMYFUNCTION("""COMPUTED_VALUE"""),16.44)</f>
        <v>16.44</v>
      </c>
      <c r="E135" s="88" t="str">
        <f>IFERROR(__xludf.DUMMYFUNCTION("""COMPUTED_VALUE"""),"Pigskin")</f>
        <v>Pigskin</v>
      </c>
      <c r="F135" s="88">
        <f>IFERROR(__xludf.DUMMYFUNCTION("""COMPUTED_VALUE"""),3.2880000000000003)</f>
        <v>3.288</v>
      </c>
      <c r="G135" s="88">
        <f>IFERROR(__xludf.DUMMYFUNCTION("""COMPUTED_VALUE"""),3.2880000000000003)</f>
        <v>3.288</v>
      </c>
      <c r="H135" s="88">
        <f>IFERROR(__xludf.DUMMYFUNCTION("""COMPUTED_VALUE"""),1.0)</f>
        <v>1</v>
      </c>
      <c r="I135" s="88">
        <f>IFERROR(__xludf.DUMMYFUNCTION("""COMPUTED_VALUE"""),1.0)</f>
        <v>1</v>
      </c>
      <c r="J135" s="88">
        <f>IFERROR(__xludf.DUMMYFUNCTION("""COMPUTED_VALUE"""),1.0)</f>
        <v>1</v>
      </c>
      <c r="K135" s="88">
        <f>IFERROR(__xludf.DUMMYFUNCTION("""COMPUTED_VALUE"""),1.0)</f>
        <v>1</v>
      </c>
      <c r="L135" s="88"/>
      <c r="M135" s="88"/>
      <c r="N135" s="88">
        <f>IFERROR(__xludf.DUMMYFUNCTION("""COMPUTED_VALUE"""),1.0)</f>
        <v>1</v>
      </c>
      <c r="Q135" s="88"/>
      <c r="R135" s="88" t="str">
        <f>IFERROR(__xludf.DUMMYFUNCTION("""COMPUTED_VALUE"""),"Water")</f>
        <v>Water</v>
      </c>
      <c r="S135" s="88">
        <f>IFERROR(__xludf.DUMMYFUNCTION("""COMPUTED_VALUE"""),136.32)</f>
        <v>136.32</v>
      </c>
      <c r="T135" s="88">
        <f>IFERROR(__xludf.DUMMYFUNCTION("""COMPUTED_VALUE"""),22.72)</f>
        <v>22.72</v>
      </c>
      <c r="U135" s="88"/>
      <c r="V135" s="88"/>
      <c r="W135" s="88"/>
      <c r="X135" s="88"/>
      <c r="Y135" s="88"/>
    </row>
    <row r="136">
      <c r="A136" s="137">
        <f>IFERROR(__xludf.DUMMYFUNCTION("""COMPUTED_VALUE"""),45350.0)</f>
        <v>45350</v>
      </c>
      <c r="B136" s="88" t="str">
        <f>IFERROR(__xludf.DUMMYFUNCTION("""COMPUTED_VALUE"""),"Foody ")</f>
        <v>Foody </v>
      </c>
      <c r="C136" s="88" t="str">
        <f>IFERROR(__xludf.DUMMYFUNCTION("""COMPUTED_VALUE"""),"食物")</f>
        <v>食物</v>
      </c>
      <c r="D136" s="88">
        <f>IFERROR(__xludf.DUMMYFUNCTION("""COMPUTED_VALUE"""),51.8)</f>
        <v>51.8</v>
      </c>
      <c r="E136" s="88" t="str">
        <f>IFERROR(__xludf.DUMMYFUNCTION("""COMPUTED_VALUE"""),"Pigskin")</f>
        <v>Pigskin</v>
      </c>
      <c r="F136" s="88">
        <f>IFERROR(__xludf.DUMMYFUNCTION("""COMPUTED_VALUE"""),12.95)</f>
        <v>12.95</v>
      </c>
      <c r="G136" s="88">
        <f>IFERROR(__xludf.DUMMYFUNCTION("""COMPUTED_VALUE"""),12.95)</f>
        <v>12.95</v>
      </c>
      <c r="H136" s="88">
        <f>IFERROR(__xludf.DUMMYFUNCTION("""COMPUTED_VALUE"""),1.0)</f>
        <v>1</v>
      </c>
      <c r="I136" s="88">
        <f>IFERROR(__xludf.DUMMYFUNCTION("""COMPUTED_VALUE"""),1.0)</f>
        <v>1</v>
      </c>
      <c r="J136" s="88">
        <f>IFERROR(__xludf.DUMMYFUNCTION("""COMPUTED_VALUE"""),1.0)</f>
        <v>1</v>
      </c>
      <c r="K136" s="88">
        <f>IFERROR(__xludf.DUMMYFUNCTION("""COMPUTED_VALUE"""),1.0)</f>
        <v>1</v>
      </c>
      <c r="L136" s="88"/>
      <c r="M136" s="88"/>
      <c r="N136" s="88"/>
      <c r="Q136" s="88"/>
      <c r="R136" s="88"/>
      <c r="S136" s="88"/>
      <c r="T136" s="88"/>
      <c r="U136" s="88"/>
      <c r="V136" s="88"/>
      <c r="W136" s="88"/>
      <c r="X136" s="88"/>
      <c r="Y136" s="88"/>
    </row>
    <row r="137">
      <c r="A137" s="137">
        <f>IFERROR(__xludf.DUMMYFUNCTION("""COMPUTED_VALUE"""),45342.0)</f>
        <v>45342</v>
      </c>
      <c r="B137" s="88" t="str">
        <f>IFERROR(__xludf.DUMMYFUNCTION("""COMPUTED_VALUE"""),"Food basic")</f>
        <v>Food basic</v>
      </c>
      <c r="C137" s="88" t="str">
        <f>IFERROR(__xludf.DUMMYFUNCTION("""COMPUTED_VALUE"""),"食物")</f>
        <v>食物</v>
      </c>
      <c r="D137" s="88">
        <f>IFERROR(__xludf.DUMMYFUNCTION("""COMPUTED_VALUE"""),4.56)</f>
        <v>4.56</v>
      </c>
      <c r="E137" s="88" t="str">
        <f>IFERROR(__xludf.DUMMYFUNCTION("""COMPUTED_VALUE"""),"Pigskin")</f>
        <v>Pigskin</v>
      </c>
      <c r="F137" s="88">
        <f>IFERROR(__xludf.DUMMYFUNCTION("""COMPUTED_VALUE"""),0.9119999999999999)</f>
        <v>0.912</v>
      </c>
      <c r="G137" s="88">
        <f>IFERROR(__xludf.DUMMYFUNCTION("""COMPUTED_VALUE"""),0.9119999999999999)</f>
        <v>0.912</v>
      </c>
      <c r="H137" s="88">
        <f>IFERROR(__xludf.DUMMYFUNCTION("""COMPUTED_VALUE"""),1.0)</f>
        <v>1</v>
      </c>
      <c r="I137" s="88">
        <f>IFERROR(__xludf.DUMMYFUNCTION("""COMPUTED_VALUE"""),1.0)</f>
        <v>1</v>
      </c>
      <c r="J137" s="88">
        <f>IFERROR(__xludf.DUMMYFUNCTION("""COMPUTED_VALUE"""),1.0)</f>
        <v>1</v>
      </c>
      <c r="K137" s="88">
        <f>IFERROR(__xludf.DUMMYFUNCTION("""COMPUTED_VALUE"""),1.0)</f>
        <v>1</v>
      </c>
      <c r="L137" s="88"/>
      <c r="M137" s="88"/>
      <c r="N137" s="88">
        <f>IFERROR(__xludf.DUMMYFUNCTION("""COMPUTED_VALUE"""),1.0)</f>
        <v>1</v>
      </c>
      <c r="Q137" s="138">
        <f>IFERROR(__xludf.DUMMYFUNCTION("""COMPUTED_VALUE"""),45689.0)</f>
        <v>45689</v>
      </c>
      <c r="R137" s="88" t="str">
        <f>IFERROR(__xludf.DUMMYFUNCTION("""COMPUTED_VALUE"""),"Rent")</f>
        <v>Rent</v>
      </c>
      <c r="S137" s="88">
        <f>IFERROR(__xludf.DUMMYFUNCTION("""COMPUTED_VALUE"""),3900.0)</f>
        <v>3900</v>
      </c>
      <c r="T137" s="88">
        <f>IFERROR(__xludf.DUMMYFUNCTION("""COMPUTED_VALUE"""),650.0)</f>
        <v>650</v>
      </c>
      <c r="U137" s="88" t="str">
        <f>IFERROR(__xludf.DUMMYFUNCTION("""COMPUTED_VALUE"""),"Paid")</f>
        <v>Paid</v>
      </c>
      <c r="V137" s="88" t="str">
        <f>IFERROR(__xludf.DUMMYFUNCTION("""COMPUTED_VALUE"""),"Paid")</f>
        <v>Paid</v>
      </c>
      <c r="W137" s="88" t="str">
        <f>IFERROR(__xludf.DUMMYFUNCTION("""COMPUTED_VALUE"""),"Paid")</f>
        <v>Paid</v>
      </c>
      <c r="X137" s="88" t="str">
        <f>IFERROR(__xludf.DUMMYFUNCTION("""COMPUTED_VALUE"""),"Paid")</f>
        <v>Paid</v>
      </c>
      <c r="Y137" s="88" t="str">
        <f>IFERROR(__xludf.DUMMYFUNCTION("""COMPUTED_VALUE"""),"Paid")</f>
        <v>Paid</v>
      </c>
    </row>
    <row r="138">
      <c r="A138" s="137">
        <f>IFERROR(__xludf.DUMMYFUNCTION("""COMPUTED_VALUE"""),45344.0)</f>
        <v>45344</v>
      </c>
      <c r="B138" s="88" t="str">
        <f>IFERROR(__xludf.DUMMYFUNCTION("""COMPUTED_VALUE"""),"Foody")</f>
        <v>Foody</v>
      </c>
      <c r="C138" s="88" t="str">
        <f>IFERROR(__xludf.DUMMYFUNCTION("""COMPUTED_VALUE"""),"食物")</f>
        <v>食物</v>
      </c>
      <c r="D138" s="88">
        <f>IFERROR(__xludf.DUMMYFUNCTION("""COMPUTED_VALUE"""),5.18)</f>
        <v>5.18</v>
      </c>
      <c r="E138" s="88" t="str">
        <f>IFERROR(__xludf.DUMMYFUNCTION("""COMPUTED_VALUE"""),"Pigskin")</f>
        <v>Pigskin</v>
      </c>
      <c r="F138" s="88">
        <f>IFERROR(__xludf.DUMMYFUNCTION("""COMPUTED_VALUE"""),1.036)</f>
        <v>1.036</v>
      </c>
      <c r="G138" s="88">
        <f>IFERROR(__xludf.DUMMYFUNCTION("""COMPUTED_VALUE"""),1.036)</f>
        <v>1.036</v>
      </c>
      <c r="H138" s="88">
        <f>IFERROR(__xludf.DUMMYFUNCTION("""COMPUTED_VALUE"""),1.0)</f>
        <v>1</v>
      </c>
      <c r="I138" s="88">
        <f>IFERROR(__xludf.DUMMYFUNCTION("""COMPUTED_VALUE"""),1.0)</f>
        <v>1</v>
      </c>
      <c r="J138" s="88">
        <f>IFERROR(__xludf.DUMMYFUNCTION("""COMPUTED_VALUE"""),1.0)</f>
        <v>1</v>
      </c>
      <c r="K138" s="88">
        <f>IFERROR(__xludf.DUMMYFUNCTION("""COMPUTED_VALUE"""),1.0)</f>
        <v>1</v>
      </c>
      <c r="L138" s="88"/>
      <c r="M138" s="88"/>
      <c r="N138" s="88">
        <f>IFERROR(__xludf.DUMMYFUNCTION("""COMPUTED_VALUE"""),1.0)</f>
        <v>1</v>
      </c>
      <c r="Q138" s="88"/>
      <c r="R138" s="88" t="str">
        <f>IFERROR(__xludf.DUMMYFUNCTION("""COMPUTED_VALUE"""),"Heat Feb 19 - Mar 18")</f>
        <v>Heat Feb 19 - Mar 18</v>
      </c>
      <c r="S138" s="88">
        <f>IFERROR(__xludf.DUMMYFUNCTION("""COMPUTED_VALUE"""),146.59)</f>
        <v>146.59</v>
      </c>
      <c r="T138" s="88">
        <f>IFERROR(__xludf.DUMMYFUNCTION("""COMPUTED_VALUE"""),48.86333333333334)</f>
        <v>48.86333333</v>
      </c>
      <c r="U138" s="88"/>
      <c r="V138" s="88"/>
      <c r="W138" s="88"/>
      <c r="X138" s="88"/>
      <c r="Y138" s="88"/>
    </row>
    <row r="139">
      <c r="A139" s="137">
        <f>IFERROR(__xludf.DUMMYFUNCTION("""COMPUTED_VALUE"""),45348.0)</f>
        <v>45348</v>
      </c>
      <c r="B139" s="88" t="str">
        <f>IFERROR(__xludf.DUMMYFUNCTION("""COMPUTED_VALUE"""),"Tnt")</f>
        <v>Tnt</v>
      </c>
      <c r="C139" s="88" t="str">
        <f>IFERROR(__xludf.DUMMYFUNCTION("""COMPUTED_VALUE"""),"食物")</f>
        <v>食物</v>
      </c>
      <c r="D139" s="88">
        <f>IFERROR(__xludf.DUMMYFUNCTION("""COMPUTED_VALUE"""),15.07)</f>
        <v>15.07</v>
      </c>
      <c r="E139" s="88" t="str">
        <f>IFERROR(__xludf.DUMMYFUNCTION("""COMPUTED_VALUE"""),"Pigskin")</f>
        <v>Pigskin</v>
      </c>
      <c r="F139" s="88">
        <f>IFERROR(__xludf.DUMMYFUNCTION("""COMPUTED_VALUE"""),3.0140000000000002)</f>
        <v>3.014</v>
      </c>
      <c r="G139" s="88">
        <f>IFERROR(__xludf.DUMMYFUNCTION("""COMPUTED_VALUE"""),3.0140000000000002)</f>
        <v>3.014</v>
      </c>
      <c r="H139" s="88">
        <f>IFERROR(__xludf.DUMMYFUNCTION("""COMPUTED_VALUE"""),1.0)</f>
        <v>1</v>
      </c>
      <c r="I139" s="88">
        <f>IFERROR(__xludf.DUMMYFUNCTION("""COMPUTED_VALUE"""),1.0)</f>
        <v>1</v>
      </c>
      <c r="J139" s="88">
        <f>IFERROR(__xludf.DUMMYFUNCTION("""COMPUTED_VALUE"""),1.0)</f>
        <v>1</v>
      </c>
      <c r="K139" s="88">
        <f>IFERROR(__xludf.DUMMYFUNCTION("""COMPUTED_VALUE"""),1.0)</f>
        <v>1</v>
      </c>
      <c r="L139" s="88"/>
      <c r="M139" s="88"/>
      <c r="N139" s="88">
        <f>IFERROR(__xludf.DUMMYFUNCTION("""COMPUTED_VALUE"""),1.0)</f>
        <v>1</v>
      </c>
      <c r="Q139" s="88"/>
      <c r="R139" s="88" t="str">
        <f>IFERROR(__xludf.DUMMYFUNCTION("""COMPUTED_VALUE"""),"Electricity")</f>
        <v>Electricity</v>
      </c>
      <c r="S139" s="88">
        <f>IFERROR(__xludf.DUMMYFUNCTION("""COMPUTED_VALUE"""),147.53)</f>
        <v>147.53</v>
      </c>
      <c r="T139" s="88"/>
      <c r="U139" s="88"/>
      <c r="V139" s="88"/>
      <c r="W139" s="88"/>
      <c r="X139" s="88"/>
      <c r="Y139" s="88"/>
    </row>
    <row r="140">
      <c r="A140" s="88"/>
      <c r="B140" s="88"/>
      <c r="C140" s="88"/>
      <c r="D140" s="88"/>
      <c r="E140" s="88"/>
      <c r="F140" s="88" t="str">
        <f>IFERROR(__xludf.DUMMYFUNCTION("""COMPUTED_VALUE"""),"#DIV/0!")</f>
        <v>#DIV/0!</v>
      </c>
      <c r="G140" s="88" t="str">
        <f>IFERROR(__xludf.DUMMYFUNCTION("""COMPUTED_VALUE"""),"#DIV/0!")</f>
        <v>#DIV/0!</v>
      </c>
      <c r="H140" s="88"/>
      <c r="I140" s="88"/>
      <c r="J140" s="88"/>
      <c r="K140" s="88"/>
      <c r="L140" s="88"/>
      <c r="M140" s="88"/>
      <c r="N140" s="88"/>
      <c r="Q140" s="88"/>
      <c r="R140" s="88" t="str">
        <f>IFERROR(__xludf.DUMMYFUNCTION("""COMPUTED_VALUE"""),"Internet")</f>
        <v>Internet</v>
      </c>
      <c r="S140" s="88">
        <f>IFERROR(__xludf.DUMMYFUNCTION("""COMPUTED_VALUE"""),56.5)</f>
        <v>56.5</v>
      </c>
      <c r="T140" s="88">
        <f>IFERROR(__xludf.DUMMYFUNCTION("""COMPUTED_VALUE"""),9.416666666666666)</f>
        <v>9.416666667</v>
      </c>
      <c r="U140" s="88"/>
      <c r="V140" s="88"/>
      <c r="W140" s="88"/>
      <c r="X140" s="88"/>
      <c r="Y140" s="88"/>
    </row>
    <row r="141">
      <c r="A141" s="88"/>
      <c r="B141" s="88"/>
      <c r="C141" s="88"/>
      <c r="D141" s="88"/>
      <c r="E141" s="88"/>
      <c r="F141" s="88" t="str">
        <f>IFERROR(__xludf.DUMMYFUNCTION("""COMPUTED_VALUE"""),"#DIV/0!")</f>
        <v>#DIV/0!</v>
      </c>
      <c r="G141" s="88" t="str">
        <f>IFERROR(__xludf.DUMMYFUNCTION("""COMPUTED_VALUE"""),"#DIV/0!")</f>
        <v>#DIV/0!</v>
      </c>
      <c r="H141" s="88"/>
      <c r="I141" s="88"/>
      <c r="J141" s="88"/>
      <c r="K141" s="88"/>
      <c r="L141" s="88"/>
      <c r="M141" s="88"/>
      <c r="N141" s="88"/>
      <c r="Q141" s="88"/>
      <c r="R141" s="88"/>
      <c r="S141" s="88"/>
      <c r="T141" s="88"/>
      <c r="U141" s="88"/>
      <c r="V141" s="88"/>
      <c r="W141" s="88"/>
      <c r="X141" s="88"/>
      <c r="Y141" s="88"/>
    </row>
    <row r="142">
      <c r="A142" s="88"/>
      <c r="B142" s="88"/>
      <c r="C142" s="88"/>
      <c r="D142" s="88"/>
      <c r="E142" s="88"/>
      <c r="F142" s="88" t="str">
        <f>IFERROR(__xludf.DUMMYFUNCTION("""COMPUTED_VALUE"""),"#DIV/0!")</f>
        <v>#DIV/0!</v>
      </c>
      <c r="G142" s="88" t="str">
        <f>IFERROR(__xludf.DUMMYFUNCTION("""COMPUTED_VALUE"""),"#DIV/0!")</f>
        <v>#DIV/0!</v>
      </c>
      <c r="H142" s="88"/>
      <c r="I142" s="88"/>
      <c r="J142" s="88"/>
      <c r="K142" s="88"/>
      <c r="L142" s="88"/>
      <c r="M142" s="88"/>
      <c r="N142" s="88"/>
      <c r="Q142" s="88"/>
      <c r="R142" s="88"/>
      <c r="S142" s="88"/>
      <c r="T142" s="88"/>
      <c r="U142" s="88"/>
      <c r="V142" s="88"/>
      <c r="W142" s="88"/>
      <c r="X142" s="88"/>
      <c r="Y142" s="88"/>
    </row>
    <row r="143">
      <c r="A143" s="88"/>
      <c r="B143" s="88"/>
      <c r="C143" s="88"/>
      <c r="D143" s="88"/>
      <c r="E143" s="88"/>
      <c r="F143" s="88" t="str">
        <f>IFERROR(__xludf.DUMMYFUNCTION("""COMPUTED_VALUE"""),"#DIV/0!")</f>
        <v>#DIV/0!</v>
      </c>
      <c r="G143" s="88" t="str">
        <f>IFERROR(__xludf.DUMMYFUNCTION("""COMPUTED_VALUE"""),"#DIV/0!")</f>
        <v>#DIV/0!</v>
      </c>
      <c r="H143" s="88"/>
      <c r="I143" s="88"/>
      <c r="J143" s="88"/>
      <c r="K143" s="88"/>
      <c r="L143" s="88"/>
      <c r="M143" s="88"/>
      <c r="N143" s="88"/>
      <c r="Q143" s="138">
        <f>IFERROR(__xludf.DUMMYFUNCTION("""COMPUTED_VALUE"""),45717.0)</f>
        <v>45717</v>
      </c>
      <c r="R143" s="88" t="str">
        <f>IFERROR(__xludf.DUMMYFUNCTION("""COMPUTED_VALUE"""),"Rent")</f>
        <v>Rent</v>
      </c>
      <c r="S143" s="88">
        <f>IFERROR(__xludf.DUMMYFUNCTION("""COMPUTED_VALUE"""),3900.0)</f>
        <v>3900</v>
      </c>
      <c r="T143" s="88">
        <f>IFERROR(__xludf.DUMMYFUNCTION("""COMPUTED_VALUE"""),650.0)</f>
        <v>650</v>
      </c>
      <c r="U143" s="88" t="str">
        <f>IFERROR(__xludf.DUMMYFUNCTION("""COMPUTED_VALUE"""),"Paid")</f>
        <v>Paid</v>
      </c>
      <c r="V143" s="88" t="str">
        <f>IFERROR(__xludf.DUMMYFUNCTION("""COMPUTED_VALUE"""),"Paid")</f>
        <v>Paid</v>
      </c>
      <c r="W143" s="88"/>
      <c r="X143" s="88" t="str">
        <f>IFERROR(__xludf.DUMMYFUNCTION("""COMPUTED_VALUE"""),"Paid")</f>
        <v>Paid</v>
      </c>
      <c r="Y143" s="88" t="str">
        <f>IFERROR(__xludf.DUMMYFUNCTION("""COMPUTED_VALUE"""),"Paid")</f>
        <v>Paid</v>
      </c>
    </row>
    <row r="144">
      <c r="A144" s="88"/>
      <c r="B144" s="88"/>
      <c r="C144" s="88"/>
      <c r="D144" s="88"/>
      <c r="E144" s="88"/>
      <c r="F144" s="88" t="str">
        <f>IFERROR(__xludf.DUMMYFUNCTION("""COMPUTED_VALUE"""),"#DIV/0!")</f>
        <v>#DIV/0!</v>
      </c>
      <c r="G144" s="88" t="str">
        <f>IFERROR(__xludf.DUMMYFUNCTION("""COMPUTED_VALUE"""),"#DIV/0!")</f>
        <v>#DIV/0!</v>
      </c>
      <c r="H144" s="88"/>
      <c r="I144" s="88"/>
      <c r="J144" s="88"/>
      <c r="K144" s="88"/>
      <c r="L144" s="88"/>
      <c r="M144" s="88"/>
      <c r="N144" s="88"/>
      <c r="Q144" s="88"/>
      <c r="R144" s="88" t="str">
        <f>IFERROR(__xludf.DUMMYFUNCTION("""COMPUTED_VALUE"""),"Heat")</f>
        <v>Heat</v>
      </c>
      <c r="S144" s="88"/>
      <c r="T144" s="88"/>
      <c r="U144" s="88"/>
      <c r="V144" s="88"/>
      <c r="W144" s="88"/>
      <c r="X144" s="88"/>
      <c r="Y144" s="88"/>
    </row>
    <row r="145">
      <c r="A145" s="88"/>
      <c r="B145" s="88"/>
      <c r="C145" s="88"/>
      <c r="D145" s="88"/>
      <c r="E145" s="88"/>
      <c r="F145" s="88" t="str">
        <f>IFERROR(__xludf.DUMMYFUNCTION("""COMPUTED_VALUE"""),"#DIV/0!")</f>
        <v>#DIV/0!</v>
      </c>
      <c r="G145" s="88"/>
      <c r="H145" s="88"/>
      <c r="I145" s="88"/>
      <c r="J145" s="88"/>
      <c r="K145" s="88"/>
      <c r="L145" s="88"/>
      <c r="M145" s="88"/>
      <c r="N145" s="88"/>
      <c r="Q145" s="88"/>
      <c r="R145" s="88" t="str">
        <f>IFERROR(__xludf.DUMMYFUNCTION("""COMPUTED_VALUE"""),"Electricity")</f>
        <v>Electricity</v>
      </c>
      <c r="S145" s="88">
        <f>IFERROR(__xludf.DUMMYFUNCTION("""COMPUTED_VALUE"""),100.34)</f>
        <v>100.34</v>
      </c>
      <c r="T145" s="88"/>
      <c r="U145" s="88"/>
      <c r="V145" s="88"/>
      <c r="W145" s="88"/>
      <c r="X145" s="88"/>
      <c r="Y145" s="88"/>
    </row>
    <row r="146">
      <c r="A146" s="88"/>
      <c r="B146" s="88"/>
      <c r="C146" s="88"/>
      <c r="D146" s="88"/>
      <c r="E146" s="88"/>
      <c r="F146" s="88" t="str">
        <f>IFERROR(__xludf.DUMMYFUNCTION("""COMPUTED_VALUE"""),"#DIV/0!")</f>
        <v>#DIV/0!</v>
      </c>
      <c r="G146" s="88"/>
      <c r="H146" s="88"/>
      <c r="I146" s="88"/>
      <c r="J146" s="88"/>
      <c r="K146" s="88"/>
      <c r="L146" s="88"/>
      <c r="M146" s="88"/>
      <c r="N146" s="88"/>
      <c r="Q146" s="88"/>
      <c r="R146" s="88" t="str">
        <f>IFERROR(__xludf.DUMMYFUNCTION("""COMPUTED_VALUE"""),"Internet")</f>
        <v>Internet</v>
      </c>
      <c r="S146" s="88">
        <f>IFERROR(__xludf.DUMMYFUNCTION("""COMPUTED_VALUE"""),56.5)</f>
        <v>56.5</v>
      </c>
      <c r="T146" s="88">
        <f>IFERROR(__xludf.DUMMYFUNCTION("""COMPUTED_VALUE"""),9.416666666666666)</f>
        <v>9.416666667</v>
      </c>
      <c r="U146" s="88"/>
      <c r="V146" s="88"/>
      <c r="W146" s="88"/>
      <c r="X146" s="88"/>
      <c r="Y146" s="88"/>
    </row>
    <row r="147">
      <c r="A147" s="88"/>
      <c r="B147" s="88"/>
      <c r="C147" s="88"/>
      <c r="D147" s="88"/>
      <c r="E147" s="88"/>
      <c r="F147" s="88" t="str">
        <f>IFERROR(__xludf.DUMMYFUNCTION("""COMPUTED_VALUE"""),"#DIV/0!")</f>
        <v>#DIV/0!</v>
      </c>
      <c r="G147" s="88"/>
      <c r="H147" s="88"/>
      <c r="I147" s="88"/>
      <c r="J147" s="88"/>
      <c r="K147" s="88"/>
      <c r="L147" s="88"/>
      <c r="M147" s="88"/>
      <c r="N147" s="88"/>
      <c r="Q147" s="88"/>
      <c r="R147" s="88"/>
      <c r="S147" s="88"/>
      <c r="T147" s="88"/>
      <c r="U147" s="88"/>
      <c r="V147" s="88"/>
      <c r="W147" s="88"/>
      <c r="X147" s="88"/>
      <c r="Y147" s="88"/>
    </row>
    <row r="148">
      <c r="A148" s="88"/>
      <c r="B148" s="88"/>
      <c r="C148" s="88"/>
      <c r="D148" s="88"/>
      <c r="E148" s="88"/>
      <c r="F148" s="88" t="str">
        <f>IFERROR(__xludf.DUMMYFUNCTION("""COMPUTED_VALUE"""),"#DIV/0!")</f>
        <v>#DIV/0!</v>
      </c>
      <c r="G148" s="88"/>
      <c r="H148" s="88"/>
      <c r="I148" s="88"/>
      <c r="J148" s="88"/>
      <c r="K148" s="88"/>
      <c r="L148" s="88"/>
      <c r="M148" s="88"/>
      <c r="N148" s="88"/>
      <c r="Q148" s="88"/>
      <c r="R148" s="88"/>
      <c r="S148" s="88"/>
      <c r="T148" s="88"/>
      <c r="U148" s="88"/>
      <c r="V148" s="88"/>
      <c r="W148" s="88"/>
      <c r="X148" s="88"/>
      <c r="Y148" s="88"/>
    </row>
    <row r="149">
      <c r="A149" s="88"/>
      <c r="B149" s="88"/>
      <c r="C149" s="88"/>
      <c r="D149" s="88"/>
      <c r="E149" s="88"/>
      <c r="F149" s="88" t="str">
        <f>IFERROR(__xludf.DUMMYFUNCTION("""COMPUTED_VALUE"""),"#DIV/0!")</f>
        <v>#DIV/0!</v>
      </c>
      <c r="G149" s="88"/>
      <c r="H149" s="88"/>
      <c r="I149" s="88"/>
      <c r="J149" s="88"/>
      <c r="K149" s="88"/>
      <c r="L149" s="88"/>
      <c r="M149" s="88"/>
      <c r="N149" s="88"/>
      <c r="Q149" s="88"/>
      <c r="R149" s="88"/>
      <c r="S149" s="88"/>
      <c r="T149" s="88"/>
      <c r="U149" s="88"/>
      <c r="V149" s="88"/>
      <c r="W149" s="88"/>
      <c r="X149" s="88"/>
      <c r="Y149" s="88"/>
    </row>
    <row r="150">
      <c r="A150" s="88"/>
      <c r="B150" s="88"/>
      <c r="C150" s="88"/>
      <c r="D150" s="88"/>
      <c r="E150" s="88"/>
      <c r="F150" s="88" t="str">
        <f>IFERROR(__xludf.DUMMYFUNCTION("""COMPUTED_VALUE"""),"#DIV/0!")</f>
        <v>#DIV/0!</v>
      </c>
      <c r="G150" s="88"/>
      <c r="H150" s="88"/>
      <c r="I150" s="88"/>
      <c r="J150" s="88"/>
      <c r="K150" s="88"/>
      <c r="L150" s="88"/>
      <c r="M150" s="88"/>
      <c r="N150" s="88"/>
      <c r="Q150" s="88"/>
      <c r="R150" s="88"/>
      <c r="S150" s="88"/>
      <c r="T150" s="88"/>
      <c r="U150" s="88"/>
      <c r="V150" s="88"/>
      <c r="W150" s="88"/>
      <c r="X150" s="88"/>
      <c r="Y150" s="88"/>
    </row>
    <row r="151">
      <c r="A151" s="88"/>
      <c r="B151" s="88"/>
      <c r="C151" s="88"/>
      <c r="D151" s="88"/>
      <c r="E151" s="88"/>
      <c r="F151" s="88" t="str">
        <f>IFERROR(__xludf.DUMMYFUNCTION("""COMPUTED_VALUE"""),"#DIV/0!")</f>
        <v>#DIV/0!</v>
      </c>
      <c r="G151" s="88"/>
      <c r="H151" s="88"/>
      <c r="I151" s="88"/>
      <c r="J151" s="88"/>
      <c r="K151" s="88"/>
      <c r="L151" s="88"/>
      <c r="M151" s="88"/>
      <c r="N151" s="88"/>
      <c r="Q151" s="88"/>
      <c r="R151" s="88"/>
      <c r="S151" s="88"/>
      <c r="T151" s="88"/>
      <c r="U151" s="88"/>
      <c r="V151" s="88"/>
      <c r="W151" s="88"/>
      <c r="X151" s="88"/>
      <c r="Y151" s="88"/>
    </row>
    <row r="152">
      <c r="A152" s="88"/>
      <c r="B152" s="88"/>
      <c r="C152" s="88"/>
      <c r="D152" s="88"/>
      <c r="E152" s="88"/>
      <c r="F152" s="88" t="str">
        <f>IFERROR(__xludf.DUMMYFUNCTION("""COMPUTED_VALUE"""),"#DIV/0!")</f>
        <v>#DIV/0!</v>
      </c>
      <c r="G152" s="88"/>
      <c r="H152" s="88"/>
      <c r="I152" s="88"/>
      <c r="J152" s="88"/>
      <c r="K152" s="88"/>
      <c r="L152" s="88"/>
      <c r="M152" s="88"/>
      <c r="N152" s="88"/>
      <c r="Q152" s="88"/>
      <c r="R152" s="88"/>
      <c r="S152" s="88"/>
      <c r="T152" s="88"/>
      <c r="U152" s="88"/>
      <c r="V152" s="88"/>
      <c r="W152" s="88"/>
      <c r="X152" s="88"/>
      <c r="Y152" s="88"/>
    </row>
    <row r="153">
      <c r="A153" s="88"/>
      <c r="B153" s="88"/>
      <c r="C153" s="88"/>
      <c r="D153" s="88"/>
      <c r="E153" s="88"/>
      <c r="F153" s="88" t="str">
        <f>IFERROR(__xludf.DUMMYFUNCTION("""COMPUTED_VALUE"""),"#DIV/0!")</f>
        <v>#DIV/0!</v>
      </c>
      <c r="G153" s="88"/>
      <c r="H153" s="88"/>
      <c r="I153" s="88"/>
      <c r="J153" s="88"/>
      <c r="K153" s="88"/>
      <c r="L153" s="88"/>
      <c r="M153" s="88"/>
      <c r="N153" s="88"/>
      <c r="Q153" s="88"/>
      <c r="R153" s="88"/>
      <c r="S153" s="88"/>
      <c r="T153" s="88"/>
      <c r="U153" s="88"/>
      <c r="V153" s="88"/>
      <c r="W153" s="88"/>
      <c r="X153" s="88"/>
      <c r="Y153" s="88"/>
    </row>
    <row r="154">
      <c r="A154" s="88"/>
      <c r="B154" s="88"/>
      <c r="C154" s="88"/>
      <c r="D154" s="88"/>
      <c r="E154" s="88"/>
      <c r="F154" s="88" t="str">
        <f>IFERROR(__xludf.DUMMYFUNCTION("""COMPUTED_VALUE"""),"#DIV/0!")</f>
        <v>#DIV/0!</v>
      </c>
      <c r="G154" s="88"/>
      <c r="H154" s="88"/>
      <c r="I154" s="88"/>
      <c r="J154" s="88"/>
      <c r="K154" s="88"/>
      <c r="L154" s="88"/>
      <c r="M154" s="88"/>
      <c r="N154" s="88"/>
      <c r="Q154" s="88"/>
      <c r="R154" s="88"/>
      <c r="S154" s="88"/>
      <c r="T154" s="88"/>
      <c r="U154" s="88"/>
      <c r="V154" s="88"/>
      <c r="W154" s="88"/>
      <c r="X154" s="88"/>
      <c r="Y154" s="88"/>
    </row>
    <row r="155">
      <c r="A155" s="88"/>
      <c r="B155" s="88"/>
      <c r="C155" s="88"/>
      <c r="D155" s="88"/>
      <c r="E155" s="88"/>
      <c r="F155" s="88" t="str">
        <f>IFERROR(__xludf.DUMMYFUNCTION("""COMPUTED_VALUE"""),"#DIV/0!")</f>
        <v>#DIV/0!</v>
      </c>
      <c r="G155" s="88"/>
      <c r="H155" s="88"/>
      <c r="I155" s="88"/>
      <c r="J155" s="88"/>
      <c r="K155" s="88"/>
      <c r="L155" s="88"/>
      <c r="M155" s="88"/>
      <c r="N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>
      <c r="A156" s="88"/>
      <c r="B156" s="88"/>
      <c r="C156" s="88"/>
      <c r="D156" s="88"/>
      <c r="E156" s="88"/>
      <c r="F156" s="88" t="str">
        <f>IFERROR(__xludf.DUMMYFUNCTION("""COMPUTED_VALUE"""),"#DIV/0!")</f>
        <v>#DIV/0!</v>
      </c>
      <c r="G156" s="88"/>
      <c r="H156" s="88"/>
      <c r="I156" s="88"/>
      <c r="J156" s="88"/>
      <c r="K156" s="88"/>
      <c r="L156" s="88"/>
      <c r="M156" s="88"/>
      <c r="N156" s="88"/>
      <c r="Q156" s="88"/>
      <c r="R156" s="88"/>
      <c r="S156" s="88"/>
      <c r="T156" s="88"/>
      <c r="U156" s="88"/>
      <c r="V156" s="88"/>
      <c r="W156" s="88"/>
      <c r="X156" s="88"/>
      <c r="Y156" s="88"/>
    </row>
    <row r="157">
      <c r="A157" s="88"/>
      <c r="B157" s="88"/>
      <c r="C157" s="88"/>
      <c r="D157" s="88"/>
      <c r="E157" s="88"/>
      <c r="F157" s="88" t="str">
        <f>IFERROR(__xludf.DUMMYFUNCTION("""COMPUTED_VALUE"""),"#DIV/0!")</f>
        <v>#DIV/0!</v>
      </c>
      <c r="G157" s="88"/>
      <c r="H157" s="88"/>
      <c r="I157" s="88"/>
      <c r="J157" s="88"/>
      <c r="K157" s="88"/>
      <c r="L157" s="88"/>
      <c r="M157" s="88"/>
      <c r="N157" s="88"/>
      <c r="Q157" s="88"/>
      <c r="R157" s="88"/>
      <c r="S157" s="88"/>
      <c r="T157" s="88"/>
      <c r="U157" s="88"/>
      <c r="V157" s="88"/>
      <c r="W157" s="88"/>
      <c r="X157" s="88"/>
      <c r="Y157" s="88"/>
    </row>
    <row r="158">
      <c r="A158" s="88"/>
      <c r="B158" s="88"/>
      <c r="C158" s="88"/>
      <c r="D158" s="88"/>
      <c r="E158" s="88"/>
      <c r="F158" s="88" t="str">
        <f>IFERROR(__xludf.DUMMYFUNCTION("""COMPUTED_VALUE"""),"#DIV/0!")</f>
        <v>#DIV/0!</v>
      </c>
      <c r="G158" s="88"/>
      <c r="H158" s="88"/>
      <c r="I158" s="88"/>
      <c r="J158" s="88"/>
      <c r="K158" s="88"/>
      <c r="L158" s="88"/>
      <c r="M158" s="88"/>
      <c r="N158" s="88"/>
      <c r="Q158" s="88"/>
      <c r="R158" s="88"/>
      <c r="S158" s="88"/>
      <c r="T158" s="88"/>
      <c r="U158" s="88"/>
      <c r="V158" s="88"/>
      <c r="W158" s="88"/>
      <c r="X158" s="88"/>
      <c r="Y158" s="88"/>
    </row>
    <row r="159">
      <c r="A159" s="88"/>
      <c r="B159" s="88"/>
      <c r="C159" s="88"/>
      <c r="D159" s="88"/>
      <c r="E159" s="88"/>
      <c r="F159" s="88" t="str">
        <f>IFERROR(__xludf.DUMMYFUNCTION("""COMPUTED_VALUE"""),"#DIV/0!")</f>
        <v>#DIV/0!</v>
      </c>
      <c r="G159" s="88"/>
      <c r="H159" s="88"/>
      <c r="I159" s="88"/>
      <c r="J159" s="88"/>
      <c r="K159" s="88"/>
      <c r="L159" s="88"/>
      <c r="M159" s="88"/>
      <c r="N159" s="88"/>
      <c r="Q159" s="88"/>
      <c r="R159" s="88"/>
      <c r="S159" s="88"/>
      <c r="T159" s="88"/>
      <c r="U159" s="88"/>
      <c r="V159" s="88"/>
      <c r="W159" s="88"/>
      <c r="X159" s="88"/>
      <c r="Y159" s="88"/>
    </row>
    <row r="160">
      <c r="A160" s="88"/>
      <c r="B160" s="88"/>
      <c r="C160" s="88"/>
      <c r="D160" s="88"/>
      <c r="E160" s="88"/>
      <c r="F160" s="88" t="str">
        <f>IFERROR(__xludf.DUMMYFUNCTION("""COMPUTED_VALUE"""),"#DIV/0!")</f>
        <v>#DIV/0!</v>
      </c>
      <c r="G160" s="88"/>
      <c r="H160" s="88"/>
      <c r="I160" s="88"/>
      <c r="J160" s="88"/>
      <c r="K160" s="88"/>
      <c r="L160" s="88"/>
      <c r="M160" s="88"/>
      <c r="N160" s="88"/>
      <c r="Q160" s="88"/>
      <c r="R160" s="88"/>
      <c r="S160" s="88"/>
      <c r="T160" s="88"/>
      <c r="U160" s="88"/>
      <c r="V160" s="88"/>
      <c r="W160" s="88"/>
      <c r="X160" s="88"/>
      <c r="Y160" s="88"/>
    </row>
    <row r="161">
      <c r="A161" s="88"/>
      <c r="B161" s="88"/>
      <c r="C161" s="88"/>
      <c r="D161" s="88"/>
      <c r="E161" s="88"/>
      <c r="F161" s="88" t="str">
        <f>IFERROR(__xludf.DUMMYFUNCTION("""COMPUTED_VALUE"""),"#DIV/0!")</f>
        <v>#DIV/0!</v>
      </c>
      <c r="G161" s="88"/>
      <c r="H161" s="88"/>
      <c r="I161" s="88"/>
      <c r="J161" s="88"/>
      <c r="K161" s="88"/>
      <c r="L161" s="88"/>
      <c r="M161" s="88"/>
      <c r="N161" s="88"/>
      <c r="Q161" s="88"/>
      <c r="R161" s="88"/>
      <c r="S161" s="88"/>
      <c r="T161" s="88"/>
      <c r="U161" s="88"/>
      <c r="V161" s="88"/>
      <c r="W161" s="88"/>
      <c r="X161" s="88"/>
      <c r="Y161" s="88"/>
    </row>
    <row r="162">
      <c r="A162" s="88"/>
      <c r="B162" s="88"/>
      <c r="C162" s="88"/>
      <c r="D162" s="88"/>
      <c r="E162" s="88"/>
      <c r="F162" s="88" t="str">
        <f>IFERROR(__xludf.DUMMYFUNCTION("""COMPUTED_VALUE"""),"#DIV/0!")</f>
        <v>#DIV/0!</v>
      </c>
      <c r="G162" s="88"/>
      <c r="H162" s="88"/>
      <c r="I162" s="88"/>
      <c r="J162" s="88"/>
      <c r="K162" s="88"/>
      <c r="L162" s="88"/>
      <c r="M162" s="88"/>
      <c r="N162" s="88"/>
      <c r="Q162" s="88"/>
      <c r="R162" s="88"/>
      <c r="S162" s="88"/>
      <c r="T162" s="88"/>
      <c r="U162" s="88"/>
      <c r="V162" s="88"/>
      <c r="W162" s="88"/>
      <c r="X162" s="88"/>
      <c r="Y162" s="88"/>
    </row>
    <row r="163">
      <c r="A163" s="88"/>
      <c r="B163" s="88"/>
      <c r="C163" s="88"/>
      <c r="D163" s="88"/>
      <c r="E163" s="88"/>
      <c r="F163" s="88" t="str">
        <f>IFERROR(__xludf.DUMMYFUNCTION("""COMPUTED_VALUE"""),"#DIV/0!")</f>
        <v>#DIV/0!</v>
      </c>
      <c r="G163" s="88"/>
      <c r="H163" s="88"/>
      <c r="I163" s="88"/>
      <c r="J163" s="88"/>
      <c r="K163" s="88"/>
      <c r="L163" s="88"/>
      <c r="M163" s="88"/>
      <c r="N163" s="88"/>
      <c r="Q163" s="88"/>
      <c r="R163" s="88"/>
      <c r="S163" s="88"/>
      <c r="T163" s="88"/>
      <c r="U163" s="88"/>
      <c r="V163" s="88"/>
      <c r="W163" s="88"/>
      <c r="X163" s="88"/>
      <c r="Y163" s="88"/>
    </row>
    <row r="164">
      <c r="A164" s="88"/>
      <c r="B164" s="88"/>
      <c r="C164" s="88"/>
      <c r="D164" s="88"/>
      <c r="E164" s="88"/>
      <c r="F164" s="88" t="str">
        <f>IFERROR(__xludf.DUMMYFUNCTION("""COMPUTED_VALUE"""),"#DIV/0!")</f>
        <v>#DIV/0!</v>
      </c>
      <c r="G164" s="88"/>
      <c r="H164" s="88"/>
      <c r="I164" s="88"/>
      <c r="J164" s="88"/>
      <c r="K164" s="88"/>
      <c r="L164" s="88"/>
      <c r="M164" s="88"/>
      <c r="N164" s="88"/>
      <c r="Q164" s="88"/>
      <c r="R164" s="88"/>
      <c r="S164" s="88"/>
      <c r="T164" s="88"/>
      <c r="U164" s="88"/>
      <c r="V164" s="88"/>
      <c r="W164" s="88"/>
      <c r="X164" s="88"/>
      <c r="Y164" s="88"/>
    </row>
    <row r="165">
      <c r="A165" s="88"/>
      <c r="B165" s="88"/>
      <c r="C165" s="88"/>
      <c r="D165" s="88"/>
      <c r="E165" s="88"/>
      <c r="F165" s="88" t="str">
        <f>IFERROR(__xludf.DUMMYFUNCTION("""COMPUTED_VALUE"""),"#DIV/0!")</f>
        <v>#DIV/0!</v>
      </c>
      <c r="G165" s="88"/>
      <c r="H165" s="88"/>
      <c r="I165" s="88"/>
      <c r="J165" s="88"/>
      <c r="K165" s="88"/>
      <c r="L165" s="88"/>
      <c r="M165" s="88"/>
      <c r="N165" s="88"/>
      <c r="Q165" s="88"/>
      <c r="R165" s="88"/>
      <c r="S165" s="88"/>
      <c r="T165" s="88"/>
      <c r="U165" s="88"/>
      <c r="V165" s="88"/>
      <c r="W165" s="88"/>
      <c r="X165" s="88"/>
      <c r="Y165" s="88"/>
    </row>
    <row r="166">
      <c r="A166" s="88"/>
      <c r="B166" s="88"/>
      <c r="C166" s="88"/>
      <c r="D166" s="88"/>
      <c r="E166" s="88"/>
      <c r="F166" s="88" t="str">
        <f>IFERROR(__xludf.DUMMYFUNCTION("""COMPUTED_VALUE"""),"#DIV/0!")</f>
        <v>#DIV/0!</v>
      </c>
      <c r="G166" s="88"/>
      <c r="H166" s="88"/>
      <c r="I166" s="88"/>
      <c r="J166" s="88"/>
      <c r="K166" s="88"/>
      <c r="L166" s="88"/>
      <c r="M166" s="88"/>
      <c r="N166" s="88"/>
      <c r="Q166" s="88"/>
      <c r="R166" s="88"/>
      <c r="S166" s="88"/>
      <c r="T166" s="88"/>
      <c r="U166" s="88"/>
      <c r="V166" s="88"/>
      <c r="W166" s="88"/>
      <c r="X166" s="88"/>
      <c r="Y166" s="88"/>
    </row>
    <row r="167">
      <c r="A167" s="88"/>
      <c r="B167" s="88"/>
      <c r="C167" s="88"/>
      <c r="D167" s="88"/>
      <c r="E167" s="88"/>
      <c r="F167" s="88" t="str">
        <f>IFERROR(__xludf.DUMMYFUNCTION("""COMPUTED_VALUE"""),"#DIV/0!")</f>
        <v>#DIV/0!</v>
      </c>
      <c r="G167" s="88"/>
      <c r="H167" s="88"/>
      <c r="I167" s="88"/>
      <c r="J167" s="88"/>
      <c r="K167" s="88"/>
      <c r="L167" s="88"/>
      <c r="M167" s="88"/>
      <c r="N167" s="88"/>
      <c r="Q167" s="88"/>
      <c r="R167" s="88"/>
      <c r="S167" s="88"/>
      <c r="T167" s="88"/>
      <c r="U167" s="88"/>
      <c r="V167" s="88"/>
      <c r="W167" s="88"/>
      <c r="X167" s="88"/>
      <c r="Y167" s="88"/>
    </row>
    <row r="168">
      <c r="A168" s="88"/>
      <c r="B168" s="88"/>
      <c r="C168" s="88"/>
      <c r="D168" s="88"/>
      <c r="E168" s="88"/>
      <c r="F168" s="88" t="str">
        <f>IFERROR(__xludf.DUMMYFUNCTION("""COMPUTED_VALUE"""),"#DIV/0!")</f>
        <v>#DIV/0!</v>
      </c>
      <c r="G168" s="88"/>
      <c r="H168" s="88"/>
      <c r="I168" s="88"/>
      <c r="J168" s="88"/>
      <c r="K168" s="88"/>
      <c r="L168" s="88"/>
      <c r="M168" s="88"/>
      <c r="N168" s="88"/>
      <c r="Q168" s="88"/>
      <c r="R168" s="88"/>
      <c r="S168" s="88"/>
      <c r="T168" s="88"/>
      <c r="U168" s="88"/>
      <c r="V168" s="88"/>
      <c r="W168" s="88"/>
      <c r="X168" s="88"/>
      <c r="Y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Q169" s="88"/>
      <c r="R169" s="88"/>
      <c r="S169" s="88"/>
      <c r="T169" s="88"/>
      <c r="U169" s="88"/>
      <c r="V169" s="88"/>
      <c r="W169" s="88"/>
      <c r="X169" s="88"/>
      <c r="Y169" s="88"/>
    </row>
    <row r="170">
      <c r="A170" s="137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Q170" s="88"/>
      <c r="R170" s="88"/>
      <c r="S170" s="88"/>
      <c r="T170" s="88"/>
      <c r="U170" s="88"/>
      <c r="V170" s="88"/>
      <c r="W170" s="88"/>
      <c r="X170" s="88"/>
      <c r="Y170" s="88"/>
    </row>
    <row r="171">
      <c r="A171" s="137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Q171" s="88"/>
      <c r="R171" s="88"/>
      <c r="S171" s="88"/>
      <c r="T171" s="88"/>
      <c r="U171" s="88"/>
      <c r="V171" s="88"/>
      <c r="W171" s="88"/>
      <c r="X171" s="88"/>
      <c r="Y171" s="88"/>
    </row>
    <row r="172">
      <c r="A172" s="137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Q173" s="88"/>
      <c r="R173" s="88"/>
      <c r="S173" s="88"/>
      <c r="T173" s="88"/>
      <c r="U173" s="88"/>
      <c r="V173" s="88"/>
      <c r="W173" s="88"/>
      <c r="X173" s="88"/>
      <c r="Y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Q174" s="88"/>
      <c r="R174" s="88"/>
      <c r="S174" s="88"/>
      <c r="T174" s="88"/>
      <c r="U174" s="88"/>
      <c r="V174" s="88"/>
      <c r="W174" s="88"/>
      <c r="X174" s="88"/>
      <c r="Y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Q176" s="88"/>
      <c r="R176" s="88"/>
      <c r="S176" s="88"/>
      <c r="T176" s="88"/>
      <c r="U176" s="88"/>
      <c r="V176" s="88"/>
      <c r="W176" s="88"/>
      <c r="X176" s="88"/>
      <c r="Y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Q177" s="88"/>
      <c r="R177" s="88"/>
      <c r="S177" s="88"/>
      <c r="T177" s="88"/>
      <c r="U177" s="88"/>
      <c r="V177" s="88"/>
      <c r="W177" s="88"/>
      <c r="X177" s="88"/>
      <c r="Y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Q178" s="88"/>
      <c r="R178" s="88"/>
      <c r="S178" s="88"/>
      <c r="T178" s="88"/>
      <c r="U178" s="88"/>
      <c r="V178" s="88"/>
      <c r="W178" s="88"/>
      <c r="X178" s="88"/>
      <c r="Y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Q179" s="88"/>
      <c r="R179" s="88"/>
      <c r="S179" s="88"/>
      <c r="T179" s="88"/>
      <c r="U179" s="88"/>
      <c r="V179" s="88"/>
      <c r="W179" s="88"/>
      <c r="X179" s="88"/>
      <c r="Y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Q180" s="88"/>
      <c r="R180" s="88"/>
      <c r="S180" s="88"/>
      <c r="T180" s="88"/>
      <c r="U180" s="88"/>
      <c r="V180" s="88"/>
      <c r="W180" s="88"/>
      <c r="X180" s="88"/>
      <c r="Y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Q181" s="88"/>
      <c r="R181" s="88"/>
      <c r="S181" s="88"/>
      <c r="T181" s="88"/>
      <c r="U181" s="88"/>
      <c r="V181" s="88"/>
      <c r="W181" s="88"/>
      <c r="X181" s="88"/>
      <c r="Y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Q183" s="88"/>
      <c r="R183" s="88"/>
      <c r="S183" s="88"/>
      <c r="T183" s="88"/>
      <c r="U183" s="88"/>
      <c r="V183" s="88"/>
      <c r="W183" s="88"/>
      <c r="X183" s="88"/>
      <c r="Y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Q184" s="88"/>
      <c r="R184" s="88"/>
      <c r="S184" s="88"/>
      <c r="T184" s="88"/>
      <c r="U184" s="88"/>
      <c r="V184" s="88"/>
      <c r="W184" s="88"/>
      <c r="X184" s="88"/>
      <c r="Y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Q185" s="88"/>
      <c r="R185" s="88"/>
      <c r="S185" s="88"/>
      <c r="T185" s="88"/>
      <c r="U185" s="88"/>
      <c r="V185" s="88"/>
      <c r="W185" s="88"/>
      <c r="X185" s="88"/>
      <c r="Y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Q186" s="88"/>
      <c r="R186" s="88"/>
      <c r="S186" s="88"/>
      <c r="T186" s="88"/>
      <c r="U186" s="88"/>
      <c r="V186" s="88"/>
      <c r="W186" s="88"/>
      <c r="X186" s="88"/>
      <c r="Y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Q187" s="88"/>
      <c r="R187" s="88"/>
      <c r="S187" s="88"/>
      <c r="T187" s="88"/>
      <c r="U187" s="88"/>
      <c r="V187" s="88"/>
      <c r="W187" s="88"/>
      <c r="X187" s="88"/>
      <c r="Y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Q188" s="88"/>
      <c r="R188" s="88"/>
      <c r="S188" s="88"/>
      <c r="T188" s="88"/>
      <c r="U188" s="88"/>
      <c r="V188" s="88"/>
      <c r="W188" s="88"/>
      <c r="X188" s="88"/>
      <c r="Y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Q189" s="88"/>
      <c r="R189" s="88"/>
      <c r="S189" s="88"/>
      <c r="T189" s="88"/>
      <c r="U189" s="88"/>
      <c r="V189" s="88"/>
      <c r="W189" s="88"/>
      <c r="X189" s="88"/>
      <c r="Y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Q190" s="88"/>
      <c r="R190" s="88"/>
      <c r="S190" s="88"/>
      <c r="T190" s="88"/>
      <c r="U190" s="88"/>
      <c r="V190" s="88"/>
      <c r="W190" s="88"/>
      <c r="X190" s="139"/>
      <c r="Y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Q191" s="88"/>
      <c r="R191" s="88"/>
      <c r="S191" s="88"/>
      <c r="T191" s="88"/>
      <c r="U191" s="88"/>
      <c r="V191" s="88"/>
      <c r="W191" s="88"/>
      <c r="X191" s="139"/>
      <c r="Y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Q193" s="88"/>
      <c r="R193" s="88"/>
      <c r="S193" s="88"/>
      <c r="T193" s="88"/>
      <c r="U193" s="88"/>
      <c r="V193" s="88"/>
      <c r="W193" s="88"/>
      <c r="X193" s="139"/>
      <c r="Y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Q194" s="88"/>
      <c r="R194" s="88"/>
      <c r="S194" s="88"/>
      <c r="T194" s="88"/>
      <c r="U194" s="88"/>
      <c r="V194" s="88"/>
      <c r="W194" s="88"/>
      <c r="X194" s="139"/>
      <c r="Y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Q195" s="88"/>
      <c r="R195" s="88"/>
      <c r="S195" s="88"/>
      <c r="T195" s="88"/>
      <c r="U195" s="88"/>
      <c r="V195" s="88"/>
      <c r="W195" s="88"/>
      <c r="X195" s="139"/>
      <c r="Y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Q196" s="88"/>
      <c r="R196" s="88"/>
      <c r="S196" s="88"/>
      <c r="T196" s="88"/>
      <c r="U196" s="88"/>
      <c r="V196" s="88"/>
      <c r="W196" s="88"/>
      <c r="X196" s="139"/>
      <c r="Y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Q197" s="88"/>
      <c r="R197" s="88"/>
      <c r="S197" s="88"/>
      <c r="T197" s="88"/>
      <c r="U197" s="88"/>
      <c r="V197" s="88"/>
      <c r="W197" s="88"/>
      <c r="X197" s="139"/>
      <c r="Y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Q198" s="88"/>
      <c r="R198" s="88"/>
      <c r="S198" s="88"/>
      <c r="T198" s="88"/>
      <c r="U198" s="88"/>
      <c r="V198" s="88"/>
      <c r="W198" s="88"/>
      <c r="X198" s="139"/>
      <c r="Y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Q199" s="88"/>
      <c r="R199" s="88"/>
      <c r="S199" s="88"/>
      <c r="T199" s="88"/>
      <c r="U199" s="88"/>
      <c r="V199" s="88"/>
      <c r="W199" s="88"/>
      <c r="X199" s="88"/>
      <c r="Y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Q200" s="88"/>
      <c r="R200" s="88"/>
      <c r="S200" s="88"/>
      <c r="T200" s="88"/>
      <c r="U200" s="88"/>
      <c r="V200" s="88"/>
      <c r="W200" s="88"/>
      <c r="X200" s="139"/>
      <c r="Y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Q201" s="88"/>
      <c r="R201" s="88"/>
      <c r="S201" s="88"/>
      <c r="T201" s="88"/>
      <c r="U201" s="88"/>
      <c r="V201" s="88"/>
      <c r="W201" s="88"/>
      <c r="X201" s="88"/>
      <c r="Y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Q202" s="88"/>
      <c r="R202" s="88"/>
      <c r="S202" s="88"/>
      <c r="T202" s="88"/>
      <c r="U202" s="88"/>
      <c r="V202" s="88"/>
      <c r="W202" s="88"/>
      <c r="X202" s="88"/>
      <c r="Y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Q203" s="88"/>
      <c r="R203" s="88"/>
      <c r="S203" s="88"/>
      <c r="T203" s="88"/>
      <c r="U203" s="88"/>
      <c r="V203" s="88"/>
      <c r="W203" s="88"/>
      <c r="X203" s="139"/>
      <c r="Y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Q204" s="88"/>
      <c r="R204" s="88"/>
      <c r="S204" s="88"/>
      <c r="T204" s="88"/>
      <c r="U204" s="88"/>
      <c r="V204" s="88"/>
      <c r="W204" s="88"/>
      <c r="X204" s="88"/>
      <c r="Y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Q205" s="88"/>
      <c r="R205" s="88"/>
      <c r="S205" s="88"/>
      <c r="T205" s="88"/>
      <c r="U205" s="88"/>
      <c r="V205" s="88"/>
      <c r="W205" s="88"/>
      <c r="X205" s="88"/>
      <c r="Y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Q206" s="88"/>
      <c r="R206" s="88"/>
      <c r="S206" s="88"/>
      <c r="T206" s="88"/>
      <c r="U206" s="88"/>
      <c r="V206" s="88"/>
      <c r="W206" s="88"/>
      <c r="X206" s="88"/>
      <c r="Y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Q207" s="88"/>
      <c r="R207" s="88"/>
      <c r="S207" s="88"/>
      <c r="T207" s="88"/>
      <c r="U207" s="88"/>
      <c r="V207" s="88"/>
      <c r="W207" s="88"/>
      <c r="X207" s="88"/>
      <c r="Y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Q208" s="88"/>
      <c r="R208" s="88"/>
      <c r="S208" s="88"/>
      <c r="T208" s="88"/>
      <c r="U208" s="88"/>
      <c r="V208" s="88"/>
      <c r="W208" s="88"/>
      <c r="X208" s="88"/>
      <c r="Y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Q209" s="88"/>
      <c r="R209" s="88"/>
      <c r="S209" s="88"/>
      <c r="T209" s="88"/>
      <c r="U209" s="88"/>
      <c r="V209" s="88"/>
      <c r="W209" s="88"/>
      <c r="X209" s="88"/>
      <c r="Y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Q210" s="88"/>
      <c r="R210" s="88"/>
      <c r="S210" s="88"/>
      <c r="T210" s="88"/>
      <c r="U210" s="88"/>
      <c r="V210" s="88"/>
      <c r="W210" s="88"/>
      <c r="X210" s="88"/>
      <c r="Y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Q211" s="88"/>
      <c r="R211" s="88"/>
      <c r="S211" s="88"/>
      <c r="T211" s="88"/>
      <c r="U211" s="88"/>
      <c r="V211" s="88"/>
      <c r="W211" s="88"/>
      <c r="X211" s="88"/>
      <c r="Y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Q212" s="88"/>
      <c r="R212" s="88"/>
      <c r="S212" s="88"/>
      <c r="T212" s="88"/>
      <c r="U212" s="88"/>
      <c r="V212" s="88"/>
      <c r="W212" s="88"/>
      <c r="X212" s="88"/>
      <c r="Y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Q213" s="88"/>
      <c r="R213" s="88"/>
      <c r="S213" s="88"/>
      <c r="T213" s="88"/>
      <c r="U213" s="88"/>
      <c r="V213" s="88"/>
      <c r="W213" s="88"/>
      <c r="X213" s="88"/>
      <c r="Y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Q214" s="88"/>
      <c r="R214" s="88"/>
      <c r="S214" s="88"/>
      <c r="T214" s="88"/>
      <c r="U214" s="88"/>
      <c r="V214" s="88"/>
      <c r="W214" s="88"/>
      <c r="X214" s="88"/>
      <c r="Y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Q215" s="88"/>
      <c r="R215" s="88"/>
      <c r="S215" s="88"/>
      <c r="T215" s="88"/>
      <c r="U215" s="88"/>
      <c r="V215" s="88"/>
      <c r="W215" s="88"/>
      <c r="X215" s="88"/>
      <c r="Y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Q216" s="88"/>
      <c r="R216" s="88"/>
      <c r="S216" s="88"/>
      <c r="T216" s="88"/>
      <c r="U216" s="88"/>
      <c r="V216" s="88"/>
      <c r="W216" s="88"/>
      <c r="X216" s="88"/>
      <c r="Y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Q217" s="88"/>
      <c r="R217" s="88"/>
      <c r="S217" s="88"/>
      <c r="T217" s="88"/>
      <c r="U217" s="88"/>
      <c r="V217" s="88"/>
      <c r="W217" s="88"/>
      <c r="X217" s="88"/>
      <c r="Y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Q218" s="88"/>
      <c r="R218" s="88"/>
      <c r="S218" s="88"/>
      <c r="T218" s="88"/>
      <c r="U218" s="88"/>
      <c r="V218" s="88"/>
      <c r="W218" s="88"/>
      <c r="X218" s="88"/>
      <c r="Y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Q219" s="88"/>
      <c r="R219" s="88"/>
      <c r="S219" s="88"/>
      <c r="T219" s="88"/>
      <c r="U219" s="88"/>
      <c r="V219" s="88"/>
      <c r="W219" s="88"/>
      <c r="X219" s="88"/>
      <c r="Y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Q220" s="88"/>
      <c r="R220" s="88"/>
      <c r="S220" s="88"/>
      <c r="T220" s="88"/>
      <c r="U220" s="88"/>
      <c r="V220" s="88"/>
      <c r="W220" s="88"/>
      <c r="X220" s="88"/>
      <c r="Y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Q221" s="88"/>
      <c r="R221" s="88"/>
      <c r="S221" s="88"/>
      <c r="T221" s="88"/>
      <c r="U221" s="88"/>
      <c r="V221" s="88"/>
      <c r="W221" s="88"/>
      <c r="X221" s="88"/>
      <c r="Y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Q222" s="88"/>
      <c r="R222" s="88"/>
      <c r="S222" s="88"/>
      <c r="T222" s="88"/>
      <c r="U222" s="88"/>
      <c r="V222" s="88"/>
      <c r="W222" s="88"/>
      <c r="X222" s="88"/>
      <c r="Y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Q223" s="88"/>
      <c r="R223" s="88"/>
      <c r="S223" s="88"/>
      <c r="T223" s="88"/>
      <c r="U223" s="88"/>
      <c r="V223" s="88"/>
      <c r="W223" s="88"/>
      <c r="X223" s="88"/>
      <c r="Y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Q224" s="88"/>
      <c r="R224" s="88"/>
      <c r="S224" s="88"/>
      <c r="T224" s="88"/>
      <c r="U224" s="88"/>
      <c r="V224" s="88"/>
      <c r="W224" s="88"/>
      <c r="X224" s="88"/>
      <c r="Y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Q225" s="88"/>
      <c r="R225" s="88"/>
      <c r="S225" s="88"/>
      <c r="T225" s="88"/>
      <c r="U225" s="88"/>
      <c r="V225" s="88"/>
      <c r="W225" s="88"/>
      <c r="X225" s="88"/>
      <c r="Y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Q226" s="88"/>
      <c r="R226" s="88"/>
      <c r="S226" s="88"/>
      <c r="T226" s="88"/>
      <c r="U226" s="88"/>
      <c r="V226" s="88"/>
      <c r="W226" s="88"/>
      <c r="X226" s="88"/>
      <c r="Y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Q227" s="88"/>
      <c r="R227" s="88"/>
      <c r="S227" s="88"/>
      <c r="T227" s="88"/>
      <c r="U227" s="88"/>
      <c r="V227" s="88"/>
      <c r="W227" s="88"/>
      <c r="X227" s="88"/>
      <c r="Y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Q228" s="88"/>
      <c r="R228" s="88"/>
      <c r="S228" s="88"/>
      <c r="T228" s="88"/>
      <c r="U228" s="88"/>
      <c r="V228" s="88"/>
      <c r="W228" s="88"/>
      <c r="X228" s="88"/>
      <c r="Y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Q229" s="88"/>
      <c r="R229" s="88"/>
      <c r="S229" s="88"/>
      <c r="T229" s="88"/>
      <c r="U229" s="88"/>
      <c r="V229" s="88"/>
      <c r="W229" s="88"/>
      <c r="X229" s="88"/>
      <c r="Y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Q230" s="88"/>
      <c r="R230" s="88"/>
      <c r="S230" s="88"/>
      <c r="T230" s="88"/>
      <c r="U230" s="88"/>
      <c r="V230" s="88"/>
      <c r="W230" s="88"/>
      <c r="X230" s="88"/>
      <c r="Y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Q231" s="88"/>
      <c r="R231" s="88"/>
      <c r="S231" s="88"/>
      <c r="T231" s="88"/>
      <c r="U231" s="88"/>
      <c r="V231" s="88"/>
      <c r="W231" s="88"/>
      <c r="X231" s="88"/>
      <c r="Y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Q232" s="88"/>
      <c r="R232" s="88"/>
      <c r="S232" s="88"/>
      <c r="T232" s="88"/>
      <c r="U232" s="88"/>
      <c r="V232" s="88"/>
      <c r="W232" s="88"/>
      <c r="X232" s="88"/>
      <c r="Y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Q233" s="88"/>
      <c r="R233" s="88"/>
      <c r="S233" s="88"/>
      <c r="T233" s="88"/>
      <c r="U233" s="88"/>
      <c r="V233" s="88"/>
      <c r="W233" s="88"/>
      <c r="X233" s="88"/>
      <c r="Y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Q234" s="88"/>
      <c r="R234" s="88"/>
      <c r="S234" s="88"/>
      <c r="T234" s="88"/>
      <c r="U234" s="88"/>
      <c r="V234" s="88"/>
      <c r="W234" s="88"/>
      <c r="X234" s="88"/>
      <c r="Y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Q235" s="88"/>
      <c r="R235" s="88"/>
      <c r="S235" s="88"/>
      <c r="T235" s="88"/>
      <c r="U235" s="88"/>
      <c r="V235" s="88"/>
      <c r="W235" s="88"/>
      <c r="X235" s="88"/>
      <c r="Y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Q236" s="88"/>
      <c r="R236" s="88"/>
      <c r="S236" s="88"/>
      <c r="T236" s="88"/>
      <c r="U236" s="88"/>
      <c r="V236" s="88"/>
      <c r="W236" s="88"/>
      <c r="X236" s="88"/>
      <c r="Y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Q237" s="88"/>
      <c r="R237" s="88"/>
      <c r="S237" s="88"/>
      <c r="T237" s="88"/>
      <c r="U237" s="88"/>
      <c r="V237" s="88"/>
      <c r="W237" s="88"/>
      <c r="X237" s="88"/>
      <c r="Y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Q238" s="88"/>
      <c r="R238" s="88"/>
      <c r="S238" s="88"/>
      <c r="T238" s="88"/>
      <c r="U238" s="88"/>
      <c r="V238" s="88"/>
      <c r="W238" s="88"/>
      <c r="X238" s="88"/>
      <c r="Y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Q239" s="88"/>
      <c r="R239" s="88"/>
      <c r="S239" s="88"/>
      <c r="T239" s="88"/>
      <c r="U239" s="88"/>
      <c r="V239" s="88"/>
      <c r="W239" s="88"/>
      <c r="X239" s="88"/>
      <c r="Y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Q240" s="88"/>
      <c r="R240" s="88"/>
      <c r="S240" s="88"/>
      <c r="T240" s="88"/>
      <c r="U240" s="88"/>
      <c r="V240" s="88"/>
      <c r="W240" s="88"/>
      <c r="X240" s="88"/>
      <c r="Y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Q241" s="88"/>
      <c r="R241" s="88"/>
      <c r="S241" s="88"/>
      <c r="T241" s="88"/>
      <c r="U241" s="88"/>
      <c r="V241" s="88"/>
      <c r="W241" s="88"/>
      <c r="X241" s="88"/>
      <c r="Y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Q242" s="88"/>
      <c r="R242" s="88"/>
      <c r="S242" s="88"/>
      <c r="T242" s="88"/>
      <c r="U242" s="88"/>
      <c r="V242" s="88"/>
      <c r="W242" s="88"/>
      <c r="X242" s="88"/>
      <c r="Y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Q243" s="88"/>
      <c r="R243" s="88"/>
      <c r="S243" s="88"/>
      <c r="T243" s="88"/>
      <c r="U243" s="88"/>
      <c r="V243" s="88"/>
      <c r="W243" s="88"/>
      <c r="X243" s="88"/>
      <c r="Y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Q244" s="88"/>
      <c r="R244" s="88"/>
      <c r="S244" s="88"/>
      <c r="T244" s="88"/>
      <c r="U244" s="88"/>
      <c r="V244" s="88"/>
      <c r="W244" s="88"/>
      <c r="X244" s="88"/>
      <c r="Y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Q245" s="88"/>
      <c r="R245" s="88"/>
      <c r="S245" s="88"/>
      <c r="T245" s="88"/>
      <c r="U245" s="88"/>
      <c r="V245" s="88"/>
      <c r="W245" s="88"/>
      <c r="X245" s="88"/>
      <c r="Y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Q246" s="88"/>
      <c r="R246" s="88"/>
      <c r="S246" s="88"/>
      <c r="T246" s="88"/>
      <c r="U246" s="88"/>
      <c r="V246" s="88"/>
      <c r="W246" s="88"/>
      <c r="X246" s="88"/>
      <c r="Y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Q247" s="88"/>
      <c r="R247" s="88"/>
      <c r="S247" s="88"/>
      <c r="T247" s="88"/>
      <c r="U247" s="88"/>
      <c r="V247" s="88"/>
      <c r="W247" s="88"/>
      <c r="X247" s="88"/>
      <c r="Y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Q248" s="88"/>
      <c r="R248" s="88"/>
      <c r="S248" s="88"/>
      <c r="T248" s="88"/>
      <c r="U248" s="88"/>
      <c r="V248" s="88"/>
      <c r="W248" s="88"/>
      <c r="X248" s="88"/>
      <c r="Y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Q249" s="88"/>
      <c r="R249" s="88"/>
      <c r="S249" s="88"/>
      <c r="T249" s="88"/>
      <c r="U249" s="88"/>
      <c r="V249" s="88"/>
      <c r="W249" s="88"/>
      <c r="X249" s="88"/>
      <c r="Y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Q250" s="88"/>
      <c r="R250" s="88"/>
      <c r="S250" s="88"/>
      <c r="T250" s="88"/>
      <c r="U250" s="88"/>
      <c r="V250" s="88"/>
      <c r="W250" s="88"/>
      <c r="X250" s="88"/>
      <c r="Y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Q251" s="88"/>
      <c r="R251" s="88"/>
      <c r="S251" s="88"/>
      <c r="T251" s="88"/>
      <c r="U251" s="88"/>
      <c r="V251" s="88"/>
      <c r="W251" s="88"/>
      <c r="X251" s="88"/>
      <c r="Y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Q252" s="88"/>
      <c r="R252" s="88"/>
      <c r="S252" s="88"/>
      <c r="T252" s="88"/>
      <c r="U252" s="88"/>
      <c r="V252" s="88"/>
      <c r="W252" s="88"/>
      <c r="X252" s="88"/>
      <c r="Y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Q253" s="88"/>
      <c r="R253" s="88"/>
      <c r="S253" s="88"/>
      <c r="T253" s="88"/>
      <c r="U253" s="88"/>
      <c r="V253" s="88"/>
      <c r="W253" s="88"/>
      <c r="X253" s="88"/>
      <c r="Y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Q254" s="88"/>
      <c r="R254" s="88"/>
      <c r="S254" s="88"/>
      <c r="T254" s="88"/>
      <c r="U254" s="88"/>
      <c r="V254" s="88"/>
      <c r="W254" s="88"/>
      <c r="X254" s="88"/>
      <c r="Y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Q255" s="88"/>
      <c r="R255" s="88"/>
      <c r="S255" s="88"/>
      <c r="T255" s="88"/>
      <c r="U255" s="88"/>
      <c r="V255" s="88"/>
      <c r="W255" s="88"/>
      <c r="X255" s="88"/>
      <c r="Y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Q256" s="88"/>
      <c r="R256" s="88"/>
      <c r="S256" s="88"/>
      <c r="T256" s="88"/>
      <c r="U256" s="88"/>
      <c r="V256" s="88"/>
      <c r="W256" s="88"/>
      <c r="X256" s="88"/>
      <c r="Y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Q257" s="88"/>
      <c r="R257" s="88"/>
      <c r="S257" s="88"/>
      <c r="T257" s="88"/>
      <c r="U257" s="88"/>
      <c r="V257" s="88"/>
      <c r="W257" s="88"/>
      <c r="X257" s="88"/>
      <c r="Y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Q258" s="88"/>
      <c r="R258" s="88"/>
      <c r="S258" s="88"/>
      <c r="T258" s="88"/>
      <c r="U258" s="88"/>
      <c r="V258" s="88"/>
      <c r="W258" s="88"/>
      <c r="X258" s="88"/>
      <c r="Y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Q259" s="88"/>
      <c r="R259" s="88"/>
      <c r="S259" s="88"/>
      <c r="T259" s="88"/>
      <c r="U259" s="88"/>
      <c r="V259" s="88"/>
      <c r="W259" s="88"/>
      <c r="X259" s="88"/>
      <c r="Y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Q260" s="88"/>
      <c r="R260" s="88"/>
      <c r="S260" s="88"/>
      <c r="T260" s="88"/>
      <c r="U260" s="88"/>
      <c r="V260" s="88"/>
      <c r="W260" s="88"/>
      <c r="X260" s="88"/>
      <c r="Y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Q261" s="88"/>
      <c r="R261" s="88"/>
      <c r="S261" s="88"/>
      <c r="T261" s="88"/>
      <c r="U261" s="88"/>
      <c r="V261" s="88"/>
      <c r="W261" s="88"/>
      <c r="X261" s="88"/>
      <c r="Y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Q262" s="88"/>
      <c r="R262" s="88"/>
      <c r="S262" s="88"/>
      <c r="T262" s="88"/>
      <c r="U262" s="88"/>
      <c r="V262" s="88"/>
      <c r="W262" s="88"/>
      <c r="X262" s="88"/>
      <c r="Y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Q263" s="88"/>
      <c r="R263" s="88"/>
      <c r="S263" s="88"/>
      <c r="T263" s="88"/>
      <c r="U263" s="88"/>
      <c r="V263" s="88"/>
      <c r="W263" s="88"/>
      <c r="X263" s="88"/>
      <c r="Y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Q264" s="88"/>
      <c r="R264" s="88"/>
      <c r="S264" s="88"/>
      <c r="T264" s="88"/>
      <c r="U264" s="88"/>
      <c r="V264" s="88"/>
      <c r="W264" s="88"/>
      <c r="X264" s="88"/>
      <c r="Y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Q266" s="88"/>
      <c r="R266" s="88"/>
      <c r="S266" s="88"/>
      <c r="T266" s="88"/>
      <c r="U266" s="88"/>
      <c r="V266" s="88"/>
      <c r="W266" s="88"/>
      <c r="X266" s="88"/>
      <c r="Y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Q267" s="88"/>
      <c r="R267" s="88"/>
      <c r="S267" s="88"/>
      <c r="T267" s="88"/>
      <c r="U267" s="88"/>
      <c r="V267" s="88"/>
      <c r="W267" s="88"/>
      <c r="X267" s="88"/>
      <c r="Y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Q268" s="88"/>
      <c r="R268" s="88"/>
      <c r="S268" s="88"/>
      <c r="T268" s="88"/>
      <c r="U268" s="88"/>
      <c r="V268" s="88"/>
      <c r="W268" s="88"/>
      <c r="X268" s="88"/>
      <c r="Y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Q269" s="88"/>
      <c r="R269" s="88"/>
      <c r="S269" s="88"/>
      <c r="T269" s="88"/>
      <c r="U269" s="88"/>
      <c r="V269" s="88"/>
      <c r="W269" s="88"/>
      <c r="X269" s="88"/>
      <c r="Y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Q270" s="88"/>
      <c r="R270" s="88"/>
      <c r="S270" s="88"/>
      <c r="T270" s="88"/>
      <c r="U270" s="88"/>
      <c r="V270" s="88"/>
      <c r="W270" s="88"/>
      <c r="X270" s="88"/>
      <c r="Y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Q271" s="88"/>
      <c r="R271" s="88"/>
      <c r="S271" s="88"/>
      <c r="T271" s="88"/>
      <c r="U271" s="88"/>
      <c r="V271" s="88"/>
      <c r="W271" s="88"/>
      <c r="X271" s="88"/>
      <c r="Y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Q272" s="88"/>
      <c r="R272" s="88"/>
      <c r="S272" s="88"/>
      <c r="T272" s="88"/>
      <c r="U272" s="88"/>
      <c r="V272" s="88"/>
      <c r="W272" s="88"/>
      <c r="X272" s="88"/>
      <c r="Y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Q273" s="88"/>
      <c r="R273" s="88"/>
      <c r="S273" s="88"/>
      <c r="T273" s="88"/>
      <c r="U273" s="88"/>
      <c r="V273" s="88"/>
      <c r="W273" s="88"/>
      <c r="X273" s="88"/>
      <c r="Y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Q274" s="88"/>
      <c r="R274" s="88"/>
      <c r="S274" s="88"/>
      <c r="T274" s="88"/>
      <c r="U274" s="88"/>
      <c r="V274" s="88"/>
      <c r="W274" s="88"/>
      <c r="X274" s="88"/>
      <c r="Y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Q275" s="88"/>
      <c r="R275" s="88"/>
      <c r="S275" s="88"/>
      <c r="T275" s="88"/>
      <c r="U275" s="88"/>
      <c r="V275" s="88"/>
      <c r="W275" s="88"/>
      <c r="X275" s="88"/>
      <c r="Y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Q276" s="88"/>
      <c r="R276" s="88"/>
      <c r="S276" s="88"/>
      <c r="T276" s="88"/>
      <c r="U276" s="88"/>
      <c r="V276" s="88"/>
      <c r="W276" s="88"/>
      <c r="X276" s="88"/>
      <c r="Y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Q277" s="88"/>
      <c r="R277" s="88"/>
      <c r="S277" s="88"/>
      <c r="T277" s="88"/>
      <c r="U277" s="88"/>
      <c r="V277" s="88"/>
      <c r="W277" s="88"/>
      <c r="X277" s="88"/>
      <c r="Y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Q278" s="88"/>
      <c r="R278" s="88"/>
      <c r="S278" s="88"/>
      <c r="T278" s="88"/>
      <c r="U278" s="88"/>
      <c r="V278" s="88"/>
      <c r="W278" s="88"/>
      <c r="X278" s="88"/>
      <c r="Y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Q279" s="88"/>
      <c r="R279" s="88"/>
      <c r="S279" s="88"/>
      <c r="T279" s="88"/>
      <c r="U279" s="88"/>
      <c r="V279" s="88"/>
      <c r="W279" s="88"/>
      <c r="X279" s="88"/>
      <c r="Y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Q280" s="88"/>
      <c r="R280" s="88"/>
      <c r="S280" s="88"/>
      <c r="T280" s="88"/>
      <c r="U280" s="88"/>
      <c r="V280" s="88"/>
      <c r="W280" s="88"/>
      <c r="X280" s="88"/>
      <c r="Y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Q281" s="88"/>
      <c r="R281" s="88"/>
      <c r="S281" s="88"/>
      <c r="T281" s="88"/>
      <c r="U281" s="88"/>
      <c r="V281" s="88"/>
      <c r="W281" s="88"/>
      <c r="X281" s="88"/>
      <c r="Y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Q282" s="88"/>
      <c r="R282" s="88"/>
      <c r="S282" s="88"/>
      <c r="T282" s="88"/>
      <c r="U282" s="88"/>
      <c r="V282" s="88"/>
      <c r="W282" s="88"/>
      <c r="X282" s="88"/>
      <c r="Y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Q283" s="88"/>
      <c r="R283" s="88"/>
      <c r="S283" s="88"/>
      <c r="T283" s="88"/>
      <c r="U283" s="88"/>
      <c r="V283" s="88"/>
      <c r="W283" s="88"/>
      <c r="X283" s="88"/>
      <c r="Y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Q284" s="88"/>
      <c r="R284" s="88"/>
      <c r="S284" s="88"/>
      <c r="T284" s="88"/>
      <c r="U284" s="88"/>
      <c r="V284" s="88"/>
      <c r="W284" s="88"/>
      <c r="X284" s="88"/>
      <c r="Y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Q285" s="88"/>
      <c r="R285" s="88"/>
      <c r="S285" s="88"/>
      <c r="T285" s="88"/>
      <c r="U285" s="88"/>
      <c r="V285" s="88"/>
      <c r="W285" s="88"/>
      <c r="X285" s="88"/>
      <c r="Y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Q286" s="88"/>
      <c r="R286" s="88"/>
      <c r="S286" s="88"/>
      <c r="T286" s="88"/>
      <c r="U286" s="88"/>
      <c r="V286" s="88"/>
      <c r="W286" s="88"/>
      <c r="X286" s="88"/>
      <c r="Y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Q287" s="88"/>
      <c r="R287" s="88"/>
      <c r="S287" s="88"/>
      <c r="T287" s="88"/>
      <c r="U287" s="88"/>
      <c r="V287" s="88"/>
      <c r="W287" s="88"/>
      <c r="X287" s="88"/>
      <c r="Y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Q288" s="88"/>
      <c r="R288" s="88"/>
      <c r="S288" s="88"/>
      <c r="T288" s="88"/>
      <c r="U288" s="88"/>
      <c r="V288" s="88"/>
      <c r="W288" s="88"/>
      <c r="X288" s="88"/>
      <c r="Y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Q289" s="88"/>
      <c r="R289" s="88"/>
      <c r="S289" s="88"/>
      <c r="T289" s="88"/>
      <c r="U289" s="88"/>
      <c r="V289" s="88"/>
      <c r="W289" s="88"/>
      <c r="X289" s="88"/>
      <c r="Y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Q290" s="88"/>
      <c r="R290" s="88"/>
      <c r="S290" s="88"/>
      <c r="T290" s="88"/>
      <c r="U290" s="88"/>
      <c r="V290" s="88"/>
      <c r="W290" s="88"/>
      <c r="X290" s="88"/>
      <c r="Y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Q291" s="88"/>
      <c r="R291" s="88"/>
      <c r="S291" s="88"/>
      <c r="T291" s="88"/>
      <c r="U291" s="88"/>
      <c r="V291" s="88"/>
      <c r="W291" s="88"/>
      <c r="X291" s="88"/>
      <c r="Y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Q292" s="88"/>
      <c r="R292" s="88"/>
      <c r="S292" s="88"/>
      <c r="T292" s="88"/>
      <c r="U292" s="88"/>
      <c r="V292" s="88"/>
      <c r="W292" s="88"/>
      <c r="X292" s="88"/>
      <c r="Y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Q293" s="88"/>
      <c r="R293" s="88"/>
      <c r="S293" s="88"/>
      <c r="T293" s="88"/>
      <c r="U293" s="88"/>
      <c r="V293" s="88"/>
      <c r="W293" s="88"/>
      <c r="X293" s="88"/>
      <c r="Y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Q294" s="88"/>
      <c r="R294" s="88"/>
      <c r="S294" s="88"/>
      <c r="T294" s="88"/>
      <c r="U294" s="88"/>
      <c r="V294" s="88"/>
      <c r="W294" s="88"/>
      <c r="X294" s="88"/>
      <c r="Y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Q295" s="88"/>
      <c r="R295" s="88"/>
      <c r="S295" s="88"/>
      <c r="T295" s="88"/>
      <c r="U295" s="88"/>
      <c r="V295" s="88"/>
      <c r="W295" s="88"/>
      <c r="X295" s="88"/>
      <c r="Y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Q296" s="88"/>
      <c r="R296" s="88"/>
      <c r="S296" s="88"/>
      <c r="T296" s="88"/>
      <c r="U296" s="88"/>
      <c r="V296" s="88"/>
      <c r="W296" s="88"/>
      <c r="X296" s="88"/>
      <c r="Y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Q297" s="88"/>
      <c r="R297" s="88"/>
      <c r="S297" s="88"/>
      <c r="T297" s="88"/>
      <c r="U297" s="88"/>
      <c r="V297" s="88"/>
      <c r="W297" s="88"/>
      <c r="X297" s="88"/>
      <c r="Y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Q298" s="88"/>
      <c r="R298" s="88"/>
      <c r="S298" s="88"/>
      <c r="T298" s="88"/>
      <c r="U298" s="88"/>
      <c r="V298" s="88"/>
      <c r="W298" s="88"/>
      <c r="X298" s="88"/>
      <c r="Y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Q299" s="88"/>
      <c r="R299" s="88"/>
      <c r="S299" s="88"/>
      <c r="T299" s="88"/>
      <c r="U299" s="88"/>
      <c r="V299" s="88"/>
      <c r="W299" s="88"/>
      <c r="X299" s="88"/>
      <c r="Y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Q300" s="88"/>
      <c r="R300" s="88"/>
      <c r="S300" s="88"/>
      <c r="T300" s="88"/>
      <c r="U300" s="88"/>
      <c r="V300" s="88"/>
      <c r="W300" s="88"/>
      <c r="X300" s="88"/>
      <c r="Y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Q301" s="88"/>
      <c r="R301" s="88"/>
      <c r="S301" s="88"/>
      <c r="T301" s="88"/>
      <c r="U301" s="88"/>
      <c r="V301" s="88"/>
      <c r="W301" s="88"/>
      <c r="X301" s="88"/>
      <c r="Y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Q302" s="88"/>
      <c r="R302" s="88"/>
      <c r="S302" s="88"/>
      <c r="T302" s="88"/>
      <c r="U302" s="88"/>
      <c r="V302" s="88"/>
      <c r="W302" s="88"/>
      <c r="X302" s="88"/>
      <c r="Y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Q303" s="88"/>
      <c r="R303" s="88"/>
      <c r="S303" s="88"/>
      <c r="T303" s="88"/>
      <c r="U303" s="88"/>
      <c r="V303" s="88"/>
      <c r="W303" s="88"/>
      <c r="X303" s="88"/>
      <c r="Y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Q304" s="88"/>
      <c r="R304" s="88"/>
      <c r="S304" s="88"/>
      <c r="T304" s="88"/>
      <c r="U304" s="88"/>
      <c r="V304" s="88"/>
      <c r="W304" s="88"/>
      <c r="X304" s="88"/>
      <c r="Y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Q305" s="88"/>
      <c r="R305" s="88"/>
      <c r="S305" s="88"/>
      <c r="T305" s="88"/>
      <c r="U305" s="88"/>
      <c r="V305" s="88"/>
      <c r="W305" s="88"/>
      <c r="X305" s="88"/>
      <c r="Y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Q306" s="88"/>
      <c r="R306" s="88"/>
      <c r="S306" s="88"/>
      <c r="T306" s="88"/>
      <c r="U306" s="88"/>
      <c r="V306" s="88"/>
      <c r="W306" s="88"/>
      <c r="X306" s="88"/>
      <c r="Y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Q307" s="88"/>
      <c r="R307" s="88"/>
      <c r="S307" s="88"/>
      <c r="T307" s="88"/>
      <c r="U307" s="88"/>
      <c r="V307" s="88"/>
      <c r="W307" s="88"/>
      <c r="X307" s="88"/>
      <c r="Y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Q308" s="88"/>
      <c r="R308" s="88"/>
      <c r="S308" s="88"/>
      <c r="T308" s="88"/>
      <c r="U308" s="88"/>
      <c r="V308" s="88"/>
      <c r="W308" s="88"/>
      <c r="X308" s="88"/>
      <c r="Y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Q309" s="88"/>
      <c r="R309" s="88"/>
      <c r="S309" s="88"/>
      <c r="T309" s="88"/>
      <c r="U309" s="88"/>
      <c r="V309" s="88"/>
      <c r="W309" s="88"/>
      <c r="X309" s="88"/>
      <c r="Y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Q310" s="88"/>
      <c r="R310" s="88"/>
      <c r="S310" s="88"/>
      <c r="T310" s="88"/>
      <c r="U310" s="88"/>
      <c r="V310" s="88"/>
      <c r="W310" s="88"/>
      <c r="X310" s="88"/>
      <c r="Y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Q311" s="88"/>
      <c r="R311" s="88"/>
      <c r="S311" s="88"/>
      <c r="T311" s="88"/>
      <c r="U311" s="88"/>
      <c r="V311" s="88"/>
      <c r="W311" s="88"/>
      <c r="X311" s="88"/>
      <c r="Y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Q312" s="88"/>
      <c r="R312" s="88"/>
      <c r="S312" s="88"/>
      <c r="T312" s="88"/>
      <c r="U312" s="88"/>
      <c r="V312" s="88"/>
      <c r="W312" s="88"/>
      <c r="X312" s="88"/>
      <c r="Y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Q313" s="88"/>
      <c r="R313" s="88"/>
      <c r="S313" s="88"/>
      <c r="T313" s="88"/>
      <c r="U313" s="88"/>
      <c r="V313" s="88"/>
      <c r="W313" s="88"/>
      <c r="X313" s="88"/>
      <c r="Y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Q314" s="88"/>
      <c r="R314" s="88"/>
      <c r="S314" s="88"/>
      <c r="T314" s="88"/>
      <c r="U314" s="88"/>
      <c r="V314" s="88"/>
      <c r="W314" s="88"/>
      <c r="X314" s="88"/>
      <c r="Y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Q315" s="88"/>
      <c r="R315" s="88"/>
      <c r="S315" s="88"/>
      <c r="T315" s="88"/>
      <c r="U315" s="88"/>
      <c r="V315" s="88"/>
      <c r="W315" s="88"/>
      <c r="X315" s="88"/>
      <c r="Y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Q316" s="88"/>
      <c r="R316" s="88"/>
      <c r="S316" s="88"/>
      <c r="T316" s="88"/>
      <c r="U316" s="88"/>
      <c r="V316" s="88"/>
      <c r="W316" s="88"/>
      <c r="X316" s="88"/>
      <c r="Y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Q317" s="88"/>
      <c r="R317" s="88"/>
      <c r="S317" s="88"/>
      <c r="T317" s="88"/>
      <c r="U317" s="88"/>
      <c r="V317" s="88"/>
      <c r="W317" s="88"/>
      <c r="X317" s="88"/>
      <c r="Y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Q318" s="88"/>
      <c r="R318" s="88"/>
      <c r="S318" s="88"/>
      <c r="T318" s="88"/>
      <c r="U318" s="88"/>
      <c r="V318" s="88"/>
      <c r="W318" s="88"/>
      <c r="X318" s="88"/>
      <c r="Y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Q319" s="88"/>
      <c r="R319" s="88"/>
      <c r="S319" s="88"/>
      <c r="T319" s="88"/>
      <c r="U319" s="88"/>
      <c r="V319" s="88"/>
      <c r="W319" s="88"/>
      <c r="X319" s="88"/>
      <c r="Y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Q320" s="88"/>
      <c r="R320" s="88"/>
      <c r="S320" s="88"/>
      <c r="T320" s="88"/>
      <c r="U320" s="88"/>
      <c r="V320" s="88"/>
      <c r="W320" s="88"/>
      <c r="X320" s="88"/>
      <c r="Y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Q321" s="88"/>
      <c r="R321" s="88"/>
      <c r="S321" s="88"/>
      <c r="T321" s="88"/>
      <c r="U321" s="88"/>
      <c r="V321" s="88"/>
      <c r="W321" s="88"/>
      <c r="X321" s="88"/>
      <c r="Y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Q322" s="88"/>
      <c r="R322" s="88"/>
      <c r="S322" s="88"/>
      <c r="T322" s="88"/>
      <c r="U322" s="88"/>
      <c r="V322" s="88"/>
      <c r="W322" s="88"/>
      <c r="X322" s="88"/>
      <c r="Y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Q323" s="88"/>
      <c r="R323" s="88"/>
      <c r="S323" s="88"/>
      <c r="T323" s="88"/>
      <c r="U323" s="88"/>
      <c r="V323" s="88"/>
      <c r="W323" s="88"/>
      <c r="X323" s="88"/>
      <c r="Y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Q324" s="88"/>
      <c r="R324" s="88"/>
      <c r="S324" s="88"/>
      <c r="T324" s="88"/>
      <c r="U324" s="88"/>
      <c r="V324" s="88"/>
      <c r="W324" s="88"/>
      <c r="X324" s="88"/>
      <c r="Y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Q325" s="88"/>
      <c r="R325" s="88"/>
      <c r="S325" s="88"/>
      <c r="T325" s="88"/>
      <c r="U325" s="88"/>
      <c r="V325" s="88"/>
      <c r="W325" s="88"/>
      <c r="X325" s="88"/>
      <c r="Y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Q326" s="88"/>
      <c r="R326" s="88"/>
      <c r="S326" s="88"/>
      <c r="T326" s="88"/>
      <c r="U326" s="88"/>
      <c r="V326" s="88"/>
      <c r="W326" s="88"/>
      <c r="X326" s="88"/>
      <c r="Y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Q327" s="88"/>
      <c r="R327" s="88"/>
      <c r="S327" s="88"/>
      <c r="T327" s="88"/>
      <c r="U327" s="88"/>
      <c r="V327" s="88"/>
      <c r="W327" s="88"/>
      <c r="X327" s="88"/>
      <c r="Y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Q328" s="88"/>
      <c r="R328" s="88"/>
      <c r="S328" s="88"/>
      <c r="T328" s="88"/>
      <c r="U328" s="88"/>
      <c r="V328" s="88"/>
      <c r="W328" s="88"/>
      <c r="X328" s="88"/>
      <c r="Y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Q329" s="88"/>
      <c r="R329" s="88"/>
      <c r="S329" s="88"/>
      <c r="T329" s="88"/>
      <c r="U329" s="88"/>
      <c r="V329" s="88"/>
      <c r="W329" s="88"/>
      <c r="X329" s="88"/>
      <c r="Y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Q330" s="88"/>
      <c r="R330" s="88"/>
      <c r="S330" s="88"/>
      <c r="T330" s="88"/>
      <c r="U330" s="88"/>
      <c r="V330" s="88"/>
      <c r="W330" s="88"/>
      <c r="X330" s="88"/>
      <c r="Y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Q331" s="88"/>
      <c r="R331" s="88"/>
      <c r="S331" s="88"/>
      <c r="T331" s="88"/>
      <c r="U331" s="88"/>
      <c r="V331" s="88"/>
      <c r="W331" s="88"/>
      <c r="X331" s="88"/>
      <c r="Y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Q332" s="88"/>
      <c r="R332" s="88"/>
      <c r="S332" s="88"/>
      <c r="T332" s="88"/>
      <c r="U332" s="88"/>
      <c r="V332" s="88"/>
      <c r="W332" s="88"/>
      <c r="X332" s="88"/>
      <c r="Y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Q333" s="88"/>
      <c r="R333" s="88"/>
      <c r="S333" s="88"/>
      <c r="T333" s="88"/>
      <c r="U333" s="88"/>
      <c r="V333" s="88"/>
      <c r="W333" s="88"/>
      <c r="X333" s="88"/>
      <c r="Y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Q334" s="88"/>
      <c r="R334" s="88"/>
      <c r="S334" s="88"/>
      <c r="T334" s="88"/>
      <c r="U334" s="88"/>
      <c r="V334" s="88"/>
      <c r="W334" s="88"/>
      <c r="X334" s="88"/>
      <c r="Y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Q335" s="88"/>
      <c r="R335" s="88"/>
      <c r="S335" s="88"/>
      <c r="T335" s="88"/>
      <c r="U335" s="88"/>
      <c r="V335" s="88"/>
      <c r="W335" s="88"/>
      <c r="X335" s="88"/>
      <c r="Y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Q336" s="88"/>
      <c r="R336" s="88"/>
      <c r="S336" s="88"/>
      <c r="T336" s="88"/>
      <c r="U336" s="88"/>
      <c r="V336" s="88"/>
      <c r="W336" s="88"/>
      <c r="X336" s="88"/>
      <c r="Y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Q337" s="88"/>
      <c r="R337" s="88"/>
      <c r="S337" s="88"/>
      <c r="T337" s="88"/>
      <c r="U337" s="88"/>
      <c r="V337" s="88"/>
      <c r="W337" s="88"/>
      <c r="X337" s="88"/>
      <c r="Y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Q338" s="88"/>
      <c r="R338" s="88"/>
      <c r="S338" s="88"/>
      <c r="T338" s="88"/>
      <c r="U338" s="88"/>
      <c r="V338" s="88"/>
      <c r="W338" s="88"/>
      <c r="X338" s="88"/>
      <c r="Y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Q339" s="88"/>
      <c r="R339" s="88"/>
      <c r="S339" s="88"/>
      <c r="T339" s="88"/>
      <c r="U339" s="88"/>
      <c r="V339" s="88"/>
      <c r="W339" s="88"/>
      <c r="X339" s="88"/>
      <c r="Y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Q340" s="88"/>
      <c r="R340" s="88"/>
      <c r="S340" s="88"/>
      <c r="T340" s="88"/>
      <c r="U340" s="88"/>
      <c r="V340" s="88"/>
      <c r="W340" s="88"/>
      <c r="X340" s="88"/>
      <c r="Y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Q341" s="88"/>
      <c r="R341" s="88"/>
      <c r="S341" s="88"/>
      <c r="T341" s="88"/>
      <c r="U341" s="88"/>
      <c r="V341" s="88"/>
      <c r="W341" s="88"/>
      <c r="X341" s="88"/>
      <c r="Y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Q342" s="88"/>
      <c r="R342" s="88"/>
      <c r="S342" s="88"/>
      <c r="T342" s="88"/>
      <c r="U342" s="88"/>
      <c r="V342" s="88"/>
      <c r="W342" s="88"/>
      <c r="X342" s="88"/>
      <c r="Y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Q343" s="88"/>
      <c r="R343" s="88"/>
      <c r="S343" s="88"/>
      <c r="T343" s="88"/>
      <c r="U343" s="88"/>
      <c r="V343" s="88"/>
      <c r="W343" s="88"/>
      <c r="X343" s="88"/>
      <c r="Y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Q344" s="88"/>
      <c r="R344" s="88"/>
      <c r="S344" s="88"/>
      <c r="T344" s="88"/>
      <c r="U344" s="88"/>
      <c r="V344" s="88"/>
      <c r="W344" s="88"/>
      <c r="X344" s="88"/>
      <c r="Y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Q345" s="88"/>
      <c r="R345" s="88"/>
      <c r="S345" s="88"/>
      <c r="T345" s="88"/>
      <c r="U345" s="88"/>
      <c r="V345" s="88"/>
      <c r="W345" s="88"/>
      <c r="X345" s="88"/>
      <c r="Y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Q346" s="88"/>
      <c r="R346" s="88"/>
      <c r="S346" s="88"/>
      <c r="T346" s="88"/>
      <c r="U346" s="88"/>
      <c r="V346" s="88"/>
      <c r="W346" s="88"/>
      <c r="X346" s="88"/>
      <c r="Y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Q347" s="88"/>
      <c r="R347" s="88"/>
      <c r="S347" s="88"/>
      <c r="T347" s="88"/>
      <c r="U347" s="88"/>
      <c r="V347" s="88"/>
      <c r="W347" s="88"/>
      <c r="X347" s="88"/>
      <c r="Y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Q348" s="88"/>
      <c r="R348" s="88"/>
      <c r="S348" s="88"/>
      <c r="T348" s="88"/>
      <c r="U348" s="88"/>
      <c r="V348" s="88"/>
      <c r="W348" s="88"/>
      <c r="X348" s="88"/>
      <c r="Y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Q349" s="88"/>
      <c r="R349" s="88"/>
      <c r="S349" s="88"/>
      <c r="T349" s="88"/>
      <c r="U349" s="88"/>
      <c r="V349" s="88"/>
      <c r="W349" s="88"/>
      <c r="X349" s="88"/>
      <c r="Y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Q350" s="88"/>
      <c r="R350" s="88"/>
      <c r="S350" s="88"/>
      <c r="T350" s="88"/>
      <c r="U350" s="88"/>
      <c r="V350" s="88"/>
      <c r="W350" s="88"/>
      <c r="X350" s="88"/>
      <c r="Y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Q351" s="88"/>
      <c r="R351" s="88"/>
      <c r="S351" s="88"/>
      <c r="T351" s="88"/>
      <c r="U351" s="88"/>
      <c r="V351" s="88"/>
      <c r="W351" s="88"/>
      <c r="X351" s="88"/>
      <c r="Y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Q352" s="88"/>
      <c r="R352" s="88"/>
      <c r="S352" s="88"/>
      <c r="T352" s="88"/>
      <c r="U352" s="88"/>
      <c r="V352" s="88"/>
      <c r="W352" s="88"/>
      <c r="X352" s="88"/>
      <c r="Y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Q353" s="88"/>
      <c r="R353" s="88"/>
      <c r="S353" s="88"/>
      <c r="T353" s="88"/>
      <c r="U353" s="88"/>
      <c r="V353" s="88"/>
      <c r="W353" s="88"/>
      <c r="X353" s="88"/>
      <c r="Y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Q354" s="88"/>
      <c r="R354" s="88"/>
      <c r="S354" s="88"/>
      <c r="T354" s="88"/>
      <c r="U354" s="88"/>
      <c r="V354" s="88"/>
      <c r="W354" s="88"/>
      <c r="X354" s="88"/>
      <c r="Y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Q355" s="88"/>
      <c r="R355" s="88"/>
      <c r="S355" s="88"/>
      <c r="T355" s="88"/>
      <c r="U355" s="88"/>
      <c r="V355" s="88"/>
      <c r="W355" s="88"/>
      <c r="X355" s="88"/>
      <c r="Y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Q356" s="88"/>
      <c r="R356" s="88"/>
      <c r="S356" s="88"/>
      <c r="T356" s="88"/>
      <c r="U356" s="88"/>
      <c r="V356" s="88"/>
      <c r="W356" s="88"/>
      <c r="X356" s="88"/>
      <c r="Y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Q357" s="88"/>
      <c r="R357" s="88"/>
      <c r="S357" s="88"/>
      <c r="T357" s="88"/>
      <c r="U357" s="88"/>
      <c r="V357" s="88"/>
      <c r="W357" s="88"/>
      <c r="X357" s="88"/>
      <c r="Y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Q358" s="88"/>
      <c r="R358" s="88"/>
      <c r="S358" s="88"/>
      <c r="T358" s="88"/>
      <c r="U358" s="88"/>
      <c r="V358" s="88"/>
      <c r="W358" s="88"/>
      <c r="X358" s="88"/>
      <c r="Y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Q359" s="88"/>
      <c r="R359" s="88"/>
      <c r="S359" s="88"/>
      <c r="T359" s="88"/>
      <c r="U359" s="88"/>
      <c r="V359" s="88"/>
      <c r="W359" s="88"/>
      <c r="X359" s="88"/>
      <c r="Y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Q360" s="88"/>
      <c r="R360" s="88"/>
      <c r="S360" s="88"/>
      <c r="T360" s="88"/>
      <c r="U360" s="88"/>
      <c r="V360" s="88"/>
      <c r="W360" s="88"/>
      <c r="X360" s="88"/>
      <c r="Y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Q361" s="88"/>
      <c r="R361" s="88"/>
      <c r="S361" s="88"/>
      <c r="T361" s="88"/>
      <c r="U361" s="88"/>
      <c r="V361" s="88"/>
      <c r="W361" s="88"/>
      <c r="X361" s="88"/>
      <c r="Y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Q362" s="88"/>
      <c r="R362" s="88"/>
      <c r="S362" s="88"/>
      <c r="T362" s="88"/>
      <c r="U362" s="88"/>
      <c r="V362" s="88"/>
      <c r="W362" s="88"/>
      <c r="X362" s="88"/>
      <c r="Y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Q363" s="88"/>
      <c r="R363" s="88"/>
      <c r="S363" s="88"/>
      <c r="T363" s="88"/>
      <c r="U363" s="88"/>
      <c r="V363" s="88"/>
      <c r="W363" s="88"/>
      <c r="X363" s="88"/>
      <c r="Y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Q364" s="88"/>
      <c r="R364" s="88"/>
      <c r="S364" s="88"/>
      <c r="T364" s="88"/>
      <c r="U364" s="88"/>
      <c r="V364" s="88"/>
      <c r="W364" s="88"/>
      <c r="X364" s="88"/>
      <c r="Y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Q365" s="88"/>
      <c r="R365" s="88"/>
      <c r="S365" s="88"/>
      <c r="T365" s="88"/>
      <c r="U365" s="88"/>
      <c r="V365" s="88"/>
      <c r="W365" s="88"/>
      <c r="X365" s="88"/>
      <c r="Y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Q366" s="88"/>
      <c r="R366" s="88"/>
      <c r="S366" s="88"/>
      <c r="T366" s="88"/>
      <c r="U366" s="88"/>
      <c r="V366" s="88"/>
      <c r="W366" s="88"/>
      <c r="X366" s="88"/>
      <c r="Y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Q367" s="88"/>
      <c r="R367" s="88"/>
      <c r="S367" s="88"/>
      <c r="T367" s="88"/>
      <c r="U367" s="88"/>
      <c r="V367" s="88"/>
      <c r="W367" s="88"/>
      <c r="X367" s="88"/>
      <c r="Y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Q368" s="88"/>
      <c r="R368" s="88"/>
      <c r="S368" s="88"/>
      <c r="T368" s="88"/>
      <c r="U368" s="88"/>
      <c r="V368" s="88"/>
      <c r="W368" s="88"/>
      <c r="X368" s="88"/>
      <c r="Y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Q369" s="88"/>
      <c r="R369" s="88"/>
      <c r="S369" s="88"/>
      <c r="T369" s="88"/>
      <c r="U369" s="88"/>
      <c r="V369" s="88"/>
      <c r="W369" s="88"/>
      <c r="X369" s="88"/>
      <c r="Y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Q370" s="88"/>
      <c r="R370" s="88"/>
      <c r="S370" s="88"/>
      <c r="T370" s="88"/>
      <c r="U370" s="88"/>
      <c r="V370" s="88"/>
      <c r="W370" s="88"/>
      <c r="X370" s="88"/>
      <c r="Y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Q371" s="88"/>
      <c r="R371" s="88"/>
      <c r="S371" s="88"/>
      <c r="T371" s="88"/>
      <c r="U371" s="88"/>
      <c r="V371" s="88"/>
      <c r="W371" s="88"/>
      <c r="X371" s="88"/>
      <c r="Y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Q372" s="88"/>
      <c r="R372" s="88"/>
      <c r="S372" s="88"/>
      <c r="T372" s="88"/>
      <c r="U372" s="88"/>
      <c r="V372" s="88"/>
      <c r="W372" s="88"/>
      <c r="X372" s="88"/>
      <c r="Y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Q373" s="88"/>
      <c r="R373" s="88"/>
      <c r="S373" s="88"/>
      <c r="T373" s="88"/>
      <c r="U373" s="88"/>
      <c r="V373" s="88"/>
      <c r="W373" s="88"/>
      <c r="X373" s="88"/>
      <c r="Y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Q374" s="88"/>
      <c r="R374" s="88"/>
      <c r="S374" s="88"/>
      <c r="T374" s="88"/>
      <c r="U374" s="88"/>
      <c r="V374" s="88"/>
      <c r="W374" s="88"/>
      <c r="X374" s="88"/>
      <c r="Y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Q375" s="88"/>
      <c r="R375" s="88"/>
      <c r="S375" s="88"/>
      <c r="T375" s="88"/>
      <c r="U375" s="88"/>
      <c r="V375" s="88"/>
      <c r="W375" s="88"/>
      <c r="X375" s="88"/>
      <c r="Y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Q376" s="88"/>
      <c r="R376" s="88"/>
      <c r="S376" s="88"/>
      <c r="T376" s="88"/>
      <c r="U376" s="88"/>
      <c r="V376" s="88"/>
      <c r="W376" s="88"/>
      <c r="X376" s="88"/>
      <c r="Y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Q377" s="88"/>
      <c r="R377" s="88"/>
      <c r="S377" s="88"/>
      <c r="T377" s="88"/>
      <c r="U377" s="88"/>
      <c r="V377" s="88"/>
      <c r="W377" s="88"/>
      <c r="X377" s="88"/>
      <c r="Y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Q378" s="88"/>
      <c r="R378" s="88"/>
      <c r="S378" s="88"/>
      <c r="T378" s="88"/>
      <c r="U378" s="88"/>
      <c r="V378" s="88"/>
      <c r="W378" s="88"/>
      <c r="X378" s="88"/>
      <c r="Y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Q379" s="88"/>
      <c r="R379" s="88"/>
      <c r="S379" s="88"/>
      <c r="T379" s="88"/>
      <c r="U379" s="88"/>
      <c r="V379" s="88"/>
      <c r="W379" s="88"/>
      <c r="X379" s="88"/>
      <c r="Y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Q380" s="88"/>
      <c r="R380" s="88"/>
      <c r="S380" s="88"/>
      <c r="T380" s="88"/>
      <c r="U380" s="88"/>
      <c r="V380" s="88"/>
      <c r="W380" s="88"/>
      <c r="X380" s="88"/>
      <c r="Y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Q381" s="88"/>
      <c r="R381" s="88"/>
      <c r="S381" s="88"/>
      <c r="T381" s="88"/>
      <c r="U381" s="88"/>
      <c r="V381" s="88"/>
      <c r="W381" s="88"/>
      <c r="X381" s="88"/>
      <c r="Y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Q382" s="88"/>
      <c r="R382" s="88"/>
      <c r="S382" s="88"/>
      <c r="T382" s="88"/>
      <c r="U382" s="88"/>
      <c r="V382" s="88"/>
      <c r="W382" s="88"/>
      <c r="X382" s="88"/>
      <c r="Y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Q383" s="88"/>
      <c r="R383" s="88"/>
      <c r="S383" s="88"/>
      <c r="T383" s="88"/>
      <c r="U383" s="88"/>
      <c r="V383" s="88"/>
      <c r="W383" s="88"/>
      <c r="X383" s="88"/>
      <c r="Y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Q384" s="88"/>
      <c r="R384" s="88"/>
      <c r="S384" s="88"/>
      <c r="T384" s="88"/>
      <c r="U384" s="88"/>
      <c r="V384" s="88"/>
      <c r="W384" s="88"/>
      <c r="X384" s="88"/>
      <c r="Y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Q385" s="88"/>
      <c r="R385" s="88"/>
      <c r="S385" s="88"/>
      <c r="T385" s="88"/>
      <c r="U385" s="88"/>
      <c r="V385" s="88"/>
      <c r="W385" s="88"/>
      <c r="X385" s="88"/>
      <c r="Y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Q386" s="88"/>
      <c r="R386" s="88"/>
      <c r="S386" s="88"/>
      <c r="T386" s="88"/>
      <c r="U386" s="88"/>
      <c r="V386" s="88"/>
      <c r="W386" s="88"/>
      <c r="X386" s="88"/>
      <c r="Y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Q387" s="88"/>
      <c r="R387" s="88"/>
      <c r="S387" s="88"/>
      <c r="T387" s="88"/>
      <c r="U387" s="88"/>
      <c r="V387" s="88"/>
      <c r="W387" s="88"/>
      <c r="X387" s="88"/>
      <c r="Y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Q388" s="88"/>
      <c r="R388" s="88"/>
      <c r="S388" s="88"/>
      <c r="T388" s="88"/>
      <c r="U388" s="88"/>
      <c r="V388" s="88"/>
      <c r="W388" s="88"/>
      <c r="X388" s="88"/>
      <c r="Y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Q389" s="88"/>
      <c r="R389" s="88"/>
      <c r="S389" s="88"/>
      <c r="T389" s="88"/>
      <c r="U389" s="88"/>
      <c r="V389" s="88"/>
      <c r="W389" s="88"/>
      <c r="X389" s="88"/>
      <c r="Y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Q390" s="88"/>
      <c r="R390" s="88"/>
      <c r="S390" s="88"/>
      <c r="T390" s="88"/>
      <c r="U390" s="88"/>
      <c r="V390" s="88"/>
      <c r="W390" s="88"/>
      <c r="X390" s="88"/>
      <c r="Y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Q391" s="88"/>
      <c r="R391" s="88"/>
      <c r="S391" s="88"/>
      <c r="T391" s="88"/>
      <c r="U391" s="88"/>
      <c r="V391" s="88"/>
      <c r="W391" s="88"/>
      <c r="X391" s="88"/>
      <c r="Y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Q392" s="88"/>
      <c r="R392" s="88"/>
      <c r="S392" s="88"/>
      <c r="T392" s="88"/>
      <c r="U392" s="88"/>
      <c r="V392" s="88"/>
      <c r="W392" s="88"/>
      <c r="X392" s="88"/>
      <c r="Y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Q393" s="88"/>
      <c r="R393" s="88"/>
      <c r="S393" s="88"/>
      <c r="T393" s="88"/>
      <c r="U393" s="88"/>
      <c r="V393" s="88"/>
      <c r="W393" s="88"/>
      <c r="X393" s="88"/>
      <c r="Y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Q394" s="88"/>
      <c r="R394" s="88"/>
      <c r="S394" s="88"/>
      <c r="T394" s="88"/>
      <c r="U394" s="88"/>
      <c r="V394" s="88"/>
      <c r="W394" s="88"/>
      <c r="X394" s="88"/>
      <c r="Y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Q395" s="88"/>
      <c r="R395" s="88"/>
      <c r="S395" s="88"/>
      <c r="T395" s="88"/>
      <c r="U395" s="88"/>
      <c r="V395" s="88"/>
      <c r="W395" s="88"/>
      <c r="X395" s="88"/>
      <c r="Y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Q396" s="88"/>
      <c r="R396" s="88"/>
      <c r="S396" s="88"/>
      <c r="T396" s="88"/>
      <c r="U396" s="88"/>
      <c r="V396" s="88"/>
      <c r="W396" s="88"/>
      <c r="X396" s="88"/>
      <c r="Y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Q397" s="88"/>
      <c r="R397" s="88"/>
      <c r="S397" s="88"/>
      <c r="T397" s="88"/>
      <c r="U397" s="88"/>
      <c r="V397" s="88"/>
      <c r="W397" s="88"/>
      <c r="X397" s="88"/>
      <c r="Y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Q398" s="88"/>
      <c r="R398" s="88"/>
      <c r="S398" s="88"/>
      <c r="T398" s="88"/>
      <c r="U398" s="88"/>
      <c r="V398" s="88"/>
      <c r="W398" s="88"/>
      <c r="X398" s="88"/>
      <c r="Y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Q399" s="88"/>
      <c r="R399" s="88"/>
      <c r="S399" s="88"/>
      <c r="T399" s="88"/>
      <c r="U399" s="88"/>
      <c r="V399" s="88"/>
      <c r="W399" s="88"/>
      <c r="X399" s="88"/>
      <c r="Y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Q400" s="88"/>
      <c r="R400" s="88"/>
      <c r="S400" s="88"/>
      <c r="T400" s="88"/>
      <c r="U400" s="88"/>
      <c r="V400" s="88"/>
      <c r="W400" s="88"/>
      <c r="X400" s="88"/>
      <c r="Y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Q401" s="88"/>
      <c r="R401" s="88"/>
      <c r="S401" s="88"/>
      <c r="T401" s="88"/>
      <c r="U401" s="88"/>
      <c r="V401" s="88"/>
      <c r="W401" s="88"/>
      <c r="X401" s="88"/>
      <c r="Y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Q402" s="88"/>
      <c r="R402" s="88"/>
      <c r="S402" s="88"/>
      <c r="T402" s="88"/>
      <c r="U402" s="88"/>
      <c r="V402" s="88"/>
      <c r="W402" s="88"/>
      <c r="X402" s="88"/>
      <c r="Y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Q403" s="88"/>
      <c r="R403" s="88"/>
      <c r="S403" s="88"/>
      <c r="T403" s="88"/>
      <c r="U403" s="88"/>
      <c r="V403" s="88"/>
      <c r="W403" s="88"/>
      <c r="X403" s="88"/>
      <c r="Y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Q404" s="88"/>
      <c r="R404" s="88"/>
      <c r="S404" s="88"/>
      <c r="T404" s="88"/>
      <c r="U404" s="88"/>
      <c r="V404" s="88"/>
      <c r="W404" s="88"/>
      <c r="X404" s="88"/>
      <c r="Y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Q405" s="88"/>
      <c r="R405" s="88"/>
      <c r="S405" s="88"/>
      <c r="T405" s="88"/>
      <c r="U405" s="88"/>
      <c r="V405" s="88"/>
      <c r="W405" s="88"/>
      <c r="X405" s="88"/>
      <c r="Y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Q406" s="88"/>
      <c r="R406" s="88"/>
      <c r="S406" s="88"/>
      <c r="T406" s="88"/>
      <c r="U406" s="88"/>
      <c r="V406" s="88"/>
      <c r="W406" s="88"/>
      <c r="X406" s="88"/>
      <c r="Y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Q407" s="88"/>
      <c r="R407" s="88"/>
      <c r="S407" s="88"/>
      <c r="T407" s="88"/>
      <c r="U407" s="88"/>
      <c r="V407" s="88"/>
      <c r="W407" s="88"/>
      <c r="X407" s="88"/>
      <c r="Y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Q408" s="88"/>
      <c r="R408" s="88"/>
      <c r="S408" s="88"/>
      <c r="T408" s="88"/>
      <c r="U408" s="88"/>
      <c r="V408" s="88"/>
      <c r="W408" s="88"/>
      <c r="X408" s="88"/>
      <c r="Y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Q409" s="88"/>
      <c r="R409" s="88"/>
      <c r="S409" s="88"/>
      <c r="T409" s="88"/>
      <c r="U409" s="88"/>
      <c r="V409" s="88"/>
      <c r="W409" s="88"/>
      <c r="X409" s="88"/>
      <c r="Y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Q410" s="88"/>
      <c r="R410" s="88"/>
      <c r="S410" s="88"/>
      <c r="T410" s="88"/>
      <c r="U410" s="88"/>
      <c r="V410" s="88"/>
      <c r="W410" s="88"/>
      <c r="X410" s="88"/>
      <c r="Y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Q411" s="88"/>
      <c r="R411" s="88"/>
      <c r="S411" s="88"/>
      <c r="T411" s="88"/>
      <c r="U411" s="88"/>
      <c r="V411" s="88"/>
      <c r="W411" s="88"/>
      <c r="X411" s="88"/>
      <c r="Y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Q412" s="88"/>
      <c r="R412" s="88"/>
      <c r="S412" s="88"/>
      <c r="T412" s="88"/>
      <c r="U412" s="88"/>
      <c r="V412" s="88"/>
      <c r="W412" s="88"/>
      <c r="X412" s="88"/>
      <c r="Y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Q413" s="88"/>
      <c r="R413" s="88"/>
      <c r="S413" s="88"/>
      <c r="T413" s="88"/>
      <c r="U413" s="88"/>
      <c r="V413" s="88"/>
      <c r="W413" s="88"/>
      <c r="X413" s="88"/>
      <c r="Y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Q414" s="88"/>
      <c r="R414" s="88"/>
      <c r="S414" s="88"/>
      <c r="T414" s="88"/>
      <c r="U414" s="88"/>
      <c r="V414" s="88"/>
      <c r="W414" s="88"/>
      <c r="X414" s="88"/>
      <c r="Y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Q415" s="88"/>
      <c r="R415" s="88"/>
      <c r="S415" s="88"/>
      <c r="T415" s="88"/>
      <c r="U415" s="88"/>
      <c r="V415" s="88"/>
      <c r="W415" s="88"/>
      <c r="X415" s="88"/>
      <c r="Y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Q416" s="88"/>
      <c r="R416" s="88"/>
      <c r="S416" s="88"/>
      <c r="T416" s="88"/>
      <c r="U416" s="88"/>
      <c r="V416" s="88"/>
      <c r="W416" s="88"/>
      <c r="X416" s="88"/>
      <c r="Y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Q417" s="88"/>
      <c r="R417" s="88"/>
      <c r="S417" s="88"/>
      <c r="T417" s="88"/>
      <c r="U417" s="88"/>
      <c r="V417" s="88"/>
      <c r="W417" s="88"/>
      <c r="X417" s="88"/>
      <c r="Y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Q418" s="88"/>
      <c r="R418" s="88"/>
      <c r="S418" s="88"/>
      <c r="T418" s="88"/>
      <c r="U418" s="88"/>
      <c r="V418" s="88"/>
      <c r="W418" s="88"/>
      <c r="X418" s="88"/>
      <c r="Y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Q419" s="88"/>
      <c r="R419" s="88"/>
      <c r="S419" s="88"/>
      <c r="T419" s="88"/>
      <c r="U419" s="88"/>
      <c r="V419" s="88"/>
      <c r="W419" s="88"/>
      <c r="X419" s="88"/>
      <c r="Y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Q420" s="88"/>
      <c r="R420" s="88"/>
      <c r="S420" s="88"/>
      <c r="T420" s="88"/>
      <c r="U420" s="88"/>
      <c r="V420" s="88"/>
      <c r="W420" s="88"/>
      <c r="X420" s="88"/>
      <c r="Y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Q421" s="88"/>
      <c r="R421" s="88"/>
      <c r="S421" s="88"/>
      <c r="T421" s="88"/>
      <c r="U421" s="88"/>
      <c r="V421" s="88"/>
      <c r="W421" s="88"/>
      <c r="X421" s="88"/>
      <c r="Y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Q422" s="88"/>
      <c r="R422" s="88"/>
      <c r="S422" s="88"/>
      <c r="T422" s="88"/>
      <c r="U422" s="88"/>
      <c r="V422" s="88"/>
      <c r="W422" s="88"/>
      <c r="X422" s="88"/>
      <c r="Y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Q423" s="88"/>
      <c r="R423" s="88"/>
      <c r="S423" s="88"/>
      <c r="T423" s="88"/>
      <c r="U423" s="88"/>
      <c r="V423" s="88"/>
      <c r="W423" s="88"/>
      <c r="X423" s="88"/>
      <c r="Y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Q424" s="88"/>
      <c r="R424" s="88"/>
      <c r="S424" s="88"/>
      <c r="T424" s="88"/>
      <c r="U424" s="88"/>
      <c r="V424" s="88"/>
      <c r="W424" s="88"/>
      <c r="X424" s="88"/>
      <c r="Y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Q425" s="88"/>
      <c r="R425" s="88"/>
      <c r="S425" s="88"/>
      <c r="T425" s="88"/>
      <c r="U425" s="88"/>
      <c r="V425" s="88"/>
      <c r="W425" s="88"/>
      <c r="X425" s="88"/>
      <c r="Y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Q426" s="88"/>
      <c r="R426" s="88"/>
      <c r="S426" s="88"/>
      <c r="T426" s="88"/>
      <c r="U426" s="88"/>
      <c r="V426" s="88"/>
      <c r="W426" s="88"/>
      <c r="X426" s="88"/>
      <c r="Y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Q427" s="88"/>
      <c r="R427" s="88"/>
      <c r="S427" s="88"/>
      <c r="T427" s="88"/>
      <c r="U427" s="88"/>
      <c r="V427" s="88"/>
      <c r="W427" s="88"/>
      <c r="X427" s="88"/>
      <c r="Y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Q428" s="88"/>
      <c r="R428" s="88"/>
      <c r="S428" s="88"/>
      <c r="T428" s="88"/>
      <c r="U428" s="88"/>
      <c r="V428" s="88"/>
      <c r="W428" s="88"/>
      <c r="X428" s="88"/>
      <c r="Y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Q429" s="88"/>
      <c r="R429" s="88"/>
      <c r="S429" s="88"/>
      <c r="T429" s="88"/>
      <c r="U429" s="88"/>
      <c r="V429" s="88"/>
      <c r="W429" s="88"/>
      <c r="X429" s="88"/>
      <c r="Y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Q430" s="88"/>
      <c r="R430" s="88"/>
      <c r="S430" s="88"/>
      <c r="T430" s="88"/>
      <c r="U430" s="88"/>
      <c r="V430" s="88"/>
      <c r="W430" s="88"/>
      <c r="X430" s="88"/>
      <c r="Y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Q431" s="88"/>
      <c r="R431" s="88"/>
      <c r="S431" s="88"/>
      <c r="T431" s="88"/>
      <c r="U431" s="88"/>
      <c r="V431" s="88"/>
      <c r="W431" s="88"/>
      <c r="X431" s="88"/>
      <c r="Y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Q432" s="88"/>
      <c r="R432" s="88"/>
      <c r="S432" s="88"/>
      <c r="T432" s="88"/>
      <c r="U432" s="88"/>
      <c r="V432" s="88"/>
      <c r="W432" s="88"/>
      <c r="X432" s="88"/>
      <c r="Y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Q433" s="88"/>
      <c r="R433" s="88"/>
      <c r="S433" s="88"/>
      <c r="T433" s="88"/>
      <c r="U433" s="88"/>
      <c r="V433" s="88"/>
      <c r="W433" s="88"/>
      <c r="X433" s="88"/>
      <c r="Y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Q434" s="88"/>
      <c r="R434" s="88"/>
      <c r="S434" s="88"/>
      <c r="T434" s="88"/>
      <c r="U434" s="88"/>
      <c r="V434" s="88"/>
      <c r="W434" s="88"/>
      <c r="X434" s="88"/>
      <c r="Y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Q435" s="88"/>
      <c r="R435" s="88"/>
      <c r="S435" s="88"/>
      <c r="T435" s="88"/>
      <c r="U435" s="88"/>
      <c r="V435" s="88"/>
      <c r="W435" s="88"/>
      <c r="X435" s="88"/>
      <c r="Y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Q436" s="88"/>
      <c r="R436" s="88"/>
      <c r="S436" s="88"/>
      <c r="T436" s="88"/>
      <c r="U436" s="88"/>
      <c r="V436" s="88"/>
      <c r="W436" s="88"/>
      <c r="X436" s="88"/>
      <c r="Y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Q437" s="88"/>
      <c r="R437" s="88"/>
      <c r="S437" s="88"/>
      <c r="T437" s="88"/>
      <c r="U437" s="88"/>
      <c r="V437" s="88"/>
      <c r="W437" s="88"/>
      <c r="X437" s="88"/>
      <c r="Y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Q454" s="88"/>
      <c r="R454" s="88"/>
      <c r="S454" s="88"/>
      <c r="T454" s="88"/>
      <c r="U454" s="88"/>
      <c r="V454" s="88"/>
      <c r="W454" s="88"/>
      <c r="X454" s="88"/>
      <c r="Y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Q455" s="88"/>
      <c r="R455" s="88"/>
      <c r="S455" s="88"/>
      <c r="T455" s="88"/>
      <c r="U455" s="88"/>
      <c r="V455" s="88"/>
      <c r="W455" s="88"/>
      <c r="X455" s="88"/>
      <c r="Y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Q456" s="88"/>
      <c r="R456" s="88"/>
      <c r="S456" s="88"/>
      <c r="T456" s="88"/>
      <c r="U456" s="88"/>
      <c r="V456" s="88"/>
      <c r="W456" s="88"/>
      <c r="X456" s="88"/>
      <c r="Y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Q457" s="88"/>
      <c r="R457" s="88"/>
      <c r="S457" s="88"/>
      <c r="T457" s="88"/>
      <c r="U457" s="88"/>
      <c r="V457" s="88"/>
      <c r="W457" s="88"/>
      <c r="X457" s="88"/>
      <c r="Y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Q458" s="88"/>
      <c r="R458" s="88"/>
      <c r="S458" s="88"/>
      <c r="T458" s="88"/>
      <c r="U458" s="88"/>
      <c r="V458" s="88"/>
      <c r="W458" s="88"/>
      <c r="X458" s="88"/>
      <c r="Y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Q459" s="88"/>
      <c r="R459" s="88"/>
      <c r="S459" s="88"/>
      <c r="T459" s="88"/>
      <c r="U459" s="88"/>
      <c r="V459" s="88"/>
      <c r="W459" s="88"/>
      <c r="X459" s="88"/>
      <c r="Y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Q460" s="88"/>
      <c r="R460" s="88"/>
      <c r="S460" s="88"/>
      <c r="T460" s="88"/>
      <c r="U460" s="88"/>
      <c r="V460" s="88"/>
      <c r="W460" s="88"/>
      <c r="X460" s="88"/>
      <c r="Y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Q461" s="88"/>
      <c r="R461" s="88"/>
      <c r="S461" s="88"/>
      <c r="T461" s="88"/>
      <c r="U461" s="88"/>
      <c r="V461" s="88"/>
      <c r="W461" s="88"/>
      <c r="X461" s="88"/>
      <c r="Y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Q462" s="88"/>
      <c r="R462" s="88"/>
      <c r="S462" s="88"/>
      <c r="T462" s="88"/>
      <c r="U462" s="88"/>
      <c r="V462" s="88"/>
      <c r="W462" s="88"/>
      <c r="X462" s="88"/>
      <c r="Y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Q463" s="88"/>
      <c r="R463" s="88"/>
      <c r="S463" s="88"/>
      <c r="T463" s="88"/>
      <c r="U463" s="88"/>
      <c r="V463" s="88"/>
      <c r="W463" s="88"/>
      <c r="X463" s="88"/>
      <c r="Y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Q464" s="88"/>
      <c r="R464" s="88"/>
      <c r="S464" s="88"/>
      <c r="T464" s="88"/>
      <c r="U464" s="88"/>
      <c r="V464" s="88"/>
      <c r="W464" s="88"/>
      <c r="X464" s="88"/>
      <c r="Y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Q465" s="88"/>
      <c r="R465" s="88"/>
      <c r="S465" s="88"/>
      <c r="T465" s="88"/>
      <c r="U465" s="88"/>
      <c r="V465" s="88"/>
      <c r="W465" s="88"/>
      <c r="X465" s="88"/>
      <c r="Y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Q466" s="88"/>
      <c r="R466" s="88"/>
      <c r="S466" s="88"/>
      <c r="T466" s="88"/>
      <c r="U466" s="88"/>
      <c r="V466" s="88"/>
      <c r="W466" s="88"/>
      <c r="X466" s="88"/>
      <c r="Y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Q467" s="88"/>
      <c r="R467" s="88"/>
      <c r="S467" s="88"/>
      <c r="T467" s="88"/>
      <c r="U467" s="88"/>
      <c r="V467" s="88"/>
      <c r="W467" s="88"/>
      <c r="X467" s="88"/>
      <c r="Y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Q468" s="88"/>
      <c r="R468" s="88"/>
      <c r="S468" s="88"/>
      <c r="T468" s="88"/>
      <c r="U468" s="88"/>
      <c r="V468" s="88"/>
      <c r="W468" s="88"/>
      <c r="X468" s="88"/>
      <c r="Y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Q469" s="88"/>
      <c r="R469" s="88"/>
      <c r="S469" s="88"/>
      <c r="T469" s="88"/>
      <c r="U469" s="88"/>
      <c r="V469" s="88"/>
      <c r="W469" s="88"/>
      <c r="X469" s="88"/>
      <c r="Y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Q470" s="88"/>
      <c r="R470" s="88"/>
      <c r="S470" s="88"/>
      <c r="T470" s="88"/>
      <c r="U470" s="88"/>
      <c r="V470" s="88"/>
      <c r="W470" s="88"/>
      <c r="X470" s="88"/>
      <c r="Y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Q471" s="88"/>
      <c r="R471" s="88"/>
      <c r="S471" s="88"/>
      <c r="T471" s="88"/>
      <c r="U471" s="88"/>
      <c r="V471" s="88"/>
      <c r="W471" s="88"/>
      <c r="X471" s="88"/>
      <c r="Y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Q472" s="88"/>
      <c r="R472" s="88"/>
      <c r="S472" s="88"/>
      <c r="T472" s="88"/>
      <c r="U472" s="88"/>
      <c r="V472" s="88"/>
      <c r="W472" s="88"/>
      <c r="X472" s="88"/>
      <c r="Y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Q473" s="88"/>
      <c r="R473" s="88"/>
      <c r="S473" s="88"/>
      <c r="T473" s="88"/>
      <c r="U473" s="88"/>
      <c r="V473" s="88"/>
      <c r="W473" s="88"/>
      <c r="X473" s="88"/>
      <c r="Y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Q474" s="88"/>
      <c r="R474" s="88"/>
      <c r="S474" s="88"/>
      <c r="T474" s="88"/>
      <c r="U474" s="88"/>
      <c r="V474" s="88"/>
      <c r="W474" s="88"/>
      <c r="X474" s="88"/>
      <c r="Y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Q475" s="88"/>
      <c r="R475" s="88"/>
      <c r="S475" s="88"/>
      <c r="T475" s="88"/>
      <c r="U475" s="88"/>
      <c r="V475" s="88"/>
      <c r="W475" s="88"/>
      <c r="X475" s="88"/>
      <c r="Y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Q476" s="88"/>
      <c r="R476" s="88"/>
      <c r="S476" s="88"/>
      <c r="T476" s="88"/>
      <c r="U476" s="88"/>
      <c r="V476" s="88"/>
      <c r="W476" s="88"/>
      <c r="X476" s="88"/>
      <c r="Y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Q477" s="88"/>
      <c r="R477" s="88"/>
      <c r="S477" s="88"/>
      <c r="T477" s="88"/>
      <c r="U477" s="88"/>
      <c r="V477" s="88"/>
      <c r="W477" s="88"/>
      <c r="X477" s="88"/>
      <c r="Y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Q478" s="88"/>
      <c r="R478" s="88"/>
      <c r="S478" s="88"/>
      <c r="T478" s="88"/>
      <c r="U478" s="88"/>
      <c r="V478" s="88"/>
      <c r="W478" s="88"/>
      <c r="X478" s="88"/>
      <c r="Y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Q479" s="88"/>
      <c r="R479" s="88"/>
      <c r="S479" s="88"/>
      <c r="T479" s="88"/>
      <c r="U479" s="88"/>
      <c r="V479" s="88"/>
      <c r="W479" s="88"/>
      <c r="X479" s="88"/>
      <c r="Y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Q480" s="88"/>
      <c r="R480" s="88"/>
      <c r="S480" s="88"/>
      <c r="T480" s="88"/>
      <c r="U480" s="88"/>
      <c r="V480" s="88"/>
      <c r="W480" s="88"/>
      <c r="X480" s="88"/>
      <c r="Y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Q481" s="88"/>
      <c r="R481" s="88"/>
      <c r="S481" s="88"/>
      <c r="T481" s="88"/>
      <c r="U481" s="88"/>
      <c r="V481" s="88"/>
      <c r="W481" s="88"/>
      <c r="X481" s="88"/>
      <c r="Y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Q482" s="88"/>
      <c r="R482" s="88"/>
      <c r="S482" s="88"/>
      <c r="T482" s="88"/>
      <c r="U482" s="88"/>
      <c r="V482" s="88"/>
      <c r="W482" s="88"/>
      <c r="X482" s="88"/>
      <c r="Y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Q483" s="88"/>
      <c r="R483" s="88"/>
      <c r="S483" s="88"/>
      <c r="T483" s="88"/>
      <c r="U483" s="88"/>
      <c r="V483" s="88"/>
      <c r="W483" s="88"/>
      <c r="X483" s="88"/>
      <c r="Y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Q484" s="88"/>
      <c r="R484" s="88"/>
      <c r="S484" s="88"/>
      <c r="T484" s="88"/>
      <c r="U484" s="88"/>
      <c r="V484" s="88"/>
      <c r="W484" s="88"/>
      <c r="X484" s="88"/>
      <c r="Y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Q485" s="88"/>
      <c r="R485" s="88"/>
      <c r="S485" s="88"/>
      <c r="T485" s="88"/>
      <c r="U485" s="88"/>
      <c r="V485" s="88"/>
      <c r="W485" s="88"/>
      <c r="X485" s="88"/>
      <c r="Y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Q486" s="88"/>
      <c r="R486" s="88"/>
      <c r="S486" s="88"/>
      <c r="T486" s="88"/>
      <c r="U486" s="88"/>
      <c r="V486" s="88"/>
      <c r="W486" s="88"/>
      <c r="X486" s="88"/>
      <c r="Y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Q487" s="88"/>
      <c r="R487" s="88"/>
      <c r="S487" s="88"/>
      <c r="T487" s="88"/>
      <c r="U487" s="88"/>
      <c r="V487" s="88"/>
      <c r="W487" s="88"/>
      <c r="X487" s="88"/>
      <c r="Y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Q488" s="88"/>
      <c r="R488" s="88"/>
      <c r="S488" s="88"/>
      <c r="T488" s="88"/>
      <c r="U488" s="88"/>
      <c r="V488" s="88"/>
      <c r="W488" s="88"/>
      <c r="X488" s="88"/>
      <c r="Y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Q489" s="88"/>
      <c r="R489" s="88"/>
      <c r="S489" s="88"/>
      <c r="T489" s="88"/>
      <c r="U489" s="88"/>
      <c r="V489" s="88"/>
      <c r="W489" s="88"/>
      <c r="X489" s="88"/>
      <c r="Y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Q490" s="88"/>
      <c r="R490" s="88"/>
      <c r="S490" s="88"/>
      <c r="T490" s="88"/>
      <c r="U490" s="88"/>
      <c r="V490" s="88"/>
      <c r="W490" s="88"/>
      <c r="X490" s="88"/>
      <c r="Y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Q491" s="88"/>
      <c r="R491" s="88"/>
      <c r="S491" s="88"/>
      <c r="T491" s="88"/>
      <c r="U491" s="88"/>
      <c r="V491" s="88"/>
      <c r="W491" s="88"/>
      <c r="X491" s="88"/>
      <c r="Y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Q492" s="88"/>
      <c r="R492" s="88"/>
      <c r="S492" s="88"/>
      <c r="T492" s="88"/>
      <c r="U492" s="88"/>
      <c r="V492" s="88"/>
      <c r="W492" s="88"/>
      <c r="X492" s="88"/>
      <c r="Y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Q493" s="88"/>
      <c r="R493" s="88"/>
      <c r="S493" s="88"/>
      <c r="T493" s="88"/>
      <c r="U493" s="88"/>
      <c r="V493" s="88"/>
      <c r="W493" s="88"/>
      <c r="X493" s="88"/>
      <c r="Y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Q494" s="88"/>
      <c r="R494" s="88"/>
      <c r="S494" s="88"/>
      <c r="T494" s="88"/>
      <c r="U494" s="88"/>
      <c r="V494" s="88"/>
      <c r="W494" s="88"/>
      <c r="X494" s="88"/>
      <c r="Y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Q495" s="88"/>
      <c r="R495" s="88"/>
      <c r="S495" s="88"/>
      <c r="T495" s="88"/>
      <c r="U495" s="88"/>
      <c r="V495" s="88"/>
      <c r="W495" s="88"/>
      <c r="X495" s="88"/>
      <c r="Y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Q496" s="88"/>
      <c r="R496" s="88"/>
      <c r="S496" s="88"/>
      <c r="T496" s="88"/>
      <c r="U496" s="88"/>
      <c r="V496" s="88"/>
      <c r="W496" s="88"/>
      <c r="X496" s="88"/>
      <c r="Y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Q497" s="88"/>
      <c r="R497" s="88"/>
      <c r="S497" s="88"/>
      <c r="T497" s="88"/>
      <c r="U497" s="88"/>
      <c r="V497" s="88"/>
      <c r="W497" s="88"/>
      <c r="X497" s="88"/>
      <c r="Y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Q498" s="88"/>
      <c r="R498" s="88"/>
      <c r="S498" s="88"/>
      <c r="T498" s="88"/>
      <c r="U498" s="88"/>
      <c r="V498" s="88"/>
      <c r="W498" s="88"/>
      <c r="X498" s="88"/>
      <c r="Y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Q499" s="88"/>
      <c r="R499" s="88"/>
      <c r="S499" s="88"/>
      <c r="T499" s="88"/>
      <c r="U499" s="88"/>
      <c r="V499" s="88"/>
      <c r="W499" s="88"/>
      <c r="X499" s="88"/>
      <c r="Y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Q500" s="88"/>
      <c r="R500" s="88"/>
      <c r="S500" s="88"/>
      <c r="T500" s="88"/>
      <c r="U500" s="88"/>
      <c r="V500" s="88"/>
      <c r="W500" s="88"/>
      <c r="X500" s="88"/>
      <c r="Y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Q501" s="88"/>
      <c r="R501" s="88"/>
      <c r="S501" s="88"/>
      <c r="T501" s="88"/>
      <c r="U501" s="88"/>
      <c r="V501" s="88"/>
      <c r="W501" s="88"/>
      <c r="X501" s="88"/>
      <c r="Y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Q502" s="88"/>
      <c r="R502" s="88"/>
      <c r="S502" s="88"/>
      <c r="T502" s="88"/>
      <c r="U502" s="88"/>
      <c r="V502" s="88"/>
      <c r="W502" s="88"/>
      <c r="X502" s="88"/>
      <c r="Y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Q503" s="88"/>
      <c r="R503" s="88"/>
      <c r="S503" s="88"/>
      <c r="T503" s="88"/>
      <c r="U503" s="88"/>
      <c r="V503" s="88"/>
      <c r="W503" s="88"/>
      <c r="X503" s="88"/>
      <c r="Y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Q504" s="88"/>
      <c r="R504" s="88"/>
      <c r="S504" s="88"/>
      <c r="T504" s="88"/>
      <c r="U504" s="88"/>
      <c r="V504" s="88"/>
      <c r="W504" s="88"/>
      <c r="X504" s="88"/>
      <c r="Y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Q505" s="88"/>
      <c r="R505" s="88"/>
      <c r="S505" s="88"/>
      <c r="T505" s="88"/>
      <c r="U505" s="88"/>
      <c r="V505" s="88"/>
      <c r="W505" s="88"/>
      <c r="X505" s="88"/>
      <c r="Y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Q506" s="88"/>
      <c r="R506" s="88"/>
      <c r="S506" s="88"/>
      <c r="T506" s="88"/>
      <c r="U506" s="88"/>
      <c r="V506" s="88"/>
      <c r="W506" s="88"/>
      <c r="X506" s="88"/>
      <c r="Y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Q507" s="88"/>
      <c r="R507" s="88"/>
      <c r="S507" s="88"/>
      <c r="T507" s="88"/>
      <c r="U507" s="88"/>
      <c r="V507" s="88"/>
      <c r="W507" s="88"/>
      <c r="X507" s="88"/>
      <c r="Y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Q508" s="88"/>
      <c r="R508" s="88"/>
      <c r="S508" s="88"/>
      <c r="T508" s="88"/>
      <c r="U508" s="88"/>
      <c r="V508" s="88"/>
      <c r="W508" s="88"/>
      <c r="X508" s="88"/>
      <c r="Y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Q509" s="88"/>
      <c r="R509" s="88"/>
      <c r="S509" s="88"/>
      <c r="T509" s="88"/>
      <c r="U509" s="88"/>
      <c r="V509" s="88"/>
      <c r="W509" s="88"/>
      <c r="X509" s="88"/>
      <c r="Y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Q510" s="88"/>
      <c r="R510" s="88"/>
      <c r="S510" s="88"/>
      <c r="T510" s="88"/>
      <c r="U510" s="88"/>
      <c r="V510" s="88"/>
      <c r="W510" s="88"/>
      <c r="X510" s="88"/>
      <c r="Y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Q511" s="88"/>
      <c r="R511" s="88"/>
      <c r="S511" s="88"/>
      <c r="T511" s="88"/>
      <c r="U511" s="88"/>
      <c r="V511" s="88"/>
      <c r="W511" s="88"/>
      <c r="X511" s="88"/>
      <c r="Y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Q512" s="88"/>
      <c r="R512" s="88"/>
      <c r="S512" s="88"/>
      <c r="T512" s="88"/>
      <c r="U512" s="88"/>
      <c r="V512" s="88"/>
      <c r="W512" s="88"/>
      <c r="X512" s="88"/>
      <c r="Y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Q513" s="88"/>
      <c r="R513" s="88"/>
      <c r="S513" s="88"/>
      <c r="T513" s="88"/>
      <c r="U513" s="88"/>
      <c r="V513" s="88"/>
      <c r="W513" s="88"/>
      <c r="X513" s="88"/>
      <c r="Y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Q514" s="88"/>
      <c r="R514" s="88"/>
      <c r="S514" s="88"/>
      <c r="T514" s="88"/>
      <c r="U514" s="88"/>
      <c r="V514" s="88"/>
      <c r="W514" s="88"/>
      <c r="X514" s="88"/>
      <c r="Y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Q515" s="88"/>
      <c r="R515" s="88"/>
      <c r="S515" s="88"/>
      <c r="T515" s="88"/>
      <c r="U515" s="88"/>
      <c r="V515" s="88"/>
      <c r="W515" s="88"/>
      <c r="X515" s="88"/>
      <c r="Y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Q516" s="88"/>
      <c r="R516" s="88"/>
      <c r="S516" s="88"/>
      <c r="T516" s="88"/>
      <c r="U516" s="88"/>
      <c r="V516" s="88"/>
      <c r="W516" s="88"/>
      <c r="X516" s="88"/>
      <c r="Y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Q517" s="88"/>
      <c r="R517" s="88"/>
      <c r="S517" s="88"/>
      <c r="T517" s="88"/>
      <c r="U517" s="88"/>
      <c r="V517" s="88"/>
      <c r="W517" s="88"/>
      <c r="X517" s="88"/>
      <c r="Y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Q518" s="88"/>
      <c r="R518" s="88"/>
      <c r="S518" s="88"/>
      <c r="T518" s="88"/>
      <c r="U518" s="88"/>
      <c r="V518" s="88"/>
      <c r="W518" s="88"/>
      <c r="X518" s="88"/>
      <c r="Y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Q519" s="88"/>
      <c r="R519" s="88"/>
      <c r="S519" s="88"/>
      <c r="T519" s="88"/>
      <c r="U519" s="88"/>
      <c r="V519" s="88"/>
      <c r="W519" s="88"/>
      <c r="X519" s="88"/>
      <c r="Y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Q520" s="88"/>
      <c r="R520" s="88"/>
      <c r="S520" s="88"/>
      <c r="T520" s="88"/>
      <c r="U520" s="88"/>
      <c r="V520" s="88"/>
      <c r="W520" s="88"/>
      <c r="X520" s="88"/>
      <c r="Y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Q521" s="88"/>
      <c r="R521" s="88"/>
      <c r="S521" s="88"/>
      <c r="T521" s="88"/>
      <c r="U521" s="88"/>
      <c r="V521" s="88"/>
      <c r="W521" s="88"/>
      <c r="X521" s="88"/>
      <c r="Y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Q522" s="88"/>
      <c r="R522" s="88"/>
      <c r="S522" s="88"/>
      <c r="T522" s="88"/>
      <c r="U522" s="88"/>
      <c r="V522" s="88"/>
      <c r="W522" s="88"/>
      <c r="X522" s="88"/>
      <c r="Y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Q523" s="88"/>
      <c r="R523" s="88"/>
      <c r="S523" s="88"/>
      <c r="T523" s="88"/>
      <c r="U523" s="88"/>
      <c r="V523" s="88"/>
      <c r="W523" s="88"/>
      <c r="X523" s="88"/>
      <c r="Y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Q524" s="88"/>
      <c r="R524" s="88"/>
      <c r="S524" s="88"/>
      <c r="T524" s="88"/>
      <c r="U524" s="88"/>
      <c r="V524" s="88"/>
      <c r="W524" s="88"/>
      <c r="X524" s="88"/>
      <c r="Y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Q525" s="88"/>
      <c r="R525" s="88"/>
      <c r="S525" s="88"/>
      <c r="T525" s="88"/>
      <c r="U525" s="88"/>
      <c r="V525" s="88"/>
      <c r="W525" s="88"/>
      <c r="X525" s="88"/>
      <c r="Y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Q526" s="88"/>
      <c r="R526" s="88"/>
      <c r="S526" s="88"/>
      <c r="T526" s="88"/>
      <c r="U526" s="88"/>
      <c r="V526" s="88"/>
      <c r="W526" s="88"/>
      <c r="X526" s="88"/>
      <c r="Y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Q527" s="88"/>
      <c r="R527" s="88"/>
      <c r="S527" s="88"/>
      <c r="T527" s="88"/>
      <c r="U527" s="88"/>
      <c r="V527" s="88"/>
      <c r="W527" s="88"/>
      <c r="X527" s="88"/>
      <c r="Y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Q528" s="88"/>
      <c r="R528" s="88"/>
      <c r="S528" s="88"/>
      <c r="T528" s="88"/>
      <c r="U528" s="88"/>
      <c r="V528" s="88"/>
      <c r="W528" s="88"/>
      <c r="X528" s="88"/>
      <c r="Y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Q529" s="88"/>
      <c r="R529" s="88"/>
      <c r="S529" s="88"/>
      <c r="T529" s="88"/>
      <c r="U529" s="88"/>
      <c r="V529" s="88"/>
      <c r="W529" s="88"/>
      <c r="X529" s="88"/>
      <c r="Y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Q530" s="88"/>
      <c r="R530" s="88"/>
      <c r="S530" s="88"/>
      <c r="T530" s="88"/>
      <c r="U530" s="88"/>
      <c r="V530" s="88"/>
      <c r="W530" s="88"/>
      <c r="X530" s="88"/>
      <c r="Y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Q531" s="88"/>
      <c r="R531" s="88"/>
      <c r="S531" s="88"/>
      <c r="T531" s="88"/>
      <c r="U531" s="88"/>
      <c r="V531" s="88"/>
      <c r="W531" s="88"/>
      <c r="X531" s="88"/>
      <c r="Y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Q532" s="88"/>
      <c r="R532" s="88"/>
      <c r="S532" s="88"/>
      <c r="T532" s="88"/>
      <c r="U532" s="88"/>
      <c r="V532" s="88"/>
      <c r="W532" s="88"/>
      <c r="X532" s="88"/>
      <c r="Y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Q533" s="88"/>
      <c r="R533" s="88"/>
      <c r="S533" s="88"/>
      <c r="T533" s="88"/>
      <c r="U533" s="88"/>
      <c r="V533" s="88"/>
      <c r="W533" s="88"/>
      <c r="X533" s="88"/>
      <c r="Y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Q534" s="88"/>
      <c r="R534" s="88"/>
      <c r="S534" s="88"/>
      <c r="T534" s="88"/>
      <c r="U534" s="88"/>
      <c r="V534" s="88"/>
      <c r="W534" s="88"/>
      <c r="X534" s="88"/>
      <c r="Y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Q535" s="88"/>
      <c r="R535" s="88"/>
      <c r="S535" s="88"/>
      <c r="T535" s="88"/>
      <c r="U535" s="88"/>
      <c r="V535" s="88"/>
      <c r="W535" s="88"/>
      <c r="X535" s="88"/>
      <c r="Y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Q536" s="88"/>
      <c r="R536" s="88"/>
      <c r="S536" s="88"/>
      <c r="T536" s="88"/>
      <c r="U536" s="88"/>
      <c r="V536" s="88"/>
      <c r="W536" s="88"/>
      <c r="X536" s="88"/>
      <c r="Y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Q537" s="88"/>
      <c r="R537" s="88"/>
      <c r="S537" s="88"/>
      <c r="T537" s="88"/>
      <c r="U537" s="88"/>
      <c r="V537" s="88"/>
      <c r="W537" s="88"/>
      <c r="X537" s="88"/>
      <c r="Y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Q538" s="88"/>
      <c r="R538" s="88"/>
      <c r="S538" s="88"/>
      <c r="T538" s="88"/>
      <c r="U538" s="88"/>
      <c r="V538" s="88"/>
      <c r="W538" s="88"/>
      <c r="X538" s="88"/>
      <c r="Y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Q539" s="88"/>
      <c r="R539" s="88"/>
      <c r="S539" s="88"/>
      <c r="T539" s="88"/>
      <c r="U539" s="88"/>
      <c r="V539" s="88"/>
      <c r="W539" s="88"/>
      <c r="X539" s="88"/>
      <c r="Y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Q540" s="88"/>
      <c r="R540" s="88"/>
      <c r="S540" s="88"/>
      <c r="T540" s="88"/>
      <c r="U540" s="88"/>
      <c r="V540" s="88"/>
      <c r="W540" s="88"/>
      <c r="X540" s="88"/>
      <c r="Y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Q541" s="88"/>
      <c r="R541" s="88"/>
      <c r="S541" s="88"/>
      <c r="T541" s="88"/>
      <c r="U541" s="88"/>
      <c r="V541" s="88"/>
      <c r="W541" s="88"/>
      <c r="X541" s="88"/>
      <c r="Y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Q542" s="88"/>
      <c r="R542" s="88"/>
      <c r="S542" s="88"/>
      <c r="T542" s="88"/>
      <c r="U542" s="88"/>
      <c r="V542" s="88"/>
      <c r="W542" s="88"/>
      <c r="X542" s="88"/>
      <c r="Y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Q543" s="88"/>
      <c r="R543" s="88"/>
      <c r="S543" s="88"/>
      <c r="T543" s="88"/>
      <c r="U543" s="88"/>
      <c r="V543" s="88"/>
      <c r="W543" s="88"/>
      <c r="X543" s="88"/>
      <c r="Y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Q544" s="88"/>
      <c r="R544" s="88"/>
      <c r="S544" s="88"/>
      <c r="T544" s="88"/>
      <c r="U544" s="88"/>
      <c r="V544" s="88"/>
      <c r="W544" s="88"/>
      <c r="X544" s="88"/>
      <c r="Y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Q545" s="88"/>
      <c r="R545" s="88"/>
      <c r="S545" s="88"/>
      <c r="T545" s="88"/>
      <c r="U545" s="88"/>
      <c r="V545" s="88"/>
      <c r="W545" s="88"/>
      <c r="X545" s="88"/>
      <c r="Y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Q546" s="88"/>
      <c r="R546" s="88"/>
      <c r="S546" s="88"/>
      <c r="T546" s="88"/>
      <c r="U546" s="88"/>
      <c r="V546" s="88"/>
      <c r="W546" s="88"/>
      <c r="X546" s="88"/>
      <c r="Y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Q547" s="88"/>
      <c r="R547" s="88"/>
      <c r="S547" s="88"/>
      <c r="T547" s="88"/>
      <c r="U547" s="88"/>
      <c r="V547" s="88"/>
      <c r="W547" s="88"/>
      <c r="X547" s="88"/>
      <c r="Y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Q548" s="88"/>
      <c r="R548" s="88"/>
      <c r="S548" s="88"/>
      <c r="T548" s="88"/>
      <c r="U548" s="88"/>
      <c r="V548" s="88"/>
      <c r="W548" s="88"/>
      <c r="X548" s="88"/>
      <c r="Y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Q549" s="88"/>
      <c r="R549" s="88"/>
      <c r="S549" s="88"/>
      <c r="T549" s="88"/>
      <c r="U549" s="88"/>
      <c r="V549" s="88"/>
      <c r="W549" s="88"/>
      <c r="X549" s="88"/>
      <c r="Y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Q550" s="88"/>
      <c r="R550" s="88"/>
      <c r="S550" s="88"/>
      <c r="T550" s="88"/>
      <c r="U550" s="88"/>
      <c r="V550" s="88"/>
      <c r="W550" s="88"/>
      <c r="X550" s="88"/>
      <c r="Y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Q551" s="88"/>
      <c r="R551" s="88"/>
      <c r="S551" s="88"/>
      <c r="T551" s="88"/>
      <c r="U551" s="88"/>
      <c r="V551" s="88"/>
      <c r="W551" s="88"/>
      <c r="X551" s="88"/>
      <c r="Y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Q552" s="88"/>
      <c r="R552" s="88"/>
      <c r="S552" s="88"/>
      <c r="T552" s="88"/>
      <c r="U552" s="88"/>
      <c r="V552" s="88"/>
      <c r="W552" s="88"/>
      <c r="X552" s="88"/>
      <c r="Y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Q553" s="88"/>
      <c r="R553" s="88"/>
      <c r="S553" s="88"/>
      <c r="T553" s="88"/>
      <c r="U553" s="88"/>
      <c r="V553" s="88"/>
      <c r="W553" s="88"/>
      <c r="X553" s="88"/>
      <c r="Y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Q554" s="88"/>
      <c r="R554" s="88"/>
      <c r="S554" s="88"/>
      <c r="T554" s="88"/>
      <c r="U554" s="88"/>
      <c r="V554" s="88"/>
      <c r="W554" s="88"/>
      <c r="X554" s="88"/>
      <c r="Y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Q555" s="88"/>
      <c r="R555" s="88"/>
      <c r="S555" s="88"/>
      <c r="T555" s="88"/>
      <c r="U555" s="88"/>
      <c r="V555" s="88"/>
      <c r="W555" s="88"/>
      <c r="X555" s="88"/>
      <c r="Y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Q556" s="88"/>
      <c r="R556" s="88"/>
      <c r="S556" s="88"/>
      <c r="T556" s="88"/>
      <c r="U556" s="88"/>
      <c r="V556" s="88"/>
      <c r="W556" s="88"/>
      <c r="X556" s="88"/>
      <c r="Y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Q557" s="88"/>
      <c r="R557" s="88"/>
      <c r="S557" s="88"/>
      <c r="T557" s="88"/>
      <c r="U557" s="88"/>
      <c r="V557" s="88"/>
      <c r="W557" s="88"/>
      <c r="X557" s="88"/>
      <c r="Y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Q558" s="88"/>
      <c r="R558" s="88"/>
      <c r="S558" s="88"/>
      <c r="T558" s="88"/>
      <c r="U558" s="88"/>
      <c r="V558" s="88"/>
      <c r="W558" s="88"/>
      <c r="X558" s="88"/>
      <c r="Y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Q559" s="88"/>
      <c r="R559" s="88"/>
      <c r="S559" s="88"/>
      <c r="T559" s="88"/>
      <c r="U559" s="88"/>
      <c r="V559" s="88"/>
      <c r="W559" s="88"/>
      <c r="X559" s="88"/>
      <c r="Y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Q560" s="88"/>
      <c r="R560" s="88"/>
      <c r="S560" s="88"/>
      <c r="T560" s="88"/>
      <c r="U560" s="88"/>
      <c r="V560" s="88"/>
      <c r="W560" s="88"/>
      <c r="X560" s="88"/>
      <c r="Y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Q561" s="88"/>
      <c r="R561" s="88"/>
      <c r="S561" s="88"/>
      <c r="T561" s="88"/>
      <c r="U561" s="88"/>
      <c r="V561" s="88"/>
      <c r="W561" s="88"/>
      <c r="X561" s="88"/>
      <c r="Y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Q562" s="88"/>
      <c r="R562" s="88"/>
      <c r="S562" s="88"/>
      <c r="T562" s="88"/>
      <c r="U562" s="88"/>
      <c r="V562" s="88"/>
      <c r="W562" s="88"/>
      <c r="X562" s="88"/>
      <c r="Y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Q563" s="88"/>
      <c r="R563" s="88"/>
      <c r="S563" s="88"/>
      <c r="T563" s="88"/>
      <c r="U563" s="88"/>
      <c r="V563" s="88"/>
      <c r="W563" s="88"/>
      <c r="X563" s="88"/>
      <c r="Y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Q564" s="88"/>
      <c r="R564" s="88"/>
      <c r="S564" s="88"/>
      <c r="T564" s="88"/>
      <c r="U564" s="88"/>
      <c r="V564" s="88"/>
      <c r="W564" s="88"/>
      <c r="X564" s="88"/>
      <c r="Y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Q565" s="88"/>
      <c r="R565" s="88"/>
      <c r="S565" s="88"/>
      <c r="T565" s="88"/>
      <c r="U565" s="88"/>
      <c r="V565" s="88"/>
      <c r="W565" s="88"/>
      <c r="X565" s="88"/>
      <c r="Y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Q566" s="88"/>
      <c r="R566" s="88"/>
      <c r="S566" s="88"/>
      <c r="T566" s="88"/>
      <c r="U566" s="88"/>
      <c r="V566" s="88"/>
      <c r="W566" s="88"/>
      <c r="X566" s="88"/>
      <c r="Y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Q567" s="88"/>
      <c r="R567" s="88"/>
      <c r="S567" s="88"/>
      <c r="T567" s="88"/>
      <c r="U567" s="88"/>
      <c r="V567" s="88"/>
      <c r="W567" s="88"/>
      <c r="X567" s="88"/>
      <c r="Y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Q568" s="88"/>
      <c r="R568" s="88"/>
      <c r="S568" s="88"/>
      <c r="T568" s="88"/>
      <c r="U568" s="88"/>
      <c r="V568" s="88"/>
      <c r="W568" s="88"/>
      <c r="X568" s="88"/>
      <c r="Y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Q569" s="88"/>
      <c r="R569" s="88"/>
      <c r="S569" s="88"/>
      <c r="T569" s="88"/>
      <c r="U569" s="88"/>
      <c r="V569" s="88"/>
      <c r="W569" s="88"/>
      <c r="X569" s="88"/>
      <c r="Y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Q570" s="88"/>
      <c r="R570" s="88"/>
      <c r="S570" s="88"/>
      <c r="T570" s="88"/>
      <c r="U570" s="88"/>
      <c r="V570" s="88"/>
      <c r="W570" s="88"/>
      <c r="X570" s="88"/>
      <c r="Y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Q571" s="88"/>
      <c r="R571" s="88"/>
      <c r="S571" s="88"/>
      <c r="T571" s="88"/>
      <c r="U571" s="88"/>
      <c r="V571" s="88"/>
      <c r="W571" s="88"/>
      <c r="X571" s="88"/>
      <c r="Y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Q605" s="88"/>
      <c r="R605" s="88"/>
      <c r="S605" s="88"/>
      <c r="T605" s="88"/>
      <c r="U605" s="88"/>
      <c r="V605" s="88"/>
      <c r="W605" s="88"/>
      <c r="X605" s="88"/>
      <c r="Y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Q606" s="88"/>
      <c r="R606" s="88"/>
      <c r="S606" s="88"/>
      <c r="T606" s="88"/>
      <c r="U606" s="88"/>
      <c r="V606" s="88"/>
      <c r="W606" s="88"/>
      <c r="X606" s="88"/>
      <c r="Y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Q607" s="88"/>
      <c r="R607" s="88"/>
      <c r="S607" s="88"/>
      <c r="T607" s="88"/>
      <c r="U607" s="88"/>
      <c r="V607" s="88"/>
      <c r="W607" s="88"/>
      <c r="X607" s="88"/>
      <c r="Y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Q608" s="88"/>
      <c r="R608" s="88"/>
      <c r="S608" s="88"/>
      <c r="T608" s="88"/>
      <c r="U608" s="88"/>
      <c r="V608" s="88"/>
      <c r="W608" s="88"/>
      <c r="X608" s="88"/>
      <c r="Y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Q609" s="88"/>
      <c r="R609" s="88"/>
      <c r="S609" s="88"/>
      <c r="T609" s="88"/>
      <c r="U609" s="88"/>
      <c r="V609" s="88"/>
      <c r="W609" s="88"/>
      <c r="X609" s="88"/>
      <c r="Y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Q610" s="88"/>
      <c r="R610" s="88"/>
      <c r="S610" s="88"/>
      <c r="T610" s="88"/>
      <c r="U610" s="88"/>
      <c r="V610" s="88"/>
      <c r="W610" s="88"/>
      <c r="X610" s="88"/>
      <c r="Y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Q611" s="88"/>
      <c r="R611" s="88"/>
      <c r="S611" s="88"/>
      <c r="T611" s="88"/>
      <c r="U611" s="88"/>
      <c r="V611" s="88"/>
      <c r="W611" s="88"/>
      <c r="X611" s="88"/>
      <c r="Y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Q612" s="88"/>
      <c r="R612" s="88"/>
      <c r="S612" s="88"/>
      <c r="T612" s="88"/>
      <c r="U612" s="88"/>
      <c r="V612" s="88"/>
      <c r="W612" s="88"/>
      <c r="X612" s="88"/>
      <c r="Y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Q613" s="88"/>
      <c r="R613" s="88"/>
      <c r="S613" s="88"/>
      <c r="T613" s="88"/>
      <c r="U613" s="88"/>
      <c r="V613" s="88"/>
      <c r="W613" s="88"/>
      <c r="X613" s="88"/>
      <c r="Y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Q614" s="88"/>
      <c r="R614" s="88"/>
      <c r="S614" s="88"/>
      <c r="T614" s="88"/>
      <c r="U614" s="88"/>
      <c r="V614" s="88"/>
      <c r="W614" s="88"/>
      <c r="X614" s="88"/>
      <c r="Y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Q615" s="88"/>
      <c r="R615" s="88"/>
      <c r="S615" s="88"/>
      <c r="T615" s="88"/>
      <c r="U615" s="88"/>
      <c r="V615" s="88"/>
      <c r="W615" s="88"/>
      <c r="X615" s="88"/>
      <c r="Y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Q616" s="88"/>
      <c r="R616" s="88"/>
      <c r="S616" s="88"/>
      <c r="T616" s="88"/>
      <c r="U616" s="88"/>
      <c r="V616" s="88"/>
      <c r="W616" s="88"/>
      <c r="X616" s="88"/>
      <c r="Y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Q617" s="88"/>
      <c r="R617" s="88"/>
      <c r="S617" s="88"/>
      <c r="T617" s="88"/>
      <c r="U617" s="88"/>
      <c r="V617" s="88"/>
      <c r="W617" s="88"/>
      <c r="X617" s="88"/>
      <c r="Y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Q618" s="88"/>
      <c r="R618" s="88"/>
      <c r="S618" s="88"/>
      <c r="T618" s="88"/>
      <c r="U618" s="88"/>
      <c r="V618" s="88"/>
      <c r="W618" s="88"/>
      <c r="X618" s="88"/>
      <c r="Y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Q619" s="88"/>
      <c r="R619" s="88"/>
      <c r="S619" s="88"/>
      <c r="T619" s="88"/>
      <c r="U619" s="88"/>
      <c r="V619" s="88"/>
      <c r="W619" s="88"/>
      <c r="X619" s="88"/>
      <c r="Y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Q620" s="88"/>
      <c r="R620" s="88"/>
      <c r="S620" s="88"/>
      <c r="T620" s="88"/>
      <c r="U620" s="88"/>
      <c r="V620" s="88"/>
      <c r="W620" s="88"/>
      <c r="X620" s="88"/>
      <c r="Y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Q621" s="88"/>
      <c r="R621" s="88"/>
      <c r="S621" s="88"/>
      <c r="T621" s="88"/>
      <c r="U621" s="88"/>
      <c r="V621" s="88"/>
      <c r="W621" s="88"/>
      <c r="X621" s="88"/>
      <c r="Y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Q622" s="88"/>
      <c r="R622" s="88"/>
      <c r="S622" s="88"/>
      <c r="T622" s="88"/>
      <c r="U622" s="88"/>
      <c r="V622" s="88"/>
      <c r="W622" s="88"/>
      <c r="X622" s="88"/>
      <c r="Y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Q623" s="88"/>
      <c r="R623" s="88"/>
      <c r="S623" s="88"/>
      <c r="T623" s="88"/>
      <c r="U623" s="88"/>
      <c r="V623" s="88"/>
      <c r="W623" s="88"/>
      <c r="X623" s="88"/>
      <c r="Y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Q624" s="88"/>
      <c r="R624" s="88"/>
      <c r="S624" s="88"/>
      <c r="T624" s="88"/>
      <c r="U624" s="88"/>
      <c r="V624" s="88"/>
      <c r="W624" s="88"/>
      <c r="X624" s="88"/>
      <c r="Y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Q625" s="88"/>
      <c r="R625" s="88"/>
      <c r="S625" s="88"/>
      <c r="T625" s="88"/>
      <c r="U625" s="88"/>
      <c r="V625" s="88"/>
      <c r="W625" s="88"/>
      <c r="X625" s="88"/>
      <c r="Y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Q626" s="88"/>
      <c r="R626" s="88"/>
      <c r="S626" s="88"/>
      <c r="T626" s="88"/>
      <c r="U626" s="88"/>
      <c r="V626" s="88"/>
      <c r="W626" s="88"/>
      <c r="X626" s="88"/>
      <c r="Y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Q627" s="88"/>
      <c r="R627" s="88"/>
      <c r="S627" s="88"/>
      <c r="T627" s="88"/>
      <c r="U627" s="88"/>
      <c r="V627" s="88"/>
      <c r="W627" s="88"/>
      <c r="X627" s="88"/>
      <c r="Y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Q628" s="88"/>
      <c r="R628" s="88"/>
      <c r="S628" s="88"/>
      <c r="T628" s="88"/>
      <c r="U628" s="88"/>
      <c r="V628" s="88"/>
      <c r="W628" s="88"/>
      <c r="X628" s="88"/>
      <c r="Y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Q629" s="88"/>
      <c r="R629" s="88"/>
      <c r="S629" s="88"/>
      <c r="T629" s="88"/>
      <c r="U629" s="88"/>
      <c r="V629" s="88"/>
      <c r="W629" s="88"/>
      <c r="X629" s="88"/>
      <c r="Y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Q630" s="88"/>
      <c r="R630" s="88"/>
      <c r="S630" s="88"/>
      <c r="T630" s="88"/>
      <c r="U630" s="88"/>
      <c r="V630" s="88"/>
      <c r="W630" s="88"/>
      <c r="X630" s="88"/>
      <c r="Y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Q631" s="88"/>
      <c r="R631" s="88"/>
      <c r="S631" s="88"/>
      <c r="T631" s="88"/>
      <c r="U631" s="88"/>
      <c r="V631" s="88"/>
      <c r="W631" s="88"/>
      <c r="X631" s="88"/>
      <c r="Y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Q632" s="88"/>
      <c r="R632" s="88"/>
      <c r="S632" s="88"/>
      <c r="T632" s="88"/>
      <c r="U632" s="88"/>
      <c r="V632" s="88"/>
      <c r="W632" s="88"/>
      <c r="X632" s="88"/>
      <c r="Y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Q633" s="88"/>
      <c r="R633" s="88"/>
      <c r="S633" s="88"/>
      <c r="T633" s="88"/>
      <c r="U633" s="88"/>
      <c r="V633" s="88"/>
      <c r="W633" s="88"/>
      <c r="X633" s="88"/>
      <c r="Y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Q634" s="88"/>
      <c r="R634" s="88"/>
      <c r="S634" s="88"/>
      <c r="T634" s="88"/>
      <c r="U634" s="88"/>
      <c r="V634" s="88"/>
      <c r="W634" s="88"/>
      <c r="X634" s="88"/>
      <c r="Y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Q635" s="88"/>
      <c r="R635" s="88"/>
      <c r="S635" s="88"/>
      <c r="T635" s="88"/>
      <c r="U635" s="88"/>
      <c r="V635" s="88"/>
      <c r="W635" s="88"/>
      <c r="X635" s="88"/>
      <c r="Y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Q636" s="88"/>
      <c r="R636" s="88"/>
      <c r="S636" s="88"/>
      <c r="T636" s="88"/>
      <c r="U636" s="88"/>
      <c r="V636" s="88"/>
      <c r="W636" s="88"/>
      <c r="X636" s="88"/>
      <c r="Y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Q637" s="88"/>
      <c r="R637" s="88"/>
      <c r="S637" s="88"/>
      <c r="T637" s="88"/>
      <c r="U637" s="88"/>
      <c r="V637" s="88"/>
      <c r="W637" s="88"/>
      <c r="X637" s="88"/>
      <c r="Y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Q638" s="88"/>
      <c r="R638" s="88"/>
      <c r="S638" s="88"/>
      <c r="T638" s="88"/>
      <c r="U638" s="88"/>
      <c r="V638" s="88"/>
      <c r="W638" s="88"/>
      <c r="X638" s="88"/>
      <c r="Y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Q639" s="88"/>
      <c r="R639" s="88"/>
      <c r="S639" s="88"/>
      <c r="T639" s="88"/>
      <c r="U639" s="88"/>
      <c r="V639" s="88"/>
      <c r="W639" s="88"/>
      <c r="X639" s="88"/>
      <c r="Y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Q640" s="88"/>
      <c r="R640" s="88"/>
      <c r="S640" s="88"/>
      <c r="T640" s="88"/>
      <c r="U640" s="88"/>
      <c r="V640" s="88"/>
      <c r="W640" s="88"/>
      <c r="X640" s="88"/>
      <c r="Y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Q641" s="88"/>
      <c r="R641" s="88"/>
      <c r="S641" s="88"/>
      <c r="T641" s="88"/>
      <c r="U641" s="88"/>
      <c r="V641" s="88"/>
      <c r="W641" s="88"/>
      <c r="X641" s="88"/>
      <c r="Y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Q642" s="88"/>
      <c r="R642" s="88"/>
      <c r="S642" s="88"/>
      <c r="T642" s="88"/>
      <c r="U642" s="88"/>
      <c r="V642" s="88"/>
      <c r="W642" s="88"/>
      <c r="X642" s="88"/>
      <c r="Y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Q643" s="88"/>
      <c r="R643" s="88"/>
      <c r="S643" s="88"/>
      <c r="T643" s="88"/>
      <c r="U643" s="88"/>
      <c r="V643" s="88"/>
      <c r="W643" s="88"/>
      <c r="X643" s="88"/>
      <c r="Y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Q644" s="88"/>
      <c r="R644" s="88"/>
      <c r="S644" s="88"/>
      <c r="T644" s="88"/>
      <c r="U644" s="88"/>
      <c r="V644" s="88"/>
      <c r="W644" s="88"/>
      <c r="X644" s="88"/>
      <c r="Y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Q645" s="88"/>
      <c r="R645" s="88"/>
      <c r="S645" s="88"/>
      <c r="T645" s="88"/>
      <c r="U645" s="88"/>
      <c r="V645" s="88"/>
      <c r="W645" s="88"/>
      <c r="X645" s="88"/>
      <c r="Y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Q646" s="88"/>
      <c r="R646" s="88"/>
      <c r="S646" s="88"/>
      <c r="T646" s="88"/>
      <c r="U646" s="88"/>
      <c r="V646" s="88"/>
      <c r="W646" s="88"/>
      <c r="X646" s="88"/>
      <c r="Y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Q647" s="88"/>
      <c r="R647" s="88"/>
      <c r="S647" s="88"/>
      <c r="T647" s="88"/>
      <c r="U647" s="88"/>
      <c r="V647" s="88"/>
      <c r="W647" s="88"/>
      <c r="X647" s="88"/>
      <c r="Y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Q648" s="88"/>
      <c r="R648" s="88"/>
      <c r="S648" s="88"/>
      <c r="T648" s="88"/>
      <c r="U648" s="88"/>
      <c r="V648" s="88"/>
      <c r="W648" s="88"/>
      <c r="X648" s="88"/>
      <c r="Y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Q649" s="88"/>
      <c r="R649" s="88"/>
      <c r="S649" s="88"/>
      <c r="T649" s="88"/>
      <c r="U649" s="88"/>
      <c r="V649" s="88"/>
      <c r="W649" s="88"/>
      <c r="X649" s="88"/>
      <c r="Y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Q650" s="88"/>
      <c r="R650" s="88"/>
      <c r="S650" s="88"/>
      <c r="T650" s="88"/>
      <c r="U650" s="88"/>
      <c r="V650" s="88"/>
      <c r="W650" s="88"/>
      <c r="X650" s="88"/>
      <c r="Y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Q651" s="88"/>
      <c r="R651" s="88"/>
      <c r="S651" s="88"/>
      <c r="T651" s="88"/>
      <c r="U651" s="88"/>
      <c r="V651" s="88"/>
      <c r="W651" s="88"/>
      <c r="X651" s="88"/>
      <c r="Y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Q652" s="88"/>
      <c r="R652" s="88"/>
      <c r="S652" s="88"/>
      <c r="T652" s="88"/>
      <c r="U652" s="88"/>
      <c r="V652" s="88"/>
      <c r="W652" s="88"/>
      <c r="X652" s="88"/>
      <c r="Y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Q653" s="88"/>
      <c r="R653" s="88"/>
      <c r="S653" s="88"/>
      <c r="T653" s="88"/>
      <c r="U653" s="88"/>
      <c r="V653" s="88"/>
      <c r="W653" s="88"/>
      <c r="X653" s="88"/>
      <c r="Y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Q654" s="88"/>
      <c r="R654" s="88"/>
      <c r="S654" s="88"/>
      <c r="T654" s="88"/>
      <c r="U654" s="88"/>
      <c r="V654" s="88"/>
      <c r="W654" s="88"/>
      <c r="X654" s="88"/>
      <c r="Y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Q655" s="88"/>
      <c r="R655" s="88"/>
      <c r="S655" s="88"/>
      <c r="T655" s="88"/>
      <c r="U655" s="88"/>
      <c r="V655" s="88"/>
      <c r="W655" s="88"/>
      <c r="X655" s="88"/>
      <c r="Y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Q656" s="88"/>
      <c r="R656" s="88"/>
      <c r="S656" s="88"/>
      <c r="T656" s="88"/>
      <c r="U656" s="88"/>
      <c r="V656" s="88"/>
      <c r="W656" s="88"/>
      <c r="X656" s="88"/>
      <c r="Y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Q657" s="88"/>
      <c r="R657" s="88"/>
      <c r="S657" s="88"/>
      <c r="T657" s="88"/>
      <c r="U657" s="88"/>
      <c r="V657" s="88"/>
      <c r="W657" s="88"/>
      <c r="X657" s="88"/>
      <c r="Y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Q658" s="88"/>
      <c r="R658" s="88"/>
      <c r="S658" s="88"/>
      <c r="T658" s="88"/>
      <c r="U658" s="88"/>
      <c r="V658" s="88"/>
      <c r="W658" s="88"/>
      <c r="X658" s="88"/>
      <c r="Y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Q659" s="88"/>
      <c r="R659" s="88"/>
      <c r="S659" s="88"/>
      <c r="T659" s="88"/>
      <c r="U659" s="88"/>
      <c r="V659" s="88"/>
      <c r="W659" s="88"/>
      <c r="X659" s="88"/>
      <c r="Y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Q660" s="88"/>
      <c r="R660" s="88"/>
      <c r="S660" s="88"/>
      <c r="T660" s="88"/>
      <c r="U660" s="88"/>
      <c r="V660" s="88"/>
      <c r="W660" s="88"/>
      <c r="X660" s="88"/>
      <c r="Y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Q661" s="88"/>
      <c r="R661" s="88"/>
      <c r="S661" s="88"/>
      <c r="T661" s="88"/>
      <c r="U661" s="88"/>
      <c r="V661" s="88"/>
      <c r="W661" s="88"/>
      <c r="X661" s="88"/>
      <c r="Y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Q662" s="88"/>
      <c r="R662" s="88"/>
      <c r="S662" s="88"/>
      <c r="T662" s="88"/>
      <c r="U662" s="88"/>
      <c r="V662" s="88"/>
      <c r="W662" s="88"/>
      <c r="X662" s="88"/>
      <c r="Y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Q663" s="88"/>
      <c r="R663" s="88"/>
      <c r="S663" s="88"/>
      <c r="T663" s="88"/>
      <c r="U663" s="88"/>
      <c r="V663" s="88"/>
      <c r="W663" s="88"/>
      <c r="X663" s="88"/>
      <c r="Y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Q664" s="88"/>
      <c r="R664" s="88"/>
      <c r="S664" s="88"/>
      <c r="T664" s="88"/>
      <c r="U664" s="88"/>
      <c r="V664" s="88"/>
      <c r="W664" s="88"/>
      <c r="X664" s="88"/>
      <c r="Y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Q665" s="88"/>
      <c r="R665" s="88"/>
      <c r="S665" s="88"/>
      <c r="T665" s="88"/>
      <c r="U665" s="88"/>
      <c r="V665" s="88"/>
      <c r="W665" s="88"/>
      <c r="X665" s="88"/>
      <c r="Y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Q666" s="88"/>
      <c r="R666" s="88"/>
      <c r="S666" s="88"/>
      <c r="T666" s="88"/>
      <c r="U666" s="88"/>
      <c r="V666" s="88"/>
      <c r="W666" s="88"/>
      <c r="X666" s="88"/>
      <c r="Y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Q667" s="88"/>
      <c r="R667" s="88"/>
      <c r="S667" s="88"/>
      <c r="T667" s="88"/>
      <c r="U667" s="88"/>
      <c r="V667" s="88"/>
      <c r="W667" s="88"/>
      <c r="X667" s="88"/>
      <c r="Y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Q668" s="88"/>
      <c r="R668" s="88"/>
      <c r="S668" s="88"/>
      <c r="T668" s="88"/>
      <c r="U668" s="88"/>
      <c r="V668" s="88"/>
      <c r="W668" s="88"/>
      <c r="X668" s="88"/>
      <c r="Y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Q669" s="88"/>
      <c r="R669" s="88"/>
      <c r="S669" s="88"/>
      <c r="T669" s="88"/>
      <c r="U669" s="88"/>
      <c r="V669" s="88"/>
      <c r="W669" s="88"/>
      <c r="X669" s="88"/>
      <c r="Y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Q670" s="88"/>
      <c r="R670" s="88"/>
      <c r="S670" s="88"/>
      <c r="T670" s="88"/>
      <c r="U670" s="88"/>
      <c r="V670" s="88"/>
      <c r="W670" s="88"/>
      <c r="X670" s="88"/>
      <c r="Y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Q671" s="88"/>
      <c r="R671" s="88"/>
      <c r="S671" s="88"/>
      <c r="T671" s="88"/>
      <c r="U671" s="88"/>
      <c r="V671" s="88"/>
      <c r="W671" s="88"/>
      <c r="X671" s="88"/>
      <c r="Y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Q672" s="88"/>
      <c r="R672" s="88"/>
      <c r="S672" s="88"/>
      <c r="T672" s="88"/>
      <c r="U672" s="88"/>
      <c r="V672" s="88"/>
      <c r="W672" s="88"/>
      <c r="X672" s="88"/>
      <c r="Y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Q673" s="88"/>
      <c r="R673" s="88"/>
      <c r="S673" s="88"/>
      <c r="T673" s="88"/>
      <c r="U673" s="88"/>
      <c r="V673" s="88"/>
      <c r="W673" s="88"/>
      <c r="X673" s="88"/>
      <c r="Y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Q674" s="88"/>
      <c r="R674" s="88"/>
      <c r="S674" s="88"/>
      <c r="T674" s="88"/>
      <c r="U674" s="88"/>
      <c r="V674" s="88"/>
      <c r="W674" s="88"/>
      <c r="X674" s="88"/>
      <c r="Y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Q675" s="88"/>
      <c r="R675" s="88"/>
      <c r="S675" s="88"/>
      <c r="T675" s="88"/>
      <c r="U675" s="88"/>
      <c r="V675" s="88"/>
      <c r="W675" s="88"/>
      <c r="X675" s="88"/>
      <c r="Y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Q676" s="88"/>
      <c r="R676" s="88"/>
      <c r="S676" s="88"/>
      <c r="T676" s="88"/>
      <c r="U676" s="88"/>
      <c r="V676" s="88"/>
      <c r="W676" s="88"/>
      <c r="X676" s="88"/>
      <c r="Y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Q677" s="88"/>
      <c r="R677" s="88"/>
      <c r="S677" s="88"/>
      <c r="T677" s="88"/>
      <c r="U677" s="88"/>
      <c r="V677" s="88"/>
      <c r="W677" s="88"/>
      <c r="X677" s="88"/>
      <c r="Y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Q678" s="88"/>
      <c r="R678" s="88"/>
      <c r="S678" s="88"/>
      <c r="T678" s="88"/>
      <c r="U678" s="88"/>
      <c r="V678" s="88"/>
      <c r="W678" s="88"/>
      <c r="X678" s="88"/>
      <c r="Y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Q679" s="88"/>
      <c r="R679" s="88"/>
      <c r="S679" s="88"/>
      <c r="T679" s="88"/>
      <c r="U679" s="88"/>
      <c r="V679" s="88"/>
      <c r="W679" s="88"/>
      <c r="X679" s="88"/>
      <c r="Y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Q680" s="88"/>
      <c r="R680" s="88"/>
      <c r="S680" s="88"/>
      <c r="T680" s="88"/>
      <c r="U680" s="88"/>
      <c r="V680" s="88"/>
      <c r="W680" s="88"/>
      <c r="X680" s="88"/>
      <c r="Y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Q681" s="88"/>
      <c r="R681" s="88"/>
      <c r="S681" s="88"/>
      <c r="T681" s="88"/>
      <c r="U681" s="88"/>
      <c r="V681" s="88"/>
      <c r="W681" s="88"/>
      <c r="X681" s="88"/>
      <c r="Y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Q682" s="88"/>
      <c r="R682" s="88"/>
      <c r="S682" s="88"/>
      <c r="T682" s="88"/>
      <c r="U682" s="88"/>
      <c r="V682" s="88"/>
      <c r="W682" s="88"/>
      <c r="X682" s="88"/>
      <c r="Y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Q683" s="88"/>
      <c r="R683" s="88"/>
      <c r="S683" s="88"/>
      <c r="T683" s="88"/>
      <c r="U683" s="88"/>
      <c r="V683" s="88"/>
      <c r="W683" s="88"/>
      <c r="X683" s="88"/>
      <c r="Y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Q684" s="88"/>
      <c r="R684" s="88"/>
      <c r="S684" s="88"/>
      <c r="T684" s="88"/>
      <c r="U684" s="88"/>
      <c r="V684" s="88"/>
      <c r="W684" s="88"/>
      <c r="X684" s="88"/>
      <c r="Y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Q685" s="88"/>
      <c r="R685" s="88"/>
      <c r="S685" s="88"/>
      <c r="T685" s="88"/>
      <c r="U685" s="88"/>
      <c r="V685" s="88"/>
      <c r="W685" s="88"/>
      <c r="X685" s="88"/>
      <c r="Y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Q686" s="88"/>
      <c r="R686" s="88"/>
      <c r="S686" s="88"/>
      <c r="T686" s="88"/>
      <c r="U686" s="88"/>
      <c r="V686" s="88"/>
      <c r="W686" s="88"/>
      <c r="X686" s="88"/>
      <c r="Y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Q687" s="88"/>
      <c r="R687" s="88"/>
      <c r="S687" s="88"/>
      <c r="T687" s="88"/>
      <c r="U687" s="88"/>
      <c r="V687" s="88"/>
      <c r="W687" s="88"/>
      <c r="X687" s="88"/>
      <c r="Y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Q688" s="88"/>
      <c r="R688" s="88"/>
      <c r="S688" s="88"/>
      <c r="T688" s="88"/>
      <c r="U688" s="88"/>
      <c r="V688" s="88"/>
      <c r="W688" s="88"/>
      <c r="X688" s="88"/>
      <c r="Y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Q689" s="88"/>
      <c r="R689" s="88"/>
      <c r="S689" s="88"/>
      <c r="T689" s="88"/>
      <c r="U689" s="88"/>
      <c r="V689" s="88"/>
      <c r="W689" s="88"/>
      <c r="X689" s="88"/>
      <c r="Y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Q690" s="88"/>
      <c r="R690" s="88"/>
      <c r="S690" s="88"/>
      <c r="T690" s="88"/>
      <c r="U690" s="88"/>
      <c r="V690" s="88"/>
      <c r="W690" s="88"/>
      <c r="X690" s="88"/>
      <c r="Y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Q691" s="88"/>
      <c r="R691" s="88"/>
      <c r="S691" s="88"/>
      <c r="T691" s="88"/>
      <c r="U691" s="88"/>
      <c r="V691" s="88"/>
      <c r="W691" s="88"/>
      <c r="X691" s="88"/>
      <c r="Y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Q692" s="88"/>
      <c r="R692" s="88"/>
      <c r="S692" s="88"/>
      <c r="T692" s="88"/>
      <c r="U692" s="88"/>
      <c r="V692" s="88"/>
      <c r="W692" s="88"/>
      <c r="X692" s="88"/>
      <c r="Y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Q693" s="88"/>
      <c r="R693" s="88"/>
      <c r="S693" s="88"/>
      <c r="T693" s="88"/>
      <c r="U693" s="88"/>
      <c r="V693" s="88"/>
      <c r="W693" s="88"/>
      <c r="X693" s="88"/>
      <c r="Y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Q694" s="88"/>
      <c r="R694" s="88"/>
      <c r="S694" s="88"/>
      <c r="T694" s="88"/>
      <c r="U694" s="88"/>
      <c r="V694" s="88"/>
      <c r="W694" s="88"/>
      <c r="X694" s="88"/>
      <c r="Y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Q695" s="88"/>
      <c r="R695" s="88"/>
      <c r="S695" s="88"/>
      <c r="T695" s="88"/>
      <c r="U695" s="88"/>
      <c r="V695" s="88"/>
      <c r="W695" s="88"/>
      <c r="X695" s="88"/>
      <c r="Y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Q696" s="88"/>
      <c r="R696" s="88"/>
      <c r="S696" s="88"/>
      <c r="T696" s="88"/>
      <c r="U696" s="88"/>
      <c r="V696" s="88"/>
      <c r="W696" s="88"/>
      <c r="X696" s="88"/>
      <c r="Y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Q697" s="88"/>
      <c r="R697" s="88"/>
      <c r="S697" s="88"/>
      <c r="T697" s="88"/>
      <c r="U697" s="88"/>
      <c r="V697" s="88"/>
      <c r="W697" s="88"/>
      <c r="X697" s="88"/>
      <c r="Y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Q698" s="88"/>
      <c r="R698" s="88"/>
      <c r="S698" s="88"/>
      <c r="T698" s="88"/>
      <c r="U698" s="88"/>
      <c r="V698" s="88"/>
      <c r="W698" s="88"/>
      <c r="X698" s="88"/>
      <c r="Y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Q699" s="88"/>
      <c r="R699" s="88"/>
      <c r="S699" s="88"/>
      <c r="T699" s="88"/>
      <c r="U699" s="88"/>
      <c r="V699" s="88"/>
      <c r="W699" s="88"/>
      <c r="X699" s="88"/>
      <c r="Y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Q700" s="88"/>
      <c r="R700" s="88"/>
      <c r="S700" s="88"/>
      <c r="T700" s="88"/>
      <c r="U700" s="88"/>
      <c r="V700" s="88"/>
      <c r="W700" s="88"/>
      <c r="X700" s="88"/>
      <c r="Y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Q701" s="88"/>
      <c r="R701" s="88"/>
      <c r="S701" s="88"/>
      <c r="T701" s="88"/>
      <c r="U701" s="88"/>
      <c r="V701" s="88"/>
      <c r="W701" s="88"/>
      <c r="X701" s="88"/>
      <c r="Y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Q702" s="88"/>
      <c r="R702" s="88"/>
      <c r="S702" s="88"/>
      <c r="T702" s="88"/>
      <c r="U702" s="88"/>
      <c r="V702" s="88"/>
      <c r="W702" s="88"/>
      <c r="X702" s="88"/>
      <c r="Y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Q703" s="88"/>
      <c r="R703" s="88"/>
      <c r="S703" s="88"/>
      <c r="T703" s="88"/>
      <c r="U703" s="88"/>
      <c r="V703" s="88"/>
      <c r="W703" s="88"/>
      <c r="X703" s="88"/>
      <c r="Y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Q704" s="88"/>
      <c r="R704" s="88"/>
      <c r="S704" s="88"/>
      <c r="T704" s="88"/>
      <c r="U704" s="88"/>
      <c r="V704" s="88"/>
      <c r="W704" s="88"/>
      <c r="X704" s="88"/>
      <c r="Y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Q705" s="88"/>
      <c r="R705" s="88"/>
      <c r="S705" s="88"/>
      <c r="T705" s="88"/>
      <c r="U705" s="88"/>
      <c r="V705" s="88"/>
      <c r="W705" s="88"/>
      <c r="X705" s="88"/>
      <c r="Y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Q706" s="88"/>
      <c r="R706" s="88"/>
      <c r="S706" s="88"/>
      <c r="T706" s="88"/>
      <c r="U706" s="88"/>
      <c r="V706" s="88"/>
      <c r="W706" s="88"/>
      <c r="X706" s="88"/>
      <c r="Y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Q707" s="88"/>
      <c r="R707" s="88"/>
      <c r="S707" s="88"/>
      <c r="T707" s="88"/>
      <c r="U707" s="88"/>
      <c r="V707" s="88"/>
      <c r="W707" s="88"/>
      <c r="X707" s="88"/>
      <c r="Y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Q708" s="88"/>
      <c r="R708" s="88"/>
      <c r="S708" s="88"/>
      <c r="T708" s="88"/>
      <c r="U708" s="88"/>
      <c r="V708" s="88"/>
      <c r="W708" s="88"/>
      <c r="X708" s="88"/>
      <c r="Y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Q709" s="88"/>
      <c r="R709" s="88"/>
      <c r="S709" s="88"/>
      <c r="T709" s="88"/>
      <c r="U709" s="88"/>
      <c r="V709" s="88"/>
      <c r="W709" s="88"/>
      <c r="X709" s="88"/>
      <c r="Y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Q710" s="88"/>
      <c r="R710" s="88"/>
      <c r="S710" s="88"/>
      <c r="T710" s="88"/>
      <c r="U710" s="88"/>
      <c r="V710" s="88"/>
      <c r="W710" s="88"/>
      <c r="X710" s="88"/>
      <c r="Y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Q711" s="88"/>
      <c r="R711" s="88"/>
      <c r="S711" s="88"/>
      <c r="T711" s="88"/>
      <c r="U711" s="88"/>
      <c r="V711" s="88"/>
      <c r="W711" s="88"/>
      <c r="X711" s="88"/>
      <c r="Y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Q712" s="88"/>
      <c r="R712" s="88"/>
      <c r="S712" s="88"/>
      <c r="T712" s="88"/>
      <c r="U712" s="88"/>
      <c r="V712" s="88"/>
      <c r="W712" s="88"/>
      <c r="X712" s="88"/>
      <c r="Y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Q713" s="88"/>
      <c r="R713" s="88"/>
      <c r="S713" s="88"/>
      <c r="T713" s="88"/>
      <c r="U713" s="88"/>
      <c r="V713" s="88"/>
      <c r="W713" s="88"/>
      <c r="X713" s="88"/>
      <c r="Y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Q714" s="88"/>
      <c r="R714" s="88"/>
      <c r="S714" s="88"/>
      <c r="T714" s="88"/>
      <c r="U714" s="88"/>
      <c r="V714" s="88"/>
      <c r="W714" s="88"/>
      <c r="X714" s="88"/>
      <c r="Y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Q715" s="88"/>
      <c r="R715" s="88"/>
      <c r="S715" s="88"/>
      <c r="T715" s="88"/>
      <c r="U715" s="88"/>
      <c r="V715" s="88"/>
      <c r="W715" s="88"/>
      <c r="X715" s="88"/>
      <c r="Y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Q716" s="88"/>
      <c r="R716" s="88"/>
      <c r="S716" s="88"/>
      <c r="T716" s="88"/>
      <c r="U716" s="88"/>
      <c r="V716" s="88"/>
      <c r="W716" s="88"/>
      <c r="X716" s="88"/>
      <c r="Y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Q717" s="88"/>
      <c r="R717" s="88"/>
      <c r="S717" s="88"/>
      <c r="T717" s="88"/>
      <c r="U717" s="88"/>
      <c r="V717" s="88"/>
      <c r="W717" s="88"/>
      <c r="X717" s="88"/>
      <c r="Y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Q718" s="88"/>
      <c r="R718" s="88"/>
      <c r="S718" s="88"/>
      <c r="T718" s="88"/>
      <c r="U718" s="88"/>
      <c r="V718" s="88"/>
      <c r="W718" s="88"/>
      <c r="X718" s="88"/>
      <c r="Y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Q719" s="88"/>
      <c r="R719" s="88"/>
      <c r="S719" s="88"/>
      <c r="T719" s="88"/>
      <c r="U719" s="88"/>
      <c r="V719" s="88"/>
      <c r="W719" s="88"/>
      <c r="X719" s="88"/>
      <c r="Y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Q720" s="88"/>
      <c r="R720" s="88"/>
      <c r="S720" s="88"/>
      <c r="T720" s="88"/>
      <c r="U720" s="88"/>
      <c r="V720" s="88"/>
      <c r="W720" s="88"/>
      <c r="X720" s="88"/>
      <c r="Y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Q721" s="88"/>
      <c r="R721" s="88"/>
      <c r="S721" s="88"/>
      <c r="T721" s="88"/>
      <c r="U721" s="88"/>
      <c r="V721" s="88"/>
      <c r="W721" s="88"/>
      <c r="X721" s="88"/>
      <c r="Y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Q722" s="88"/>
      <c r="R722" s="88"/>
      <c r="S722" s="88"/>
      <c r="T722" s="88"/>
      <c r="U722" s="88"/>
      <c r="V722" s="88"/>
      <c r="W722" s="88"/>
      <c r="X722" s="88"/>
      <c r="Y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Q723" s="88"/>
      <c r="R723" s="88"/>
      <c r="S723" s="88"/>
      <c r="T723" s="88"/>
      <c r="U723" s="88"/>
      <c r="V723" s="88"/>
      <c r="W723" s="88"/>
      <c r="X723" s="88"/>
      <c r="Y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Q724" s="88"/>
      <c r="R724" s="88"/>
      <c r="S724" s="88"/>
      <c r="T724" s="88"/>
      <c r="U724" s="88"/>
      <c r="V724" s="88"/>
      <c r="W724" s="88"/>
      <c r="X724" s="88"/>
      <c r="Y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Q725" s="88"/>
      <c r="R725" s="88"/>
      <c r="S725" s="88"/>
      <c r="T725" s="88"/>
      <c r="U725" s="88"/>
      <c r="V725" s="88"/>
      <c r="W725" s="88"/>
      <c r="X725" s="88"/>
      <c r="Y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Q726" s="88"/>
      <c r="R726" s="88"/>
      <c r="S726" s="88"/>
      <c r="T726" s="88"/>
      <c r="U726" s="88"/>
      <c r="V726" s="88"/>
      <c r="W726" s="88"/>
      <c r="X726" s="88"/>
      <c r="Y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Q727" s="88"/>
      <c r="R727" s="88"/>
      <c r="S727" s="88"/>
      <c r="T727" s="88"/>
      <c r="U727" s="88"/>
      <c r="V727" s="88"/>
      <c r="W727" s="88"/>
      <c r="X727" s="88"/>
      <c r="Y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Q728" s="88"/>
      <c r="R728" s="88"/>
      <c r="S728" s="88"/>
      <c r="T728" s="88"/>
      <c r="U728" s="88"/>
      <c r="V728" s="88"/>
      <c r="W728" s="88"/>
      <c r="X728" s="88"/>
      <c r="Y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Q729" s="88"/>
      <c r="R729" s="88"/>
      <c r="S729" s="88"/>
      <c r="T729" s="88"/>
      <c r="U729" s="88"/>
      <c r="V729" s="88"/>
      <c r="W729" s="88"/>
      <c r="X729" s="88"/>
      <c r="Y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Q730" s="88"/>
      <c r="R730" s="88"/>
      <c r="S730" s="88"/>
      <c r="T730" s="88"/>
      <c r="U730" s="88"/>
      <c r="V730" s="88"/>
      <c r="W730" s="88"/>
      <c r="X730" s="88"/>
      <c r="Y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Q731" s="88"/>
      <c r="R731" s="88"/>
      <c r="S731" s="88"/>
      <c r="T731" s="88"/>
      <c r="U731" s="88"/>
      <c r="V731" s="88"/>
      <c r="W731" s="88"/>
      <c r="X731" s="88"/>
      <c r="Y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Q732" s="88"/>
      <c r="R732" s="88"/>
      <c r="S732" s="88"/>
      <c r="T732" s="88"/>
      <c r="U732" s="88"/>
      <c r="V732" s="88"/>
      <c r="W732" s="88"/>
      <c r="X732" s="88"/>
      <c r="Y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Q733" s="88"/>
      <c r="R733" s="88"/>
      <c r="S733" s="88"/>
      <c r="T733" s="88"/>
      <c r="U733" s="88"/>
      <c r="V733" s="88"/>
      <c r="W733" s="88"/>
      <c r="X733" s="88"/>
      <c r="Y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Q734" s="88"/>
      <c r="R734" s="88"/>
      <c r="S734" s="88"/>
      <c r="T734" s="88"/>
      <c r="U734" s="88"/>
      <c r="V734" s="88"/>
      <c r="W734" s="88"/>
      <c r="X734" s="88"/>
      <c r="Y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Q735" s="88"/>
      <c r="R735" s="88"/>
      <c r="S735" s="88"/>
      <c r="T735" s="88"/>
      <c r="U735" s="88"/>
      <c r="V735" s="88"/>
      <c r="W735" s="88"/>
      <c r="X735" s="88"/>
      <c r="Y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Q736" s="88"/>
      <c r="R736" s="88"/>
      <c r="S736" s="88"/>
      <c r="T736" s="88"/>
      <c r="U736" s="88"/>
      <c r="V736" s="88"/>
      <c r="W736" s="88"/>
      <c r="X736" s="88"/>
      <c r="Y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Q737" s="88"/>
      <c r="R737" s="88"/>
      <c r="S737" s="88"/>
      <c r="T737" s="88"/>
      <c r="U737" s="88"/>
      <c r="V737" s="88"/>
      <c r="W737" s="88"/>
      <c r="X737" s="88"/>
      <c r="Y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Q738" s="88"/>
      <c r="R738" s="88"/>
      <c r="S738" s="88"/>
      <c r="T738" s="88"/>
      <c r="U738" s="88"/>
      <c r="V738" s="88"/>
      <c r="W738" s="88"/>
      <c r="X738" s="88"/>
      <c r="Y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Q739" s="88"/>
      <c r="R739" s="88"/>
      <c r="S739" s="88"/>
      <c r="T739" s="88"/>
      <c r="U739" s="88"/>
      <c r="V739" s="88"/>
      <c r="W739" s="88"/>
      <c r="X739" s="88"/>
      <c r="Y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Q740" s="88"/>
      <c r="R740" s="88"/>
      <c r="S740" s="88"/>
      <c r="T740" s="88"/>
      <c r="U740" s="88"/>
      <c r="V740" s="88"/>
      <c r="W740" s="88"/>
      <c r="X740" s="88"/>
      <c r="Y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Q741" s="88"/>
      <c r="R741" s="88"/>
      <c r="S741" s="88"/>
      <c r="T741" s="88"/>
      <c r="U741" s="88"/>
      <c r="V741" s="88"/>
      <c r="W741" s="88"/>
      <c r="X741" s="88"/>
      <c r="Y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Q742" s="88"/>
      <c r="R742" s="88"/>
      <c r="S742" s="88"/>
      <c r="T742" s="88"/>
      <c r="U742" s="88"/>
      <c r="V742" s="88"/>
      <c r="W742" s="88"/>
      <c r="X742" s="88"/>
      <c r="Y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Q743" s="88"/>
      <c r="R743" s="88"/>
      <c r="S743" s="88"/>
      <c r="T743" s="88"/>
      <c r="U743" s="88"/>
      <c r="V743" s="88"/>
      <c r="W743" s="88"/>
      <c r="X743" s="88"/>
      <c r="Y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Q744" s="88"/>
      <c r="R744" s="88"/>
      <c r="S744" s="88"/>
      <c r="T744" s="88"/>
      <c r="U744" s="88"/>
      <c r="V744" s="88"/>
      <c r="W744" s="88"/>
      <c r="X744" s="88"/>
      <c r="Y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Q745" s="88"/>
      <c r="R745" s="88"/>
      <c r="S745" s="88"/>
      <c r="T745" s="88"/>
      <c r="U745" s="88"/>
      <c r="V745" s="88"/>
      <c r="W745" s="88"/>
      <c r="X745" s="88"/>
      <c r="Y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Q746" s="88"/>
      <c r="R746" s="88"/>
      <c r="S746" s="88"/>
      <c r="T746" s="88"/>
      <c r="U746" s="88"/>
      <c r="V746" s="88"/>
      <c r="W746" s="88"/>
      <c r="X746" s="88"/>
      <c r="Y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Q747" s="88"/>
      <c r="R747" s="88"/>
      <c r="S747" s="88"/>
      <c r="T747" s="88"/>
      <c r="U747" s="88"/>
      <c r="V747" s="88"/>
      <c r="W747" s="88"/>
      <c r="X747" s="88"/>
      <c r="Y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Q748" s="88"/>
      <c r="R748" s="88"/>
      <c r="S748" s="88"/>
      <c r="T748" s="88"/>
      <c r="U748" s="88"/>
      <c r="V748" s="88"/>
      <c r="W748" s="88"/>
      <c r="X748" s="88"/>
      <c r="Y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Q749" s="88"/>
      <c r="R749" s="88"/>
      <c r="S749" s="88"/>
      <c r="T749" s="88"/>
      <c r="U749" s="88"/>
      <c r="V749" s="88"/>
      <c r="W749" s="88"/>
      <c r="X749" s="88"/>
      <c r="Y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Q750" s="88"/>
      <c r="R750" s="88"/>
      <c r="S750" s="88"/>
      <c r="T750" s="88"/>
      <c r="U750" s="88"/>
      <c r="V750" s="88"/>
      <c r="W750" s="88"/>
      <c r="X750" s="88"/>
      <c r="Y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Q751" s="88"/>
      <c r="R751" s="88"/>
      <c r="S751" s="88"/>
      <c r="T751" s="88"/>
      <c r="U751" s="88"/>
      <c r="V751" s="88"/>
      <c r="W751" s="88"/>
      <c r="X751" s="88"/>
      <c r="Y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Q752" s="88"/>
      <c r="R752" s="88"/>
      <c r="S752" s="88"/>
      <c r="T752" s="88"/>
      <c r="U752" s="88"/>
      <c r="V752" s="88"/>
      <c r="W752" s="88"/>
      <c r="X752" s="88"/>
      <c r="Y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Q753" s="88"/>
      <c r="R753" s="88"/>
      <c r="S753" s="88"/>
      <c r="T753" s="88"/>
      <c r="U753" s="88"/>
      <c r="V753" s="88"/>
      <c r="W753" s="88"/>
      <c r="X753" s="88"/>
      <c r="Y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Q754" s="88"/>
      <c r="R754" s="88"/>
      <c r="S754" s="88"/>
      <c r="T754" s="88"/>
      <c r="U754" s="88"/>
      <c r="V754" s="88"/>
      <c r="W754" s="88"/>
      <c r="X754" s="88"/>
      <c r="Y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Q755" s="88"/>
      <c r="R755" s="88"/>
      <c r="S755" s="88"/>
      <c r="T755" s="88"/>
      <c r="U755" s="88"/>
      <c r="V755" s="88"/>
      <c r="W755" s="88"/>
      <c r="X755" s="88"/>
      <c r="Y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Q756" s="88"/>
      <c r="R756" s="88"/>
      <c r="S756" s="88"/>
      <c r="T756" s="88"/>
      <c r="U756" s="88"/>
      <c r="V756" s="88"/>
      <c r="W756" s="88"/>
      <c r="X756" s="88"/>
      <c r="Y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Q757" s="88"/>
      <c r="R757" s="88"/>
      <c r="S757" s="88"/>
      <c r="T757" s="88"/>
      <c r="U757" s="88"/>
      <c r="V757" s="88"/>
      <c r="W757" s="88"/>
      <c r="X757" s="88"/>
      <c r="Y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Q758" s="88"/>
      <c r="R758" s="88"/>
      <c r="S758" s="88"/>
      <c r="T758" s="88"/>
      <c r="U758" s="88"/>
      <c r="V758" s="88"/>
      <c r="W758" s="88"/>
      <c r="X758" s="88"/>
      <c r="Y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Q759" s="88"/>
      <c r="R759" s="88"/>
      <c r="S759" s="88"/>
      <c r="T759" s="88"/>
      <c r="U759" s="88"/>
      <c r="V759" s="88"/>
      <c r="W759" s="88"/>
      <c r="X759" s="88"/>
      <c r="Y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Q760" s="88"/>
      <c r="R760" s="88"/>
      <c r="S760" s="88"/>
      <c r="T760" s="88"/>
      <c r="U760" s="88"/>
      <c r="V760" s="88"/>
      <c r="W760" s="88"/>
      <c r="X760" s="88"/>
      <c r="Y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Q761" s="88"/>
      <c r="R761" s="88"/>
      <c r="S761" s="88"/>
      <c r="T761" s="88"/>
      <c r="U761" s="88"/>
      <c r="V761" s="88"/>
      <c r="W761" s="88"/>
      <c r="X761" s="88"/>
      <c r="Y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Q762" s="88"/>
      <c r="R762" s="88"/>
      <c r="S762" s="88"/>
      <c r="T762" s="88"/>
      <c r="U762" s="88"/>
      <c r="V762" s="88"/>
      <c r="W762" s="88"/>
      <c r="X762" s="88"/>
      <c r="Y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Q763" s="88"/>
      <c r="R763" s="88"/>
      <c r="S763" s="88"/>
      <c r="T763" s="88"/>
      <c r="U763" s="88"/>
      <c r="V763" s="88"/>
      <c r="W763" s="88"/>
      <c r="X763" s="88"/>
      <c r="Y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Q764" s="88"/>
      <c r="R764" s="88"/>
      <c r="S764" s="88"/>
      <c r="T764" s="88"/>
      <c r="U764" s="88"/>
      <c r="V764" s="88"/>
      <c r="W764" s="88"/>
      <c r="X764" s="88"/>
      <c r="Y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Q765" s="88"/>
      <c r="R765" s="88"/>
      <c r="S765" s="88"/>
      <c r="T765" s="88"/>
      <c r="U765" s="88"/>
      <c r="V765" s="88"/>
      <c r="W765" s="88"/>
      <c r="X765" s="88"/>
      <c r="Y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Q766" s="88"/>
      <c r="R766" s="88"/>
      <c r="S766" s="88"/>
      <c r="T766" s="88"/>
      <c r="U766" s="88"/>
      <c r="V766" s="88"/>
      <c r="W766" s="88"/>
      <c r="X766" s="88"/>
      <c r="Y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Q767" s="88"/>
      <c r="R767" s="88"/>
      <c r="S767" s="88"/>
      <c r="T767" s="88"/>
      <c r="U767" s="88"/>
      <c r="V767" s="88"/>
      <c r="W767" s="88"/>
      <c r="X767" s="88"/>
      <c r="Y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Q768" s="88"/>
      <c r="R768" s="88"/>
      <c r="S768" s="88"/>
      <c r="T768" s="88"/>
      <c r="U768" s="88"/>
      <c r="V768" s="88"/>
      <c r="W768" s="88"/>
      <c r="X768" s="88"/>
      <c r="Y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Q769" s="88"/>
      <c r="R769" s="88"/>
      <c r="S769" s="88"/>
      <c r="T769" s="88"/>
      <c r="U769" s="88"/>
      <c r="V769" s="88"/>
      <c r="W769" s="88"/>
      <c r="X769" s="88"/>
      <c r="Y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Q770" s="88"/>
      <c r="R770" s="88"/>
      <c r="S770" s="88"/>
      <c r="T770" s="88"/>
      <c r="U770" s="88"/>
      <c r="V770" s="88"/>
      <c r="W770" s="88"/>
      <c r="X770" s="88"/>
      <c r="Y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Q771" s="88"/>
      <c r="R771" s="88"/>
      <c r="S771" s="88"/>
      <c r="T771" s="88"/>
      <c r="U771" s="88"/>
      <c r="V771" s="88"/>
      <c r="W771" s="88"/>
      <c r="X771" s="88"/>
      <c r="Y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Q772" s="88"/>
      <c r="R772" s="88"/>
      <c r="S772" s="88"/>
      <c r="T772" s="88"/>
      <c r="U772" s="88"/>
      <c r="V772" s="88"/>
      <c r="W772" s="88"/>
      <c r="X772" s="88"/>
      <c r="Y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Q773" s="88"/>
      <c r="R773" s="88"/>
      <c r="S773" s="88"/>
      <c r="T773" s="88"/>
      <c r="U773" s="88"/>
      <c r="V773" s="88"/>
      <c r="W773" s="88"/>
      <c r="X773" s="88"/>
      <c r="Y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Q774" s="88"/>
      <c r="R774" s="88"/>
      <c r="S774" s="88"/>
      <c r="T774" s="88"/>
      <c r="U774" s="88"/>
      <c r="V774" s="88"/>
      <c r="W774" s="88"/>
      <c r="X774" s="88"/>
      <c r="Y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Q775" s="88"/>
      <c r="R775" s="88"/>
      <c r="S775" s="88"/>
      <c r="T775" s="88"/>
      <c r="U775" s="88"/>
      <c r="V775" s="88"/>
      <c r="W775" s="88"/>
      <c r="X775" s="88"/>
      <c r="Y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Q776" s="88"/>
      <c r="R776" s="88"/>
      <c r="S776" s="88"/>
      <c r="T776" s="88"/>
      <c r="U776" s="88"/>
      <c r="V776" s="88"/>
      <c r="W776" s="88"/>
      <c r="X776" s="88"/>
      <c r="Y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Q777" s="88"/>
      <c r="R777" s="88"/>
      <c r="S777" s="88"/>
      <c r="T777" s="88"/>
      <c r="U777" s="88"/>
      <c r="V777" s="88"/>
      <c r="W777" s="88"/>
      <c r="X777" s="88"/>
      <c r="Y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Q778" s="88"/>
      <c r="R778" s="88"/>
      <c r="S778" s="88"/>
      <c r="T778" s="88"/>
      <c r="U778" s="88"/>
      <c r="V778" s="88"/>
      <c r="W778" s="88"/>
      <c r="X778" s="88"/>
      <c r="Y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Q779" s="88"/>
      <c r="R779" s="88"/>
      <c r="S779" s="88"/>
      <c r="T779" s="88"/>
      <c r="U779" s="88"/>
      <c r="V779" s="88"/>
      <c r="W779" s="88"/>
      <c r="X779" s="88"/>
      <c r="Y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Q780" s="88"/>
      <c r="R780" s="88"/>
      <c r="S780" s="88"/>
      <c r="T780" s="88"/>
      <c r="U780" s="88"/>
      <c r="V780" s="88"/>
      <c r="W780" s="88"/>
      <c r="X780" s="88"/>
      <c r="Y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Q781" s="88"/>
      <c r="R781" s="88"/>
      <c r="S781" s="88"/>
      <c r="T781" s="88"/>
      <c r="U781" s="88"/>
      <c r="V781" s="88"/>
      <c r="W781" s="88"/>
      <c r="X781" s="88"/>
      <c r="Y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Q782" s="88"/>
      <c r="R782" s="88"/>
      <c r="S782" s="88"/>
      <c r="T782" s="88"/>
      <c r="U782" s="88"/>
      <c r="V782" s="88"/>
      <c r="W782" s="88"/>
      <c r="X782" s="88"/>
      <c r="Y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Q783" s="88"/>
      <c r="R783" s="88"/>
      <c r="S783" s="88"/>
      <c r="T783" s="88"/>
      <c r="U783" s="88"/>
      <c r="V783" s="88"/>
      <c r="W783" s="88"/>
      <c r="X783" s="88"/>
      <c r="Y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Q784" s="88"/>
      <c r="R784" s="88"/>
      <c r="S784" s="88"/>
      <c r="T784" s="88"/>
      <c r="U784" s="88"/>
      <c r="V784" s="88"/>
      <c r="W784" s="88"/>
      <c r="X784" s="88"/>
      <c r="Y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Q785" s="88"/>
      <c r="R785" s="88"/>
      <c r="S785" s="88"/>
      <c r="T785" s="88"/>
      <c r="U785" s="88"/>
      <c r="V785" s="88"/>
      <c r="W785" s="88"/>
      <c r="X785" s="88"/>
      <c r="Y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Q786" s="88"/>
      <c r="R786" s="88"/>
      <c r="S786" s="88"/>
      <c r="T786" s="88"/>
      <c r="U786" s="88"/>
      <c r="V786" s="88"/>
      <c r="W786" s="88"/>
      <c r="X786" s="88"/>
      <c r="Y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Q787" s="88"/>
      <c r="R787" s="88"/>
      <c r="S787" s="88"/>
      <c r="T787" s="88"/>
      <c r="U787" s="88"/>
      <c r="V787" s="88"/>
      <c r="W787" s="88"/>
      <c r="X787" s="88"/>
      <c r="Y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Q788" s="88"/>
      <c r="R788" s="88"/>
      <c r="S788" s="88"/>
      <c r="T788" s="88"/>
      <c r="U788" s="88"/>
      <c r="V788" s="88"/>
      <c r="W788" s="88"/>
      <c r="X788" s="88"/>
      <c r="Y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Q789" s="88"/>
      <c r="R789" s="88"/>
      <c r="S789" s="88"/>
      <c r="T789" s="88"/>
      <c r="U789" s="88"/>
      <c r="V789" s="88"/>
      <c r="W789" s="88"/>
      <c r="X789" s="88"/>
      <c r="Y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Q790" s="88"/>
      <c r="R790" s="88"/>
      <c r="S790" s="88"/>
      <c r="T790" s="88"/>
      <c r="U790" s="88"/>
      <c r="V790" s="88"/>
      <c r="W790" s="88"/>
      <c r="X790" s="88"/>
      <c r="Y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Q791" s="88"/>
      <c r="R791" s="88"/>
      <c r="S791" s="88"/>
      <c r="T791" s="88"/>
      <c r="U791" s="88"/>
      <c r="V791" s="88"/>
      <c r="W791" s="88"/>
      <c r="X791" s="88"/>
      <c r="Y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Q792" s="88"/>
      <c r="R792" s="88"/>
      <c r="S792" s="88"/>
      <c r="T792" s="88"/>
      <c r="U792" s="88"/>
      <c r="V792" s="88"/>
      <c r="W792" s="88"/>
      <c r="X792" s="88"/>
      <c r="Y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Q793" s="88"/>
      <c r="R793" s="88"/>
      <c r="S793" s="88"/>
      <c r="T793" s="88"/>
      <c r="U793" s="88"/>
      <c r="V793" s="88"/>
      <c r="W793" s="88"/>
      <c r="X793" s="88"/>
      <c r="Y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Q794" s="88"/>
      <c r="R794" s="88"/>
      <c r="S794" s="88"/>
      <c r="T794" s="88"/>
      <c r="U794" s="88"/>
      <c r="V794" s="88"/>
      <c r="W794" s="88"/>
      <c r="X794" s="88"/>
      <c r="Y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Q795" s="88"/>
      <c r="R795" s="88"/>
      <c r="S795" s="88"/>
      <c r="T795" s="88"/>
      <c r="U795" s="88"/>
      <c r="V795" s="88"/>
      <c r="W795" s="88"/>
      <c r="X795" s="88"/>
      <c r="Y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Q796" s="88"/>
      <c r="R796" s="88"/>
      <c r="S796" s="88"/>
      <c r="T796" s="88"/>
      <c r="U796" s="88"/>
      <c r="V796" s="88"/>
      <c r="W796" s="88"/>
      <c r="X796" s="88"/>
      <c r="Y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Q797" s="88"/>
      <c r="R797" s="88"/>
      <c r="S797" s="88"/>
      <c r="T797" s="88"/>
      <c r="U797" s="88"/>
      <c r="V797" s="88"/>
      <c r="W797" s="88"/>
      <c r="X797" s="88"/>
      <c r="Y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Q798" s="88"/>
      <c r="R798" s="88"/>
      <c r="S798" s="88"/>
      <c r="T798" s="88"/>
      <c r="U798" s="88"/>
      <c r="V798" s="88"/>
      <c r="W798" s="88"/>
      <c r="X798" s="88"/>
      <c r="Y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Q799" s="88"/>
      <c r="R799" s="88"/>
      <c r="S799" s="88"/>
      <c r="T799" s="88"/>
      <c r="U799" s="88"/>
      <c r="V799" s="88"/>
      <c r="W799" s="88"/>
      <c r="X799" s="88"/>
      <c r="Y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Q800" s="88"/>
      <c r="R800" s="88"/>
      <c r="S800" s="88"/>
      <c r="T800" s="88"/>
      <c r="U800" s="88"/>
      <c r="V800" s="88"/>
      <c r="W800" s="88"/>
      <c r="X800" s="88"/>
      <c r="Y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Q801" s="88"/>
      <c r="R801" s="88"/>
      <c r="S801" s="88"/>
      <c r="T801" s="88"/>
      <c r="U801" s="88"/>
      <c r="V801" s="88"/>
      <c r="W801" s="88"/>
      <c r="X801" s="88"/>
      <c r="Y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Q802" s="88"/>
      <c r="R802" s="88"/>
      <c r="S802" s="88"/>
      <c r="T802" s="88"/>
      <c r="U802" s="88"/>
      <c r="V802" s="88"/>
      <c r="W802" s="88"/>
      <c r="X802" s="88"/>
      <c r="Y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Q803" s="88"/>
      <c r="R803" s="88"/>
      <c r="S803" s="88"/>
      <c r="T803" s="88"/>
      <c r="U803" s="88"/>
      <c r="V803" s="88"/>
      <c r="W803" s="88"/>
      <c r="X803" s="88"/>
      <c r="Y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Q804" s="88"/>
      <c r="R804" s="88"/>
      <c r="S804" s="88"/>
      <c r="T804" s="88"/>
      <c r="U804" s="88"/>
      <c r="V804" s="88"/>
      <c r="W804" s="88"/>
      <c r="X804" s="88"/>
      <c r="Y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Q805" s="88"/>
      <c r="R805" s="88"/>
      <c r="S805" s="88"/>
      <c r="T805" s="88"/>
      <c r="U805" s="88"/>
      <c r="V805" s="88"/>
      <c r="W805" s="88"/>
      <c r="X805" s="88"/>
      <c r="Y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Q806" s="88"/>
      <c r="R806" s="88"/>
      <c r="S806" s="88"/>
      <c r="T806" s="88"/>
      <c r="U806" s="88"/>
      <c r="V806" s="88"/>
      <c r="W806" s="88"/>
      <c r="X806" s="88"/>
      <c r="Y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Q807" s="88"/>
      <c r="R807" s="88"/>
      <c r="S807" s="88"/>
      <c r="T807" s="88"/>
      <c r="U807" s="88"/>
      <c r="V807" s="88"/>
      <c r="W807" s="88"/>
      <c r="X807" s="88"/>
      <c r="Y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Q808" s="88"/>
      <c r="R808" s="88"/>
      <c r="S808" s="88"/>
      <c r="T808" s="88"/>
      <c r="U808" s="88"/>
      <c r="V808" s="88"/>
      <c r="W808" s="88"/>
      <c r="X808" s="88"/>
      <c r="Y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Q809" s="88"/>
      <c r="R809" s="88"/>
      <c r="S809" s="88"/>
      <c r="T809" s="88"/>
      <c r="U809" s="88"/>
      <c r="V809" s="88"/>
      <c r="W809" s="88"/>
      <c r="X809" s="88"/>
      <c r="Y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Q810" s="88"/>
      <c r="R810" s="88"/>
      <c r="S810" s="88"/>
      <c r="T810" s="88"/>
      <c r="U810" s="88"/>
      <c r="V810" s="88"/>
      <c r="W810" s="88"/>
      <c r="X810" s="88"/>
      <c r="Y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Q811" s="88"/>
      <c r="R811" s="88"/>
      <c r="S811" s="88"/>
      <c r="T811" s="88"/>
      <c r="U811" s="88"/>
      <c r="V811" s="88"/>
      <c r="W811" s="88"/>
      <c r="X811" s="88"/>
      <c r="Y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Q812" s="88"/>
      <c r="R812" s="88"/>
      <c r="S812" s="88"/>
      <c r="T812" s="88"/>
      <c r="U812" s="88"/>
      <c r="V812" s="88"/>
      <c r="W812" s="88"/>
      <c r="X812" s="88"/>
      <c r="Y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Q813" s="88"/>
      <c r="R813" s="88"/>
      <c r="S813" s="88"/>
      <c r="T813" s="88"/>
      <c r="U813" s="88"/>
      <c r="V813" s="88"/>
      <c r="W813" s="88"/>
      <c r="X813" s="88"/>
      <c r="Y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Q814" s="88"/>
      <c r="R814" s="88"/>
      <c r="S814" s="88"/>
      <c r="T814" s="88"/>
      <c r="U814" s="88"/>
      <c r="V814" s="88"/>
      <c r="W814" s="88"/>
      <c r="X814" s="88"/>
      <c r="Y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Q815" s="88"/>
      <c r="R815" s="88"/>
      <c r="S815" s="88"/>
      <c r="T815" s="88"/>
      <c r="U815" s="88"/>
      <c r="V815" s="88"/>
      <c r="W815" s="88"/>
      <c r="X815" s="88"/>
      <c r="Y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Q816" s="88"/>
      <c r="R816" s="88"/>
      <c r="S816" s="88"/>
      <c r="T816" s="88"/>
      <c r="U816" s="88"/>
      <c r="V816" s="88"/>
      <c r="W816" s="88"/>
      <c r="X816" s="88"/>
      <c r="Y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Q817" s="88"/>
      <c r="R817" s="88"/>
      <c r="S817" s="88"/>
      <c r="T817" s="88"/>
      <c r="U817" s="88"/>
      <c r="V817" s="88"/>
      <c r="W817" s="88"/>
      <c r="X817" s="88"/>
      <c r="Y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Q818" s="88"/>
      <c r="R818" s="88"/>
      <c r="S818" s="88"/>
      <c r="T818" s="88"/>
      <c r="U818" s="88"/>
      <c r="V818" s="88"/>
      <c r="W818" s="88"/>
      <c r="X818" s="88"/>
      <c r="Y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Q819" s="88"/>
      <c r="R819" s="88"/>
      <c r="S819" s="88"/>
      <c r="T819" s="88"/>
      <c r="U819" s="88"/>
      <c r="V819" s="88"/>
      <c r="W819" s="88"/>
      <c r="X819" s="88"/>
      <c r="Y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Q820" s="88"/>
      <c r="R820" s="88"/>
      <c r="S820" s="88"/>
      <c r="T820" s="88"/>
      <c r="U820" s="88"/>
      <c r="V820" s="88"/>
      <c r="W820" s="88"/>
      <c r="X820" s="88"/>
      <c r="Y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Q821" s="88"/>
      <c r="R821" s="88"/>
      <c r="S821" s="88"/>
      <c r="T821" s="88"/>
      <c r="U821" s="88"/>
      <c r="V821" s="88"/>
      <c r="W821" s="88"/>
      <c r="X821" s="88"/>
      <c r="Y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Q822" s="88"/>
      <c r="R822" s="88"/>
      <c r="S822" s="88"/>
      <c r="T822" s="88"/>
      <c r="U822" s="88"/>
      <c r="V822" s="88"/>
      <c r="W822" s="88"/>
      <c r="X822" s="88"/>
      <c r="Y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Q823" s="88"/>
      <c r="R823" s="88"/>
      <c r="S823" s="88"/>
      <c r="T823" s="88"/>
      <c r="U823" s="88"/>
      <c r="V823" s="88"/>
      <c r="W823" s="88"/>
      <c r="X823" s="88"/>
      <c r="Y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Q824" s="88"/>
      <c r="R824" s="88"/>
      <c r="S824" s="88"/>
      <c r="T824" s="88"/>
      <c r="U824" s="88"/>
      <c r="V824" s="88"/>
      <c r="W824" s="88"/>
      <c r="X824" s="88"/>
      <c r="Y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Q825" s="88"/>
      <c r="R825" s="88"/>
      <c r="S825" s="88"/>
      <c r="T825" s="88"/>
      <c r="U825" s="88"/>
      <c r="V825" s="88"/>
      <c r="W825" s="88"/>
      <c r="X825" s="88"/>
      <c r="Y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Q826" s="88"/>
      <c r="R826" s="88"/>
      <c r="S826" s="88"/>
      <c r="T826" s="88"/>
      <c r="U826" s="88"/>
      <c r="V826" s="88"/>
      <c r="W826" s="88"/>
      <c r="X826" s="88"/>
      <c r="Y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Q827" s="88"/>
      <c r="R827" s="88"/>
      <c r="S827" s="88"/>
      <c r="T827" s="88"/>
      <c r="U827" s="88"/>
      <c r="V827" s="88"/>
      <c r="W827" s="88"/>
      <c r="X827" s="88"/>
      <c r="Y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Q828" s="88"/>
      <c r="R828" s="88"/>
      <c r="S828" s="88"/>
      <c r="T828" s="88"/>
      <c r="U828" s="88"/>
      <c r="V828" s="88"/>
      <c r="W828" s="88"/>
      <c r="X828" s="88"/>
      <c r="Y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Q829" s="88"/>
      <c r="R829" s="88"/>
      <c r="S829" s="88"/>
      <c r="T829" s="88"/>
      <c r="U829" s="88"/>
      <c r="V829" s="88"/>
      <c r="W829" s="88"/>
      <c r="X829" s="88"/>
      <c r="Y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Q830" s="88"/>
      <c r="R830" s="88"/>
      <c r="S830" s="88"/>
      <c r="T830" s="88"/>
      <c r="U830" s="88"/>
      <c r="V830" s="88"/>
      <c r="W830" s="88"/>
      <c r="X830" s="88"/>
      <c r="Y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Q831" s="88"/>
      <c r="R831" s="88"/>
      <c r="S831" s="88"/>
      <c r="T831" s="88"/>
      <c r="U831" s="88"/>
      <c r="V831" s="88"/>
      <c r="W831" s="88"/>
      <c r="X831" s="88"/>
      <c r="Y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Q832" s="88"/>
      <c r="R832" s="88"/>
      <c r="S832" s="88"/>
      <c r="T832" s="88"/>
      <c r="U832" s="88"/>
      <c r="V832" s="88"/>
      <c r="W832" s="88"/>
      <c r="X832" s="88"/>
      <c r="Y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Q833" s="88"/>
      <c r="R833" s="88"/>
      <c r="S833" s="88"/>
      <c r="T833" s="88"/>
      <c r="U833" s="88"/>
      <c r="V833" s="88"/>
      <c r="W833" s="88"/>
      <c r="X833" s="88"/>
      <c r="Y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Q834" s="88"/>
      <c r="R834" s="88"/>
      <c r="S834" s="88"/>
      <c r="T834" s="88"/>
      <c r="U834" s="88"/>
      <c r="V834" s="88"/>
      <c r="W834" s="88"/>
      <c r="X834" s="88"/>
      <c r="Y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Q835" s="88"/>
      <c r="R835" s="88"/>
      <c r="S835" s="88"/>
      <c r="T835" s="88"/>
      <c r="U835" s="88"/>
      <c r="V835" s="88"/>
      <c r="W835" s="88"/>
      <c r="X835" s="88"/>
      <c r="Y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Q836" s="88"/>
      <c r="R836" s="88"/>
      <c r="S836" s="88"/>
      <c r="T836" s="88"/>
      <c r="U836" s="88"/>
      <c r="V836" s="88"/>
      <c r="W836" s="88"/>
      <c r="X836" s="88"/>
      <c r="Y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Q837" s="88"/>
      <c r="R837" s="88"/>
      <c r="S837" s="88"/>
      <c r="T837" s="88"/>
      <c r="U837" s="88"/>
      <c r="V837" s="88"/>
      <c r="W837" s="88"/>
      <c r="X837" s="88"/>
      <c r="Y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Q838" s="88"/>
      <c r="R838" s="88"/>
      <c r="S838" s="88"/>
      <c r="T838" s="88"/>
      <c r="U838" s="88"/>
      <c r="V838" s="88"/>
      <c r="W838" s="88"/>
      <c r="X838" s="88"/>
      <c r="Y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Q839" s="88"/>
      <c r="R839" s="88"/>
      <c r="S839" s="88"/>
      <c r="T839" s="88"/>
      <c r="U839" s="88"/>
      <c r="V839" s="88"/>
      <c r="W839" s="88"/>
      <c r="X839" s="88"/>
      <c r="Y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Q840" s="88"/>
      <c r="R840" s="88"/>
      <c r="S840" s="88"/>
      <c r="T840" s="88"/>
      <c r="U840" s="88"/>
      <c r="V840" s="88"/>
      <c r="W840" s="88"/>
      <c r="X840" s="88"/>
      <c r="Y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Q841" s="88"/>
      <c r="R841" s="88"/>
      <c r="S841" s="88"/>
      <c r="T841" s="88"/>
      <c r="U841" s="88"/>
      <c r="V841" s="88"/>
      <c r="W841" s="88"/>
      <c r="X841" s="88"/>
      <c r="Y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Q842" s="88"/>
      <c r="R842" s="88"/>
      <c r="S842" s="88"/>
      <c r="T842" s="88"/>
      <c r="U842" s="88"/>
      <c r="V842" s="88"/>
      <c r="W842" s="88"/>
      <c r="X842" s="88"/>
      <c r="Y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Q843" s="88"/>
      <c r="R843" s="88"/>
      <c r="S843" s="88"/>
      <c r="T843" s="88"/>
      <c r="U843" s="88"/>
      <c r="V843" s="88"/>
      <c r="W843" s="88"/>
      <c r="X843" s="88"/>
      <c r="Y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Q844" s="88"/>
      <c r="R844" s="88"/>
      <c r="S844" s="88"/>
      <c r="T844" s="88"/>
      <c r="U844" s="88"/>
      <c r="V844" s="88"/>
      <c r="W844" s="88"/>
      <c r="X844" s="88"/>
      <c r="Y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Q845" s="88"/>
      <c r="R845" s="88"/>
      <c r="S845" s="88"/>
      <c r="T845" s="88"/>
      <c r="U845" s="88"/>
      <c r="V845" s="88"/>
      <c r="W845" s="88"/>
      <c r="X845" s="88"/>
      <c r="Y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Q846" s="88"/>
      <c r="R846" s="88"/>
      <c r="S846" s="88"/>
      <c r="T846" s="88"/>
      <c r="U846" s="88"/>
      <c r="V846" s="88"/>
      <c r="W846" s="88"/>
      <c r="X846" s="88"/>
      <c r="Y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Q847" s="88"/>
      <c r="R847" s="88"/>
      <c r="S847" s="88"/>
      <c r="T847" s="88"/>
      <c r="U847" s="88"/>
      <c r="V847" s="88"/>
      <c r="W847" s="88"/>
      <c r="X847" s="88"/>
      <c r="Y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Q848" s="88"/>
      <c r="R848" s="88"/>
      <c r="S848" s="88"/>
      <c r="T848" s="88"/>
      <c r="U848" s="88"/>
      <c r="V848" s="88"/>
      <c r="W848" s="88"/>
      <c r="X848" s="88"/>
      <c r="Y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Q849" s="88"/>
      <c r="R849" s="88"/>
      <c r="S849" s="88"/>
      <c r="T849" s="88"/>
      <c r="U849" s="88"/>
      <c r="V849" s="88"/>
      <c r="W849" s="88"/>
      <c r="X849" s="88"/>
      <c r="Y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Q850" s="88"/>
      <c r="R850" s="88"/>
      <c r="S850" s="88"/>
      <c r="T850" s="88"/>
      <c r="U850" s="88"/>
      <c r="V850" s="88"/>
      <c r="W850" s="88"/>
      <c r="X850" s="88"/>
      <c r="Y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Q851" s="88"/>
      <c r="R851" s="88"/>
      <c r="S851" s="88"/>
      <c r="T851" s="88"/>
      <c r="U851" s="88"/>
      <c r="V851" s="88"/>
      <c r="W851" s="88"/>
      <c r="X851" s="88"/>
      <c r="Y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Q852" s="88"/>
      <c r="R852" s="88"/>
      <c r="S852" s="88"/>
      <c r="T852" s="88"/>
      <c r="U852" s="88"/>
      <c r="V852" s="88"/>
      <c r="W852" s="88"/>
      <c r="X852" s="88"/>
      <c r="Y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Q853" s="88"/>
      <c r="R853" s="88"/>
      <c r="S853" s="88"/>
      <c r="T853" s="88"/>
      <c r="U853" s="88"/>
      <c r="V853" s="88"/>
      <c r="W853" s="88"/>
      <c r="X853" s="88"/>
      <c r="Y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Q854" s="88"/>
      <c r="R854" s="88"/>
      <c r="S854" s="88"/>
      <c r="T854" s="88"/>
      <c r="U854" s="88"/>
      <c r="V854" s="88"/>
      <c r="W854" s="88"/>
      <c r="X854" s="88"/>
      <c r="Y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Q855" s="88"/>
      <c r="R855" s="88"/>
      <c r="S855" s="88"/>
      <c r="T855" s="88"/>
      <c r="U855" s="88"/>
      <c r="V855" s="88"/>
      <c r="W855" s="88"/>
      <c r="X855" s="88"/>
      <c r="Y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Q856" s="88"/>
      <c r="R856" s="88"/>
      <c r="S856" s="88"/>
      <c r="T856" s="88"/>
      <c r="U856" s="88"/>
      <c r="V856" s="88"/>
      <c r="W856" s="88"/>
      <c r="X856" s="88"/>
      <c r="Y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Q857" s="88"/>
      <c r="R857" s="88"/>
      <c r="S857" s="88"/>
      <c r="T857" s="88"/>
      <c r="U857" s="88"/>
      <c r="V857" s="88"/>
      <c r="W857" s="88"/>
      <c r="X857" s="88"/>
      <c r="Y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Q858" s="88"/>
      <c r="R858" s="88"/>
      <c r="S858" s="88"/>
      <c r="T858" s="88"/>
      <c r="U858" s="88"/>
      <c r="V858" s="88"/>
      <c r="W858" s="88"/>
      <c r="X858" s="88"/>
      <c r="Y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Q859" s="88"/>
      <c r="R859" s="88"/>
      <c r="S859" s="88"/>
      <c r="T859" s="88"/>
      <c r="U859" s="88"/>
      <c r="V859" s="88"/>
      <c r="W859" s="88"/>
      <c r="X859" s="88"/>
      <c r="Y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Q860" s="88"/>
      <c r="R860" s="88"/>
      <c r="S860" s="88"/>
      <c r="T860" s="88"/>
      <c r="U860" s="88"/>
      <c r="V860" s="88"/>
      <c r="W860" s="88"/>
      <c r="X860" s="88"/>
      <c r="Y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Q861" s="88"/>
      <c r="R861" s="88"/>
      <c r="S861" s="88"/>
      <c r="T861" s="88"/>
      <c r="U861" s="88"/>
      <c r="V861" s="88"/>
      <c r="W861" s="88"/>
      <c r="X861" s="88"/>
      <c r="Y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Q862" s="88"/>
      <c r="R862" s="88"/>
      <c r="S862" s="88"/>
      <c r="T862" s="88"/>
      <c r="U862" s="88"/>
      <c r="V862" s="88"/>
      <c r="W862" s="88"/>
      <c r="X862" s="88"/>
      <c r="Y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Q863" s="88"/>
      <c r="R863" s="88"/>
      <c r="S863" s="88"/>
      <c r="T863" s="88"/>
      <c r="U863" s="88"/>
      <c r="V863" s="88"/>
      <c r="W863" s="88"/>
      <c r="X863" s="88"/>
      <c r="Y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Q864" s="88"/>
      <c r="R864" s="88"/>
      <c r="S864" s="88"/>
      <c r="T864" s="88"/>
      <c r="U864" s="88"/>
      <c r="V864" s="88"/>
      <c r="W864" s="88"/>
      <c r="X864" s="88"/>
      <c r="Y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Q865" s="88"/>
      <c r="R865" s="88"/>
      <c r="S865" s="88"/>
      <c r="T865" s="88"/>
      <c r="U865" s="88"/>
      <c r="V865" s="88"/>
      <c r="W865" s="88"/>
      <c r="X865" s="88"/>
      <c r="Y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Q866" s="88"/>
      <c r="R866" s="88"/>
      <c r="S866" s="88"/>
      <c r="T866" s="88"/>
      <c r="U866" s="88"/>
      <c r="V866" s="88"/>
      <c r="W866" s="88"/>
      <c r="X866" s="88"/>
      <c r="Y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Q867" s="88"/>
      <c r="R867" s="88"/>
      <c r="S867" s="88"/>
      <c r="T867" s="88"/>
      <c r="U867" s="88"/>
      <c r="V867" s="88"/>
      <c r="W867" s="88"/>
      <c r="X867" s="88"/>
      <c r="Y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Q868" s="88"/>
      <c r="R868" s="88"/>
      <c r="S868" s="88"/>
      <c r="T868" s="88"/>
      <c r="U868" s="88"/>
      <c r="V868" s="88"/>
      <c r="W868" s="88"/>
      <c r="X868" s="88"/>
      <c r="Y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Q869" s="88"/>
      <c r="R869" s="88"/>
      <c r="S869" s="88"/>
      <c r="T869" s="88"/>
      <c r="U869" s="88"/>
      <c r="V869" s="88"/>
      <c r="W869" s="88"/>
      <c r="X869" s="88"/>
      <c r="Y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Q870" s="88"/>
      <c r="R870" s="88"/>
      <c r="S870" s="88"/>
      <c r="T870" s="88"/>
      <c r="U870" s="88"/>
      <c r="V870" s="88"/>
      <c r="W870" s="88"/>
      <c r="X870" s="88"/>
      <c r="Y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Q871" s="88"/>
      <c r="R871" s="88"/>
      <c r="S871" s="88"/>
      <c r="T871" s="88"/>
      <c r="U871" s="88"/>
      <c r="V871" s="88"/>
      <c r="W871" s="88"/>
      <c r="X871" s="88"/>
      <c r="Y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Q872" s="88"/>
      <c r="R872" s="88"/>
      <c r="S872" s="88"/>
      <c r="T872" s="88"/>
      <c r="U872" s="88"/>
      <c r="V872" s="88"/>
      <c r="W872" s="88"/>
      <c r="X872" s="88"/>
      <c r="Y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Q873" s="88"/>
      <c r="R873" s="88"/>
      <c r="S873" s="88"/>
      <c r="T873" s="88"/>
      <c r="U873" s="88"/>
      <c r="V873" s="88"/>
      <c r="W873" s="88"/>
      <c r="X873" s="88"/>
      <c r="Y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Q874" s="88"/>
      <c r="R874" s="88"/>
      <c r="S874" s="88"/>
      <c r="T874" s="88"/>
      <c r="U874" s="88"/>
      <c r="V874" s="88"/>
      <c r="W874" s="88"/>
      <c r="X874" s="88"/>
      <c r="Y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Q875" s="88"/>
      <c r="R875" s="88"/>
      <c r="S875" s="88"/>
      <c r="T875" s="88"/>
      <c r="U875" s="88"/>
      <c r="V875" s="88"/>
      <c r="W875" s="88"/>
      <c r="X875" s="88"/>
      <c r="Y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Q876" s="88"/>
      <c r="R876" s="88"/>
      <c r="S876" s="88"/>
      <c r="T876" s="88"/>
      <c r="U876" s="88"/>
      <c r="V876" s="88"/>
      <c r="W876" s="88"/>
      <c r="X876" s="88"/>
      <c r="Y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Q877" s="88"/>
      <c r="R877" s="88"/>
      <c r="S877" s="88"/>
      <c r="T877" s="88"/>
      <c r="U877" s="88"/>
      <c r="V877" s="88"/>
      <c r="W877" s="88"/>
      <c r="X877" s="88"/>
      <c r="Y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Q878" s="88"/>
      <c r="R878" s="88"/>
      <c r="S878" s="88"/>
      <c r="T878" s="88"/>
      <c r="U878" s="88"/>
      <c r="V878" s="88"/>
      <c r="W878" s="88"/>
      <c r="X878" s="88"/>
      <c r="Y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Q879" s="88"/>
      <c r="R879" s="88"/>
      <c r="S879" s="88"/>
      <c r="T879" s="88"/>
      <c r="U879" s="88"/>
      <c r="V879" s="88"/>
      <c r="W879" s="88"/>
      <c r="X879" s="88"/>
      <c r="Y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Q880" s="88"/>
      <c r="R880" s="88"/>
      <c r="S880" s="88"/>
      <c r="T880" s="88"/>
      <c r="U880" s="88"/>
      <c r="V880" s="88"/>
      <c r="W880" s="88"/>
      <c r="X880" s="88"/>
      <c r="Y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Q881" s="88"/>
      <c r="R881" s="88"/>
      <c r="S881" s="88"/>
      <c r="T881" s="88"/>
      <c r="U881" s="88"/>
      <c r="V881" s="88"/>
      <c r="W881" s="88"/>
      <c r="X881" s="88"/>
      <c r="Y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Q882" s="88"/>
      <c r="R882" s="88"/>
      <c r="S882" s="88"/>
      <c r="T882" s="88"/>
      <c r="U882" s="88"/>
      <c r="V882" s="88"/>
      <c r="W882" s="88"/>
      <c r="X882" s="88"/>
      <c r="Y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Q883" s="88"/>
      <c r="R883" s="88"/>
      <c r="S883" s="88"/>
      <c r="T883" s="88"/>
      <c r="U883" s="88"/>
      <c r="V883" s="88"/>
      <c r="W883" s="88"/>
      <c r="X883" s="88"/>
      <c r="Y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Q884" s="88"/>
      <c r="R884" s="88"/>
      <c r="S884" s="88"/>
      <c r="T884" s="88"/>
      <c r="U884" s="88"/>
      <c r="V884" s="88"/>
      <c r="W884" s="88"/>
      <c r="X884" s="88"/>
      <c r="Y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Q885" s="88"/>
      <c r="R885" s="88"/>
      <c r="S885" s="88"/>
      <c r="T885" s="88"/>
      <c r="U885" s="88"/>
      <c r="V885" s="88"/>
      <c r="W885" s="88"/>
      <c r="X885" s="88"/>
      <c r="Y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Q886" s="88"/>
      <c r="R886" s="88"/>
      <c r="S886" s="88"/>
      <c r="T886" s="88"/>
      <c r="U886" s="88"/>
      <c r="V886" s="88"/>
      <c r="W886" s="88"/>
      <c r="X886" s="88"/>
      <c r="Y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Q887" s="88"/>
      <c r="R887" s="88"/>
      <c r="S887" s="88"/>
      <c r="T887" s="88"/>
      <c r="U887" s="88"/>
      <c r="V887" s="88"/>
      <c r="W887" s="88"/>
      <c r="X887" s="88"/>
      <c r="Y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Q888" s="88"/>
      <c r="R888" s="88"/>
      <c r="S888" s="88"/>
      <c r="T888" s="88"/>
      <c r="U888" s="88"/>
      <c r="V888" s="88"/>
      <c r="W888" s="88"/>
      <c r="X888" s="88"/>
      <c r="Y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Q889" s="88"/>
      <c r="R889" s="88"/>
      <c r="S889" s="88"/>
      <c r="T889" s="88"/>
      <c r="U889" s="88"/>
      <c r="V889" s="88"/>
      <c r="W889" s="88"/>
      <c r="X889" s="88"/>
      <c r="Y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Q890" s="88"/>
      <c r="R890" s="88"/>
      <c r="S890" s="88"/>
      <c r="T890" s="88"/>
      <c r="U890" s="88"/>
      <c r="V890" s="88"/>
      <c r="W890" s="88"/>
      <c r="X890" s="88"/>
      <c r="Y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Q891" s="88"/>
      <c r="R891" s="88"/>
      <c r="S891" s="88"/>
      <c r="T891" s="88"/>
      <c r="U891" s="88"/>
      <c r="V891" s="88"/>
      <c r="W891" s="88"/>
      <c r="X891" s="88"/>
      <c r="Y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Q892" s="88"/>
      <c r="R892" s="88"/>
      <c r="S892" s="88"/>
      <c r="T892" s="88"/>
      <c r="U892" s="88"/>
      <c r="V892" s="88"/>
      <c r="W892" s="88"/>
      <c r="X892" s="88"/>
      <c r="Y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Q893" s="88"/>
      <c r="R893" s="88"/>
      <c r="S893" s="88"/>
      <c r="T893" s="88"/>
      <c r="U893" s="88"/>
      <c r="V893" s="88"/>
      <c r="W893" s="88"/>
      <c r="X893" s="88"/>
      <c r="Y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Q894" s="88"/>
      <c r="R894" s="88"/>
      <c r="S894" s="88"/>
      <c r="T894" s="88"/>
      <c r="U894" s="88"/>
      <c r="V894" s="88"/>
      <c r="W894" s="88"/>
      <c r="X894" s="88"/>
      <c r="Y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Q895" s="88"/>
      <c r="R895" s="88"/>
      <c r="S895" s="88"/>
      <c r="T895" s="88"/>
      <c r="U895" s="88"/>
      <c r="V895" s="88"/>
      <c r="W895" s="88"/>
      <c r="X895" s="88"/>
      <c r="Y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Q896" s="88"/>
      <c r="R896" s="88"/>
      <c r="S896" s="88"/>
      <c r="T896" s="88"/>
      <c r="U896" s="88"/>
      <c r="V896" s="88"/>
      <c r="W896" s="88"/>
      <c r="X896" s="88"/>
      <c r="Y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Q897" s="88"/>
      <c r="R897" s="88"/>
      <c r="S897" s="88"/>
      <c r="T897" s="88"/>
      <c r="U897" s="88"/>
      <c r="V897" s="88"/>
      <c r="W897" s="88"/>
      <c r="X897" s="88"/>
      <c r="Y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Q898" s="88"/>
      <c r="R898" s="88"/>
      <c r="S898" s="88"/>
      <c r="T898" s="88"/>
      <c r="U898" s="88"/>
      <c r="V898" s="88"/>
      <c r="W898" s="88"/>
      <c r="X898" s="88"/>
      <c r="Y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Q899" s="88"/>
      <c r="R899" s="88"/>
      <c r="S899" s="88"/>
      <c r="T899" s="88"/>
      <c r="U899" s="88"/>
      <c r="V899" s="88"/>
      <c r="W899" s="88"/>
      <c r="X899" s="88"/>
      <c r="Y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Q900" s="88"/>
      <c r="R900" s="88"/>
      <c r="S900" s="88"/>
      <c r="T900" s="88"/>
      <c r="U900" s="88"/>
      <c r="V900" s="88"/>
      <c r="W900" s="88"/>
      <c r="X900" s="88"/>
      <c r="Y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Q901" s="88"/>
      <c r="R901" s="88"/>
      <c r="S901" s="88"/>
      <c r="T901" s="88"/>
      <c r="U901" s="88"/>
      <c r="V901" s="88"/>
      <c r="W901" s="88"/>
      <c r="X901" s="88"/>
      <c r="Y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Q902" s="88"/>
      <c r="R902" s="88"/>
      <c r="S902" s="88"/>
      <c r="T902" s="88"/>
      <c r="U902" s="88"/>
      <c r="V902" s="88"/>
      <c r="W902" s="88"/>
      <c r="X902" s="88"/>
      <c r="Y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Q903" s="88"/>
      <c r="R903" s="88"/>
      <c r="S903" s="88"/>
      <c r="T903" s="88"/>
      <c r="U903" s="88"/>
      <c r="V903" s="88"/>
      <c r="W903" s="88"/>
      <c r="X903" s="88"/>
      <c r="Y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Q904" s="88"/>
      <c r="R904" s="88"/>
      <c r="S904" s="88"/>
      <c r="T904" s="88"/>
      <c r="U904" s="88"/>
      <c r="V904" s="88"/>
      <c r="W904" s="88"/>
      <c r="X904" s="88"/>
      <c r="Y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Q905" s="88"/>
      <c r="R905" s="88"/>
      <c r="S905" s="88"/>
      <c r="T905" s="88"/>
      <c r="U905" s="88"/>
      <c r="V905" s="88"/>
      <c r="W905" s="88"/>
      <c r="X905" s="88"/>
      <c r="Y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Q906" s="88"/>
      <c r="R906" s="88"/>
      <c r="S906" s="88"/>
      <c r="T906" s="88"/>
      <c r="U906" s="88"/>
      <c r="V906" s="88"/>
      <c r="W906" s="88"/>
      <c r="X906" s="88"/>
      <c r="Y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Q907" s="88"/>
      <c r="R907" s="88"/>
      <c r="S907" s="88"/>
      <c r="T907" s="88"/>
      <c r="U907" s="88"/>
      <c r="V907" s="88"/>
      <c r="W907" s="88"/>
      <c r="X907" s="88"/>
      <c r="Y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Q908" s="88"/>
      <c r="R908" s="88"/>
      <c r="S908" s="88"/>
      <c r="T908" s="88"/>
      <c r="U908" s="88"/>
      <c r="V908" s="88"/>
      <c r="W908" s="88"/>
      <c r="X908" s="88"/>
      <c r="Y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Q909" s="88"/>
      <c r="R909" s="88"/>
      <c r="S909" s="88"/>
      <c r="T909" s="88"/>
      <c r="U909" s="88"/>
      <c r="V909" s="88"/>
      <c r="W909" s="88"/>
      <c r="X909" s="88"/>
      <c r="Y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Q910" s="88"/>
      <c r="R910" s="88"/>
      <c r="S910" s="88"/>
      <c r="T910" s="88"/>
      <c r="U910" s="88"/>
      <c r="V910" s="88"/>
      <c r="W910" s="88"/>
      <c r="X910" s="88"/>
      <c r="Y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Q911" s="88"/>
      <c r="R911" s="88"/>
      <c r="S911" s="88"/>
      <c r="T911" s="88"/>
      <c r="U911" s="88"/>
      <c r="V911" s="88"/>
      <c r="W911" s="88"/>
      <c r="X911" s="88"/>
      <c r="Y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Q912" s="88"/>
      <c r="R912" s="88"/>
      <c r="S912" s="88"/>
      <c r="T912" s="88"/>
      <c r="U912" s="88"/>
      <c r="V912" s="88"/>
      <c r="W912" s="88"/>
      <c r="X912" s="88"/>
      <c r="Y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Q913" s="88"/>
      <c r="R913" s="88"/>
      <c r="S913" s="88"/>
      <c r="T913" s="88"/>
      <c r="U913" s="88"/>
      <c r="V913" s="88"/>
      <c r="W913" s="88"/>
      <c r="X913" s="88"/>
      <c r="Y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Q914" s="88"/>
      <c r="R914" s="88"/>
      <c r="S914" s="88"/>
      <c r="T914" s="88"/>
      <c r="U914" s="88"/>
      <c r="V914" s="88"/>
      <c r="W914" s="88"/>
      <c r="X914" s="88"/>
      <c r="Y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Q915" s="88"/>
      <c r="R915" s="88"/>
      <c r="S915" s="88"/>
      <c r="T915" s="88"/>
      <c r="U915" s="88"/>
      <c r="V915" s="88"/>
      <c r="W915" s="88"/>
      <c r="X915" s="88"/>
      <c r="Y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Q916" s="88"/>
      <c r="R916" s="88"/>
      <c r="S916" s="88"/>
      <c r="T916" s="88"/>
      <c r="U916" s="88"/>
      <c r="V916" s="88"/>
      <c r="W916" s="88"/>
      <c r="X916" s="88"/>
      <c r="Y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Q917" s="88"/>
      <c r="R917" s="88"/>
      <c r="S917" s="88"/>
      <c r="T917" s="88"/>
      <c r="U917" s="88"/>
      <c r="V917" s="88"/>
      <c r="W917" s="88"/>
      <c r="X917" s="88"/>
      <c r="Y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Q918" s="88"/>
      <c r="R918" s="88"/>
      <c r="S918" s="88"/>
      <c r="T918" s="88"/>
      <c r="U918" s="88"/>
      <c r="V918" s="88"/>
      <c r="W918" s="88"/>
      <c r="X918" s="88"/>
      <c r="Y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Q919" s="88"/>
      <c r="R919" s="88"/>
      <c r="S919" s="88"/>
      <c r="T919" s="88"/>
      <c r="U919" s="88"/>
      <c r="V919" s="88"/>
      <c r="W919" s="88"/>
      <c r="X919" s="88"/>
      <c r="Y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Q920" s="88"/>
      <c r="R920" s="88"/>
      <c r="S920" s="88"/>
      <c r="T920" s="88"/>
      <c r="U920" s="88"/>
      <c r="V920" s="88"/>
      <c r="W920" s="88"/>
      <c r="X920" s="88"/>
      <c r="Y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Q921" s="88"/>
      <c r="R921" s="88"/>
      <c r="S921" s="88"/>
      <c r="T921" s="88"/>
      <c r="U921" s="88"/>
      <c r="V921" s="88"/>
      <c r="W921" s="88"/>
      <c r="X921" s="88"/>
      <c r="Y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Q922" s="88"/>
      <c r="R922" s="88"/>
      <c r="S922" s="88"/>
      <c r="T922" s="88"/>
      <c r="U922" s="88"/>
      <c r="V922" s="88"/>
      <c r="W922" s="88"/>
      <c r="X922" s="88"/>
      <c r="Y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Q923" s="88"/>
      <c r="R923" s="88"/>
      <c r="S923" s="88"/>
      <c r="T923" s="88"/>
      <c r="U923" s="88"/>
      <c r="V923" s="88"/>
      <c r="W923" s="88"/>
      <c r="X923" s="88"/>
      <c r="Y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Q924" s="88"/>
      <c r="R924" s="88"/>
      <c r="S924" s="88"/>
      <c r="T924" s="88"/>
      <c r="U924" s="88"/>
      <c r="V924" s="88"/>
      <c r="W924" s="88"/>
      <c r="X924" s="88"/>
      <c r="Y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Q925" s="88"/>
      <c r="R925" s="88"/>
      <c r="S925" s="88"/>
      <c r="T925" s="88"/>
      <c r="U925" s="88"/>
      <c r="V925" s="88"/>
      <c r="W925" s="88"/>
      <c r="X925" s="88"/>
      <c r="Y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Q926" s="88"/>
      <c r="R926" s="88"/>
      <c r="S926" s="88"/>
      <c r="T926" s="88"/>
      <c r="U926" s="88"/>
      <c r="V926" s="88"/>
      <c r="W926" s="88"/>
      <c r="X926" s="88"/>
      <c r="Y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Q927" s="88"/>
      <c r="R927" s="88"/>
      <c r="S927" s="88"/>
      <c r="T927" s="88"/>
      <c r="U927" s="88"/>
      <c r="V927" s="88"/>
      <c r="W927" s="88"/>
      <c r="X927" s="88"/>
      <c r="Y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Q928" s="88"/>
      <c r="R928" s="88"/>
      <c r="S928" s="88"/>
      <c r="T928" s="88"/>
      <c r="U928" s="88"/>
      <c r="V928" s="88"/>
      <c r="W928" s="88"/>
      <c r="X928" s="88"/>
      <c r="Y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Q929" s="88"/>
      <c r="R929" s="88"/>
      <c r="S929" s="88"/>
      <c r="T929" s="88"/>
      <c r="U929" s="88"/>
      <c r="V929" s="88"/>
      <c r="W929" s="88"/>
      <c r="X929" s="88"/>
      <c r="Y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Q930" s="88"/>
      <c r="R930" s="88"/>
      <c r="S930" s="88"/>
      <c r="T930" s="88"/>
      <c r="U930" s="88"/>
      <c r="V930" s="88"/>
      <c r="W930" s="88"/>
      <c r="X930" s="88"/>
      <c r="Y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Q931" s="88"/>
      <c r="R931" s="88"/>
      <c r="S931" s="88"/>
      <c r="T931" s="88"/>
      <c r="U931" s="88"/>
      <c r="V931" s="88"/>
      <c r="W931" s="88"/>
      <c r="X931" s="88"/>
      <c r="Y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Q932" s="88"/>
      <c r="R932" s="88"/>
      <c r="S932" s="88"/>
      <c r="T932" s="88"/>
      <c r="U932" s="88"/>
      <c r="V932" s="88"/>
      <c r="W932" s="88"/>
      <c r="X932" s="88"/>
      <c r="Y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Q933" s="88"/>
      <c r="R933" s="88"/>
      <c r="S933" s="88"/>
      <c r="T933" s="88"/>
      <c r="U933" s="88"/>
      <c r="V933" s="88"/>
      <c r="W933" s="88"/>
      <c r="X933" s="88"/>
      <c r="Y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Q934" s="88"/>
      <c r="R934" s="88"/>
      <c r="S934" s="88"/>
      <c r="T934" s="88"/>
      <c r="U934" s="88"/>
      <c r="V934" s="88"/>
      <c r="W934" s="88"/>
      <c r="X934" s="88"/>
      <c r="Y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Q935" s="88"/>
      <c r="R935" s="88"/>
      <c r="S935" s="88"/>
      <c r="T935" s="88"/>
      <c r="U935" s="88"/>
      <c r="V935" s="88"/>
      <c r="W935" s="88"/>
      <c r="X935" s="88"/>
      <c r="Y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Q936" s="88"/>
      <c r="R936" s="88"/>
      <c r="S936" s="88"/>
      <c r="T936" s="88"/>
      <c r="U936" s="88"/>
      <c r="V936" s="88"/>
      <c r="W936" s="88"/>
      <c r="X936" s="88"/>
      <c r="Y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Q937" s="88"/>
      <c r="R937" s="88"/>
      <c r="S937" s="88"/>
      <c r="T937" s="88"/>
      <c r="U937" s="88"/>
      <c r="V937" s="88"/>
      <c r="W937" s="88"/>
      <c r="X937" s="88"/>
      <c r="Y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Q938" s="88"/>
      <c r="R938" s="88"/>
      <c r="S938" s="88"/>
      <c r="T938" s="88"/>
      <c r="U938" s="88"/>
      <c r="V938" s="88"/>
      <c r="W938" s="88"/>
      <c r="X938" s="88"/>
      <c r="Y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Q939" s="88"/>
      <c r="R939" s="88"/>
      <c r="S939" s="88"/>
      <c r="T939" s="88"/>
      <c r="U939" s="88"/>
      <c r="V939" s="88"/>
      <c r="W939" s="88"/>
      <c r="X939" s="88"/>
      <c r="Y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Q940" s="88"/>
      <c r="R940" s="88"/>
      <c r="S940" s="88"/>
      <c r="T940" s="88"/>
      <c r="U940" s="88"/>
      <c r="V940" s="88"/>
      <c r="W940" s="88"/>
      <c r="X940" s="88"/>
      <c r="Y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Q941" s="88"/>
      <c r="R941" s="88"/>
      <c r="S941" s="88"/>
      <c r="T941" s="88"/>
      <c r="U941" s="88"/>
      <c r="V941" s="88"/>
      <c r="W941" s="88"/>
      <c r="X941" s="88"/>
      <c r="Y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Q942" s="88"/>
      <c r="R942" s="88"/>
      <c r="S942" s="88"/>
      <c r="T942" s="88"/>
      <c r="U942" s="88"/>
      <c r="V942" s="88"/>
      <c r="W942" s="88"/>
      <c r="X942" s="88"/>
      <c r="Y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Q943" s="88"/>
      <c r="R943" s="88"/>
      <c r="S943" s="88"/>
      <c r="T943" s="88"/>
      <c r="U943" s="88"/>
      <c r="V943" s="88"/>
      <c r="W943" s="88"/>
      <c r="X943" s="88"/>
      <c r="Y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Q944" s="88"/>
      <c r="R944" s="88"/>
      <c r="S944" s="88"/>
      <c r="T944" s="88"/>
      <c r="U944" s="88"/>
      <c r="V944" s="88"/>
      <c r="W944" s="88"/>
      <c r="X944" s="88"/>
      <c r="Y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Q945" s="88"/>
      <c r="R945" s="88"/>
      <c r="S945" s="88"/>
      <c r="T945" s="88"/>
      <c r="U945" s="88"/>
      <c r="V945" s="88"/>
      <c r="W945" s="88"/>
      <c r="X945" s="88"/>
      <c r="Y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Q946" s="88"/>
      <c r="R946" s="88"/>
      <c r="S946" s="88"/>
      <c r="T946" s="88"/>
      <c r="U946" s="88"/>
      <c r="V946" s="88"/>
      <c r="W946" s="88"/>
      <c r="X946" s="88"/>
      <c r="Y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Q947" s="88"/>
      <c r="R947" s="88"/>
      <c r="S947" s="88"/>
      <c r="T947" s="88"/>
      <c r="U947" s="88"/>
      <c r="V947" s="88"/>
      <c r="W947" s="88"/>
      <c r="X947" s="88"/>
      <c r="Y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Q948" s="88"/>
      <c r="R948" s="88"/>
      <c r="S948" s="88"/>
      <c r="T948" s="88"/>
      <c r="U948" s="88"/>
      <c r="V948" s="88"/>
      <c r="W948" s="88"/>
      <c r="X948" s="88"/>
      <c r="Y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Q949" s="88"/>
      <c r="R949" s="88"/>
      <c r="S949" s="88"/>
      <c r="T949" s="88"/>
      <c r="U949" s="88"/>
      <c r="V949" s="88"/>
      <c r="W949" s="88"/>
      <c r="X949" s="88"/>
      <c r="Y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Q950" s="88"/>
      <c r="R950" s="88"/>
      <c r="S950" s="88"/>
      <c r="T950" s="88"/>
      <c r="U950" s="88"/>
      <c r="V950" s="88"/>
      <c r="W950" s="88"/>
      <c r="X950" s="88"/>
      <c r="Y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Q951" s="88"/>
      <c r="R951" s="88"/>
      <c r="S951" s="88"/>
      <c r="T951" s="88"/>
      <c r="U951" s="88"/>
      <c r="V951" s="88"/>
      <c r="W951" s="88"/>
      <c r="X951" s="88"/>
      <c r="Y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Q952" s="88"/>
      <c r="R952" s="88"/>
      <c r="S952" s="88"/>
      <c r="T952" s="88"/>
      <c r="U952" s="88"/>
      <c r="V952" s="88"/>
      <c r="W952" s="88"/>
      <c r="X952" s="88"/>
      <c r="Y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Q953" s="88"/>
      <c r="R953" s="88"/>
      <c r="S953" s="88"/>
      <c r="T953" s="88"/>
      <c r="U953" s="88"/>
      <c r="V953" s="88"/>
      <c r="W953" s="88"/>
      <c r="X953" s="88"/>
      <c r="Y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Q954" s="88"/>
      <c r="R954" s="88"/>
      <c r="S954" s="88"/>
      <c r="T954" s="88"/>
      <c r="U954" s="88"/>
      <c r="V954" s="88"/>
      <c r="W954" s="88"/>
      <c r="X954" s="88"/>
      <c r="Y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Q955" s="88"/>
      <c r="R955" s="88"/>
      <c r="S955" s="88"/>
      <c r="T955" s="88"/>
      <c r="U955" s="88"/>
      <c r="V955" s="88"/>
      <c r="W955" s="88"/>
      <c r="X955" s="88"/>
      <c r="Y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Q956" s="88"/>
      <c r="R956" s="88"/>
      <c r="S956" s="88"/>
      <c r="T956" s="88"/>
      <c r="U956" s="88"/>
      <c r="V956" s="88"/>
      <c r="W956" s="88"/>
      <c r="X956" s="88"/>
      <c r="Y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Q957" s="88"/>
      <c r="R957" s="88"/>
      <c r="S957" s="88"/>
      <c r="T957" s="88"/>
      <c r="U957" s="88"/>
      <c r="V957" s="88"/>
      <c r="W957" s="88"/>
      <c r="X957" s="88"/>
      <c r="Y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Q958" s="88"/>
      <c r="R958" s="88"/>
      <c r="S958" s="88"/>
      <c r="T958" s="88"/>
      <c r="U958" s="88"/>
      <c r="V958" s="88"/>
      <c r="W958" s="88"/>
      <c r="X958" s="88"/>
      <c r="Y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Q959" s="88"/>
      <c r="R959" s="88"/>
      <c r="S959" s="88"/>
      <c r="T959" s="88"/>
      <c r="U959" s="88"/>
      <c r="V959" s="88"/>
      <c r="W959" s="88"/>
      <c r="X959" s="88"/>
      <c r="Y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Q960" s="88"/>
      <c r="R960" s="88"/>
      <c r="S960" s="88"/>
      <c r="T960" s="88"/>
      <c r="U960" s="88"/>
      <c r="V960" s="88"/>
      <c r="W960" s="88"/>
      <c r="X960" s="88"/>
      <c r="Y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Q961" s="88"/>
      <c r="R961" s="88"/>
      <c r="S961" s="88"/>
      <c r="T961" s="88"/>
      <c r="U961" s="88"/>
      <c r="V961" s="88"/>
      <c r="W961" s="88"/>
      <c r="X961" s="88"/>
      <c r="Y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Q962" s="88"/>
      <c r="R962" s="88"/>
      <c r="S962" s="88"/>
      <c r="T962" s="88"/>
      <c r="U962" s="88"/>
      <c r="V962" s="88"/>
      <c r="W962" s="88"/>
      <c r="X962" s="88"/>
      <c r="Y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Q963" s="88"/>
      <c r="R963" s="88"/>
      <c r="S963" s="88"/>
      <c r="T963" s="88"/>
      <c r="U963" s="88"/>
      <c r="V963" s="88"/>
      <c r="W963" s="88"/>
      <c r="X963" s="88"/>
      <c r="Y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Q964" s="88"/>
      <c r="R964" s="88"/>
      <c r="S964" s="88"/>
      <c r="T964" s="88"/>
      <c r="U964" s="88"/>
      <c r="V964" s="88"/>
      <c r="W964" s="88"/>
      <c r="X964" s="88"/>
      <c r="Y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Q965" s="88"/>
      <c r="R965" s="88"/>
      <c r="S965" s="88"/>
      <c r="T965" s="88"/>
      <c r="U965" s="88"/>
      <c r="V965" s="88"/>
      <c r="W965" s="88"/>
      <c r="X965" s="88"/>
      <c r="Y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Q966" s="88"/>
      <c r="R966" s="88"/>
      <c r="S966" s="88"/>
      <c r="T966" s="88"/>
      <c r="U966" s="88"/>
      <c r="V966" s="88"/>
      <c r="W966" s="88"/>
      <c r="X966" s="88"/>
      <c r="Y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Q967" s="88"/>
      <c r="R967" s="88"/>
      <c r="S967" s="88"/>
      <c r="T967" s="88"/>
      <c r="U967" s="88"/>
      <c r="V967" s="88"/>
      <c r="W967" s="88"/>
      <c r="X967" s="88"/>
      <c r="Y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Q968" s="88"/>
      <c r="R968" s="88"/>
      <c r="S968" s="88"/>
      <c r="T968" s="88"/>
      <c r="U968" s="88"/>
      <c r="V968" s="88"/>
      <c r="W968" s="88"/>
      <c r="X968" s="88"/>
      <c r="Y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Q969" s="88"/>
      <c r="R969" s="88"/>
      <c r="S969" s="88"/>
      <c r="T969" s="88"/>
      <c r="U969" s="88"/>
      <c r="V969" s="88"/>
      <c r="W969" s="88"/>
      <c r="X969" s="88"/>
      <c r="Y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Q970" s="88"/>
      <c r="R970" s="88"/>
      <c r="S970" s="88"/>
      <c r="T970" s="88"/>
      <c r="U970" s="88"/>
      <c r="V970" s="88"/>
      <c r="W970" s="88"/>
      <c r="X970" s="88"/>
      <c r="Y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Q971" s="88"/>
      <c r="R971" s="88"/>
      <c r="S971" s="88"/>
      <c r="T971" s="88"/>
      <c r="U971" s="88"/>
      <c r="V971" s="88"/>
      <c r="W971" s="88"/>
      <c r="X971" s="88"/>
      <c r="Y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Q972" s="88"/>
      <c r="R972" s="88"/>
      <c r="S972" s="88"/>
      <c r="T972" s="88"/>
      <c r="U972" s="88"/>
      <c r="V972" s="88"/>
      <c r="W972" s="88"/>
      <c r="X972" s="88"/>
      <c r="Y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Q973" s="88"/>
      <c r="R973" s="88"/>
      <c r="S973" s="88"/>
      <c r="T973" s="88"/>
      <c r="U973" s="88"/>
      <c r="V973" s="88"/>
      <c r="W973" s="88"/>
      <c r="X973" s="88"/>
      <c r="Y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Q974" s="88"/>
      <c r="R974" s="88"/>
      <c r="S974" s="88"/>
      <c r="T974" s="88"/>
      <c r="U974" s="88"/>
      <c r="V974" s="88"/>
      <c r="W974" s="88"/>
      <c r="X974" s="88"/>
      <c r="Y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Q975" s="88"/>
      <c r="R975" s="88"/>
      <c r="S975" s="88"/>
      <c r="T975" s="88"/>
      <c r="U975" s="88"/>
      <c r="V975" s="88"/>
      <c r="W975" s="88"/>
      <c r="X975" s="88"/>
      <c r="Y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Q976" s="88"/>
      <c r="R976" s="88"/>
      <c r="S976" s="88"/>
      <c r="T976" s="88"/>
      <c r="U976" s="88"/>
      <c r="V976" s="88"/>
      <c r="W976" s="88"/>
      <c r="X976" s="88"/>
      <c r="Y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Q977" s="88"/>
      <c r="R977" s="88"/>
      <c r="S977" s="88"/>
      <c r="T977" s="88"/>
      <c r="U977" s="88"/>
      <c r="V977" s="88"/>
      <c r="W977" s="88"/>
      <c r="X977" s="88"/>
      <c r="Y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Q978" s="88"/>
      <c r="R978" s="88"/>
      <c r="S978" s="88"/>
      <c r="T978" s="88"/>
      <c r="U978" s="88"/>
      <c r="V978" s="88"/>
      <c r="W978" s="88"/>
      <c r="X978" s="88"/>
      <c r="Y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Q979" s="88"/>
      <c r="R979" s="88"/>
      <c r="S979" s="88"/>
      <c r="T979" s="88"/>
      <c r="U979" s="88"/>
      <c r="V979" s="88"/>
      <c r="W979" s="88"/>
      <c r="X979" s="88"/>
      <c r="Y979" s="88"/>
    </row>
    <row r="980">
      <c r="A980" s="140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Q980" s="88"/>
      <c r="R980" s="88"/>
      <c r="S980" s="88"/>
      <c r="T980" s="88"/>
      <c r="U980" s="88"/>
      <c r="V980" s="88"/>
      <c r="W980" s="88"/>
      <c r="X980" s="88"/>
      <c r="Y980" s="88"/>
    </row>
    <row r="981">
      <c r="Q981" s="88"/>
      <c r="R981" s="88"/>
      <c r="S981" s="88"/>
      <c r="T981" s="88"/>
      <c r="U981" s="88"/>
      <c r="V981" s="88"/>
      <c r="W981" s="88"/>
      <c r="X981" s="88"/>
      <c r="Y981" s="88"/>
    </row>
    <row r="982">
      <c r="Q982" s="88"/>
      <c r="R982" s="88"/>
      <c r="S982" s="88"/>
      <c r="T982" s="88"/>
      <c r="U982" s="88"/>
      <c r="V982" s="88"/>
      <c r="W982" s="88"/>
      <c r="X982" s="88"/>
      <c r="Y982" s="88"/>
    </row>
    <row r="983">
      <c r="Q983" s="88"/>
      <c r="R983" s="88"/>
      <c r="S983" s="88"/>
      <c r="T983" s="88"/>
      <c r="U983" s="88"/>
      <c r="V983" s="88"/>
      <c r="W983" s="88"/>
      <c r="X983" s="88"/>
      <c r="Y983" s="88"/>
    </row>
    <row r="984">
      <c r="Q984" s="88"/>
      <c r="R984" s="88"/>
      <c r="S984" s="88"/>
      <c r="T984" s="88"/>
      <c r="U984" s="88"/>
      <c r="V984" s="88"/>
      <c r="W984" s="88"/>
      <c r="X984" s="88"/>
      <c r="Y984" s="88"/>
    </row>
    <row r="985">
      <c r="Q985" s="88"/>
      <c r="R985" s="88"/>
      <c r="S985" s="88"/>
      <c r="T985" s="88"/>
      <c r="U985" s="88"/>
      <c r="V985" s="88"/>
      <c r="W985" s="88"/>
      <c r="X985" s="88"/>
      <c r="Y985" s="88"/>
    </row>
    <row r="986">
      <c r="Q986" s="88"/>
      <c r="R986" s="88"/>
      <c r="S986" s="88"/>
      <c r="T986" s="88"/>
      <c r="U986" s="88"/>
      <c r="V986" s="88"/>
      <c r="W986" s="88"/>
      <c r="X986" s="88"/>
      <c r="Y986" s="88"/>
    </row>
    <row r="987">
      <c r="Q987" s="88"/>
      <c r="R987" s="88"/>
      <c r="S987" s="88"/>
      <c r="T987" s="88"/>
      <c r="U987" s="88"/>
      <c r="V987" s="88"/>
      <c r="W987" s="88"/>
      <c r="X987" s="88"/>
      <c r="Y987" s="88"/>
    </row>
    <row r="988">
      <c r="Q988" s="88"/>
      <c r="R988" s="88"/>
      <c r="S988" s="88"/>
      <c r="T988" s="88"/>
      <c r="U988" s="88"/>
      <c r="V988" s="88"/>
      <c r="W988" s="88"/>
      <c r="X988" s="88"/>
      <c r="Y988" s="88"/>
    </row>
    <row r="989">
      <c r="Q989" s="88"/>
      <c r="R989" s="88"/>
      <c r="S989" s="88"/>
      <c r="T989" s="88"/>
      <c r="U989" s="88"/>
      <c r="V989" s="88"/>
      <c r="W989" s="88"/>
      <c r="X989" s="88"/>
      <c r="Y989" s="88"/>
    </row>
    <row r="990">
      <c r="Q990" s="88"/>
      <c r="R990" s="88"/>
      <c r="S990" s="88"/>
      <c r="T990" s="88"/>
      <c r="U990" s="88"/>
      <c r="V990" s="88"/>
      <c r="W990" s="88"/>
      <c r="X990" s="88"/>
      <c r="Y990" s="88"/>
    </row>
    <row r="991">
      <c r="Q991" s="88"/>
      <c r="R991" s="88"/>
      <c r="S991" s="88"/>
      <c r="T991" s="88"/>
      <c r="U991" s="88"/>
      <c r="V991" s="88"/>
      <c r="W991" s="88"/>
      <c r="X991" s="88"/>
      <c r="Y991" s="88"/>
    </row>
    <row r="992">
      <c r="Q992" s="88"/>
      <c r="R992" s="88"/>
      <c r="S992" s="88"/>
      <c r="T992" s="88"/>
      <c r="U992" s="88"/>
      <c r="V992" s="88"/>
      <c r="W992" s="88"/>
      <c r="X992" s="88"/>
      <c r="Y992" s="88"/>
    </row>
    <row r="993">
      <c r="Q993" s="88"/>
      <c r="R993" s="88"/>
      <c r="S993" s="88"/>
      <c r="T993" s="88"/>
      <c r="U993" s="88"/>
      <c r="V993" s="88"/>
      <c r="W993" s="88"/>
      <c r="X993" s="88"/>
      <c r="Y993" s="88"/>
    </row>
    <row r="994">
      <c r="Q994" s="88"/>
      <c r="R994" s="88"/>
      <c r="S994" s="88"/>
      <c r="T994" s="88"/>
      <c r="U994" s="88"/>
      <c r="V994" s="88"/>
      <c r="W994" s="88"/>
      <c r="X994" s="88"/>
      <c r="Y994" s="88"/>
    </row>
    <row r="995">
      <c r="Q995" s="88"/>
      <c r="R995" s="88"/>
      <c r="S995" s="88"/>
      <c r="T995" s="88"/>
      <c r="U995" s="88"/>
      <c r="V995" s="88"/>
      <c r="W995" s="88"/>
      <c r="X995" s="88"/>
      <c r="Y995" s="88"/>
    </row>
    <row r="996">
      <c r="Q996" s="88"/>
      <c r="R996" s="88"/>
      <c r="S996" s="88"/>
      <c r="T996" s="88"/>
      <c r="U996" s="88"/>
      <c r="V996" s="88"/>
      <c r="W996" s="88"/>
      <c r="X996" s="88"/>
      <c r="Y996" s="88"/>
    </row>
    <row r="997">
      <c r="Q997" s="88"/>
      <c r="R997" s="88"/>
      <c r="S997" s="88"/>
      <c r="T997" s="88"/>
      <c r="U997" s="88"/>
      <c r="V997" s="88"/>
      <c r="W997" s="88"/>
      <c r="X997" s="88"/>
      <c r="Y997" s="88"/>
    </row>
    <row r="998">
      <c r="Q998" s="88"/>
      <c r="R998" s="88"/>
      <c r="S998" s="88"/>
      <c r="T998" s="88"/>
      <c r="U998" s="88"/>
      <c r="V998" s="88"/>
      <c r="W998" s="88"/>
      <c r="X998" s="88"/>
      <c r="Y998" s="88"/>
    </row>
    <row r="999">
      <c r="Q999" s="88"/>
      <c r="R999" s="88"/>
      <c r="S999" s="88"/>
      <c r="T999" s="88"/>
      <c r="U999" s="88"/>
      <c r="V999" s="88"/>
      <c r="W999" s="88"/>
      <c r="X999" s="88"/>
      <c r="Y999" s="88"/>
    </row>
    <row r="1000">
      <c r="Q1000" s="88"/>
      <c r="R1000" s="88"/>
      <c r="S1000" s="88"/>
      <c r="T1000" s="88"/>
      <c r="U1000" s="88"/>
      <c r="V1000" s="88"/>
      <c r="W1000" s="88"/>
      <c r="X1000" s="88"/>
      <c r="Y1000" s="88"/>
    </row>
    <row r="1001">
      <c r="Q1001" s="88"/>
      <c r="R1001" s="88"/>
      <c r="S1001" s="88"/>
      <c r="T1001" s="88"/>
      <c r="U1001" s="88"/>
      <c r="V1001" s="88"/>
      <c r="W1001" s="88"/>
      <c r="X1001" s="88"/>
      <c r="Y1001" s="88"/>
    </row>
    <row r="1002">
      <c r="Q1002" s="88"/>
      <c r="R1002" s="88"/>
      <c r="S1002" s="88"/>
      <c r="T1002" s="88"/>
      <c r="U1002" s="88"/>
      <c r="V1002" s="88"/>
      <c r="W1002" s="88"/>
      <c r="X1002" s="88"/>
      <c r="Y1002" s="88"/>
    </row>
    <row r="1003">
      <c r="Q1003" s="88"/>
      <c r="R1003" s="88"/>
      <c r="S1003" s="88"/>
      <c r="T1003" s="88"/>
      <c r="U1003" s="88"/>
      <c r="V1003" s="88"/>
      <c r="W1003" s="88"/>
      <c r="X1003" s="88"/>
      <c r="Y1003" s="88"/>
    </row>
    <row r="1004">
      <c r="Q1004" s="88"/>
      <c r="R1004" s="88"/>
      <c r="S1004" s="88"/>
      <c r="T1004" s="88"/>
      <c r="U1004" s="88"/>
      <c r="V1004" s="88"/>
      <c r="W1004" s="88"/>
      <c r="X1004" s="88"/>
      <c r="Y1004" s="88"/>
    </row>
    <row r="1005">
      <c r="Q1005" s="88"/>
      <c r="R1005" s="88"/>
      <c r="S1005" s="88"/>
      <c r="T1005" s="88"/>
      <c r="U1005" s="88"/>
      <c r="V1005" s="88"/>
      <c r="W1005" s="88"/>
      <c r="X1005" s="88"/>
      <c r="Y1005" s="88"/>
    </row>
    <row r="1006">
      <c r="Q1006" s="88"/>
      <c r="R1006" s="88"/>
      <c r="S1006" s="88"/>
      <c r="T1006" s="88"/>
      <c r="U1006" s="88"/>
      <c r="V1006" s="88"/>
      <c r="W1006" s="88"/>
      <c r="X1006" s="88"/>
      <c r="Y1006" s="88"/>
    </row>
    <row r="1007">
      <c r="Q1007" s="88"/>
      <c r="R1007" s="88"/>
      <c r="S1007" s="88"/>
      <c r="T1007" s="88"/>
      <c r="U1007" s="88"/>
      <c r="V1007" s="88"/>
      <c r="W1007" s="88"/>
      <c r="X1007" s="88"/>
      <c r="Y1007" s="88"/>
    </row>
    <row r="1008">
      <c r="Q1008" s="88"/>
      <c r="R1008" s="88"/>
      <c r="S1008" s="88"/>
      <c r="T1008" s="88"/>
      <c r="U1008" s="88"/>
      <c r="V1008" s="88"/>
      <c r="W1008" s="88"/>
      <c r="X1008" s="88"/>
      <c r="Y1008" s="88"/>
    </row>
    <row r="1009">
      <c r="Q1009" s="88"/>
      <c r="R1009" s="88"/>
      <c r="S1009" s="88"/>
      <c r="T1009" s="88"/>
      <c r="U1009" s="88"/>
      <c r="V1009" s="88"/>
      <c r="W1009" s="88"/>
      <c r="X1009" s="88"/>
      <c r="Y1009" s="88"/>
    </row>
    <row r="1010">
      <c r="Q1010" s="88"/>
      <c r="R1010" s="88"/>
      <c r="S1010" s="88"/>
      <c r="T1010" s="88"/>
      <c r="U1010" s="88"/>
      <c r="V1010" s="88"/>
      <c r="W1010" s="88"/>
      <c r="X1010" s="88"/>
      <c r="Y1010" s="88"/>
    </row>
    <row r="1011">
      <c r="Q1011" s="88"/>
      <c r="R1011" s="88"/>
      <c r="S1011" s="88"/>
      <c r="T1011" s="88"/>
      <c r="U1011" s="88"/>
      <c r="V1011" s="88"/>
      <c r="W1011" s="88"/>
      <c r="X1011" s="88"/>
      <c r="Y1011" s="88"/>
    </row>
    <row r="1012">
      <c r="Q1012" s="88"/>
      <c r="R1012" s="88"/>
      <c r="S1012" s="88"/>
      <c r="T1012" s="88"/>
      <c r="U1012" s="88"/>
      <c r="V1012" s="88"/>
      <c r="W1012" s="88"/>
      <c r="X1012" s="88"/>
      <c r="Y1012" s="88"/>
    </row>
    <row r="1013">
      <c r="Q1013" s="88"/>
      <c r="R1013" s="88"/>
      <c r="S1013" s="88"/>
      <c r="T1013" s="88"/>
      <c r="U1013" s="88"/>
      <c r="V1013" s="88"/>
      <c r="W1013" s="88"/>
      <c r="X1013" s="88"/>
      <c r="Y1013" s="88"/>
    </row>
    <row r="1014">
      <c r="Q1014" s="88"/>
      <c r="R1014" s="88"/>
      <c r="S1014" s="88"/>
      <c r="T1014" s="88"/>
      <c r="U1014" s="88"/>
      <c r="V1014" s="88"/>
      <c r="W1014" s="88"/>
      <c r="X1014" s="88"/>
      <c r="Y1014" s="88"/>
    </row>
    <row r="1015">
      <c r="Q1015" s="88"/>
      <c r="R1015" s="88"/>
      <c r="S1015" s="88"/>
      <c r="T1015" s="88"/>
      <c r="U1015" s="88"/>
      <c r="V1015" s="88"/>
      <c r="W1015" s="88"/>
      <c r="X1015" s="88"/>
      <c r="Y1015" s="88"/>
    </row>
  </sheetData>
  <mergeCells count="1">
    <mergeCell ref="A1:F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21">
        <f>SUMIFS($G$13:$G962, $E$13:$E962, "Rachel", $H$13:$H962, 1)-SUMIFS($G$13:$G962, $E$13:$E962, "Timothy", $I$13:$I962, 1)</f>
        <v>-43.2661</v>
      </c>
      <c r="J3" s="21">
        <f>SUMIFS($G$13:$G962, $E$13:$E962, "BL", $H$13:$H962, 1)-SUMIFS($G$13:$G962, $E$13:$E962, "Timothy", $J$13:$J962, 1)</f>
        <v>-36.08067143</v>
      </c>
      <c r="K3" s="184">
        <f>SUMIFS($G$13:$G962, $E$13:$E962, "Pigskin", $H$13:$H962, 1)-SUMIFS($G$13:$G962, $E$13:$E962, "Timothy", $K$13:$K962, 1)</f>
        <v>121.5432943</v>
      </c>
      <c r="L3" s="116">
        <f>SUMIFS($G$13:$G962, $E$13:$E962, "Angel", $H$13:$H962, 1)-SUMIFS($G$13:$G962, $E$13:$E962, "Timothy", $L$13:$L962, 1)</f>
        <v>99.51666667</v>
      </c>
      <c r="M3" s="116">
        <f>SUMIFS($G$13:$G962, $E$13:$E962, "Ivan", $H$13:$H962, 1)-SUMIFS($G$13:$G962, $E$13:$E962, "Timothy", $M$13:$M962, 1)</f>
        <v>38.02171429</v>
      </c>
      <c r="N3" s="21">
        <f>SUMIFS($G$13:$G962, $E$13:$E962, "Esther", $H$13:$H962, 1)-SUMIFS($G$13:$G962, $E$13:$E962, "Timothy", $N$13:$N962, 1)</f>
        <v>-22.2921</v>
      </c>
      <c r="O3" s="22">
        <f>SUMIFS($G$13:$G962, $E$13:$E962, "Ken9", $H$13:$H962, 1)-SUMIFS($G$13:$G962, $E$13:$E962, "Timothy", $O$13:$O962,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185">
        <f>SUMIFS($G$13:$G962, $E$13:$E962, "Timothy", $I$13:$I962, 1)-SUMIFS($G$13:$G962, $E$13:$E962, "Rachel", $H$13:$H962, 1)</f>
        <v>43.2661</v>
      </c>
      <c r="I4" s="20"/>
      <c r="J4" s="185">
        <f>SUMIFS($G$13:$G962, $E$13:$E962, "BL", $I$13:$I962, 1)-SUMIFS($G$13:$G962, $E$13:$E962, "Rachel", $J$13:$J962, 1)</f>
        <v>45.14542857</v>
      </c>
      <c r="K4" s="185">
        <f>SUMIFS($G$13:$G962, $E$13:$E962, "Pigskin", $I$13:$I962, 1)-SUMIFS($G$13:$G962, $E$13:$E962, "Rachel", $K$13:$K962, 1)</f>
        <v>160.2393943</v>
      </c>
      <c r="L4" s="185">
        <f>SUMIFS($G$13:$G962, $E$13:$E962, "Angel", $I$13:$I962, 1)-SUMIFS($G$13:$G962, $E$13:$E962, "Rachel", $L$13:$L962, 1)</f>
        <v>99.51666667</v>
      </c>
      <c r="M4" s="185">
        <f>SUMIFS($G$13:$G962, $E$13:$E962, "Ivan", $I$13:$I962, 1)-SUMIFS($G$13:$G962, $E$13:$E962, "Rachel", $M$13:$M962, 1)</f>
        <v>38.02171429</v>
      </c>
      <c r="N4" s="28">
        <f>SUMIFS($G$13:$G962, $E$13:$E962, "Esther", $I$13:$I962, 1)-SUMIFS($G$13:$G962, $E$13:$E962, "Rachel", $N$13:$N962, 1)</f>
        <v>20.974</v>
      </c>
      <c r="O4" s="31">
        <f>SUMIFS($G$13:$G962, $E$13:$E962, "Ken9", $I$13:$I962, 1)-SUMIFS($G$13:$G962, $E$13:$E962, "Rachel", $O$13:$O962,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185">
        <f>SUMIFS($G$13:$G962, $E$13:$E962, "Timothy", $J$13:$J962, 1)-SUMIFS($G$13:$G962, $E$13:$E962, "BL", $H$13:$H962, 1)</f>
        <v>36.08067143</v>
      </c>
      <c r="I5" s="28">
        <f>SUMIFS($G$13:$G962, $E$13:$E962, "Rachel", $J$13:$J962, 1)-SUMIFS($G$13:$G962, $E$13:$E962, "BL", $I$13:$I962, 1)</f>
        <v>-45.14542857</v>
      </c>
      <c r="J5" s="20"/>
      <c r="K5" s="185">
        <f>SUMIFS($G$13:$G962, $E$13:$E962, "Pigskin", $J$13:$J962, 1)-SUMIFS($G$13:$G962, $E$13:$E962, "BL", $K$13:$K962, 1)</f>
        <v>116.6639657</v>
      </c>
      <c r="L5" s="28">
        <f>SUMIFS($G$13:$G962, $E$13:$E962, "Angel", $J$13:$J962, 1)-SUMIFS($G$13:$G962, $E$13:$E962, "BL", $L$13:$L962, 1)</f>
        <v>-19.12142857</v>
      </c>
      <c r="M5" s="185">
        <f>SUMIFS($G$13:$G962, $E$13:$E962, "Ivan", $J$13:$J962, 1)-SUMIFS($G$13:$G962, $E$13:$E962, "BL", $M$13:$M962, 1)</f>
        <v>15.45028571</v>
      </c>
      <c r="N5" s="28">
        <f>SUMIFS($G$13:$G962, $E$13:$E962, "Esther", $J$13:$J962, 1)-SUMIFS($G$13:$G962, $E$13:$E962, "BL", $N$13:$N962, 1)</f>
        <v>-24.17142857</v>
      </c>
      <c r="O5" s="31">
        <f>SUMIFS($G$13:$G962, $E$13:$E962, "Ken9", $J$13:$J962, 1)-SUMIFS($G$13:$G962, $E$13:$E962, "BL", $O$13:$O962,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185">
        <f>SUMIFS($G$13:$G962, $E$13:$E962, "Timothy", $K$13:$K962, 1)-SUMIFS($G$13:$G962, $E$13:$E962, "Pigskin", $H$13:$H962, 1)</f>
        <v>-121.5432943</v>
      </c>
      <c r="I6" s="28">
        <f>SUMIFS($G$13:$G962, $E$13:$E962, "Rachel", $K$13:$K962, 1)-SUMIFS($G$13:$G962, $E$13:$E962, "Pigskin", $I$13:$I962, 1)</f>
        <v>-160.2393943</v>
      </c>
      <c r="J6" s="28">
        <f>SUMIFS($G$13:$G962, $E$13:$E962, "BL", $K$13:$K962, 1)-SUMIFS($G$13:$G962, $E$13:$E962, "Pigskin", $J$13:$J962, 1)</f>
        <v>-116.6639657</v>
      </c>
      <c r="K6" s="20"/>
      <c r="L6" s="185">
        <f>SUMIFS($G$13:$G962, $E$13:$E962, "Angel", $K$13:$K962, 1)-SUMIFS($G$13:$G962, $E$13:$E962, "Pigskin", $L$13:$L962, 1)</f>
        <v>63.22095238</v>
      </c>
      <c r="M6" s="28">
        <f>SUMIFS($G$13:$G962, $E$13:$E962, "Ivan", $K$13:$K962, 1)-SUMIFS($G$13:$G962, $E$13:$E962, "Pigskin", $M$13:$M962, 1)</f>
        <v>-36.3277</v>
      </c>
      <c r="N6" s="28">
        <f>SUMIFS($G$13:$G962, $E$13:$E962, "Esther", $K$13:$K962, 1)-SUMIFS($G$13:$G962, $E$13:$E962, "Pigskin", $N$13:$N962, 1)</f>
        <v>-97.94360857</v>
      </c>
      <c r="O6" s="31">
        <f>SUMIFS($G$13:$G962, $E$13:$E962, "Ken9", $K$13:$K962, 1)-SUMIFS($G$13:$G962, $E$13:$E962, "Pigskin", $O$13:$O962,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28">
        <f>SUMIFS($G$13:$G962, $E$13:$E962, "Timothy", $L$13:$L962, 1)-SUMIFS($G$13:$G962, $E$13:$E962, "Angel", $H$13:$H962, 1)</f>
        <v>-99.51666667</v>
      </c>
      <c r="I7" s="28">
        <f>SUMIFS($G$13:$G962, $E$13:$E962, "Rachel", $L$13:$L962, 1)-SUMIFS($G$13:$G962, $E$13:$E962, "Angel", $I$13:$I962, 1)</f>
        <v>-99.51666667</v>
      </c>
      <c r="J7" s="28">
        <f>SUMIFS($G$13:$G962, $E$13:$E962, "BL", $L$13:$L962, 1)-SUMIFS($G$13:$G962, $E$13:$E962, "Angel", $J$13:$J962, 1)</f>
        <v>19.12142857</v>
      </c>
      <c r="K7" s="185">
        <f>SUMIFS($G$13:$G962, $E$13:$E962, "Pigskin", $L$13:$L962, 1)-SUMIFS($G$13:$G962, $E$13:$E962, "Angel", $K$13:$K962, 1)</f>
        <v>-63.22095238</v>
      </c>
      <c r="L7" s="20"/>
      <c r="M7" s="28">
        <f>SUMIFS($G$13:$G962, $E$13:$E962, "Ivan", $L$13:$L962, 1)-SUMIFS($G$13:$G962, $E$13:$E962, "Angel", $M$13:$M962, 1)</f>
        <v>-69.27095238</v>
      </c>
      <c r="N7" s="28">
        <f>SUMIFS($G$13:$G962, $E$13:$E962, "Esther", $L$13:$L962, 1)-SUMIFS($G$13:$G962, $E$13:$E962, "Angel", $N$13:$N962, 1)</f>
        <v>-99.51666667</v>
      </c>
      <c r="O7" s="31">
        <f>SUMIFS($G$13:$G962, $E$13:$E962, "Ken9", $L$13:$L962, 1)-SUMIFS($G$13:$G962, $E$13:$E962, "Angel", $O$13:$O962,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28">
        <f>SUMIFS($G$13:$G962, $E$13:$E962, "Timothy", $M$13:$M962, 1)-SUMIFS($G$13:$G962, $E$13:$E962, "Ivan", $H$13:$H962, 1)</f>
        <v>-38.02171429</v>
      </c>
      <c r="I8" s="28">
        <f>SUMIFS($G$13:$G962, $E$13:$E962, "Rachel", $M$13:$M962, 1)-SUMIFS($G$13:$G962, $E$13:$E962, "Ivan", $I$13:$I962, 1)</f>
        <v>-38.02171429</v>
      </c>
      <c r="J8" s="28">
        <f>SUMIFS($G$13:$G962, $E$13:$E962, "BL", $M$13:$M962, 1)-SUMIFS($G$13:$G962, $E$13:$E962, "Ivan", $J$13:$J962, 1)</f>
        <v>-15.45028571</v>
      </c>
      <c r="K8" s="117">
        <f>SUMIFS($G$13:$G962, $E$13:$E962, "Pigskin", $M$13:$M962, 1)-SUMIFS($G$13:$G962, $E$13:$E962, "Ivan", $K$13:$K962, 1)</f>
        <v>36.3277</v>
      </c>
      <c r="L8" s="117">
        <f>SUMIFS($G$13:$G962, $E$13:$E962, "Angel", $M$13:$M962, 1)-SUMIFS($G$13:$G962, $E$13:$E962, "Ivan", $L$13:$L962, 1)</f>
        <v>69.27095238</v>
      </c>
      <c r="M8" s="20"/>
      <c r="N8" s="28">
        <f>SUMIFS($G$13:$G962, $E$13:$E962, "Esther", $M$13:$M962, 1)-SUMIFS($G$13:$G962, $E$13:$E962, "Ivan", $N$13:$N962, 1)</f>
        <v>-38.02171429</v>
      </c>
      <c r="O8" s="31">
        <f>SUMIFS($G$13:$G962, $E$13:$E962, "Ken9", $M$13:$M962, 1)-SUMIFS($G$13:$G962, $E$13:$E962, "Ivan", $O$13:$O962,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185">
        <f>SUMIFS($G$13:$G962, $E$13:$E962, "Timothy", $N$13:$N962, 1)-SUMIFS($G$13:$G962, $E$13:$E962, "Esther", $H$13:$H962, 1)</f>
        <v>22.2921</v>
      </c>
      <c r="I9" s="28">
        <f>SUMIFS($G$13:$G962, $E$13:$E962, "Rachel", $N$13:$N962, 1)-SUMIFS($G$13:$G962, $E$13:$E962, "Esther", $I$13:$I962, 1)</f>
        <v>-20.974</v>
      </c>
      <c r="J9" s="185">
        <f>SUMIFS($G$13:$G962, $E$13:$E962, "BL", $N$13:$N962, 1)-SUMIFS($G$13:$G962, $E$13:$E962, "Esther", $J$13:$J962, 1)</f>
        <v>24.17142857</v>
      </c>
      <c r="K9" s="185">
        <f>SUMIFS($G$13:$G962, $E$13:$E962, "Pigskin", $N$13:$N962, 1)-SUMIFS($G$13:$G962, $E$13:$E962, "Esther", $K$13:$K962, 1)</f>
        <v>97.94360857</v>
      </c>
      <c r="L9" s="185">
        <f>SUMIFS($G$13:$G962, $E$13:$E962, "Angel", $N$13:$N962, 1)-SUMIFS($G$13:$G962, $E$13:$E962, "Esther", $L$13:$L962, 1)</f>
        <v>99.51666667</v>
      </c>
      <c r="M9" s="185">
        <f>SUMIFS($G$13:$G962, $E$13:$E962, "Ivan", $N$13:$N962, 1)-SUMIFS($G$13:$G962, $E$13:$E962, "Esther", $M$13:$M962, 1)</f>
        <v>38.02171429</v>
      </c>
      <c r="N9" s="20"/>
      <c r="O9" s="31">
        <f>SUMIFS($G$13:$G962, $E$13:$E962, "Ken9", $N$13:$N962, 1)-SUMIFS($G$13:$G962, $E$13:$E962, "Esther", $O$13:$O962,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SUMIFS($G$13:$G962, $E$13:$E962, "Timothy", $O$13:$O962, 1)-SUMIFS($G$13:$G962, $E$13:$E962, "Ken9", $H$13:$H962, 1)</f>
        <v>0</v>
      </c>
      <c r="I10" s="40">
        <f>SUMIFS($G$13:$G962, $E$13:$E962, "Rachel", $O$13:$O962, 1)-SUMIFS($G$13:$G962, $E$13:$E962, "Ken9", $I$13:$I962, 1)</f>
        <v>0</v>
      </c>
      <c r="J10" s="40">
        <f>SUMIFS($G$13:$G962, $E$13:$E962, "BL", $O$13:$O962, 1)-SUMIFS($G$13:$G962, $E$13:$E962, "Ken9", $J$13:$J962, 1)</f>
        <v>0</v>
      </c>
      <c r="K10" s="40">
        <f>SUMIFS($G$13:$G962, $E$13:$E962, "Pigskin", $O$13:$O962, 1)-SUMIFS($G$13:$G962, $E$13:$E962, "Ken9", $K$13:$K962, 1)</f>
        <v>0</v>
      </c>
      <c r="L10" s="40">
        <f>SUMIFS($G$13:$G962, $E$13:$E962, "Angel", $O$13:$O962, 1)-SUMIFS($G$13:$G962, $E$13:$E962, "Ken9", $L$13:$L962, 1)</f>
        <v>0</v>
      </c>
      <c r="M10" s="40">
        <f>SUMIFS($G$13:$G962, $E$13:$E962, "Ivan", $O$13:$O962, 1)-SUMIFS($G$13:$G962, $E$13:$E962, "Ken9", $M$13:$M962, 1)</f>
        <v>0</v>
      </c>
      <c r="N10" s="40">
        <f>SUMIFS($G$13:$G962, $E$13:$E962, "Esther", $O$13:$O962, 1)-SUMIFS($G$13:$G962, $E$13:$E962, "Ken9", $N$13:$N962,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12" t="s">
        <v>36</v>
      </c>
      <c r="B12" s="12" t="s">
        <v>37</v>
      </c>
      <c r="C12" s="12" t="s">
        <v>38</v>
      </c>
      <c r="D12" s="12" t="s">
        <v>39</v>
      </c>
      <c r="E12" s="12" t="s">
        <v>40</v>
      </c>
      <c r="F12" s="42" t="s">
        <v>41</v>
      </c>
      <c r="G12" s="12" t="s">
        <v>42</v>
      </c>
      <c r="H12" s="43" t="s">
        <v>2</v>
      </c>
      <c r="I12" s="44" t="s">
        <v>4</v>
      </c>
      <c r="J12" s="45" t="s">
        <v>43</v>
      </c>
      <c r="K12" s="46" t="s">
        <v>14</v>
      </c>
      <c r="L12" s="47" t="s">
        <v>15</v>
      </c>
      <c r="M12" s="48" t="s">
        <v>8</v>
      </c>
      <c r="N12" s="49" t="s">
        <v>7</v>
      </c>
      <c r="O12" s="12" t="s">
        <v>44</v>
      </c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55">
        <v>45293.0</v>
      </c>
      <c r="B13" s="12" t="s">
        <v>519</v>
      </c>
      <c r="C13" s="12" t="s">
        <v>11</v>
      </c>
      <c r="D13" s="12">
        <v>56.15</v>
      </c>
      <c r="E13" s="12" t="s">
        <v>13</v>
      </c>
      <c r="F13" s="67">
        <f t="shared" ref="F13:F53" si="1">D13/sum(H13:O13)</f>
        <v>11.23</v>
      </c>
      <c r="G13" s="10">
        <f t="shared" ref="G13:G53" si="2">D13/sum(H13:O13)</f>
        <v>11.23</v>
      </c>
      <c r="H13" s="1">
        <v>1.0</v>
      </c>
      <c r="I13" s="1">
        <v>1.0</v>
      </c>
      <c r="J13" s="1">
        <v>1.0</v>
      </c>
      <c r="K13" s="1">
        <v>1.0</v>
      </c>
      <c r="N13" s="1">
        <v>1.0</v>
      </c>
      <c r="Z13" s="10"/>
      <c r="AA13" s="10"/>
    </row>
    <row r="14">
      <c r="A14" s="55">
        <v>45311.0</v>
      </c>
      <c r="B14" s="12" t="s">
        <v>138</v>
      </c>
      <c r="C14" s="12" t="s">
        <v>23</v>
      </c>
      <c r="D14" s="12">
        <v>3.11</v>
      </c>
      <c r="E14" s="12" t="s">
        <v>13</v>
      </c>
      <c r="F14" s="67">
        <f t="shared" si="1"/>
        <v>0.622</v>
      </c>
      <c r="G14" s="10">
        <f t="shared" si="2"/>
        <v>0.622</v>
      </c>
      <c r="H14" s="1">
        <v>1.0</v>
      </c>
      <c r="I14" s="1">
        <v>1.0</v>
      </c>
      <c r="J14" s="1">
        <v>1.0</v>
      </c>
      <c r="K14" s="1">
        <v>1.0</v>
      </c>
      <c r="N14" s="1">
        <v>1.0</v>
      </c>
      <c r="Z14" s="10"/>
      <c r="AA14" s="10"/>
    </row>
    <row r="15">
      <c r="A15" s="55">
        <v>45298.0</v>
      </c>
      <c r="B15" s="12" t="s">
        <v>562</v>
      </c>
      <c r="C15" s="12" t="s">
        <v>23</v>
      </c>
      <c r="D15" s="12">
        <v>19.2</v>
      </c>
      <c r="E15" s="12" t="s">
        <v>13</v>
      </c>
      <c r="F15" s="67">
        <f t="shared" si="1"/>
        <v>3.84</v>
      </c>
      <c r="G15" s="10">
        <f t="shared" si="2"/>
        <v>3.84</v>
      </c>
      <c r="H15" s="1">
        <v>1.0</v>
      </c>
      <c r="I15" s="1">
        <v>1.0</v>
      </c>
      <c r="J15" s="1">
        <v>1.0</v>
      </c>
      <c r="K15" s="1">
        <v>1.0</v>
      </c>
      <c r="L15" s="18"/>
      <c r="N15" s="1">
        <v>1.0</v>
      </c>
      <c r="Z15" s="10"/>
      <c r="AA15" s="10"/>
    </row>
    <row r="16">
      <c r="A16" s="55">
        <v>45299.0</v>
      </c>
      <c r="B16" s="12" t="s">
        <v>563</v>
      </c>
      <c r="C16" s="12" t="s">
        <v>11</v>
      </c>
      <c r="D16" s="12">
        <v>158.0</v>
      </c>
      <c r="E16" s="12" t="s">
        <v>13</v>
      </c>
      <c r="F16" s="67">
        <f t="shared" si="1"/>
        <v>22.57142857</v>
      </c>
      <c r="G16" s="10">
        <f t="shared" si="2"/>
        <v>22.57142857</v>
      </c>
      <c r="H16" s="1">
        <v>1.0</v>
      </c>
      <c r="I16" s="1">
        <v>1.0</v>
      </c>
      <c r="J16" s="1">
        <v>1.0</v>
      </c>
      <c r="K16" s="1">
        <v>1.0</v>
      </c>
      <c r="L16" s="1">
        <v>1.0</v>
      </c>
      <c r="M16" s="1">
        <v>1.0</v>
      </c>
      <c r="N16" s="1">
        <v>1.0</v>
      </c>
      <c r="Z16" s="10"/>
      <c r="AA16" s="10"/>
    </row>
    <row r="17">
      <c r="A17" s="55">
        <v>45302.0</v>
      </c>
      <c r="B17" s="12" t="s">
        <v>46</v>
      </c>
      <c r="C17" s="12" t="s">
        <v>11</v>
      </c>
      <c r="D17" s="12">
        <v>62.97</v>
      </c>
      <c r="E17" s="12" t="s">
        <v>7</v>
      </c>
      <c r="F17" s="67">
        <f t="shared" si="1"/>
        <v>12.594</v>
      </c>
      <c r="G17" s="10">
        <f t="shared" si="2"/>
        <v>12.594</v>
      </c>
      <c r="H17" s="1">
        <v>1.0</v>
      </c>
      <c r="I17" s="1">
        <v>1.0</v>
      </c>
      <c r="J17" s="1">
        <v>1.0</v>
      </c>
      <c r="K17" s="1">
        <v>1.0</v>
      </c>
      <c r="L17" s="18"/>
      <c r="N17" s="1">
        <v>1.0</v>
      </c>
      <c r="Z17" s="10"/>
      <c r="AA17" s="10"/>
    </row>
    <row r="18">
      <c r="A18" s="55">
        <v>45304.0</v>
      </c>
      <c r="B18" s="12" t="s">
        <v>46</v>
      </c>
      <c r="C18" s="12" t="s">
        <v>11</v>
      </c>
      <c r="D18" s="12">
        <v>68.16</v>
      </c>
      <c r="E18" s="12" t="s">
        <v>7</v>
      </c>
      <c r="F18" s="67">
        <f t="shared" si="1"/>
        <v>13.632</v>
      </c>
      <c r="G18" s="10">
        <f t="shared" si="2"/>
        <v>13.632</v>
      </c>
      <c r="H18" s="1">
        <v>1.0</v>
      </c>
      <c r="I18" s="1">
        <v>1.0</v>
      </c>
      <c r="J18" s="1">
        <v>1.0</v>
      </c>
      <c r="K18" s="1">
        <v>1.0</v>
      </c>
      <c r="L18" s="18"/>
      <c r="M18" s="18"/>
      <c r="N18" s="1">
        <v>1.0</v>
      </c>
      <c r="Z18" s="10"/>
      <c r="AA18" s="10"/>
    </row>
    <row r="19">
      <c r="A19" s="55">
        <v>45304.0</v>
      </c>
      <c r="B19" s="12" t="s">
        <v>564</v>
      </c>
      <c r="C19" s="12" t="s">
        <v>11</v>
      </c>
      <c r="D19" s="12">
        <v>9.59</v>
      </c>
      <c r="E19" s="12" t="s">
        <v>7</v>
      </c>
      <c r="F19" s="67">
        <f t="shared" si="1"/>
        <v>4.795</v>
      </c>
      <c r="G19" s="10">
        <f t="shared" si="2"/>
        <v>4.795</v>
      </c>
      <c r="H19" s="18"/>
      <c r="I19" s="18"/>
      <c r="J19" s="18"/>
      <c r="K19" s="1">
        <v>1.0</v>
      </c>
      <c r="M19" s="18"/>
      <c r="N19" s="1">
        <v>1.0</v>
      </c>
      <c r="Z19" s="10"/>
      <c r="AA19" s="10"/>
    </row>
    <row r="20">
      <c r="A20" s="55">
        <v>45307.0</v>
      </c>
      <c r="B20" s="12" t="s">
        <v>52</v>
      </c>
      <c r="C20" s="12" t="s">
        <v>11</v>
      </c>
      <c r="D20" s="12">
        <v>10.65</v>
      </c>
      <c r="E20" s="12" t="s">
        <v>7</v>
      </c>
      <c r="F20" s="67">
        <f t="shared" si="1"/>
        <v>2.13</v>
      </c>
      <c r="G20" s="10">
        <f t="shared" si="2"/>
        <v>2.13</v>
      </c>
      <c r="H20" s="1">
        <v>1.0</v>
      </c>
      <c r="I20" s="1">
        <v>1.0</v>
      </c>
      <c r="J20" s="1">
        <v>1.0</v>
      </c>
      <c r="K20" s="1">
        <v>1.0</v>
      </c>
      <c r="N20" s="1">
        <v>1.0</v>
      </c>
      <c r="Z20" s="10"/>
      <c r="AA20" s="10"/>
    </row>
    <row r="21">
      <c r="A21" s="55">
        <v>45307.0</v>
      </c>
      <c r="B21" s="12" t="s">
        <v>519</v>
      </c>
      <c r="C21" s="12" t="s">
        <v>11</v>
      </c>
      <c r="D21" s="12">
        <v>10.65</v>
      </c>
      <c r="E21" s="12" t="s">
        <v>7</v>
      </c>
      <c r="F21" s="67">
        <f t="shared" si="1"/>
        <v>2.13</v>
      </c>
      <c r="G21" s="10">
        <f t="shared" si="2"/>
        <v>2.13</v>
      </c>
      <c r="H21" s="1">
        <v>1.0</v>
      </c>
      <c r="I21" s="1">
        <v>1.0</v>
      </c>
      <c r="J21" s="1">
        <v>1.0</v>
      </c>
      <c r="K21" s="1">
        <v>1.0</v>
      </c>
      <c r="N21" s="1">
        <v>1.0</v>
      </c>
      <c r="Z21" s="10"/>
      <c r="AA21" s="10"/>
    </row>
    <row r="22">
      <c r="A22" s="55">
        <v>45299.0</v>
      </c>
      <c r="B22" s="12" t="s">
        <v>565</v>
      </c>
      <c r="C22" s="12" t="s">
        <v>29</v>
      </c>
      <c r="D22" s="12">
        <v>187.57</v>
      </c>
      <c r="E22" s="12" t="s">
        <v>8</v>
      </c>
      <c r="F22" s="67">
        <f t="shared" si="1"/>
        <v>26.79571429</v>
      </c>
      <c r="G22" s="10">
        <f t="shared" si="2"/>
        <v>26.79571429</v>
      </c>
      <c r="H22" s="1">
        <v>1.0</v>
      </c>
      <c r="I22" s="1">
        <v>1.0</v>
      </c>
      <c r="J22" s="1">
        <v>1.0</v>
      </c>
      <c r="K22" s="1">
        <v>1.0</v>
      </c>
      <c r="L22" s="1">
        <v>1.0</v>
      </c>
      <c r="M22" s="1">
        <v>1.0</v>
      </c>
      <c r="N22" s="1">
        <v>1.0</v>
      </c>
      <c r="O22" s="18"/>
      <c r="Z22" s="10"/>
      <c r="AA22" s="10"/>
    </row>
    <row r="23">
      <c r="A23" s="186">
        <v>45292.0</v>
      </c>
      <c r="B23" s="12" t="s">
        <v>566</v>
      </c>
      <c r="C23" s="12" t="s">
        <v>11</v>
      </c>
      <c r="D23" s="12">
        <f>12.99*5*1.13</f>
        <v>73.3935</v>
      </c>
      <c r="E23" s="12" t="s">
        <v>14</v>
      </c>
      <c r="F23" s="67">
        <f t="shared" si="1"/>
        <v>14.6787</v>
      </c>
      <c r="G23" s="10">
        <f t="shared" si="2"/>
        <v>14.6787</v>
      </c>
      <c r="H23" s="1">
        <v>1.0</v>
      </c>
      <c r="I23" s="1">
        <v>1.0</v>
      </c>
      <c r="J23" s="1">
        <v>1.0</v>
      </c>
      <c r="K23" s="1">
        <v>1.0</v>
      </c>
      <c r="L23" s="18"/>
      <c r="M23" s="1">
        <v>1.0</v>
      </c>
      <c r="Z23" s="10"/>
      <c r="AA23" s="10"/>
    </row>
    <row r="24">
      <c r="A24" s="186">
        <v>45292.0</v>
      </c>
      <c r="B24" s="12" t="s">
        <v>566</v>
      </c>
      <c r="C24" s="12" t="s">
        <v>11</v>
      </c>
      <c r="D24" s="12">
        <f>13.99*1.13</f>
        <v>15.8087</v>
      </c>
      <c r="E24" s="12" t="s">
        <v>14</v>
      </c>
      <c r="F24" s="67">
        <f t="shared" si="1"/>
        <v>15.8087</v>
      </c>
      <c r="G24" s="10">
        <f t="shared" si="2"/>
        <v>15.8087</v>
      </c>
      <c r="H24" s="18"/>
      <c r="I24" s="18"/>
      <c r="J24" s="18"/>
      <c r="K24" s="18"/>
      <c r="L24" s="18"/>
      <c r="N24" s="1">
        <v>1.0</v>
      </c>
      <c r="Z24" s="10"/>
      <c r="AA24" s="10"/>
    </row>
    <row r="25">
      <c r="A25" s="55">
        <v>45297.0</v>
      </c>
      <c r="B25" s="12" t="s">
        <v>519</v>
      </c>
      <c r="C25" s="12" t="s">
        <v>11</v>
      </c>
      <c r="D25" s="12">
        <v>7.1</v>
      </c>
      <c r="E25" s="12" t="s">
        <v>14</v>
      </c>
      <c r="F25" s="67">
        <f t="shared" si="1"/>
        <v>1.775</v>
      </c>
      <c r="G25" s="10">
        <f t="shared" si="2"/>
        <v>1.775</v>
      </c>
      <c r="H25" s="1">
        <v>1.0</v>
      </c>
      <c r="I25" s="1">
        <v>1.0</v>
      </c>
      <c r="J25" s="1">
        <v>1.0</v>
      </c>
      <c r="K25" s="1">
        <v>1.0</v>
      </c>
      <c r="Z25" s="10"/>
      <c r="AA25" s="10"/>
    </row>
    <row r="26">
      <c r="A26" s="55">
        <v>45296.0</v>
      </c>
      <c r="B26" s="12" t="s">
        <v>567</v>
      </c>
      <c r="C26" s="12" t="s">
        <v>11</v>
      </c>
      <c r="D26" s="12">
        <f>3.11+4.91+2.53+2.66+2.72</f>
        <v>15.93</v>
      </c>
      <c r="E26" s="12" t="s">
        <v>14</v>
      </c>
      <c r="F26" s="67">
        <f t="shared" si="1"/>
        <v>3.186</v>
      </c>
      <c r="G26" s="10">
        <f t="shared" si="2"/>
        <v>3.186</v>
      </c>
      <c r="H26" s="1">
        <v>1.0</v>
      </c>
      <c r="I26" s="1">
        <v>1.0</v>
      </c>
      <c r="J26" s="1">
        <v>1.0</v>
      </c>
      <c r="K26" s="1">
        <v>1.0</v>
      </c>
      <c r="L26" s="18"/>
      <c r="N26" s="1">
        <v>1.0</v>
      </c>
      <c r="Z26" s="10"/>
      <c r="AA26" s="10"/>
    </row>
    <row r="27">
      <c r="A27" s="55">
        <v>45296.0</v>
      </c>
      <c r="B27" s="12" t="s">
        <v>568</v>
      </c>
      <c r="C27" s="12" t="s">
        <v>11</v>
      </c>
      <c r="D27" s="12">
        <f>7.96+2.98+3.49</f>
        <v>14.43</v>
      </c>
      <c r="E27" s="12" t="s">
        <v>14</v>
      </c>
      <c r="F27" s="67">
        <f t="shared" si="1"/>
        <v>2.886</v>
      </c>
      <c r="G27" s="10">
        <f t="shared" si="2"/>
        <v>2.886</v>
      </c>
      <c r="H27" s="1">
        <v>1.0</v>
      </c>
      <c r="I27" s="1">
        <v>1.0</v>
      </c>
      <c r="J27" s="1">
        <v>1.0</v>
      </c>
      <c r="K27" s="1">
        <v>1.0</v>
      </c>
      <c r="L27" s="18"/>
      <c r="M27" s="18"/>
      <c r="N27" s="1">
        <v>1.0</v>
      </c>
      <c r="Z27" s="10"/>
      <c r="AA27" s="10"/>
    </row>
    <row r="28">
      <c r="A28" s="55">
        <v>45301.0</v>
      </c>
      <c r="B28" s="12" t="s">
        <v>569</v>
      </c>
      <c r="C28" s="12" t="s">
        <v>11</v>
      </c>
      <c r="D28" s="12">
        <v>29.04</v>
      </c>
      <c r="E28" s="12" t="s">
        <v>14</v>
      </c>
      <c r="F28" s="67">
        <f t="shared" si="1"/>
        <v>5.808</v>
      </c>
      <c r="G28" s="10">
        <f t="shared" si="2"/>
        <v>5.808</v>
      </c>
      <c r="H28" s="1">
        <v>1.0</v>
      </c>
      <c r="I28" s="1">
        <v>1.0</v>
      </c>
      <c r="J28" s="1">
        <v>1.0</v>
      </c>
      <c r="K28" s="1">
        <v>1.0</v>
      </c>
      <c r="L28" s="18"/>
      <c r="M28" s="18"/>
      <c r="N28" s="1">
        <v>1.0</v>
      </c>
      <c r="Z28" s="10"/>
      <c r="AA28" s="10"/>
    </row>
    <row r="29">
      <c r="A29" s="55">
        <v>45295.0</v>
      </c>
      <c r="B29" s="12" t="s">
        <v>95</v>
      </c>
      <c r="C29" s="12" t="s">
        <v>11</v>
      </c>
      <c r="D29" s="12">
        <v>1.88</v>
      </c>
      <c r="E29" s="12" t="s">
        <v>14</v>
      </c>
      <c r="F29" s="67">
        <f t="shared" si="1"/>
        <v>0.2685714286</v>
      </c>
      <c r="G29" s="10">
        <f t="shared" si="2"/>
        <v>0.2685714286</v>
      </c>
      <c r="H29" s="1">
        <v>1.0</v>
      </c>
      <c r="I29" s="1">
        <v>1.0</v>
      </c>
      <c r="J29" s="1">
        <v>1.0</v>
      </c>
      <c r="K29" s="1">
        <v>1.0</v>
      </c>
      <c r="L29" s="1">
        <v>1.0</v>
      </c>
      <c r="M29" s="1">
        <v>1.0</v>
      </c>
      <c r="N29" s="1">
        <v>1.0</v>
      </c>
      <c r="Z29" s="10"/>
      <c r="AA29" s="10"/>
    </row>
    <row r="30">
      <c r="A30" s="59">
        <v>45300.0</v>
      </c>
      <c r="B30" s="12" t="s">
        <v>567</v>
      </c>
      <c r="C30" s="12" t="s">
        <v>11</v>
      </c>
      <c r="D30" s="12">
        <v>57.84</v>
      </c>
      <c r="E30" s="12" t="s">
        <v>14</v>
      </c>
      <c r="F30" s="67">
        <f t="shared" si="1"/>
        <v>11.568</v>
      </c>
      <c r="G30" s="10">
        <f t="shared" si="2"/>
        <v>11.568</v>
      </c>
      <c r="H30" s="1">
        <v>1.0</v>
      </c>
      <c r="I30" s="1">
        <v>1.0</v>
      </c>
      <c r="J30" s="1">
        <v>1.0</v>
      </c>
      <c r="K30" s="1">
        <v>1.0</v>
      </c>
      <c r="L30" s="18"/>
      <c r="M30" s="18"/>
      <c r="N30" s="1">
        <v>1.0</v>
      </c>
      <c r="Z30" s="10"/>
      <c r="AA30" s="10"/>
    </row>
    <row r="31">
      <c r="A31" s="55">
        <v>45298.0</v>
      </c>
      <c r="B31" s="12" t="s">
        <v>205</v>
      </c>
      <c r="C31" s="12" t="s">
        <v>29</v>
      </c>
      <c r="D31" s="12">
        <v>24.16</v>
      </c>
      <c r="E31" s="12" t="s">
        <v>14</v>
      </c>
      <c r="F31" s="67">
        <f t="shared" si="1"/>
        <v>4.832</v>
      </c>
      <c r="G31" s="10">
        <f t="shared" si="2"/>
        <v>4.832</v>
      </c>
      <c r="H31" s="1">
        <v>1.0</v>
      </c>
      <c r="I31" s="1">
        <v>1.0</v>
      </c>
      <c r="J31" s="1">
        <v>1.0</v>
      </c>
      <c r="K31" s="1">
        <v>1.0</v>
      </c>
      <c r="L31" s="18"/>
      <c r="N31" s="1">
        <v>1.0</v>
      </c>
      <c r="Z31" s="10"/>
      <c r="AA31" s="10"/>
    </row>
    <row r="32">
      <c r="A32" s="55">
        <v>45303.0</v>
      </c>
      <c r="B32" s="12" t="s">
        <v>519</v>
      </c>
      <c r="C32" s="12" t="s">
        <v>11</v>
      </c>
      <c r="D32" s="12">
        <v>53.33</v>
      </c>
      <c r="E32" s="12" t="s">
        <v>14</v>
      </c>
      <c r="F32" s="67">
        <f t="shared" si="1"/>
        <v>10.666</v>
      </c>
      <c r="G32" s="10">
        <f t="shared" si="2"/>
        <v>10.666</v>
      </c>
      <c r="H32" s="1">
        <v>1.0</v>
      </c>
      <c r="I32" s="1">
        <v>1.0</v>
      </c>
      <c r="J32" s="1">
        <v>1.0</v>
      </c>
      <c r="K32" s="1">
        <v>1.0</v>
      </c>
      <c r="N32" s="1">
        <v>1.0</v>
      </c>
      <c r="Z32" s="10"/>
      <c r="AA32" s="10"/>
    </row>
    <row r="33">
      <c r="A33" s="55">
        <v>45307.0</v>
      </c>
      <c r="B33" s="12" t="s">
        <v>570</v>
      </c>
      <c r="C33" s="12" t="s">
        <v>23</v>
      </c>
      <c r="D33" s="12">
        <f>(11+8)*1.13</f>
        <v>21.47</v>
      </c>
      <c r="E33" s="12" t="s">
        <v>14</v>
      </c>
      <c r="F33" s="67">
        <f t="shared" si="1"/>
        <v>4.294</v>
      </c>
      <c r="G33" s="10">
        <f t="shared" si="2"/>
        <v>4.294</v>
      </c>
      <c r="H33" s="1">
        <v>1.0</v>
      </c>
      <c r="I33" s="1">
        <v>1.0</v>
      </c>
      <c r="J33" s="1">
        <v>1.0</v>
      </c>
      <c r="K33" s="1">
        <v>1.0</v>
      </c>
      <c r="L33" s="18"/>
      <c r="N33" s="1">
        <v>1.0</v>
      </c>
      <c r="Z33" s="10"/>
      <c r="AA33" s="10"/>
    </row>
    <row r="34">
      <c r="A34" s="55">
        <v>45307.0</v>
      </c>
      <c r="B34" s="12" t="s">
        <v>571</v>
      </c>
      <c r="C34" s="12" t="s">
        <v>11</v>
      </c>
      <c r="D34" s="12">
        <v>8.99</v>
      </c>
      <c r="E34" s="12" t="s">
        <v>14</v>
      </c>
      <c r="F34" s="67">
        <f t="shared" si="1"/>
        <v>1.798</v>
      </c>
      <c r="G34" s="10">
        <f t="shared" si="2"/>
        <v>1.798</v>
      </c>
      <c r="H34" s="1">
        <v>1.0</v>
      </c>
      <c r="I34" s="1">
        <v>1.0</v>
      </c>
      <c r="J34" s="1">
        <v>1.0</v>
      </c>
      <c r="K34" s="1">
        <v>1.0</v>
      </c>
      <c r="N34" s="1">
        <v>1.0</v>
      </c>
      <c r="Z34" s="10"/>
      <c r="AA34" s="10"/>
    </row>
    <row r="35">
      <c r="A35" s="55">
        <v>45317.0</v>
      </c>
      <c r="B35" s="12" t="s">
        <v>572</v>
      </c>
      <c r="C35" s="12" t="s">
        <v>11</v>
      </c>
      <c r="D35" s="12">
        <v>2.51</v>
      </c>
      <c r="E35" s="12" t="s">
        <v>14</v>
      </c>
      <c r="F35" s="67">
        <f t="shared" si="1"/>
        <v>0.502</v>
      </c>
      <c r="G35" s="10">
        <f t="shared" si="2"/>
        <v>0.502</v>
      </c>
      <c r="H35" s="1">
        <v>1.0</v>
      </c>
      <c r="I35" s="1">
        <v>1.0</v>
      </c>
      <c r="J35" s="1">
        <v>1.0</v>
      </c>
      <c r="K35" s="1">
        <v>1.0</v>
      </c>
      <c r="N35" s="1">
        <v>1.0</v>
      </c>
      <c r="Z35" s="10"/>
      <c r="AA35" s="10"/>
    </row>
    <row r="36">
      <c r="A36" s="55">
        <v>45317.0</v>
      </c>
      <c r="B36" s="12" t="s">
        <v>573</v>
      </c>
      <c r="C36" s="12" t="s">
        <v>11</v>
      </c>
      <c r="D36" s="12">
        <v>12.84</v>
      </c>
      <c r="E36" s="12" t="s">
        <v>14</v>
      </c>
      <c r="F36" s="67">
        <f t="shared" si="1"/>
        <v>2.568</v>
      </c>
      <c r="G36" s="10">
        <f t="shared" si="2"/>
        <v>2.568</v>
      </c>
      <c r="H36" s="1">
        <v>1.0</v>
      </c>
      <c r="I36" s="1">
        <v>1.0</v>
      </c>
      <c r="J36" s="1">
        <v>1.0</v>
      </c>
      <c r="K36" s="1">
        <v>1.0</v>
      </c>
      <c r="L36" s="18"/>
      <c r="N36" s="1">
        <v>1.0</v>
      </c>
      <c r="Z36" s="10"/>
      <c r="AA36" s="10"/>
    </row>
    <row r="37">
      <c r="A37" s="55">
        <v>45315.0</v>
      </c>
      <c r="B37" s="12" t="s">
        <v>574</v>
      </c>
      <c r="C37" s="12" t="s">
        <v>11</v>
      </c>
      <c r="D37" s="12">
        <v>57.15</v>
      </c>
      <c r="E37" s="12" t="s">
        <v>14</v>
      </c>
      <c r="F37" s="67">
        <f t="shared" si="1"/>
        <v>11.43</v>
      </c>
      <c r="G37" s="10">
        <f t="shared" si="2"/>
        <v>11.43</v>
      </c>
      <c r="H37" s="1">
        <v>1.0</v>
      </c>
      <c r="I37" s="1">
        <v>1.0</v>
      </c>
      <c r="J37" s="1">
        <v>1.0</v>
      </c>
      <c r="K37" s="1">
        <v>1.0</v>
      </c>
      <c r="N37" s="1">
        <v>1.0</v>
      </c>
      <c r="Z37" s="10"/>
      <c r="AA37" s="10"/>
    </row>
    <row r="38">
      <c r="A38" s="59">
        <v>45308.0</v>
      </c>
      <c r="B38" s="12" t="s">
        <v>519</v>
      </c>
      <c r="C38" s="12" t="s">
        <v>11</v>
      </c>
      <c r="D38" s="12">
        <v>36.04</v>
      </c>
      <c r="E38" s="12" t="s">
        <v>14</v>
      </c>
      <c r="F38" s="67">
        <f t="shared" si="1"/>
        <v>7.208</v>
      </c>
      <c r="G38" s="10">
        <f t="shared" si="2"/>
        <v>7.208</v>
      </c>
      <c r="H38" s="1">
        <v>1.0</v>
      </c>
      <c r="I38" s="1">
        <v>1.0</v>
      </c>
      <c r="J38" s="1">
        <v>1.0</v>
      </c>
      <c r="K38" s="1">
        <v>1.0</v>
      </c>
      <c r="L38" s="18"/>
      <c r="N38" s="1">
        <v>1.0</v>
      </c>
      <c r="Z38" s="10"/>
      <c r="AA38" s="10"/>
    </row>
    <row r="39">
      <c r="A39" s="55">
        <v>45309.0</v>
      </c>
      <c r="B39" s="12" t="s">
        <v>213</v>
      </c>
      <c r="C39" s="12" t="s">
        <v>11</v>
      </c>
      <c r="D39" s="12">
        <f>3.54+7.92</f>
        <v>11.46</v>
      </c>
      <c r="E39" s="12" t="s">
        <v>14</v>
      </c>
      <c r="F39" s="67">
        <f t="shared" si="1"/>
        <v>2.292</v>
      </c>
      <c r="G39" s="10">
        <f t="shared" si="2"/>
        <v>2.292</v>
      </c>
      <c r="H39" s="1">
        <v>1.0</v>
      </c>
      <c r="I39" s="1">
        <v>1.0</v>
      </c>
      <c r="J39" s="1">
        <v>1.0</v>
      </c>
      <c r="K39" s="1">
        <v>1.0</v>
      </c>
      <c r="N39" s="1">
        <v>1.0</v>
      </c>
      <c r="Z39" s="10"/>
      <c r="AA39" s="10"/>
    </row>
    <row r="40">
      <c r="A40" s="55">
        <v>45309.0</v>
      </c>
      <c r="B40" s="12" t="s">
        <v>575</v>
      </c>
      <c r="C40" s="12" t="s">
        <v>23</v>
      </c>
      <c r="D40" s="12">
        <f>3.99*1.13</f>
        <v>4.5087</v>
      </c>
      <c r="E40" s="12" t="s">
        <v>14</v>
      </c>
      <c r="F40" s="67">
        <f t="shared" si="1"/>
        <v>0.90174</v>
      </c>
      <c r="G40" s="10">
        <f t="shared" si="2"/>
        <v>0.90174</v>
      </c>
      <c r="H40" s="1">
        <v>1.0</v>
      </c>
      <c r="I40" s="1">
        <v>1.0</v>
      </c>
      <c r="J40" s="1">
        <v>1.0</v>
      </c>
      <c r="K40" s="1">
        <v>1.0</v>
      </c>
      <c r="L40" s="18"/>
      <c r="N40" s="1">
        <v>1.0</v>
      </c>
      <c r="Z40" s="10"/>
      <c r="AA40" s="10"/>
    </row>
    <row r="41">
      <c r="A41" s="55">
        <v>45310.0</v>
      </c>
      <c r="B41" s="12" t="s">
        <v>52</v>
      </c>
      <c r="C41" s="12" t="s">
        <v>11</v>
      </c>
      <c r="D41" s="12">
        <f>6.38+6.36+3.73+5.7+2.69</f>
        <v>24.86</v>
      </c>
      <c r="E41" s="12" t="s">
        <v>14</v>
      </c>
      <c r="F41" s="67">
        <f t="shared" si="1"/>
        <v>6.215</v>
      </c>
      <c r="G41" s="10">
        <f t="shared" si="2"/>
        <v>6.215</v>
      </c>
      <c r="H41" s="1">
        <v>1.0</v>
      </c>
      <c r="I41" s="1">
        <v>1.0</v>
      </c>
      <c r="J41" s="1">
        <v>1.0</v>
      </c>
      <c r="K41" s="1">
        <v>1.0</v>
      </c>
      <c r="M41" s="18"/>
      <c r="N41" s="18"/>
      <c r="Z41" s="10"/>
      <c r="AA41" s="10"/>
    </row>
    <row r="42">
      <c r="A42" s="55">
        <v>45310.0</v>
      </c>
      <c r="B42" s="12" t="s">
        <v>52</v>
      </c>
      <c r="C42" s="12" t="s">
        <v>11</v>
      </c>
      <c r="D42" s="12">
        <f>21.99+4.88+3</f>
        <v>29.87</v>
      </c>
      <c r="E42" s="12" t="s">
        <v>14</v>
      </c>
      <c r="F42" s="67">
        <f t="shared" si="1"/>
        <v>5.974</v>
      </c>
      <c r="G42" s="10">
        <f t="shared" si="2"/>
        <v>5.974</v>
      </c>
      <c r="H42" s="1">
        <v>1.0</v>
      </c>
      <c r="I42" s="1">
        <v>1.0</v>
      </c>
      <c r="J42" s="1">
        <v>1.0</v>
      </c>
      <c r="K42" s="1">
        <v>1.0</v>
      </c>
      <c r="N42" s="1">
        <v>1.0</v>
      </c>
      <c r="Z42" s="10"/>
      <c r="AA42" s="10"/>
    </row>
    <row r="43">
      <c r="A43" s="55">
        <v>45316.0</v>
      </c>
      <c r="B43" s="12" t="s">
        <v>576</v>
      </c>
      <c r="C43" s="12" t="s">
        <v>11</v>
      </c>
      <c r="D43" s="12">
        <f>2.59+1.58+12.99</f>
        <v>17.16</v>
      </c>
      <c r="E43" s="12" t="s">
        <v>14</v>
      </c>
      <c r="F43" s="67">
        <f t="shared" si="1"/>
        <v>3.432</v>
      </c>
      <c r="G43" s="10">
        <f t="shared" si="2"/>
        <v>3.432</v>
      </c>
      <c r="H43" s="1">
        <v>1.0</v>
      </c>
      <c r="I43" s="1">
        <v>1.0</v>
      </c>
      <c r="J43" s="1">
        <v>1.0</v>
      </c>
      <c r="K43" s="1">
        <v>1.0</v>
      </c>
      <c r="L43" s="18"/>
      <c r="M43" s="18"/>
      <c r="N43" s="1">
        <v>1.0</v>
      </c>
      <c r="Z43" s="10"/>
      <c r="AA43" s="10"/>
    </row>
    <row r="44">
      <c r="A44" s="55">
        <v>45316.0</v>
      </c>
      <c r="B44" s="12" t="s">
        <v>52</v>
      </c>
      <c r="C44" s="12" t="s">
        <v>11</v>
      </c>
      <c r="D44" s="12">
        <f>1.77</f>
        <v>1.77</v>
      </c>
      <c r="E44" s="12" t="s">
        <v>14</v>
      </c>
      <c r="F44" s="67">
        <f t="shared" si="1"/>
        <v>0.4425</v>
      </c>
      <c r="G44" s="10">
        <f t="shared" si="2"/>
        <v>0.4425</v>
      </c>
      <c r="H44" s="1">
        <v>1.0</v>
      </c>
      <c r="I44" s="1">
        <v>1.0</v>
      </c>
      <c r="J44" s="1">
        <v>1.0</v>
      </c>
      <c r="K44" s="1">
        <v>1.0</v>
      </c>
      <c r="N44" s="18"/>
      <c r="Z44" s="10"/>
      <c r="AA44" s="10"/>
    </row>
    <row r="45">
      <c r="A45" s="55">
        <v>45316.0</v>
      </c>
      <c r="B45" s="12" t="s">
        <v>52</v>
      </c>
      <c r="C45" s="12" t="s">
        <v>11</v>
      </c>
      <c r="D45" s="12">
        <f>5.39+3</f>
        <v>8.39</v>
      </c>
      <c r="E45" s="12" t="s">
        <v>14</v>
      </c>
      <c r="F45" s="67">
        <f t="shared" si="1"/>
        <v>1.678</v>
      </c>
      <c r="G45" s="10">
        <f t="shared" si="2"/>
        <v>1.678</v>
      </c>
      <c r="H45" s="1">
        <v>1.0</v>
      </c>
      <c r="I45" s="1">
        <v>1.0</v>
      </c>
      <c r="J45" s="1">
        <v>1.0</v>
      </c>
      <c r="K45" s="1">
        <v>1.0</v>
      </c>
      <c r="M45" s="1">
        <v>1.0</v>
      </c>
      <c r="Z45" s="10"/>
      <c r="AA45" s="10"/>
    </row>
    <row r="46">
      <c r="A46" s="55">
        <v>45298.0</v>
      </c>
      <c r="B46" s="12" t="s">
        <v>577</v>
      </c>
      <c r="C46" s="12" t="s">
        <v>11</v>
      </c>
      <c r="D46" s="12">
        <v>49.35</v>
      </c>
      <c r="E46" s="12" t="s">
        <v>14</v>
      </c>
      <c r="F46" s="67">
        <f t="shared" si="1"/>
        <v>7.05</v>
      </c>
      <c r="G46" s="10">
        <f t="shared" si="2"/>
        <v>7.05</v>
      </c>
      <c r="H46" s="1">
        <v>1.0</v>
      </c>
      <c r="I46" s="1">
        <v>1.0</v>
      </c>
      <c r="J46" s="1">
        <v>1.0</v>
      </c>
      <c r="K46" s="1">
        <v>1.0</v>
      </c>
      <c r="L46" s="1">
        <v>1.0</v>
      </c>
      <c r="M46" s="1">
        <v>1.0</v>
      </c>
      <c r="N46" s="1">
        <v>1.0</v>
      </c>
      <c r="Z46" s="10"/>
      <c r="AA46" s="10"/>
    </row>
    <row r="47">
      <c r="A47" s="55">
        <v>45311.0</v>
      </c>
      <c r="B47" s="12" t="s">
        <v>578</v>
      </c>
      <c r="C47" s="12" t="s">
        <v>11</v>
      </c>
      <c r="D47" s="12">
        <v>16.06</v>
      </c>
      <c r="E47" s="12" t="s">
        <v>14</v>
      </c>
      <c r="F47" s="67">
        <f t="shared" si="1"/>
        <v>2.294285714</v>
      </c>
      <c r="G47" s="10">
        <f t="shared" si="2"/>
        <v>2.294285714</v>
      </c>
      <c r="H47" s="1">
        <v>1.0</v>
      </c>
      <c r="I47" s="1">
        <v>1.0</v>
      </c>
      <c r="J47" s="1">
        <v>1.0</v>
      </c>
      <c r="K47" s="1">
        <v>2.0</v>
      </c>
      <c r="L47" s="1">
        <v>1.0</v>
      </c>
      <c r="M47" s="1">
        <v>1.0</v>
      </c>
      <c r="N47" s="18"/>
      <c r="Z47" s="10"/>
      <c r="AA47" s="10"/>
    </row>
    <row r="48">
      <c r="A48" s="55">
        <v>45311.0</v>
      </c>
      <c r="B48" s="12" t="s">
        <v>578</v>
      </c>
      <c r="C48" s="12" t="s">
        <v>11</v>
      </c>
      <c r="D48" s="12">
        <v>91.27</v>
      </c>
      <c r="E48" s="12" t="s">
        <v>14</v>
      </c>
      <c r="F48" s="67">
        <f t="shared" si="1"/>
        <v>13.03857143</v>
      </c>
      <c r="G48" s="10">
        <f t="shared" si="2"/>
        <v>13.03857143</v>
      </c>
      <c r="H48" s="1">
        <v>1.0</v>
      </c>
      <c r="I48" s="1">
        <v>1.0</v>
      </c>
      <c r="J48" s="1">
        <v>1.0</v>
      </c>
      <c r="K48" s="1">
        <v>2.0</v>
      </c>
      <c r="L48" s="1">
        <v>1.0</v>
      </c>
      <c r="M48" s="1">
        <v>1.0</v>
      </c>
      <c r="N48" s="18"/>
      <c r="Z48" s="10"/>
      <c r="AA48" s="10"/>
    </row>
    <row r="49">
      <c r="A49" s="59">
        <v>45311.0</v>
      </c>
      <c r="B49" s="12" t="s">
        <v>578</v>
      </c>
      <c r="C49" s="12" t="s">
        <v>11</v>
      </c>
      <c r="D49" s="12">
        <f>12.71+14.97+19.68+6.01+13+13.79</f>
        <v>80.16</v>
      </c>
      <c r="E49" s="12" t="s">
        <v>14</v>
      </c>
      <c r="F49" s="67">
        <f t="shared" si="1"/>
        <v>11.45142857</v>
      </c>
      <c r="G49" s="10">
        <f t="shared" si="2"/>
        <v>11.45142857</v>
      </c>
      <c r="H49" s="1">
        <v>1.0</v>
      </c>
      <c r="I49" s="1">
        <v>1.0</v>
      </c>
      <c r="J49" s="1">
        <v>1.0</v>
      </c>
      <c r="K49" s="1">
        <v>2.0</v>
      </c>
      <c r="L49" s="1">
        <v>1.0</v>
      </c>
      <c r="M49" s="1">
        <v>1.0</v>
      </c>
      <c r="N49" s="18"/>
      <c r="Z49" s="10"/>
      <c r="AA49" s="10"/>
    </row>
    <row r="50">
      <c r="A50" s="59">
        <v>45311.0</v>
      </c>
      <c r="B50" s="12" t="s">
        <v>579</v>
      </c>
      <c r="C50" s="12" t="s">
        <v>11</v>
      </c>
      <c r="D50" s="12">
        <f>3.5*2*1.13+9.13+4.44+2.98</f>
        <v>24.46</v>
      </c>
      <c r="E50" s="12" t="s">
        <v>14</v>
      </c>
      <c r="F50" s="67">
        <f t="shared" si="1"/>
        <v>4.892</v>
      </c>
      <c r="G50" s="10">
        <f t="shared" si="2"/>
        <v>4.892</v>
      </c>
      <c r="H50" s="1">
        <v>1.0</v>
      </c>
      <c r="I50" s="1">
        <v>1.0</v>
      </c>
      <c r="J50" s="1">
        <v>1.0</v>
      </c>
      <c r="K50" s="1">
        <v>1.0</v>
      </c>
      <c r="N50" s="1">
        <v>1.0</v>
      </c>
      <c r="Z50" s="10"/>
      <c r="AA50" s="10"/>
    </row>
    <row r="51">
      <c r="A51" s="55">
        <v>45311.0</v>
      </c>
      <c r="B51" s="12" t="s">
        <v>580</v>
      </c>
      <c r="C51" s="12" t="s">
        <v>23</v>
      </c>
      <c r="D51" s="12">
        <f>5.99*1.13</f>
        <v>6.7687</v>
      </c>
      <c r="E51" s="12" t="s">
        <v>14</v>
      </c>
      <c r="F51" s="67">
        <f t="shared" si="1"/>
        <v>1.35374</v>
      </c>
      <c r="G51" s="10">
        <f t="shared" si="2"/>
        <v>1.35374</v>
      </c>
      <c r="H51" s="1">
        <v>1.0</v>
      </c>
      <c r="I51" s="1">
        <v>1.0</v>
      </c>
      <c r="J51" s="1">
        <v>1.0</v>
      </c>
      <c r="K51" s="1">
        <v>1.0</v>
      </c>
      <c r="N51" s="1">
        <v>1.0</v>
      </c>
      <c r="Z51" s="10"/>
      <c r="AA51" s="10"/>
    </row>
    <row r="52">
      <c r="A52" s="55">
        <v>45312.0</v>
      </c>
      <c r="B52" s="12" t="s">
        <v>581</v>
      </c>
      <c r="C52" s="12" t="s">
        <v>27</v>
      </c>
      <c r="D52" s="12">
        <v>67.82</v>
      </c>
      <c r="E52" s="12" t="s">
        <v>14</v>
      </c>
      <c r="F52" s="67">
        <f t="shared" si="1"/>
        <v>11.30333333</v>
      </c>
      <c r="G52" s="10">
        <f t="shared" si="2"/>
        <v>11.30333333</v>
      </c>
      <c r="H52" s="1">
        <v>1.0</v>
      </c>
      <c r="I52" s="1">
        <v>1.0</v>
      </c>
      <c r="J52" s="1">
        <v>1.0</v>
      </c>
      <c r="K52" s="1">
        <v>1.0</v>
      </c>
      <c r="L52" s="18"/>
      <c r="M52" s="1">
        <v>1.0</v>
      </c>
      <c r="N52" s="1">
        <v>1.0</v>
      </c>
      <c r="Z52" s="10"/>
      <c r="AA52" s="10"/>
    </row>
    <row r="53">
      <c r="A53" s="59">
        <v>45314.0</v>
      </c>
      <c r="B53" s="12" t="s">
        <v>53</v>
      </c>
      <c r="C53" s="12" t="s">
        <v>29</v>
      </c>
      <c r="D53" s="12">
        <v>9.0</v>
      </c>
      <c r="E53" s="12" t="s">
        <v>14</v>
      </c>
      <c r="F53" s="67">
        <f t="shared" si="1"/>
        <v>2.25</v>
      </c>
      <c r="G53" s="10">
        <f t="shared" si="2"/>
        <v>2.25</v>
      </c>
      <c r="H53" s="1">
        <v>1.0</v>
      </c>
      <c r="I53" s="1">
        <v>1.0</v>
      </c>
      <c r="J53" s="1">
        <v>1.0</v>
      </c>
      <c r="K53" s="1">
        <v>1.0</v>
      </c>
      <c r="N53" s="18"/>
      <c r="O53" s="18"/>
      <c r="P53" s="18"/>
      <c r="Q53" s="18"/>
      <c r="R53" s="18"/>
      <c r="S53" s="18"/>
      <c r="T53" s="18"/>
      <c r="U53" s="18"/>
      <c r="V53" s="18"/>
      <c r="W53" s="18"/>
      <c r="Z53" s="10"/>
      <c r="AA53" s="10"/>
    </row>
    <row r="54">
      <c r="A54" s="59">
        <v>45315.0</v>
      </c>
      <c r="B54" s="12" t="s">
        <v>53</v>
      </c>
      <c r="C54" s="12" t="s">
        <v>29</v>
      </c>
      <c r="D54" s="12">
        <v>12.0</v>
      </c>
      <c r="E54" s="12" t="s">
        <v>14</v>
      </c>
      <c r="F54" s="67">
        <f t="shared" ref="F54:F56" si="3">D54/sum(H54:Z54)</f>
        <v>3</v>
      </c>
      <c r="G54" s="10">
        <f t="shared" ref="G54:G56" si="4">D54/sum(H54:Z54)</f>
        <v>3</v>
      </c>
      <c r="H54" s="1">
        <v>1.0</v>
      </c>
      <c r="I54" s="1">
        <v>1.0</v>
      </c>
      <c r="K54" s="1">
        <v>1.0</v>
      </c>
      <c r="L54" s="18"/>
      <c r="M54" s="18"/>
      <c r="N54" s="1">
        <v>1.0</v>
      </c>
      <c r="P54" s="18"/>
      <c r="Q54" s="18"/>
      <c r="R54" s="18"/>
      <c r="S54" s="18"/>
      <c r="Z54" s="10"/>
      <c r="AA54" s="10"/>
    </row>
    <row r="55">
      <c r="A55" s="59">
        <v>45318.0</v>
      </c>
      <c r="B55" s="12" t="s">
        <v>235</v>
      </c>
      <c r="C55" s="12" t="s">
        <v>11</v>
      </c>
      <c r="D55" s="12">
        <v>15.41</v>
      </c>
      <c r="E55" s="12" t="s">
        <v>14</v>
      </c>
      <c r="F55" s="67">
        <f t="shared" si="3"/>
        <v>3.082</v>
      </c>
      <c r="G55" s="10">
        <f t="shared" si="4"/>
        <v>3.082</v>
      </c>
      <c r="H55" s="1">
        <v>1.0</v>
      </c>
      <c r="I55" s="1">
        <v>1.0</v>
      </c>
      <c r="J55" s="1">
        <v>1.0</v>
      </c>
      <c r="K55" s="1">
        <v>1.0</v>
      </c>
      <c r="M55" s="1">
        <v>1.0</v>
      </c>
      <c r="N55" s="18"/>
      <c r="Z55" s="10"/>
      <c r="AA55" s="10"/>
    </row>
    <row r="56">
      <c r="A56" s="59">
        <v>45314.0</v>
      </c>
      <c r="B56" s="12" t="s">
        <v>582</v>
      </c>
      <c r="C56" s="12" t="s">
        <v>11</v>
      </c>
      <c r="D56" s="12">
        <v>576.4</v>
      </c>
      <c r="E56" s="12" t="s">
        <v>15</v>
      </c>
      <c r="F56" s="67">
        <f t="shared" si="3"/>
        <v>96.06666667</v>
      </c>
      <c r="G56" s="10">
        <f t="shared" si="4"/>
        <v>96.06666667</v>
      </c>
      <c r="H56" s="1">
        <v>1.0</v>
      </c>
      <c r="I56" s="1">
        <v>1.0</v>
      </c>
      <c r="K56" s="1">
        <v>1.0</v>
      </c>
      <c r="L56" s="1">
        <v>1.0</v>
      </c>
      <c r="M56" s="1">
        <v>1.0</v>
      </c>
      <c r="N56" s="1">
        <v>1.0</v>
      </c>
      <c r="P56" s="18"/>
      <c r="Q56" s="18"/>
      <c r="R56" s="18"/>
      <c r="S56" s="18"/>
      <c r="Z56" s="10"/>
      <c r="AA56" s="10"/>
    </row>
    <row r="57">
      <c r="A57" s="55">
        <v>45294.0</v>
      </c>
      <c r="B57" s="12" t="s">
        <v>52</v>
      </c>
      <c r="C57" s="12" t="s">
        <v>11</v>
      </c>
      <c r="D57" s="12">
        <v>15.79</v>
      </c>
      <c r="E57" s="12" t="s">
        <v>4</v>
      </c>
      <c r="F57" s="67">
        <f t="shared" ref="F57:F76" si="5">D57/sum(H57:O57)</f>
        <v>3.158</v>
      </c>
      <c r="G57" s="10">
        <f t="shared" ref="G57:G76" si="6">D57/sum(H57:O57)</f>
        <v>3.158</v>
      </c>
      <c r="H57" s="1">
        <v>1.0</v>
      </c>
      <c r="I57" s="1">
        <v>1.0</v>
      </c>
      <c r="J57" s="1">
        <v>1.0</v>
      </c>
      <c r="K57" s="1">
        <v>1.0</v>
      </c>
      <c r="N57" s="1">
        <v>1.0</v>
      </c>
      <c r="Z57" s="10"/>
      <c r="AA57" s="10"/>
    </row>
    <row r="58">
      <c r="A58" s="55">
        <v>45316.0</v>
      </c>
      <c r="B58" s="12" t="s">
        <v>583</v>
      </c>
      <c r="C58" s="12" t="s">
        <v>11</v>
      </c>
      <c r="D58" s="12">
        <v>11.8</v>
      </c>
      <c r="E58" s="12" t="s">
        <v>4</v>
      </c>
      <c r="F58" s="67">
        <f t="shared" si="5"/>
        <v>2.36</v>
      </c>
      <c r="G58" s="10">
        <f t="shared" si="6"/>
        <v>2.36</v>
      </c>
      <c r="H58" s="1">
        <v>1.0</v>
      </c>
      <c r="I58" s="1">
        <v>1.0</v>
      </c>
      <c r="J58" s="1">
        <v>1.0</v>
      </c>
      <c r="K58" s="1">
        <v>1.0</v>
      </c>
      <c r="N58" s="1">
        <v>1.0</v>
      </c>
      <c r="Z58" s="10"/>
      <c r="AA58" s="10"/>
    </row>
    <row r="59">
      <c r="A59" s="55">
        <v>45317.0</v>
      </c>
      <c r="B59" s="12" t="s">
        <v>52</v>
      </c>
      <c r="C59" s="12" t="s">
        <v>11</v>
      </c>
      <c r="D59" s="12">
        <v>9.14</v>
      </c>
      <c r="E59" s="12" t="s">
        <v>4</v>
      </c>
      <c r="F59" s="67">
        <f t="shared" si="5"/>
        <v>4.57</v>
      </c>
      <c r="G59" s="10">
        <f t="shared" si="6"/>
        <v>4.57</v>
      </c>
      <c r="H59" s="18"/>
      <c r="I59" s="1">
        <v>1.0</v>
      </c>
      <c r="J59" s="18"/>
      <c r="K59" s="1">
        <v>1.0</v>
      </c>
      <c r="Z59" s="10"/>
      <c r="AA59" s="10"/>
    </row>
    <row r="60">
      <c r="A60" s="55">
        <v>45303.0</v>
      </c>
      <c r="B60" s="12" t="s">
        <v>584</v>
      </c>
      <c r="C60" s="12" t="s">
        <v>23</v>
      </c>
      <c r="D60" s="12">
        <f>39.99*1.13</f>
        <v>45.1887</v>
      </c>
      <c r="E60" s="12" t="s">
        <v>2</v>
      </c>
      <c r="F60" s="67">
        <f t="shared" si="5"/>
        <v>9.03774</v>
      </c>
      <c r="G60" s="10">
        <f t="shared" si="6"/>
        <v>9.03774</v>
      </c>
      <c r="H60" s="1">
        <v>1.0</v>
      </c>
      <c r="I60" s="1">
        <v>1.0</v>
      </c>
      <c r="J60" s="1">
        <v>1.0</v>
      </c>
      <c r="K60" s="1">
        <v>1.0</v>
      </c>
      <c r="L60" s="18"/>
      <c r="N60" s="1">
        <v>1.0</v>
      </c>
      <c r="Z60" s="10"/>
      <c r="AA60" s="10"/>
    </row>
    <row r="61">
      <c r="A61" s="55">
        <v>45305.0</v>
      </c>
      <c r="B61" s="12" t="s">
        <v>585</v>
      </c>
      <c r="C61" s="12" t="s">
        <v>11</v>
      </c>
      <c r="D61" s="12">
        <v>11.98</v>
      </c>
      <c r="E61" s="12" t="s">
        <v>2</v>
      </c>
      <c r="F61" s="67">
        <f t="shared" si="5"/>
        <v>2.396</v>
      </c>
      <c r="G61" s="10">
        <f t="shared" si="6"/>
        <v>2.396</v>
      </c>
      <c r="H61" s="1">
        <v>1.0</v>
      </c>
      <c r="I61" s="1">
        <v>1.0</v>
      </c>
      <c r="J61" s="1">
        <v>1.0</v>
      </c>
      <c r="K61" s="1">
        <v>1.0</v>
      </c>
      <c r="L61" s="18"/>
      <c r="M61" s="18"/>
      <c r="N61" s="1">
        <v>1.0</v>
      </c>
      <c r="Z61" s="10"/>
      <c r="AA61" s="10"/>
    </row>
    <row r="62">
      <c r="A62" s="55">
        <v>45305.0</v>
      </c>
      <c r="B62" s="12" t="s">
        <v>586</v>
      </c>
      <c r="C62" s="12" t="s">
        <v>11</v>
      </c>
      <c r="D62" s="12">
        <v>11.99</v>
      </c>
      <c r="E62" s="12" t="s">
        <v>2</v>
      </c>
      <c r="F62" s="67">
        <f t="shared" si="5"/>
        <v>11.99</v>
      </c>
      <c r="G62" s="10">
        <f t="shared" si="6"/>
        <v>11.99</v>
      </c>
      <c r="H62" s="18"/>
      <c r="I62" s="18"/>
      <c r="J62" s="1">
        <v>1.0</v>
      </c>
      <c r="K62" s="18"/>
      <c r="N62" s="18"/>
      <c r="Z62" s="10"/>
      <c r="AA62" s="10"/>
    </row>
    <row r="63">
      <c r="A63" s="55">
        <v>45305.0</v>
      </c>
      <c r="B63" s="12" t="s">
        <v>587</v>
      </c>
      <c r="C63" s="12" t="s">
        <v>23</v>
      </c>
      <c r="D63" s="12">
        <f>12.99*1.13</f>
        <v>14.6787</v>
      </c>
      <c r="E63" s="12" t="s">
        <v>2</v>
      </c>
      <c r="F63" s="67">
        <f t="shared" si="5"/>
        <v>2.93574</v>
      </c>
      <c r="G63" s="10">
        <f t="shared" si="6"/>
        <v>2.93574</v>
      </c>
      <c r="H63" s="1">
        <v>1.0</v>
      </c>
      <c r="I63" s="1">
        <v>1.0</v>
      </c>
      <c r="J63" s="1">
        <v>1.0</v>
      </c>
      <c r="K63" s="1">
        <v>1.0</v>
      </c>
      <c r="L63" s="18"/>
      <c r="M63" s="18"/>
      <c r="N63" s="1">
        <v>1.0</v>
      </c>
      <c r="Z63" s="10"/>
      <c r="AA63" s="10"/>
    </row>
    <row r="64">
      <c r="A64" s="55">
        <v>45305.0</v>
      </c>
      <c r="B64" s="12" t="s">
        <v>588</v>
      </c>
      <c r="C64" s="12" t="s">
        <v>11</v>
      </c>
      <c r="D64" s="12">
        <f>7.99*1.13</f>
        <v>9.0287</v>
      </c>
      <c r="E64" s="12" t="s">
        <v>2</v>
      </c>
      <c r="F64" s="67">
        <f t="shared" si="5"/>
        <v>1.80574</v>
      </c>
      <c r="G64" s="10">
        <f t="shared" si="6"/>
        <v>1.80574</v>
      </c>
      <c r="H64" s="1">
        <v>1.0</v>
      </c>
      <c r="I64" s="1">
        <v>1.0</v>
      </c>
      <c r="J64" s="1">
        <v>1.0</v>
      </c>
      <c r="K64" s="1">
        <v>1.0</v>
      </c>
      <c r="L64" s="18"/>
      <c r="M64" s="18"/>
      <c r="N64" s="1">
        <v>1.0</v>
      </c>
      <c r="Z64" s="10"/>
      <c r="AA64" s="10"/>
    </row>
    <row r="65">
      <c r="A65" s="55"/>
      <c r="B65" s="12" t="s">
        <v>589</v>
      </c>
      <c r="C65" s="12" t="s">
        <v>11</v>
      </c>
      <c r="D65" s="12">
        <v>19.98</v>
      </c>
      <c r="E65" s="12" t="s">
        <v>2</v>
      </c>
      <c r="F65" s="67">
        <f t="shared" si="5"/>
        <v>3.996</v>
      </c>
      <c r="G65" s="10">
        <f t="shared" si="6"/>
        <v>3.996</v>
      </c>
      <c r="H65" s="1">
        <v>1.0</v>
      </c>
      <c r="I65" s="1">
        <v>1.0</v>
      </c>
      <c r="J65" s="1">
        <v>1.0</v>
      </c>
      <c r="K65" s="1">
        <v>1.0</v>
      </c>
      <c r="N65" s="1">
        <v>1.0</v>
      </c>
      <c r="Z65" s="10"/>
      <c r="AA65" s="10"/>
    </row>
    <row r="66">
      <c r="A66" s="55"/>
      <c r="B66" s="12" t="s">
        <v>590</v>
      </c>
      <c r="C66" s="12" t="s">
        <v>11</v>
      </c>
      <c r="D66" s="12">
        <v>18.99</v>
      </c>
      <c r="E66" s="12" t="s">
        <v>2</v>
      </c>
      <c r="F66" s="67">
        <f t="shared" si="5"/>
        <v>3.798</v>
      </c>
      <c r="G66" s="10">
        <f t="shared" si="6"/>
        <v>3.798</v>
      </c>
      <c r="H66" s="1">
        <v>1.0</v>
      </c>
      <c r="I66" s="1">
        <v>1.0</v>
      </c>
      <c r="J66" s="1">
        <v>1.0</v>
      </c>
      <c r="K66" s="1">
        <v>1.0</v>
      </c>
      <c r="N66" s="1">
        <v>1.0</v>
      </c>
      <c r="Z66" s="10"/>
      <c r="AA66" s="10"/>
    </row>
    <row r="67">
      <c r="A67" s="55"/>
      <c r="B67" s="12" t="s">
        <v>591</v>
      </c>
      <c r="C67" s="12" t="s">
        <v>23</v>
      </c>
      <c r="D67" s="12">
        <f>21.49*1.13</f>
        <v>24.2837</v>
      </c>
      <c r="E67" s="12" t="s">
        <v>2</v>
      </c>
      <c r="F67" s="67">
        <f t="shared" si="5"/>
        <v>4.85674</v>
      </c>
      <c r="G67" s="10">
        <f t="shared" si="6"/>
        <v>4.85674</v>
      </c>
      <c r="H67" s="1">
        <v>1.0</v>
      </c>
      <c r="I67" s="1">
        <v>1.0</v>
      </c>
      <c r="J67" s="1">
        <v>1.0</v>
      </c>
      <c r="K67" s="1">
        <v>1.0</v>
      </c>
      <c r="L67" s="18"/>
      <c r="M67" s="18"/>
      <c r="N67" s="1">
        <v>1.0</v>
      </c>
      <c r="Z67" s="10"/>
      <c r="AA67" s="10"/>
    </row>
    <row r="68">
      <c r="A68" s="55"/>
      <c r="B68" s="12" t="s">
        <v>592</v>
      </c>
      <c r="C68" s="12" t="s">
        <v>11</v>
      </c>
      <c r="D68" s="12">
        <v>6.99</v>
      </c>
      <c r="E68" s="12" t="s">
        <v>2</v>
      </c>
      <c r="F68" s="67">
        <f t="shared" si="5"/>
        <v>1.398</v>
      </c>
      <c r="G68" s="10">
        <f t="shared" si="6"/>
        <v>1.398</v>
      </c>
      <c r="H68" s="1">
        <v>1.0</v>
      </c>
      <c r="I68" s="1">
        <v>1.0</v>
      </c>
      <c r="J68" s="1">
        <v>1.0</v>
      </c>
      <c r="K68" s="1">
        <v>1.0</v>
      </c>
      <c r="N68" s="1">
        <v>1.0</v>
      </c>
      <c r="Z68" s="10"/>
      <c r="AA68" s="10"/>
    </row>
    <row r="69">
      <c r="A69" s="55"/>
      <c r="B69" s="12" t="s">
        <v>593</v>
      </c>
      <c r="C69" s="12" t="s">
        <v>11</v>
      </c>
      <c r="D69" s="12">
        <v>25.97</v>
      </c>
      <c r="E69" s="12" t="s">
        <v>2</v>
      </c>
      <c r="F69" s="67">
        <f t="shared" si="5"/>
        <v>25.97</v>
      </c>
      <c r="G69" s="10">
        <f t="shared" si="6"/>
        <v>25.97</v>
      </c>
      <c r="H69" s="18"/>
      <c r="I69" s="18"/>
      <c r="J69" s="1">
        <v>1.0</v>
      </c>
      <c r="K69" s="18"/>
      <c r="N69" s="18"/>
      <c r="Z69" s="10"/>
      <c r="AA69" s="10"/>
    </row>
    <row r="70">
      <c r="A70" s="55"/>
      <c r="B70" s="12" t="s">
        <v>333</v>
      </c>
      <c r="C70" s="12" t="s">
        <v>19</v>
      </c>
      <c r="D70" s="12">
        <f>14.39*1.13</f>
        <v>16.2607</v>
      </c>
      <c r="E70" s="12" t="s">
        <v>2</v>
      </c>
      <c r="F70" s="67">
        <f t="shared" si="5"/>
        <v>3.25214</v>
      </c>
      <c r="G70" s="10">
        <f t="shared" si="6"/>
        <v>3.25214</v>
      </c>
      <c r="H70" s="1">
        <v>1.0</v>
      </c>
      <c r="I70" s="1">
        <v>1.0</v>
      </c>
      <c r="J70" s="1">
        <v>1.0</v>
      </c>
      <c r="K70" s="1">
        <v>1.0</v>
      </c>
      <c r="N70" s="1">
        <v>1.0</v>
      </c>
      <c r="Z70" s="10"/>
      <c r="AA70" s="10"/>
    </row>
    <row r="71">
      <c r="A71" s="55"/>
      <c r="B71" s="12" t="s">
        <v>96</v>
      </c>
      <c r="C71" s="12" t="s">
        <v>11</v>
      </c>
      <c r="D71" s="12">
        <v>14.99</v>
      </c>
      <c r="E71" s="12" t="s">
        <v>2</v>
      </c>
      <c r="F71" s="67">
        <f t="shared" si="5"/>
        <v>2.998</v>
      </c>
      <c r="G71" s="10">
        <f t="shared" si="6"/>
        <v>2.998</v>
      </c>
      <c r="H71" s="1">
        <v>1.0</v>
      </c>
      <c r="I71" s="1">
        <v>1.0</v>
      </c>
      <c r="J71" s="1">
        <v>1.0</v>
      </c>
      <c r="K71" s="1">
        <v>1.0</v>
      </c>
      <c r="N71" s="1">
        <v>1.0</v>
      </c>
      <c r="Z71" s="10"/>
      <c r="AA71" s="10"/>
    </row>
    <row r="72">
      <c r="A72" s="55"/>
      <c r="B72" s="12" t="s">
        <v>594</v>
      </c>
      <c r="C72" s="12" t="s">
        <v>11</v>
      </c>
      <c r="D72" s="12">
        <v>3.39</v>
      </c>
      <c r="E72" s="12" t="s">
        <v>2</v>
      </c>
      <c r="F72" s="67">
        <f t="shared" si="5"/>
        <v>0.678</v>
      </c>
      <c r="G72" s="10">
        <f t="shared" si="6"/>
        <v>0.678</v>
      </c>
      <c r="H72" s="1">
        <v>1.0</v>
      </c>
      <c r="I72" s="1">
        <v>1.0</v>
      </c>
      <c r="J72" s="1">
        <v>1.0</v>
      </c>
      <c r="K72" s="1">
        <v>1.0</v>
      </c>
      <c r="L72" s="18"/>
      <c r="M72" s="18"/>
      <c r="N72" s="1">
        <v>1.0</v>
      </c>
      <c r="Z72" s="10"/>
      <c r="AA72" s="10"/>
    </row>
    <row r="73">
      <c r="A73" s="55"/>
      <c r="B73" s="12" t="s">
        <v>595</v>
      </c>
      <c r="C73" s="12" t="s">
        <v>31</v>
      </c>
      <c r="D73" s="12">
        <f>59.99*1.13</f>
        <v>67.7887</v>
      </c>
      <c r="E73" s="12" t="s">
        <v>2</v>
      </c>
      <c r="F73" s="67">
        <f t="shared" si="5"/>
        <v>67.7887</v>
      </c>
      <c r="G73" s="10">
        <f t="shared" si="6"/>
        <v>67.7887</v>
      </c>
      <c r="H73" s="1">
        <v>1.0</v>
      </c>
      <c r="I73" s="18"/>
      <c r="J73" s="18"/>
      <c r="K73" s="18"/>
      <c r="N73" s="18"/>
      <c r="Z73" s="10"/>
      <c r="AA73" s="10"/>
    </row>
    <row r="74">
      <c r="A74" s="55">
        <v>45306.0</v>
      </c>
      <c r="B74" s="12" t="s">
        <v>52</v>
      </c>
      <c r="C74" s="12" t="s">
        <v>11</v>
      </c>
      <c r="D74" s="12">
        <v>19.86</v>
      </c>
      <c r="E74" s="12" t="s">
        <v>2</v>
      </c>
      <c r="F74" s="67">
        <f t="shared" si="5"/>
        <v>3.972</v>
      </c>
      <c r="G74" s="10">
        <f t="shared" si="6"/>
        <v>3.972</v>
      </c>
      <c r="H74" s="1">
        <v>1.0</v>
      </c>
      <c r="I74" s="1">
        <v>1.0</v>
      </c>
      <c r="J74" s="1">
        <v>1.0</v>
      </c>
      <c r="K74" s="1">
        <v>1.0</v>
      </c>
      <c r="N74" s="1">
        <v>1.0</v>
      </c>
      <c r="Z74" s="10"/>
      <c r="AA74" s="10"/>
    </row>
    <row r="75">
      <c r="A75" s="55">
        <v>45306.0</v>
      </c>
      <c r="B75" s="12" t="s">
        <v>519</v>
      </c>
      <c r="C75" s="12" t="s">
        <v>11</v>
      </c>
      <c r="D75" s="12">
        <v>19.86</v>
      </c>
      <c r="E75" s="12" t="s">
        <v>2</v>
      </c>
      <c r="F75" s="67">
        <f t="shared" si="5"/>
        <v>3.972</v>
      </c>
      <c r="G75" s="10">
        <f t="shared" si="6"/>
        <v>3.972</v>
      </c>
      <c r="H75" s="1">
        <v>1.0</v>
      </c>
      <c r="I75" s="1">
        <v>1.0</v>
      </c>
      <c r="J75" s="1">
        <v>1.0</v>
      </c>
      <c r="K75" s="1">
        <v>1.0</v>
      </c>
      <c r="N75" s="1">
        <v>1.0</v>
      </c>
      <c r="Z75" s="10"/>
      <c r="AA75" s="10"/>
    </row>
    <row r="76">
      <c r="A76" s="55">
        <v>45311.0</v>
      </c>
      <c r="B76" s="12" t="s">
        <v>596</v>
      </c>
      <c r="C76" s="12" t="s">
        <v>23</v>
      </c>
      <c r="D76" s="12">
        <v>38.41</v>
      </c>
      <c r="E76" s="12" t="s">
        <v>2</v>
      </c>
      <c r="F76" s="67">
        <f t="shared" si="5"/>
        <v>7.682</v>
      </c>
      <c r="G76" s="10">
        <f t="shared" si="6"/>
        <v>7.682</v>
      </c>
      <c r="H76" s="1">
        <v>1.0</v>
      </c>
      <c r="I76" s="1">
        <v>1.0</v>
      </c>
      <c r="J76" s="1">
        <v>1.0</v>
      </c>
      <c r="K76" s="1">
        <v>1.0</v>
      </c>
      <c r="L76" s="18"/>
      <c r="M76" s="18"/>
      <c r="N76" s="1">
        <v>1.0</v>
      </c>
      <c r="Z76" s="10"/>
      <c r="AA76" s="10"/>
    </row>
    <row r="77">
      <c r="A77" s="59">
        <v>45306.0</v>
      </c>
      <c r="B77" s="12" t="s">
        <v>445</v>
      </c>
      <c r="C77" s="12" t="s">
        <v>11</v>
      </c>
      <c r="D77" s="12">
        <v>7.99</v>
      </c>
      <c r="E77" s="12" t="s">
        <v>4</v>
      </c>
      <c r="F77" s="67">
        <f t="shared" ref="F77:F84" si="7">D77/sum(H77:Z77)</f>
        <v>1.598</v>
      </c>
      <c r="G77" s="10">
        <f t="shared" ref="G77:G84" si="8">D77/sum(H77:Z77)</f>
        <v>1.598</v>
      </c>
      <c r="H77" s="1">
        <v>1.0</v>
      </c>
      <c r="I77" s="1">
        <v>1.0</v>
      </c>
      <c r="J77" s="1">
        <v>1.0</v>
      </c>
      <c r="K77" s="1">
        <v>1.0</v>
      </c>
      <c r="N77" s="1">
        <v>1.0</v>
      </c>
      <c r="Z77" s="10"/>
      <c r="AA77" s="10"/>
    </row>
    <row r="78">
      <c r="A78" s="59">
        <v>45318.0</v>
      </c>
      <c r="B78" s="12" t="s">
        <v>597</v>
      </c>
      <c r="C78" s="12" t="s">
        <v>11</v>
      </c>
      <c r="D78" s="12">
        <f>11+6.25</f>
        <v>17.25</v>
      </c>
      <c r="E78" s="12" t="s">
        <v>15</v>
      </c>
      <c r="F78" s="67">
        <f t="shared" si="7"/>
        <v>3.45</v>
      </c>
      <c r="G78" s="10">
        <f t="shared" si="8"/>
        <v>3.45</v>
      </c>
      <c r="H78" s="1">
        <v>1.0</v>
      </c>
      <c r="I78" s="1">
        <v>1.0</v>
      </c>
      <c r="J78" s="1">
        <v>1.0</v>
      </c>
      <c r="K78" s="1">
        <v>1.0</v>
      </c>
      <c r="N78" s="1">
        <v>1.0</v>
      </c>
      <c r="Z78" s="10"/>
      <c r="AA78" s="10"/>
    </row>
    <row r="79">
      <c r="A79" s="55">
        <v>45322.0</v>
      </c>
      <c r="B79" s="12" t="s">
        <v>417</v>
      </c>
      <c r="C79" s="12" t="s">
        <v>11</v>
      </c>
      <c r="D79" s="12">
        <v>43.87</v>
      </c>
      <c r="E79" s="12" t="s">
        <v>14</v>
      </c>
      <c r="F79" s="67">
        <f t="shared" si="7"/>
        <v>7.311666667</v>
      </c>
      <c r="G79" s="10">
        <f t="shared" si="8"/>
        <v>7.311666667</v>
      </c>
      <c r="H79" s="1">
        <v>1.0</v>
      </c>
      <c r="I79" s="1">
        <v>1.0</v>
      </c>
      <c r="J79" s="1">
        <v>1.0</v>
      </c>
      <c r="K79" s="1">
        <v>1.0</v>
      </c>
      <c r="L79" s="18"/>
      <c r="M79" s="1">
        <v>1.0</v>
      </c>
      <c r="N79" s="1">
        <v>1.0</v>
      </c>
      <c r="P79" s="18"/>
      <c r="Q79" s="18"/>
      <c r="R79" s="18"/>
      <c r="S79" s="18"/>
      <c r="Z79" s="10"/>
      <c r="AA79" s="10"/>
    </row>
    <row r="80">
      <c r="A80" s="55">
        <v>45318.0</v>
      </c>
      <c r="B80" s="12" t="s">
        <v>213</v>
      </c>
      <c r="C80" s="12" t="s">
        <v>11</v>
      </c>
      <c r="D80" s="12">
        <v>15.35</v>
      </c>
      <c r="E80" s="12" t="s">
        <v>14</v>
      </c>
      <c r="F80" s="67">
        <f t="shared" si="7"/>
        <v>2.192857143</v>
      </c>
      <c r="G80" s="10">
        <f t="shared" si="8"/>
        <v>2.192857143</v>
      </c>
      <c r="H80" s="1">
        <v>1.0</v>
      </c>
      <c r="I80" s="1">
        <v>1.0</v>
      </c>
      <c r="J80" s="1">
        <v>1.0</v>
      </c>
      <c r="K80" s="1">
        <v>1.0</v>
      </c>
      <c r="L80" s="1">
        <v>1.0</v>
      </c>
      <c r="M80" s="1">
        <v>1.0</v>
      </c>
      <c r="N80" s="1">
        <v>1.0</v>
      </c>
      <c r="P80" s="18"/>
      <c r="Q80" s="18"/>
      <c r="R80" s="18"/>
      <c r="S80" s="18"/>
      <c r="Z80" s="10"/>
      <c r="AA80" s="10"/>
    </row>
    <row r="81">
      <c r="A81" s="55">
        <v>45319.0</v>
      </c>
      <c r="B81" s="12" t="s">
        <v>421</v>
      </c>
      <c r="C81" s="12" t="s">
        <v>11</v>
      </c>
      <c r="D81" s="12">
        <v>81.97</v>
      </c>
      <c r="E81" s="12" t="s">
        <v>13</v>
      </c>
      <c r="F81" s="67">
        <f t="shared" si="7"/>
        <v>16.394</v>
      </c>
      <c r="G81" s="10">
        <f t="shared" si="8"/>
        <v>16.394</v>
      </c>
      <c r="H81" s="1">
        <v>1.0</v>
      </c>
      <c r="I81" s="1">
        <v>1.0</v>
      </c>
      <c r="J81" s="1">
        <v>1.0</v>
      </c>
      <c r="K81" s="1">
        <v>1.0</v>
      </c>
      <c r="N81" s="1">
        <v>1.0</v>
      </c>
      <c r="Z81" s="10"/>
      <c r="AA81" s="10"/>
    </row>
    <row r="82">
      <c r="A82" s="55">
        <v>45320.0</v>
      </c>
      <c r="B82" s="12" t="s">
        <v>95</v>
      </c>
      <c r="C82" s="12" t="s">
        <v>11</v>
      </c>
      <c r="D82" s="12">
        <v>3.49</v>
      </c>
      <c r="E82" s="12" t="s">
        <v>14</v>
      </c>
      <c r="F82" s="67">
        <f t="shared" si="7"/>
        <v>0.698</v>
      </c>
      <c r="G82" s="10">
        <f t="shared" si="8"/>
        <v>0.698</v>
      </c>
      <c r="H82" s="1">
        <v>1.0</v>
      </c>
      <c r="I82" s="1">
        <v>1.0</v>
      </c>
      <c r="J82" s="1">
        <v>1.0</v>
      </c>
      <c r="K82" s="1">
        <v>1.0</v>
      </c>
      <c r="N82" s="1">
        <v>1.0</v>
      </c>
      <c r="Z82" s="10"/>
      <c r="AA82" s="10"/>
    </row>
    <row r="83">
      <c r="A83" s="55">
        <v>45322.0</v>
      </c>
      <c r="B83" s="12" t="s">
        <v>542</v>
      </c>
      <c r="C83" s="12" t="s">
        <v>11</v>
      </c>
      <c r="D83" s="12">
        <v>11.98</v>
      </c>
      <c r="E83" s="12" t="s">
        <v>4</v>
      </c>
      <c r="F83" s="67">
        <f t="shared" si="7"/>
        <v>2.396</v>
      </c>
      <c r="G83" s="10">
        <f t="shared" si="8"/>
        <v>2.396</v>
      </c>
      <c r="H83" s="1">
        <v>1.0</v>
      </c>
      <c r="I83" s="1">
        <v>1.0</v>
      </c>
      <c r="J83" s="1">
        <v>1.0</v>
      </c>
      <c r="K83" s="1">
        <v>1.0</v>
      </c>
      <c r="N83" s="1">
        <v>1.0</v>
      </c>
      <c r="Z83" s="10"/>
      <c r="AA83" s="10"/>
    </row>
    <row r="84">
      <c r="A84" s="55">
        <v>44957.0</v>
      </c>
      <c r="B84" s="12" t="s">
        <v>598</v>
      </c>
      <c r="C84" s="12" t="s">
        <v>11</v>
      </c>
      <c r="D84" s="12">
        <v>56.13</v>
      </c>
      <c r="E84" s="12" t="s">
        <v>8</v>
      </c>
      <c r="F84" s="67">
        <f t="shared" si="7"/>
        <v>11.226</v>
      </c>
      <c r="G84" s="10">
        <f t="shared" si="8"/>
        <v>11.226</v>
      </c>
      <c r="H84" s="1">
        <v>1.0</v>
      </c>
      <c r="I84" s="1">
        <v>1.0</v>
      </c>
      <c r="J84" s="1">
        <v>1.0</v>
      </c>
      <c r="K84" s="1">
        <v>1.0</v>
      </c>
      <c r="N84" s="1">
        <v>1.0</v>
      </c>
      <c r="Z84" s="10"/>
      <c r="AA84" s="10"/>
    </row>
    <row r="111">
      <c r="A111" s="10"/>
      <c r="B111" s="10"/>
      <c r="C111" s="10"/>
      <c r="D111" s="10"/>
      <c r="E111" s="10"/>
      <c r="F111" s="67" t="str">
        <f t="shared" ref="F111:F150" si="9">D111/sum(H111:O111)</f>
        <v>#DIV/0!</v>
      </c>
      <c r="G111" s="10" t="str">
        <f t="shared" ref="G111:G126" si="10">D111/sum(H111:O111)</f>
        <v>#DIV/0!</v>
      </c>
      <c r="Z111" s="10"/>
      <c r="AA111" s="10"/>
    </row>
    <row r="112">
      <c r="A112" s="10"/>
      <c r="B112" s="10"/>
      <c r="C112" s="10"/>
      <c r="D112" s="10"/>
      <c r="E112" s="10"/>
      <c r="F112" s="67" t="str">
        <f t="shared" si="9"/>
        <v>#DIV/0!</v>
      </c>
      <c r="G112" s="10" t="str">
        <f t="shared" si="10"/>
        <v>#DIV/0!</v>
      </c>
      <c r="Z112" s="10"/>
      <c r="AA112" s="10"/>
    </row>
    <row r="113">
      <c r="A113" s="10"/>
      <c r="B113" s="10"/>
      <c r="C113" s="10"/>
      <c r="D113" s="10"/>
      <c r="E113" s="10"/>
      <c r="F113" s="67" t="str">
        <f t="shared" si="9"/>
        <v>#DIV/0!</v>
      </c>
      <c r="G113" s="10" t="str">
        <f t="shared" si="10"/>
        <v>#DIV/0!</v>
      </c>
      <c r="Z113" s="10"/>
      <c r="AA113" s="10"/>
    </row>
    <row r="114">
      <c r="A114" s="10"/>
      <c r="B114" s="10"/>
      <c r="C114" s="10"/>
      <c r="D114" s="10"/>
      <c r="E114" s="10"/>
      <c r="F114" s="67" t="str">
        <f t="shared" si="9"/>
        <v>#DIV/0!</v>
      </c>
      <c r="G114" s="10" t="str">
        <f t="shared" si="10"/>
        <v>#DIV/0!</v>
      </c>
      <c r="Z114" s="10"/>
      <c r="AA114" s="10"/>
    </row>
    <row r="115">
      <c r="A115" s="10"/>
      <c r="B115" s="10"/>
      <c r="C115" s="10"/>
      <c r="D115" s="10"/>
      <c r="E115" s="10"/>
      <c r="F115" s="67" t="str">
        <f t="shared" si="9"/>
        <v>#DIV/0!</v>
      </c>
      <c r="G115" s="10" t="str">
        <f t="shared" si="10"/>
        <v>#DIV/0!</v>
      </c>
      <c r="Z115" s="10"/>
      <c r="AA115" s="10"/>
    </row>
    <row r="116">
      <c r="A116" s="10"/>
      <c r="B116" s="10"/>
      <c r="C116" s="10"/>
      <c r="D116" s="10"/>
      <c r="E116" s="10"/>
      <c r="F116" s="67" t="str">
        <f t="shared" si="9"/>
        <v>#DIV/0!</v>
      </c>
      <c r="G116" s="10" t="str">
        <f t="shared" si="10"/>
        <v>#DIV/0!</v>
      </c>
      <c r="Z116" s="10"/>
      <c r="AA116" s="10"/>
    </row>
    <row r="117">
      <c r="A117" s="10"/>
      <c r="B117" s="10"/>
      <c r="C117" s="10"/>
      <c r="D117" s="10"/>
      <c r="E117" s="10"/>
      <c r="F117" s="67" t="str">
        <f t="shared" si="9"/>
        <v>#DIV/0!</v>
      </c>
      <c r="G117" s="10" t="str">
        <f t="shared" si="10"/>
        <v>#DIV/0!</v>
      </c>
      <c r="Z117" s="10"/>
      <c r="AA117" s="10"/>
    </row>
    <row r="118">
      <c r="A118" s="10"/>
      <c r="B118" s="10"/>
      <c r="C118" s="10"/>
      <c r="D118" s="10"/>
      <c r="E118" s="10"/>
      <c r="F118" s="67" t="str">
        <f t="shared" si="9"/>
        <v>#DIV/0!</v>
      </c>
      <c r="G118" s="10" t="str">
        <f t="shared" si="10"/>
        <v>#DIV/0!</v>
      </c>
      <c r="Z118" s="10"/>
      <c r="AA118" s="10"/>
    </row>
    <row r="119">
      <c r="A119" s="10"/>
      <c r="B119" s="10"/>
      <c r="C119" s="10"/>
      <c r="D119" s="10"/>
      <c r="E119" s="10"/>
      <c r="F119" s="67" t="str">
        <f t="shared" si="9"/>
        <v>#DIV/0!</v>
      </c>
      <c r="G119" s="10" t="str">
        <f t="shared" si="10"/>
        <v>#DIV/0!</v>
      </c>
      <c r="Z119" s="10"/>
      <c r="AA119" s="10"/>
    </row>
    <row r="120">
      <c r="A120" s="10"/>
      <c r="B120" s="10"/>
      <c r="C120" s="10"/>
      <c r="D120" s="10"/>
      <c r="E120" s="10"/>
      <c r="F120" s="67" t="str">
        <f t="shared" si="9"/>
        <v>#DIV/0!</v>
      </c>
      <c r="G120" s="10" t="str">
        <f t="shared" si="10"/>
        <v>#DIV/0!</v>
      </c>
      <c r="Z120" s="10"/>
      <c r="AA120" s="10"/>
    </row>
    <row r="121">
      <c r="A121" s="10"/>
      <c r="B121" s="10"/>
      <c r="C121" s="10"/>
      <c r="D121" s="10"/>
      <c r="E121" s="10"/>
      <c r="F121" s="67" t="str">
        <f t="shared" si="9"/>
        <v>#DIV/0!</v>
      </c>
      <c r="G121" s="10" t="str">
        <f t="shared" si="10"/>
        <v>#DIV/0!</v>
      </c>
      <c r="Z121" s="10"/>
      <c r="AA121" s="10"/>
    </row>
    <row r="122">
      <c r="A122" s="10"/>
      <c r="B122" s="10"/>
      <c r="C122" s="10"/>
      <c r="D122" s="10"/>
      <c r="E122" s="10"/>
      <c r="F122" s="67" t="str">
        <f t="shared" si="9"/>
        <v>#DIV/0!</v>
      </c>
      <c r="G122" s="10" t="str">
        <f t="shared" si="10"/>
        <v>#DIV/0!</v>
      </c>
      <c r="Z122" s="10"/>
      <c r="AA122" s="10"/>
    </row>
    <row r="123">
      <c r="A123" s="10"/>
      <c r="B123" s="10"/>
      <c r="C123" s="10"/>
      <c r="D123" s="10"/>
      <c r="E123" s="10"/>
      <c r="F123" s="67" t="str">
        <f t="shared" si="9"/>
        <v>#DIV/0!</v>
      </c>
      <c r="G123" s="10" t="str">
        <f t="shared" si="10"/>
        <v>#DIV/0!</v>
      </c>
      <c r="Z123" s="10"/>
      <c r="AA123" s="10"/>
    </row>
    <row r="124">
      <c r="A124" s="10"/>
      <c r="B124" s="10"/>
      <c r="C124" s="10"/>
      <c r="D124" s="10"/>
      <c r="E124" s="10"/>
      <c r="F124" s="67" t="str">
        <f t="shared" si="9"/>
        <v>#DIV/0!</v>
      </c>
      <c r="G124" s="10" t="str">
        <f t="shared" si="10"/>
        <v>#DIV/0!</v>
      </c>
      <c r="Z124" s="10"/>
      <c r="AA124" s="10"/>
    </row>
    <row r="125">
      <c r="A125" s="10"/>
      <c r="B125" s="10"/>
      <c r="C125" s="10"/>
      <c r="D125" s="10"/>
      <c r="E125" s="10"/>
      <c r="F125" s="67" t="str">
        <f t="shared" si="9"/>
        <v>#DIV/0!</v>
      </c>
      <c r="G125" s="10" t="str">
        <f t="shared" si="10"/>
        <v>#DIV/0!</v>
      </c>
      <c r="Z125" s="10"/>
      <c r="AA125" s="10"/>
    </row>
    <row r="126">
      <c r="A126" s="10"/>
      <c r="B126" s="10"/>
      <c r="C126" s="10"/>
      <c r="D126" s="10"/>
      <c r="E126" s="10"/>
      <c r="F126" s="67" t="str">
        <f t="shared" si="9"/>
        <v>#DIV/0!</v>
      </c>
      <c r="G126" s="10" t="str">
        <f t="shared" si="10"/>
        <v>#DIV/0!</v>
      </c>
      <c r="Z126" s="10"/>
      <c r="AA126" s="10"/>
    </row>
    <row r="127">
      <c r="A127" s="10"/>
      <c r="B127" s="10"/>
      <c r="C127" s="10"/>
      <c r="D127" s="10"/>
      <c r="E127" s="10"/>
      <c r="F127" s="67" t="str">
        <f t="shared" si="9"/>
        <v>#DIV/0!</v>
      </c>
      <c r="G127" s="10"/>
      <c r="Z127" s="10"/>
      <c r="AA127" s="10"/>
    </row>
    <row r="128">
      <c r="A128" s="10"/>
      <c r="B128" s="10"/>
      <c r="C128" s="10"/>
      <c r="D128" s="10"/>
      <c r="E128" s="10"/>
      <c r="F128" s="67" t="str">
        <f t="shared" si="9"/>
        <v>#DIV/0!</v>
      </c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10"/>
      <c r="B129" s="10"/>
      <c r="C129" s="10"/>
      <c r="D129" s="10"/>
      <c r="E129" s="10"/>
      <c r="F129" s="67" t="str">
        <f t="shared" si="9"/>
        <v>#DIV/0!</v>
      </c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0"/>
      <c r="B130" s="10"/>
      <c r="C130" s="10"/>
      <c r="D130" s="10"/>
      <c r="E130" s="10"/>
      <c r="F130" s="67" t="str">
        <f t="shared" si="9"/>
        <v>#DIV/0!</v>
      </c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0"/>
      <c r="B131" s="10"/>
      <c r="C131" s="10"/>
      <c r="D131" s="10"/>
      <c r="E131" s="10"/>
      <c r="F131" s="67" t="str">
        <f t="shared" si="9"/>
        <v>#DIV/0!</v>
      </c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0"/>
      <c r="B132" s="10"/>
      <c r="C132" s="10"/>
      <c r="D132" s="10"/>
      <c r="E132" s="10"/>
      <c r="F132" s="67" t="str">
        <f t="shared" si="9"/>
        <v>#DIV/0!</v>
      </c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 t="str">
        <f t="shared" si="9"/>
        <v>#DIV/0!</v>
      </c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>
      <c r="A134" s="10"/>
      <c r="B134" s="10"/>
      <c r="C134" s="10"/>
      <c r="D134" s="10"/>
      <c r="E134" s="10"/>
      <c r="F134" s="67" t="str">
        <f t="shared" si="9"/>
        <v>#DIV/0!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>
      <c r="A135" s="10"/>
      <c r="B135" s="10"/>
      <c r="C135" s="10"/>
      <c r="D135" s="10"/>
      <c r="E135" s="10"/>
      <c r="F135" s="67" t="str">
        <f t="shared" si="9"/>
        <v>#DIV/0!</v>
      </c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>
      <c r="A136" s="10"/>
      <c r="B136" s="10"/>
      <c r="C136" s="10"/>
      <c r="D136" s="10"/>
      <c r="E136" s="10"/>
      <c r="F136" s="67" t="str">
        <f t="shared" si="9"/>
        <v>#DIV/0!</v>
      </c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>
      <c r="A137" s="10"/>
      <c r="B137" s="10"/>
      <c r="C137" s="10"/>
      <c r="D137" s="10"/>
      <c r="E137" s="10"/>
      <c r="F137" s="67" t="str">
        <f t="shared" si="9"/>
        <v>#DIV/0!</v>
      </c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>
      <c r="A138" s="10"/>
      <c r="B138" s="10"/>
      <c r="C138" s="10"/>
      <c r="D138" s="10"/>
      <c r="E138" s="10"/>
      <c r="F138" s="67" t="str">
        <f t="shared" si="9"/>
        <v>#DIV/0!</v>
      </c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>
      <c r="A139" s="10"/>
      <c r="B139" s="10"/>
      <c r="C139" s="10"/>
      <c r="D139" s="10"/>
      <c r="E139" s="10"/>
      <c r="F139" s="67" t="str">
        <f t="shared" si="9"/>
        <v>#DIV/0!</v>
      </c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>
      <c r="A140" s="10"/>
      <c r="B140" s="10"/>
      <c r="C140" s="10"/>
      <c r="D140" s="10"/>
      <c r="E140" s="10"/>
      <c r="F140" s="67" t="str">
        <f t="shared" si="9"/>
        <v>#DIV/0!</v>
      </c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>
      <c r="A141" s="10"/>
      <c r="B141" s="10"/>
      <c r="C141" s="10"/>
      <c r="D141" s="10"/>
      <c r="E141" s="10"/>
      <c r="F141" s="67" t="str">
        <f t="shared" si="9"/>
        <v>#DIV/0!</v>
      </c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 t="str">
        <f t="shared" si="9"/>
        <v>#DIV/0!</v>
      </c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 t="str">
        <f t="shared" si="9"/>
        <v>#DIV/0!</v>
      </c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 t="str">
        <f t="shared" si="9"/>
        <v>#DIV/0!</v>
      </c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 t="str">
        <f t="shared" si="9"/>
        <v>#DIV/0!</v>
      </c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 t="str">
        <f t="shared" si="9"/>
        <v>#DIV/0!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 t="str">
        <f t="shared" si="9"/>
        <v>#DIV/0!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 t="str">
        <f t="shared" si="9"/>
        <v>#DIV/0!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 t="str">
        <f t="shared" si="9"/>
        <v>#DIV/0!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 t="str">
        <f t="shared" si="9"/>
        <v>#DIV/0!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B158" s="10"/>
      <c r="C158" s="10"/>
      <c r="D158" s="10"/>
      <c r="E158" s="10"/>
      <c r="F158" s="67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55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</sheetData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84 C111:C125">
      <formula1>"食物,飲品,衣服,居家,電子產品,娛樂,醫藥,交通,其他"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7.0" ySplit="1.0" topLeftCell="H2" activePane="bottomRight" state="frozen"/>
      <selection activeCell="H1" sqref="H1" pane="topRight"/>
      <selection activeCell="A2" sqref="A2" pane="bottomLeft"/>
      <selection activeCell="H2" sqref="H2" pane="bottomRight"/>
    </sheetView>
  </sheetViews>
  <sheetFormatPr customHeight="1" defaultColWidth="12.63" defaultRowHeight="15.75"/>
  <cols>
    <col customWidth="1" min="1" max="1" width="15.75"/>
    <col customWidth="1" min="2" max="2" width="8.63"/>
    <col customWidth="1" min="3" max="3" width="14.5"/>
    <col customWidth="1" min="4" max="4" width="5.0"/>
    <col customWidth="1" min="5" max="5" width="7.25"/>
    <col customWidth="1" min="6" max="6" width="6.13"/>
    <col customWidth="1" min="7" max="7" width="2.38"/>
  </cols>
  <sheetData>
    <row r="1">
      <c r="A1" s="12" t="s">
        <v>36</v>
      </c>
      <c r="B1" s="12" t="s">
        <v>599</v>
      </c>
      <c r="C1" s="12" t="s">
        <v>37</v>
      </c>
      <c r="D1" s="12" t="s">
        <v>40</v>
      </c>
      <c r="E1" s="12" t="s">
        <v>39</v>
      </c>
      <c r="F1" s="12" t="s">
        <v>600</v>
      </c>
      <c r="G1" s="10"/>
      <c r="H1" s="43" t="s">
        <v>2</v>
      </c>
      <c r="I1" s="44" t="s">
        <v>4</v>
      </c>
      <c r="J1" s="45" t="s">
        <v>43</v>
      </c>
      <c r="K1" s="46" t="s">
        <v>14</v>
      </c>
      <c r="L1" s="47" t="s">
        <v>15</v>
      </c>
      <c r="M1" s="48" t="s">
        <v>8</v>
      </c>
      <c r="N1" s="49" t="s">
        <v>7</v>
      </c>
      <c r="O1" s="12" t="s">
        <v>601</v>
      </c>
      <c r="P1" s="10"/>
      <c r="Q1" s="10"/>
      <c r="R1" s="10"/>
      <c r="S1" s="10"/>
      <c r="T1" s="10"/>
      <c r="U1" s="10"/>
      <c r="V1" s="10"/>
      <c r="W1" s="10"/>
      <c r="X1" s="10"/>
      <c r="Y1" s="10"/>
    </row>
    <row r="2">
      <c r="A2" s="55">
        <v>45229.0</v>
      </c>
      <c r="B2" s="12" t="s">
        <v>602</v>
      </c>
      <c r="C2" s="12" t="s">
        <v>458</v>
      </c>
      <c r="D2" s="12" t="s">
        <v>13</v>
      </c>
      <c r="E2" s="12">
        <v>13.99</v>
      </c>
      <c r="F2" s="10">
        <f t="shared" ref="F2:F8" si="1">E2*1.13</f>
        <v>15.8087</v>
      </c>
      <c r="G2" s="10"/>
      <c r="H2" s="187">
        <f>F2</f>
        <v>15.8087</v>
      </c>
      <c r="I2" s="188"/>
      <c r="J2" s="189"/>
      <c r="K2" s="190"/>
      <c r="L2" s="81"/>
      <c r="M2" s="191"/>
      <c r="N2" s="192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>
      <c r="A3" s="55">
        <v>45229.0</v>
      </c>
      <c r="B3" s="12" t="s">
        <v>602</v>
      </c>
      <c r="C3" s="12" t="s">
        <v>603</v>
      </c>
      <c r="D3" s="12" t="s">
        <v>13</v>
      </c>
      <c r="E3" s="12">
        <v>5.79</v>
      </c>
      <c r="F3" s="10">
        <f t="shared" si="1"/>
        <v>6.5427</v>
      </c>
      <c r="G3" s="10"/>
      <c r="H3" s="187">
        <f>F3/2</f>
        <v>3.27135</v>
      </c>
      <c r="I3" s="188">
        <f>F3/2</f>
        <v>3.27135</v>
      </c>
      <c r="J3" s="189"/>
      <c r="K3" s="190"/>
      <c r="L3" s="81"/>
      <c r="M3" s="191"/>
      <c r="N3" s="192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>
      <c r="A4" s="55">
        <v>45229.0</v>
      </c>
      <c r="B4" s="12" t="s">
        <v>602</v>
      </c>
      <c r="C4" s="12" t="s">
        <v>604</v>
      </c>
      <c r="D4" s="12" t="s">
        <v>13</v>
      </c>
      <c r="E4" s="12">
        <v>6.99</v>
      </c>
      <c r="F4" s="10">
        <f t="shared" si="1"/>
        <v>7.8987</v>
      </c>
      <c r="G4" s="10"/>
      <c r="H4" s="187">
        <f t="shared" ref="H4:H5" si="2">F4/4</f>
        <v>1.974675</v>
      </c>
      <c r="I4" s="188">
        <f t="shared" ref="I4:I5" si="3">F4/4</f>
        <v>1.974675</v>
      </c>
      <c r="J4" s="189">
        <f t="shared" ref="J4:J5" si="4">F4/4</f>
        <v>1.974675</v>
      </c>
      <c r="K4" s="190">
        <f t="shared" ref="K4:K5" si="5">F4/4</f>
        <v>1.974675</v>
      </c>
      <c r="L4" s="81"/>
      <c r="M4" s="191"/>
      <c r="N4" s="192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>
      <c r="A5" s="55">
        <v>45229.0</v>
      </c>
      <c r="B5" s="12" t="s">
        <v>602</v>
      </c>
      <c r="C5" s="12" t="s">
        <v>605</v>
      </c>
      <c r="D5" s="12" t="s">
        <v>13</v>
      </c>
      <c r="E5" s="12">
        <v>7.99</v>
      </c>
      <c r="F5" s="10">
        <f t="shared" si="1"/>
        <v>9.0287</v>
      </c>
      <c r="G5" s="10"/>
      <c r="H5" s="187">
        <f t="shared" si="2"/>
        <v>2.257175</v>
      </c>
      <c r="I5" s="188">
        <f t="shared" si="3"/>
        <v>2.257175</v>
      </c>
      <c r="J5" s="189">
        <f t="shared" si="4"/>
        <v>2.257175</v>
      </c>
      <c r="K5" s="190">
        <f t="shared" si="5"/>
        <v>2.257175</v>
      </c>
      <c r="L5" s="81"/>
      <c r="M5" s="191"/>
      <c r="N5" s="192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>
      <c r="A6" s="55">
        <v>45229.0</v>
      </c>
      <c r="B6" s="12" t="s">
        <v>602</v>
      </c>
      <c r="C6" s="12" t="s">
        <v>606</v>
      </c>
      <c r="D6" s="12" t="s">
        <v>13</v>
      </c>
      <c r="E6" s="10">
        <f>6.99+6.99+8.99</f>
        <v>22.97</v>
      </c>
      <c r="F6" s="10">
        <f t="shared" si="1"/>
        <v>25.9561</v>
      </c>
      <c r="G6" s="10"/>
      <c r="H6" s="187"/>
      <c r="I6" s="188"/>
      <c r="J6" s="189">
        <f>F6/2</f>
        <v>12.97805</v>
      </c>
      <c r="K6" s="190">
        <f>F6/2</f>
        <v>12.97805</v>
      </c>
      <c r="L6" s="81"/>
      <c r="M6" s="191"/>
      <c r="N6" s="192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>
      <c r="A7" s="55">
        <v>45229.0</v>
      </c>
      <c r="B7" s="12" t="s">
        <v>602</v>
      </c>
      <c r="C7" s="12" t="s">
        <v>607</v>
      </c>
      <c r="D7" s="12" t="s">
        <v>13</v>
      </c>
      <c r="E7" s="12">
        <f>4.49+6.99</f>
        <v>11.48</v>
      </c>
      <c r="F7" s="10">
        <f t="shared" si="1"/>
        <v>12.9724</v>
      </c>
      <c r="G7" s="10"/>
      <c r="H7" s="187"/>
      <c r="I7" s="188"/>
      <c r="J7" s="189"/>
      <c r="K7" s="190">
        <f>F7</f>
        <v>12.9724</v>
      </c>
      <c r="L7" s="81"/>
      <c r="M7" s="191"/>
      <c r="N7" s="192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>
      <c r="A8" s="55">
        <v>45229.0</v>
      </c>
      <c r="B8" s="10"/>
      <c r="C8" s="12" t="s">
        <v>608</v>
      </c>
      <c r="D8" s="12" t="s">
        <v>4</v>
      </c>
      <c r="E8" s="10">
        <f>6.79+11.19</f>
        <v>17.98</v>
      </c>
      <c r="F8" s="10">
        <f t="shared" si="1"/>
        <v>20.3174</v>
      </c>
      <c r="G8" s="10"/>
      <c r="H8" s="187"/>
      <c r="I8" s="188"/>
      <c r="J8" s="189">
        <f>11.19*1.13</f>
        <v>12.6447</v>
      </c>
      <c r="K8" s="190">
        <f>6.79*1.13</f>
        <v>7.6727</v>
      </c>
      <c r="L8" s="81"/>
      <c r="M8" s="191"/>
      <c r="N8" s="192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>
      <c r="A9" s="55">
        <v>45229.0</v>
      </c>
      <c r="B9" s="10"/>
      <c r="C9" s="12" t="s">
        <v>349</v>
      </c>
      <c r="D9" s="12" t="s">
        <v>2</v>
      </c>
      <c r="E9" s="10"/>
      <c r="F9" s="10"/>
      <c r="G9" s="10"/>
      <c r="H9" s="193">
        <v>17.71</v>
      </c>
      <c r="I9" s="194">
        <v>17.71</v>
      </c>
      <c r="J9" s="195">
        <v>17.71</v>
      </c>
      <c r="K9" s="196">
        <v>17.71</v>
      </c>
      <c r="L9" s="118">
        <v>17.71</v>
      </c>
      <c r="M9" s="197">
        <v>17.71</v>
      </c>
      <c r="N9" s="192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</row>
    <row r="10">
      <c r="A10" s="55">
        <v>45230.0</v>
      </c>
      <c r="B10" s="12" t="s">
        <v>353</v>
      </c>
      <c r="C10" s="12" t="s">
        <v>609</v>
      </c>
      <c r="D10" s="12" t="s">
        <v>4</v>
      </c>
      <c r="E10" s="12">
        <v>29.25</v>
      </c>
      <c r="F10" s="12">
        <v>31.75</v>
      </c>
      <c r="G10" s="10"/>
      <c r="H10" s="187">
        <f>F10/4</f>
        <v>7.9375</v>
      </c>
      <c r="I10" s="188">
        <f>F10/4</f>
        <v>7.9375</v>
      </c>
      <c r="J10" s="189">
        <f>F10/4</f>
        <v>7.9375</v>
      </c>
      <c r="K10" s="190">
        <f>F10/4</f>
        <v>7.9375</v>
      </c>
      <c r="L10" s="81"/>
      <c r="M10" s="191"/>
      <c r="N10" s="192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>
      <c r="A11" s="55" t="s">
        <v>610</v>
      </c>
      <c r="B11" s="10"/>
      <c r="C11" s="12" t="s">
        <v>611</v>
      </c>
      <c r="D11" s="12" t="s">
        <v>2</v>
      </c>
      <c r="E11" s="12">
        <v>48.03</v>
      </c>
      <c r="F11" s="10"/>
      <c r="G11" s="10"/>
      <c r="H11" s="187">
        <f>E11/6</f>
        <v>8.005</v>
      </c>
      <c r="I11" s="188">
        <f>E11/6</f>
        <v>8.005</v>
      </c>
      <c r="J11" s="189">
        <f>E11/6</f>
        <v>8.005</v>
      </c>
      <c r="K11" s="190">
        <f>E11/6</f>
        <v>8.005</v>
      </c>
      <c r="L11" s="81">
        <f>E11/6</f>
        <v>8.005</v>
      </c>
      <c r="M11" s="191">
        <f>E11/6</f>
        <v>8.005</v>
      </c>
      <c r="N11" s="192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>
      <c r="A12" s="55">
        <v>45230.0</v>
      </c>
      <c r="B12" s="12"/>
      <c r="C12" s="12" t="s">
        <v>52</v>
      </c>
      <c r="D12" s="12"/>
      <c r="E12" s="12"/>
      <c r="F12" s="12"/>
      <c r="G12" s="10"/>
      <c r="H12" s="187"/>
      <c r="I12" s="188"/>
      <c r="J12" s="189"/>
      <c r="K12" s="190"/>
      <c r="L12" s="81"/>
      <c r="M12" s="191"/>
      <c r="N12" s="192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>
      <c r="A13" s="55">
        <v>45231.0</v>
      </c>
      <c r="B13" s="12" t="s">
        <v>612</v>
      </c>
      <c r="C13" s="12" t="s">
        <v>52</v>
      </c>
      <c r="D13" s="12" t="s">
        <v>4</v>
      </c>
      <c r="E13" s="12"/>
      <c r="F13" s="12">
        <v>15.0</v>
      </c>
      <c r="G13" s="10"/>
      <c r="H13" s="187">
        <f t="shared" ref="H13:K13" si="6">$F$13/5</f>
        <v>3</v>
      </c>
      <c r="I13" s="188">
        <f t="shared" si="6"/>
        <v>3</v>
      </c>
      <c r="J13" s="189">
        <f t="shared" si="6"/>
        <v>3</v>
      </c>
      <c r="K13" s="190">
        <f t="shared" si="6"/>
        <v>3</v>
      </c>
      <c r="L13" s="81"/>
      <c r="M13" s="191">
        <f>$F$13/5</f>
        <v>3</v>
      </c>
      <c r="N13" s="198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>
      <c r="A14" s="55">
        <v>45231.0</v>
      </c>
      <c r="B14" s="12" t="s">
        <v>612</v>
      </c>
      <c r="C14" s="12" t="s">
        <v>613</v>
      </c>
      <c r="D14" s="12" t="s">
        <v>4</v>
      </c>
      <c r="E14" s="12"/>
      <c r="F14" s="12">
        <v>31.0</v>
      </c>
      <c r="G14" s="10"/>
      <c r="H14" s="187">
        <f>F14/4</f>
        <v>7.75</v>
      </c>
      <c r="I14" s="188">
        <f>F14/4</f>
        <v>7.75</v>
      </c>
      <c r="J14" s="189">
        <f>F14/4</f>
        <v>7.75</v>
      </c>
      <c r="K14" s="190">
        <f>F14/4</f>
        <v>7.75</v>
      </c>
      <c r="L14" s="81"/>
      <c r="M14" s="191"/>
      <c r="N14" s="198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>
      <c r="A15" s="55">
        <v>45231.0</v>
      </c>
      <c r="B15" s="12" t="s">
        <v>181</v>
      </c>
      <c r="C15" s="12" t="s">
        <v>222</v>
      </c>
      <c r="D15" s="12" t="s">
        <v>2</v>
      </c>
      <c r="E15" s="12">
        <v>59.99</v>
      </c>
      <c r="F15" s="12">
        <f t="shared" ref="F15:F26" si="7">(E15*1.13)</f>
        <v>67.7887</v>
      </c>
      <c r="G15" s="10"/>
      <c r="H15" s="187"/>
      <c r="I15" s="188"/>
      <c r="J15" s="189"/>
      <c r="K15" s="190"/>
      <c r="L15" s="81"/>
      <c r="M15" s="197"/>
      <c r="N15" s="198">
        <v>67.78869999999999</v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>
      <c r="A16" s="55">
        <v>45231.0</v>
      </c>
      <c r="B16" s="12" t="s">
        <v>181</v>
      </c>
      <c r="C16" s="12" t="s">
        <v>614</v>
      </c>
      <c r="D16" s="12" t="s">
        <v>2</v>
      </c>
      <c r="E16" s="12">
        <v>44.99</v>
      </c>
      <c r="F16" s="12">
        <f t="shared" si="7"/>
        <v>50.8387</v>
      </c>
      <c r="G16" s="10"/>
      <c r="H16" s="187"/>
      <c r="I16" s="188"/>
      <c r="J16" s="189"/>
      <c r="K16" s="190"/>
      <c r="L16" s="81"/>
      <c r="M16" s="191"/>
      <c r="N16" s="198">
        <v>50.838699999999996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>
      <c r="A17" s="55">
        <v>45231.0</v>
      </c>
      <c r="B17" s="12" t="s">
        <v>181</v>
      </c>
      <c r="C17" s="12" t="s">
        <v>615</v>
      </c>
      <c r="D17" s="12" t="s">
        <v>2</v>
      </c>
      <c r="E17" s="12">
        <v>19.0</v>
      </c>
      <c r="F17" s="12">
        <f t="shared" si="7"/>
        <v>21.47</v>
      </c>
      <c r="G17" s="10"/>
      <c r="H17" s="187"/>
      <c r="I17" s="188"/>
      <c r="J17" s="189"/>
      <c r="K17" s="190"/>
      <c r="L17" s="81"/>
      <c r="M17" s="191"/>
      <c r="N17" s="198">
        <v>21.47</v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>
      <c r="A18" s="55">
        <v>45231.0</v>
      </c>
      <c r="B18" s="12" t="s">
        <v>181</v>
      </c>
      <c r="C18" s="12" t="s">
        <v>614</v>
      </c>
      <c r="D18" s="12" t="s">
        <v>2</v>
      </c>
      <c r="E18" s="12">
        <v>29.99</v>
      </c>
      <c r="F18" s="12">
        <f t="shared" si="7"/>
        <v>33.8887</v>
      </c>
      <c r="G18" s="10"/>
      <c r="H18" s="187"/>
      <c r="I18" s="188"/>
      <c r="J18" s="189"/>
      <c r="K18" s="190"/>
      <c r="L18" s="81"/>
      <c r="M18" s="191"/>
      <c r="N18" s="198">
        <v>33.88869999999999</v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>
      <c r="A19" s="55">
        <v>45231.0</v>
      </c>
      <c r="B19" s="12" t="s">
        <v>181</v>
      </c>
      <c r="C19" s="12" t="s">
        <v>616</v>
      </c>
      <c r="D19" s="12" t="s">
        <v>2</v>
      </c>
      <c r="E19" s="12">
        <v>5.99</v>
      </c>
      <c r="F19" s="12">
        <f t="shared" si="7"/>
        <v>6.7687</v>
      </c>
      <c r="G19" s="10"/>
      <c r="H19" s="187"/>
      <c r="I19" s="188"/>
      <c r="J19" s="189"/>
      <c r="K19" s="190"/>
      <c r="L19" s="81"/>
      <c r="M19" s="191"/>
      <c r="N19" s="198">
        <v>6.7687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>
      <c r="A20" s="55">
        <v>45231.0</v>
      </c>
      <c r="B20" s="12" t="s">
        <v>181</v>
      </c>
      <c r="C20" s="12" t="s">
        <v>617</v>
      </c>
      <c r="D20" s="12" t="s">
        <v>2</v>
      </c>
      <c r="E20" s="12">
        <v>14.99</v>
      </c>
      <c r="F20" s="12">
        <f t="shared" si="7"/>
        <v>16.9387</v>
      </c>
      <c r="G20" s="10"/>
      <c r="H20" s="187"/>
      <c r="I20" s="188"/>
      <c r="J20" s="195">
        <v>16.938699999999997</v>
      </c>
      <c r="K20" s="190"/>
      <c r="L20" s="81"/>
      <c r="M20" s="191"/>
      <c r="N20" s="192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>
      <c r="A21" s="55">
        <v>45231.0</v>
      </c>
      <c r="B21" s="12" t="s">
        <v>181</v>
      </c>
      <c r="C21" s="12" t="s">
        <v>618</v>
      </c>
      <c r="D21" s="12" t="s">
        <v>2</v>
      </c>
      <c r="E21" s="12">
        <v>19.99</v>
      </c>
      <c r="F21" s="12">
        <f t="shared" si="7"/>
        <v>22.5887</v>
      </c>
      <c r="G21" s="10"/>
      <c r="H21" s="187"/>
      <c r="I21" s="188"/>
      <c r="J21" s="189"/>
      <c r="K21" s="190"/>
      <c r="L21" s="81"/>
      <c r="M21" s="191"/>
      <c r="N21" s="198">
        <v>22.588699999999996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>
      <c r="A22" s="55">
        <v>45231.0</v>
      </c>
      <c r="B22" s="12" t="s">
        <v>181</v>
      </c>
      <c r="C22" s="12" t="s">
        <v>619</v>
      </c>
      <c r="D22" s="12" t="s">
        <v>2</v>
      </c>
      <c r="E22" s="12">
        <v>24.99</v>
      </c>
      <c r="F22" s="12">
        <f t="shared" si="7"/>
        <v>28.2387</v>
      </c>
      <c r="G22" s="10"/>
      <c r="H22" s="187"/>
      <c r="I22" s="188"/>
      <c r="J22" s="189"/>
      <c r="K22" s="196">
        <v>28.238699999999994</v>
      </c>
      <c r="L22" s="81"/>
      <c r="M22" s="191"/>
      <c r="N22" s="192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>
      <c r="A23" s="55">
        <v>45231.0</v>
      </c>
      <c r="B23" s="12" t="s">
        <v>181</v>
      </c>
      <c r="C23" s="12" t="s">
        <v>620</v>
      </c>
      <c r="D23" s="12" t="s">
        <v>2</v>
      </c>
      <c r="E23" s="12">
        <v>39.99</v>
      </c>
      <c r="F23" s="12">
        <f t="shared" si="7"/>
        <v>45.1887</v>
      </c>
      <c r="G23" s="10"/>
      <c r="H23" s="187"/>
      <c r="I23" s="188"/>
      <c r="J23" s="195">
        <f t="shared" ref="J23:J24" si="8">SUM(F23/2)</f>
        <v>22.59435</v>
      </c>
      <c r="K23" s="196">
        <f t="shared" ref="K23:K24" si="9">SUM(F23/2)</f>
        <v>22.59435</v>
      </c>
      <c r="L23" s="81"/>
      <c r="M23" s="191"/>
      <c r="N23" s="192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>
      <c r="A24" s="55">
        <v>45231.0</v>
      </c>
      <c r="B24" s="12" t="s">
        <v>181</v>
      </c>
      <c r="C24" s="12" t="s">
        <v>621</v>
      </c>
      <c r="D24" s="12" t="s">
        <v>2</v>
      </c>
      <c r="E24" s="12">
        <v>59.99</v>
      </c>
      <c r="F24" s="12">
        <f t="shared" si="7"/>
        <v>67.7887</v>
      </c>
      <c r="G24" s="10"/>
      <c r="H24" s="187"/>
      <c r="I24" s="188"/>
      <c r="J24" s="195">
        <f t="shared" si="8"/>
        <v>33.89435</v>
      </c>
      <c r="K24" s="196">
        <f t="shared" si="9"/>
        <v>33.89435</v>
      </c>
      <c r="L24" s="81"/>
      <c r="M24" s="191"/>
      <c r="N24" s="192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>
      <c r="A25" s="55">
        <v>45231.0</v>
      </c>
      <c r="B25" s="12" t="s">
        <v>181</v>
      </c>
      <c r="C25" s="12" t="s">
        <v>621</v>
      </c>
      <c r="D25" s="12" t="s">
        <v>2</v>
      </c>
      <c r="E25" s="12">
        <v>49.99</v>
      </c>
      <c r="F25" s="12">
        <f t="shared" si="7"/>
        <v>56.4887</v>
      </c>
      <c r="G25" s="10"/>
      <c r="H25" s="187"/>
      <c r="I25" s="188"/>
      <c r="J25" s="189"/>
      <c r="K25" s="190"/>
      <c r="L25" s="81"/>
      <c r="M25" s="191"/>
      <c r="N25" s="198">
        <v>56.488699999999994</v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>
      <c r="A26" s="55">
        <v>45231.0</v>
      </c>
      <c r="B26" s="12" t="s">
        <v>181</v>
      </c>
      <c r="C26" s="12" t="s">
        <v>622</v>
      </c>
      <c r="D26" s="12" t="s">
        <v>2</v>
      </c>
      <c r="E26" s="12">
        <v>349.0</v>
      </c>
      <c r="F26" s="12">
        <f t="shared" si="7"/>
        <v>394.37</v>
      </c>
      <c r="G26" s="10"/>
      <c r="H26" s="187"/>
      <c r="I26" s="188"/>
      <c r="J26" s="195">
        <f>SUM(F26/2)</f>
        <v>197.185</v>
      </c>
      <c r="K26" s="196">
        <f>SUM(F26/2)</f>
        <v>197.185</v>
      </c>
      <c r="L26" s="81"/>
      <c r="M26" s="191"/>
      <c r="N26" s="192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>
      <c r="A27" s="55">
        <v>45232.0</v>
      </c>
      <c r="B27" s="12" t="s">
        <v>623</v>
      </c>
      <c r="C27" s="12" t="s">
        <v>222</v>
      </c>
      <c r="D27" s="12" t="s">
        <v>14</v>
      </c>
      <c r="E27" s="10"/>
      <c r="F27" s="12">
        <v>60.0</v>
      </c>
      <c r="G27" s="10"/>
      <c r="H27" s="187"/>
      <c r="I27" s="188"/>
      <c r="J27" s="195">
        <v>60.0</v>
      </c>
      <c r="K27" s="190"/>
      <c r="L27" s="81"/>
      <c r="M27" s="191"/>
      <c r="N27" s="192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>
      <c r="A28" s="55">
        <v>45232.0</v>
      </c>
      <c r="B28" s="12" t="s">
        <v>623</v>
      </c>
      <c r="C28" s="12" t="s">
        <v>624</v>
      </c>
      <c r="D28" s="12" t="s">
        <v>14</v>
      </c>
      <c r="E28" s="10"/>
      <c r="F28" s="12">
        <v>90.0</v>
      </c>
      <c r="G28" s="10"/>
      <c r="H28" s="187">
        <f>F28/5</f>
        <v>18</v>
      </c>
      <c r="I28" s="188">
        <v>18.0</v>
      </c>
      <c r="J28" s="189">
        <f>F28/5</f>
        <v>18</v>
      </c>
      <c r="K28" s="190">
        <f>F28/5</f>
        <v>18</v>
      </c>
      <c r="L28" s="81"/>
      <c r="M28" s="191"/>
      <c r="N28" s="192">
        <f>F28/5</f>
        <v>18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>
      <c r="A29" s="55">
        <v>45232.0</v>
      </c>
      <c r="B29" s="118" t="s">
        <v>612</v>
      </c>
      <c r="C29" s="118" t="s">
        <v>52</v>
      </c>
      <c r="D29" s="118" t="s">
        <v>13</v>
      </c>
      <c r="E29" s="118">
        <v>18.28</v>
      </c>
      <c r="F29" s="118">
        <v>18.28</v>
      </c>
      <c r="G29" s="81"/>
      <c r="H29" s="187">
        <f>F29/4</f>
        <v>4.57</v>
      </c>
      <c r="I29" s="188">
        <f>F29/4</f>
        <v>4.57</v>
      </c>
      <c r="J29" s="189">
        <f>F29/4</f>
        <v>4.57</v>
      </c>
      <c r="K29" s="190">
        <f>F29/4</f>
        <v>4.57</v>
      </c>
      <c r="L29" s="81"/>
      <c r="M29" s="191"/>
      <c r="N29" s="192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>
      <c r="A30" s="55">
        <v>45233.0</v>
      </c>
      <c r="B30" s="118" t="s">
        <v>625</v>
      </c>
      <c r="C30" s="118" t="s">
        <v>626</v>
      </c>
      <c r="D30" s="118" t="s">
        <v>2</v>
      </c>
      <c r="E30" s="118">
        <f>59.99+3.49+44.99+19.99</f>
        <v>128.46</v>
      </c>
      <c r="F30" s="81">
        <f t="shared" ref="F30:F32" si="10">E30*1.13</f>
        <v>145.1598</v>
      </c>
      <c r="G30" s="81"/>
      <c r="H30" s="187">
        <f>F30/5</f>
        <v>29.03196</v>
      </c>
      <c r="I30" s="188">
        <f>F30/5</f>
        <v>29.03196</v>
      </c>
      <c r="J30" s="189">
        <f>F30/5</f>
        <v>29.03196</v>
      </c>
      <c r="K30" s="190">
        <f>F30/5</f>
        <v>29.03196</v>
      </c>
      <c r="L30" s="81"/>
      <c r="M30" s="191"/>
      <c r="N30" s="192">
        <f>F30/5</f>
        <v>29.03196</v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>
      <c r="A31" s="55">
        <v>45233.0</v>
      </c>
      <c r="B31" s="118" t="s">
        <v>625</v>
      </c>
      <c r="C31" s="118" t="s">
        <v>627</v>
      </c>
      <c r="D31" s="118" t="s">
        <v>2</v>
      </c>
      <c r="E31" s="118">
        <v>39.99</v>
      </c>
      <c r="F31" s="81">
        <f t="shared" si="10"/>
        <v>45.1887</v>
      </c>
      <c r="G31" s="81"/>
      <c r="H31" s="187">
        <f>F31/2</f>
        <v>22.59435</v>
      </c>
      <c r="I31" s="188">
        <f>F31/2</f>
        <v>22.59435</v>
      </c>
      <c r="J31" s="189"/>
      <c r="K31" s="190"/>
      <c r="L31" s="81"/>
      <c r="M31" s="191"/>
      <c r="N31" s="192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>
      <c r="A32" s="55">
        <v>45233.0</v>
      </c>
      <c r="B32" s="118" t="s">
        <v>625</v>
      </c>
      <c r="C32" s="118" t="s">
        <v>628</v>
      </c>
      <c r="D32" s="118" t="s">
        <v>2</v>
      </c>
      <c r="E32" s="118">
        <v>9.99</v>
      </c>
      <c r="F32" s="81">
        <f t="shared" si="10"/>
        <v>11.2887</v>
      </c>
      <c r="G32" s="81"/>
      <c r="H32" s="187"/>
      <c r="I32" s="188">
        <f>F32</f>
        <v>11.2887</v>
      </c>
      <c r="J32" s="189"/>
      <c r="K32" s="190"/>
      <c r="L32" s="81"/>
      <c r="M32" s="191"/>
      <c r="N32" s="192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>
      <c r="A33" s="55">
        <v>45233.0</v>
      </c>
      <c r="B33" s="118" t="s">
        <v>612</v>
      </c>
      <c r="C33" s="118" t="s">
        <v>629</v>
      </c>
      <c r="D33" s="118" t="s">
        <v>13</v>
      </c>
      <c r="E33" s="118"/>
      <c r="F33" s="118">
        <v>12.88</v>
      </c>
      <c r="G33" s="81"/>
      <c r="H33" s="187">
        <f>$F$33/4</f>
        <v>3.22</v>
      </c>
      <c r="I33" s="188"/>
      <c r="J33" s="189">
        <f>$F$33/4</f>
        <v>3.22</v>
      </c>
      <c r="K33" s="190"/>
      <c r="L33" s="81">
        <f t="shared" ref="L33:M33" si="11">$F$33/4</f>
        <v>3.22</v>
      </c>
      <c r="M33" s="191">
        <f t="shared" si="11"/>
        <v>3.22</v>
      </c>
      <c r="N33" s="192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>
      <c r="A34" s="55">
        <v>45233.0</v>
      </c>
      <c r="B34" s="118" t="s">
        <v>630</v>
      </c>
      <c r="C34" s="118" t="s">
        <v>631</v>
      </c>
      <c r="D34" s="118" t="s">
        <v>13</v>
      </c>
      <c r="E34" s="118">
        <v>21.9</v>
      </c>
      <c r="F34" s="81">
        <f>E34*1.13</f>
        <v>24.747</v>
      </c>
      <c r="G34" s="81"/>
      <c r="H34" s="187"/>
      <c r="I34" s="188"/>
      <c r="J34" s="189">
        <f>F34/2</f>
        <v>12.3735</v>
      </c>
      <c r="K34" s="190">
        <f>F34/2</f>
        <v>12.3735</v>
      </c>
      <c r="L34" s="81"/>
      <c r="M34" s="191"/>
      <c r="N34" s="192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>
      <c r="A35" s="55">
        <v>45234.0</v>
      </c>
      <c r="B35" s="118" t="s">
        <v>612</v>
      </c>
      <c r="C35" s="118" t="s">
        <v>632</v>
      </c>
      <c r="D35" s="118" t="s">
        <v>13</v>
      </c>
      <c r="E35" s="118"/>
      <c r="F35" s="118">
        <v>7.87</v>
      </c>
      <c r="G35" s="81"/>
      <c r="H35" s="187">
        <f>F35/4</f>
        <v>1.9675</v>
      </c>
      <c r="I35" s="188">
        <f>F35/4</f>
        <v>1.9675</v>
      </c>
      <c r="J35" s="189">
        <f>F35/4</f>
        <v>1.9675</v>
      </c>
      <c r="K35" s="190">
        <f>F35/4</f>
        <v>1.9675</v>
      </c>
      <c r="L35" s="81"/>
      <c r="M35" s="191"/>
      <c r="N35" s="192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>
      <c r="A36" s="55">
        <v>45234.0</v>
      </c>
      <c r="B36" s="12" t="s">
        <v>612</v>
      </c>
      <c r="C36" s="12" t="s">
        <v>576</v>
      </c>
      <c r="D36" s="12" t="s">
        <v>4</v>
      </c>
      <c r="E36" s="12">
        <v>32.93</v>
      </c>
      <c r="F36" s="12">
        <v>34.1</v>
      </c>
      <c r="G36" s="10"/>
      <c r="H36" s="199">
        <f t="shared" ref="H36:J36" si="12">($F$36/4)</f>
        <v>8.525</v>
      </c>
      <c r="I36" s="200">
        <f t="shared" si="12"/>
        <v>8.525</v>
      </c>
      <c r="J36" s="201">
        <f t="shared" si="12"/>
        <v>8.525</v>
      </c>
      <c r="K36" s="46">
        <v>8.525</v>
      </c>
      <c r="L36" s="10"/>
      <c r="M36" s="202"/>
      <c r="N36" s="203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>
      <c r="A37" s="55">
        <v>45234.0</v>
      </c>
      <c r="B37" s="118" t="s">
        <v>50</v>
      </c>
      <c r="C37" s="118" t="s">
        <v>56</v>
      </c>
      <c r="D37" s="118" t="s">
        <v>2</v>
      </c>
      <c r="E37" s="118">
        <v>6.99</v>
      </c>
      <c r="F37" s="118">
        <v>6.99</v>
      </c>
      <c r="G37" s="81"/>
      <c r="H37" s="187">
        <f t="shared" ref="H37:L37" si="13">SUM(6.99/5)</f>
        <v>1.398</v>
      </c>
      <c r="I37" s="188">
        <f t="shared" si="13"/>
        <v>1.398</v>
      </c>
      <c r="J37" s="189">
        <f t="shared" si="13"/>
        <v>1.398</v>
      </c>
      <c r="K37" s="190">
        <f t="shared" si="13"/>
        <v>1.398</v>
      </c>
      <c r="L37" s="81">
        <f t="shared" si="13"/>
        <v>1.398</v>
      </c>
      <c r="M37" s="191"/>
      <c r="N37" s="192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>
      <c r="A38" s="55">
        <v>45234.0</v>
      </c>
      <c r="B38" s="118" t="s">
        <v>50</v>
      </c>
      <c r="C38" s="118" t="s">
        <v>633</v>
      </c>
      <c r="D38" s="118" t="s">
        <v>2</v>
      </c>
      <c r="E38" s="118">
        <v>7.99</v>
      </c>
      <c r="F38" s="81">
        <f>SUM(E38 * 1.13)</f>
        <v>9.0287</v>
      </c>
      <c r="G38" s="81"/>
      <c r="H38" s="187">
        <f t="shared" ref="H38:M38" si="14">SUM(9.03/6)</f>
        <v>1.505</v>
      </c>
      <c r="I38" s="188">
        <f t="shared" si="14"/>
        <v>1.505</v>
      </c>
      <c r="J38" s="189">
        <f t="shared" si="14"/>
        <v>1.505</v>
      </c>
      <c r="K38" s="190">
        <f t="shared" si="14"/>
        <v>1.505</v>
      </c>
      <c r="L38" s="81">
        <f t="shared" si="14"/>
        <v>1.505</v>
      </c>
      <c r="M38" s="191">
        <f t="shared" si="14"/>
        <v>1.505</v>
      </c>
      <c r="N38" s="192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>
      <c r="A39" s="55">
        <v>45234.0</v>
      </c>
      <c r="B39" s="118" t="s">
        <v>50</v>
      </c>
      <c r="C39" s="118" t="s">
        <v>634</v>
      </c>
      <c r="D39" s="118" t="s">
        <v>2</v>
      </c>
      <c r="E39" s="118">
        <v>1.69</v>
      </c>
      <c r="F39" s="118">
        <v>1.69</v>
      </c>
      <c r="G39" s="81"/>
      <c r="H39" s="193">
        <f t="shared" ref="H39:K39" si="15">1.69/4</f>
        <v>0.4225</v>
      </c>
      <c r="I39" s="194">
        <f t="shared" si="15"/>
        <v>0.4225</v>
      </c>
      <c r="J39" s="195">
        <f t="shared" si="15"/>
        <v>0.4225</v>
      </c>
      <c r="K39" s="196">
        <f t="shared" si="15"/>
        <v>0.4225</v>
      </c>
      <c r="L39" s="81"/>
      <c r="M39" s="191"/>
      <c r="N39" s="192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>
      <c r="A40" s="55">
        <v>45234.0</v>
      </c>
      <c r="B40" s="118" t="s">
        <v>50</v>
      </c>
      <c r="C40" s="118" t="s">
        <v>634</v>
      </c>
      <c r="D40" s="118" t="s">
        <v>2</v>
      </c>
      <c r="E40" s="118">
        <v>1.69</v>
      </c>
      <c r="F40" s="118">
        <v>1.69</v>
      </c>
      <c r="G40" s="81"/>
      <c r="H40" s="187"/>
      <c r="I40" s="188"/>
      <c r="J40" s="189"/>
      <c r="K40" s="190"/>
      <c r="L40" s="81"/>
      <c r="M40" s="197">
        <v>1.69</v>
      </c>
      <c r="N40" s="192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>
      <c r="A41" s="55">
        <v>45234.0</v>
      </c>
      <c r="B41" s="118" t="s">
        <v>50</v>
      </c>
      <c r="C41" s="118" t="s">
        <v>635</v>
      </c>
      <c r="D41" s="118" t="s">
        <v>2</v>
      </c>
      <c r="E41" s="118">
        <v>6.79</v>
      </c>
      <c r="F41" s="118">
        <f>6.79*1.13</f>
        <v>7.6727</v>
      </c>
      <c r="G41" s="81"/>
      <c r="H41" s="187"/>
      <c r="I41" s="188"/>
      <c r="J41" s="189"/>
      <c r="K41" s="190"/>
      <c r="L41" s="81"/>
      <c r="M41" s="197">
        <f>6.79*1.13</f>
        <v>7.6727</v>
      </c>
      <c r="N41" s="192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>
      <c r="A42" s="55">
        <v>45234.0</v>
      </c>
      <c r="B42" s="118" t="s">
        <v>50</v>
      </c>
      <c r="C42" s="118" t="s">
        <v>636</v>
      </c>
      <c r="D42" s="118" t="s">
        <v>2</v>
      </c>
      <c r="E42" s="118"/>
      <c r="F42" s="118">
        <v>1.83</v>
      </c>
      <c r="G42" s="81"/>
      <c r="H42" s="187"/>
      <c r="I42" s="188"/>
      <c r="J42" s="189"/>
      <c r="K42" s="190"/>
      <c r="L42" s="118">
        <v>1.83</v>
      </c>
      <c r="M42" s="191"/>
      <c r="N42" s="192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>
      <c r="A43" s="55">
        <v>45234.0</v>
      </c>
      <c r="B43" s="118" t="s">
        <v>50</v>
      </c>
      <c r="C43" s="118" t="s">
        <v>636</v>
      </c>
      <c r="D43" s="118" t="s">
        <v>2</v>
      </c>
      <c r="E43" s="118"/>
      <c r="F43" s="118">
        <v>1.83</v>
      </c>
      <c r="G43" s="81"/>
      <c r="H43" s="187"/>
      <c r="I43" s="188"/>
      <c r="J43" s="189"/>
      <c r="K43" s="190"/>
      <c r="L43" s="81"/>
      <c r="M43" s="197">
        <v>1.83</v>
      </c>
      <c r="N43" s="192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>
      <c r="A44" s="55">
        <v>45234.0</v>
      </c>
      <c r="B44" s="118" t="s">
        <v>50</v>
      </c>
      <c r="C44" s="118" t="s">
        <v>636</v>
      </c>
      <c r="D44" s="118" t="s">
        <v>2</v>
      </c>
      <c r="E44" s="118"/>
      <c r="F44" s="118">
        <v>1.83</v>
      </c>
      <c r="G44" s="81"/>
      <c r="H44" s="193">
        <f t="shared" ref="H44:K44" si="16">(1.83/4)</f>
        <v>0.4575</v>
      </c>
      <c r="I44" s="194">
        <f t="shared" si="16"/>
        <v>0.4575</v>
      </c>
      <c r="J44" s="195">
        <f t="shared" si="16"/>
        <v>0.4575</v>
      </c>
      <c r="K44" s="196">
        <f t="shared" si="16"/>
        <v>0.4575</v>
      </c>
      <c r="L44" s="81"/>
      <c r="M44" s="191"/>
      <c r="N44" s="192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>
      <c r="A45" s="55">
        <v>45234.0</v>
      </c>
      <c r="B45" s="118" t="s">
        <v>50</v>
      </c>
      <c r="C45" s="118" t="s">
        <v>637</v>
      </c>
      <c r="D45" s="118" t="s">
        <v>2</v>
      </c>
      <c r="E45" s="118">
        <v>9.99</v>
      </c>
      <c r="F45" s="118">
        <v>9.99</v>
      </c>
      <c r="G45" s="81"/>
      <c r="H45" s="187">
        <f t="shared" ref="H45:K45" si="17">SUM($F$45/4)</f>
        <v>2.4975</v>
      </c>
      <c r="I45" s="188">
        <f t="shared" si="17"/>
        <v>2.4975</v>
      </c>
      <c r="J45" s="189">
        <f t="shared" si="17"/>
        <v>2.4975</v>
      </c>
      <c r="K45" s="190">
        <f t="shared" si="17"/>
        <v>2.4975</v>
      </c>
      <c r="L45" s="81"/>
      <c r="M45" s="191"/>
      <c r="N45" s="192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>
      <c r="A46" s="55">
        <v>45234.0</v>
      </c>
      <c r="B46" s="118" t="s">
        <v>50</v>
      </c>
      <c r="C46" s="118" t="s">
        <v>593</v>
      </c>
      <c r="D46" s="118" t="s">
        <v>2</v>
      </c>
      <c r="E46" s="118">
        <v>12.65</v>
      </c>
      <c r="F46" s="118">
        <v>12.65</v>
      </c>
      <c r="G46" s="81"/>
      <c r="H46" s="187">
        <f>SUM(12.65/3)</f>
        <v>4.216666667</v>
      </c>
      <c r="I46" s="188"/>
      <c r="J46" s="189">
        <f t="shared" ref="J46:K46" si="18">SUM(12.65/3)</f>
        <v>4.216666667</v>
      </c>
      <c r="K46" s="190">
        <f t="shared" si="18"/>
        <v>4.216666667</v>
      </c>
      <c r="L46" s="81"/>
      <c r="M46" s="191"/>
      <c r="N46" s="192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>
      <c r="A47" s="55">
        <v>45234.0</v>
      </c>
      <c r="B47" s="118" t="s">
        <v>50</v>
      </c>
      <c r="C47" s="118" t="s">
        <v>593</v>
      </c>
      <c r="D47" s="118" t="s">
        <v>2</v>
      </c>
      <c r="E47" s="118">
        <v>12.65</v>
      </c>
      <c r="F47" s="118">
        <v>12.65</v>
      </c>
      <c r="G47" s="81"/>
      <c r="H47" s="187"/>
      <c r="I47" s="188"/>
      <c r="J47" s="189"/>
      <c r="K47" s="190"/>
      <c r="L47" s="81"/>
      <c r="M47" s="197">
        <v>12.65</v>
      </c>
      <c r="N47" s="192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>
      <c r="A48" s="55">
        <v>45234.0</v>
      </c>
      <c r="B48" s="118" t="s">
        <v>50</v>
      </c>
      <c r="C48" s="118" t="s">
        <v>638</v>
      </c>
      <c r="D48" s="118" t="s">
        <v>2</v>
      </c>
      <c r="E48" s="118">
        <v>14.99</v>
      </c>
      <c r="F48" s="118">
        <v>14.99</v>
      </c>
      <c r="G48" s="81"/>
      <c r="H48" s="187">
        <f t="shared" ref="H48:K48" si="19">($F$48/4)</f>
        <v>3.7475</v>
      </c>
      <c r="I48" s="188">
        <f t="shared" si="19"/>
        <v>3.7475</v>
      </c>
      <c r="J48" s="189">
        <f t="shared" si="19"/>
        <v>3.7475</v>
      </c>
      <c r="K48" s="190">
        <f t="shared" si="19"/>
        <v>3.7475</v>
      </c>
      <c r="L48" s="81"/>
      <c r="M48" s="191"/>
      <c r="N48" s="192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>
      <c r="A49" s="55">
        <v>45234.0</v>
      </c>
      <c r="B49" s="118" t="s">
        <v>50</v>
      </c>
      <c r="C49" s="118" t="s">
        <v>638</v>
      </c>
      <c r="D49" s="118" t="s">
        <v>2</v>
      </c>
      <c r="E49" s="118">
        <v>14.99</v>
      </c>
      <c r="F49" s="118">
        <v>14.99</v>
      </c>
      <c r="G49" s="81"/>
      <c r="H49" s="187"/>
      <c r="I49" s="188"/>
      <c r="J49" s="189"/>
      <c r="K49" s="190"/>
      <c r="L49" s="81"/>
      <c r="M49" s="191">
        <f>SUM(14.99)</f>
        <v>14.99</v>
      </c>
      <c r="N49" s="192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>
      <c r="A50" s="55">
        <v>45234.0</v>
      </c>
      <c r="B50" s="118" t="s">
        <v>50</v>
      </c>
      <c r="C50" s="118" t="s">
        <v>639</v>
      </c>
      <c r="D50" s="118" t="s">
        <v>2</v>
      </c>
      <c r="E50" s="118">
        <v>11.49</v>
      </c>
      <c r="F50" s="118">
        <v>11.49</v>
      </c>
      <c r="G50" s="81"/>
      <c r="H50" s="187"/>
      <c r="I50" s="188"/>
      <c r="J50" s="189"/>
      <c r="K50" s="190"/>
      <c r="L50" s="118">
        <v>3.83</v>
      </c>
      <c r="M50" s="197">
        <v>7.66</v>
      </c>
      <c r="N50" s="192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>
      <c r="A51" s="55">
        <v>45234.0</v>
      </c>
      <c r="B51" s="118" t="s">
        <v>50</v>
      </c>
      <c r="C51" s="118" t="s">
        <v>640</v>
      </c>
      <c r="D51" s="118" t="s">
        <v>2</v>
      </c>
      <c r="E51" s="118">
        <v>11.99</v>
      </c>
      <c r="F51" s="118">
        <v>11.99</v>
      </c>
      <c r="G51" s="81"/>
      <c r="H51" s="187">
        <f t="shared" ref="H51:K51" si="20">SUM(11.99/4)</f>
        <v>2.9975</v>
      </c>
      <c r="I51" s="188">
        <f t="shared" si="20"/>
        <v>2.9975</v>
      </c>
      <c r="J51" s="189">
        <f t="shared" si="20"/>
        <v>2.9975</v>
      </c>
      <c r="K51" s="190">
        <f t="shared" si="20"/>
        <v>2.9975</v>
      </c>
      <c r="L51" s="81"/>
      <c r="M51" s="191"/>
      <c r="N51" s="192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>
      <c r="A52" s="55">
        <v>45234.0</v>
      </c>
      <c r="B52" s="118" t="s">
        <v>50</v>
      </c>
      <c r="C52" s="118" t="s">
        <v>579</v>
      </c>
      <c r="D52" s="118" t="s">
        <v>2</v>
      </c>
      <c r="E52" s="118">
        <v>6.49</v>
      </c>
      <c r="F52" s="81">
        <f>SUM(6.49*1.13)</f>
        <v>7.3337</v>
      </c>
      <c r="G52" s="81"/>
      <c r="H52" s="187">
        <f t="shared" ref="H52:J52" si="21">SUM($F$52/4)</f>
        <v>1.833425</v>
      </c>
      <c r="I52" s="188">
        <f t="shared" si="21"/>
        <v>1.833425</v>
      </c>
      <c r="J52" s="189">
        <f t="shared" si="21"/>
        <v>1.833425</v>
      </c>
      <c r="K52" s="196">
        <v>1.83</v>
      </c>
      <c r="L52" s="81"/>
      <c r="M52" s="191"/>
      <c r="N52" s="192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  <row r="53">
      <c r="A53" s="55">
        <v>45234.0</v>
      </c>
      <c r="B53" s="118" t="s">
        <v>50</v>
      </c>
      <c r="C53" s="118" t="s">
        <v>641</v>
      </c>
      <c r="D53" s="118" t="s">
        <v>2</v>
      </c>
      <c r="E53" s="118">
        <v>13.99</v>
      </c>
      <c r="F53" s="118">
        <v>13.99</v>
      </c>
      <c r="G53" s="81"/>
      <c r="H53" s="187"/>
      <c r="I53" s="188"/>
      <c r="J53" s="189"/>
      <c r="K53" s="190"/>
      <c r="L53" s="118">
        <v>13.99</v>
      </c>
      <c r="M53" s="191"/>
      <c r="N53" s="192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</row>
    <row r="54">
      <c r="A54" s="186">
        <v>45234.0</v>
      </c>
      <c r="B54" s="118" t="s">
        <v>50</v>
      </c>
      <c r="C54" s="118" t="s">
        <v>642</v>
      </c>
      <c r="D54" s="118" t="s">
        <v>2</v>
      </c>
      <c r="E54" s="118">
        <v>16.99</v>
      </c>
      <c r="F54" s="118">
        <v>16.99</v>
      </c>
      <c r="G54" s="81"/>
      <c r="H54" s="187">
        <f t="shared" ref="H54:K54" si="22">SUM(16.99/4)</f>
        <v>4.2475</v>
      </c>
      <c r="I54" s="188">
        <f t="shared" si="22"/>
        <v>4.2475</v>
      </c>
      <c r="J54" s="189">
        <f t="shared" si="22"/>
        <v>4.2475</v>
      </c>
      <c r="K54" s="190">
        <f t="shared" si="22"/>
        <v>4.2475</v>
      </c>
      <c r="L54" s="81"/>
      <c r="M54" s="191"/>
      <c r="N54" s="192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</row>
    <row r="55">
      <c r="A55" s="55">
        <v>45234.0</v>
      </c>
      <c r="B55" s="118" t="s">
        <v>50</v>
      </c>
      <c r="C55" s="118" t="s">
        <v>551</v>
      </c>
      <c r="D55" s="118" t="s">
        <v>2</v>
      </c>
      <c r="E55" s="118">
        <v>8.29</v>
      </c>
      <c r="F55" s="118">
        <v>8.29</v>
      </c>
      <c r="G55" s="81"/>
      <c r="H55" s="187">
        <f t="shared" ref="H55:K55" si="23">SUM(8.29/4)</f>
        <v>2.0725</v>
      </c>
      <c r="I55" s="188">
        <f t="shared" si="23"/>
        <v>2.0725</v>
      </c>
      <c r="J55" s="189">
        <f t="shared" si="23"/>
        <v>2.0725</v>
      </c>
      <c r="K55" s="190">
        <f t="shared" si="23"/>
        <v>2.0725</v>
      </c>
      <c r="L55" s="81"/>
      <c r="M55" s="191"/>
      <c r="N55" s="192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</row>
    <row r="56">
      <c r="A56" s="55">
        <v>45234.0</v>
      </c>
      <c r="B56" s="118" t="s">
        <v>50</v>
      </c>
      <c r="C56" s="118" t="s">
        <v>551</v>
      </c>
      <c r="D56" s="118" t="s">
        <v>2</v>
      </c>
      <c r="E56" s="118">
        <v>8.29</v>
      </c>
      <c r="F56" s="118">
        <v>8.29</v>
      </c>
      <c r="G56" s="81"/>
      <c r="H56" s="187"/>
      <c r="I56" s="188"/>
      <c r="J56" s="189"/>
      <c r="K56" s="190"/>
      <c r="L56" s="118">
        <v>8.29</v>
      </c>
      <c r="M56" s="191"/>
      <c r="N56" s="192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</row>
    <row r="57">
      <c r="A57" s="55">
        <v>45234.0</v>
      </c>
      <c r="B57" s="118" t="s">
        <v>50</v>
      </c>
      <c r="C57" s="118" t="s">
        <v>551</v>
      </c>
      <c r="D57" s="118" t="s">
        <v>2</v>
      </c>
      <c r="E57" s="118">
        <v>8.29</v>
      </c>
      <c r="F57" s="118">
        <v>8.29</v>
      </c>
      <c r="G57" s="81"/>
      <c r="H57" s="187"/>
      <c r="I57" s="188"/>
      <c r="J57" s="189"/>
      <c r="K57" s="190"/>
      <c r="M57" s="197">
        <v>8.29</v>
      </c>
      <c r="N57" s="192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</row>
    <row r="58">
      <c r="A58" s="55">
        <v>45234.0</v>
      </c>
      <c r="B58" s="118" t="s">
        <v>50</v>
      </c>
      <c r="C58" s="118" t="s">
        <v>643</v>
      </c>
      <c r="D58" s="118" t="s">
        <v>2</v>
      </c>
      <c r="E58" s="118">
        <v>21.99</v>
      </c>
      <c r="F58" s="81">
        <f>21.99*1.13</f>
        <v>24.8487</v>
      </c>
      <c r="G58" s="81"/>
      <c r="H58" s="187"/>
      <c r="I58" s="188"/>
      <c r="J58" s="189">
        <f t="shared" ref="J58:M58" si="24">SUM(24.85/4)</f>
        <v>6.2125</v>
      </c>
      <c r="K58" s="190">
        <f t="shared" si="24"/>
        <v>6.2125</v>
      </c>
      <c r="L58" s="81">
        <f t="shared" si="24"/>
        <v>6.2125</v>
      </c>
      <c r="M58" s="191">
        <f t="shared" si="24"/>
        <v>6.2125</v>
      </c>
      <c r="N58" s="192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</row>
    <row r="59">
      <c r="A59" s="55">
        <v>45234.0</v>
      </c>
      <c r="B59" s="118" t="s">
        <v>50</v>
      </c>
      <c r="C59" s="118" t="s">
        <v>456</v>
      </c>
      <c r="D59" s="118" t="s">
        <v>2</v>
      </c>
      <c r="E59" s="118">
        <v>5.99</v>
      </c>
      <c r="F59" s="118">
        <v>5.99</v>
      </c>
      <c r="G59" s="81"/>
      <c r="H59" s="187">
        <f t="shared" ref="H59:K59" si="25">5.99/4</f>
        <v>1.4975</v>
      </c>
      <c r="I59" s="188">
        <f t="shared" si="25"/>
        <v>1.4975</v>
      </c>
      <c r="J59" s="189">
        <f t="shared" si="25"/>
        <v>1.4975</v>
      </c>
      <c r="K59" s="190">
        <f t="shared" si="25"/>
        <v>1.4975</v>
      </c>
      <c r="L59" s="81"/>
      <c r="M59" s="191"/>
      <c r="N59" s="192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</row>
    <row r="60">
      <c r="A60" s="55">
        <v>45234.0</v>
      </c>
      <c r="B60" s="118" t="s">
        <v>50</v>
      </c>
      <c r="C60" s="118" t="s">
        <v>644</v>
      </c>
      <c r="D60" s="118" t="s">
        <v>2</v>
      </c>
      <c r="E60" s="118">
        <v>17.99</v>
      </c>
      <c r="F60" s="118">
        <v>17.99</v>
      </c>
      <c r="G60" s="81"/>
      <c r="H60" s="187">
        <f t="shared" ref="H60:J60" si="26">SUM(17.99/4)</f>
        <v>4.4975</v>
      </c>
      <c r="I60" s="188">
        <f t="shared" si="26"/>
        <v>4.4975</v>
      </c>
      <c r="J60" s="189">
        <f t="shared" si="26"/>
        <v>4.4975</v>
      </c>
      <c r="K60" s="196">
        <v>4.5</v>
      </c>
      <c r="L60" s="81"/>
      <c r="M60" s="191"/>
      <c r="N60" s="192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</row>
    <row r="61">
      <c r="A61" s="55">
        <v>45234.0</v>
      </c>
      <c r="B61" s="118" t="s">
        <v>50</v>
      </c>
      <c r="C61" s="118" t="s">
        <v>645</v>
      </c>
      <c r="D61" s="118" t="s">
        <v>2</v>
      </c>
      <c r="E61" s="118">
        <v>16.49</v>
      </c>
      <c r="F61" s="118">
        <v>16.49</v>
      </c>
      <c r="G61" s="81"/>
      <c r="H61" s="187">
        <f t="shared" ref="H61:K61" si="27">SUM(16.49/4)</f>
        <v>4.1225</v>
      </c>
      <c r="I61" s="188">
        <f t="shared" si="27"/>
        <v>4.1225</v>
      </c>
      <c r="J61" s="189">
        <f t="shared" si="27"/>
        <v>4.1225</v>
      </c>
      <c r="K61" s="190">
        <f t="shared" si="27"/>
        <v>4.1225</v>
      </c>
      <c r="L61" s="81"/>
      <c r="M61" s="191"/>
      <c r="N61" s="192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</row>
    <row r="62">
      <c r="A62" s="55">
        <v>45234.0</v>
      </c>
      <c r="B62" s="118" t="s">
        <v>50</v>
      </c>
      <c r="C62" s="118" t="s">
        <v>646</v>
      </c>
      <c r="D62" s="118" t="s">
        <v>2</v>
      </c>
      <c r="E62" s="118">
        <v>42.99</v>
      </c>
      <c r="F62" s="81">
        <f>42.99*1.13</f>
        <v>48.5787</v>
      </c>
      <c r="G62" s="81"/>
      <c r="H62" s="193">
        <v>6.07</v>
      </c>
      <c r="I62" s="194">
        <v>6.07</v>
      </c>
      <c r="J62" s="195">
        <v>6.07</v>
      </c>
      <c r="K62" s="196">
        <v>6.07</v>
      </c>
      <c r="L62" s="81">
        <f>F62/4</f>
        <v>12.144675</v>
      </c>
      <c r="M62" s="191">
        <f>F62/4</f>
        <v>12.144675</v>
      </c>
      <c r="N62" s="192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</row>
    <row r="63">
      <c r="A63" s="55">
        <v>45234.0</v>
      </c>
      <c r="B63" s="118" t="s">
        <v>50</v>
      </c>
      <c r="C63" s="118" t="s">
        <v>647</v>
      </c>
      <c r="D63" s="118" t="s">
        <v>2</v>
      </c>
      <c r="E63" s="118">
        <v>13.99</v>
      </c>
      <c r="F63" s="118">
        <v>13.99</v>
      </c>
      <c r="G63" s="81"/>
      <c r="H63" s="187">
        <f t="shared" ref="H63:K63" si="28">SUM(13.99/4)</f>
        <v>3.4975</v>
      </c>
      <c r="I63" s="188">
        <f t="shared" si="28"/>
        <v>3.4975</v>
      </c>
      <c r="J63" s="189">
        <f t="shared" si="28"/>
        <v>3.4975</v>
      </c>
      <c r="K63" s="190">
        <f t="shared" si="28"/>
        <v>3.4975</v>
      </c>
      <c r="L63" s="81"/>
      <c r="M63" s="191"/>
      <c r="N63" s="192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</row>
    <row r="64">
      <c r="A64" s="55">
        <v>45234.0</v>
      </c>
      <c r="B64" s="118" t="s">
        <v>50</v>
      </c>
      <c r="C64" s="118" t="s">
        <v>648</v>
      </c>
      <c r="D64" s="118" t="s">
        <v>2</v>
      </c>
      <c r="E64" s="118">
        <v>9.99</v>
      </c>
      <c r="F64" s="81">
        <f t="shared" ref="F64:F65" si="30">SUM(9.99*1.13)</f>
        <v>11.2887</v>
      </c>
      <c r="G64" s="81"/>
      <c r="H64" s="187">
        <f t="shared" ref="H64:I64" si="29">SUM(11.29/2)</f>
        <v>5.645</v>
      </c>
      <c r="I64" s="188">
        <f t="shared" si="29"/>
        <v>5.645</v>
      </c>
      <c r="J64" s="189"/>
      <c r="K64" s="190"/>
      <c r="L64" s="81"/>
      <c r="M64" s="191"/>
      <c r="N64" s="192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</row>
    <row r="65">
      <c r="A65" s="55">
        <v>45234.0</v>
      </c>
      <c r="B65" s="118" t="s">
        <v>50</v>
      </c>
      <c r="C65" s="118" t="s">
        <v>648</v>
      </c>
      <c r="D65" s="118" t="s">
        <v>2</v>
      </c>
      <c r="E65" s="118">
        <v>9.99</v>
      </c>
      <c r="F65" s="81">
        <f t="shared" si="30"/>
        <v>11.2887</v>
      </c>
      <c r="G65" s="81"/>
      <c r="H65" s="187"/>
      <c r="I65" s="188"/>
      <c r="J65" s="189">
        <f t="shared" ref="J65:K65" si="31">SUM(11.29/2)</f>
        <v>5.645</v>
      </c>
      <c r="K65" s="190">
        <f t="shared" si="31"/>
        <v>5.645</v>
      </c>
      <c r="L65" s="81"/>
      <c r="M65" s="191"/>
      <c r="N65" s="192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</row>
    <row r="66">
      <c r="A66" s="55">
        <v>45234.0</v>
      </c>
      <c r="B66" s="118" t="s">
        <v>50</v>
      </c>
      <c r="C66" s="118" t="s">
        <v>649</v>
      </c>
      <c r="D66" s="118" t="s">
        <v>2</v>
      </c>
      <c r="E66" s="118">
        <v>21.49</v>
      </c>
      <c r="F66" s="81">
        <f>21.49 * 1.13</f>
        <v>24.2837</v>
      </c>
      <c r="G66" s="81"/>
      <c r="H66" s="187">
        <f t="shared" ref="H66:K66" si="32">SUM(24.28/4)</f>
        <v>6.07</v>
      </c>
      <c r="I66" s="188">
        <f t="shared" si="32"/>
        <v>6.07</v>
      </c>
      <c r="J66" s="189">
        <f t="shared" si="32"/>
        <v>6.07</v>
      </c>
      <c r="K66" s="190">
        <f t="shared" si="32"/>
        <v>6.07</v>
      </c>
      <c r="L66" s="81"/>
      <c r="M66" s="191"/>
      <c r="N66" s="192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</row>
    <row r="67">
      <c r="A67" s="55">
        <v>45234.0</v>
      </c>
      <c r="B67" s="118" t="s">
        <v>50</v>
      </c>
      <c r="C67" s="118" t="s">
        <v>650</v>
      </c>
      <c r="D67" s="118" t="s">
        <v>2</v>
      </c>
      <c r="E67" s="118">
        <v>13.99</v>
      </c>
      <c r="F67" s="81">
        <f>13.99*1.13</f>
        <v>15.8087</v>
      </c>
      <c r="G67" s="81"/>
      <c r="H67" s="187"/>
      <c r="I67" s="188"/>
      <c r="J67" s="189">
        <f t="shared" ref="J67:K67" si="33">$F$67/2</f>
        <v>7.90435</v>
      </c>
      <c r="K67" s="190">
        <f t="shared" si="33"/>
        <v>7.90435</v>
      </c>
      <c r="L67" s="81"/>
      <c r="M67" s="191"/>
      <c r="N67" s="192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</row>
    <row r="68">
      <c r="A68" s="55">
        <v>45234.0</v>
      </c>
      <c r="B68" s="118" t="s">
        <v>50</v>
      </c>
      <c r="C68" s="118" t="s">
        <v>651</v>
      </c>
      <c r="D68" s="118" t="s">
        <v>2</v>
      </c>
      <c r="E68" s="118">
        <v>9.99</v>
      </c>
      <c r="F68" s="118">
        <v>9.99</v>
      </c>
      <c r="G68" s="81"/>
      <c r="H68" s="187">
        <f t="shared" ref="H68:K68" si="34">9.99/4</f>
        <v>2.4975</v>
      </c>
      <c r="I68" s="188">
        <f t="shared" si="34"/>
        <v>2.4975</v>
      </c>
      <c r="J68" s="189">
        <f t="shared" si="34"/>
        <v>2.4975</v>
      </c>
      <c r="K68" s="190">
        <f t="shared" si="34"/>
        <v>2.4975</v>
      </c>
      <c r="L68" s="81"/>
      <c r="M68" s="191"/>
      <c r="N68" s="192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</row>
    <row r="69">
      <c r="A69" s="55">
        <v>45234.0</v>
      </c>
      <c r="B69" s="118" t="s">
        <v>50</v>
      </c>
      <c r="C69" s="118" t="s">
        <v>652</v>
      </c>
      <c r="D69" s="118" t="s">
        <v>2</v>
      </c>
      <c r="E69" s="118">
        <v>21.49</v>
      </c>
      <c r="F69" s="81">
        <f>E69*1.13</f>
        <v>24.2837</v>
      </c>
      <c r="G69" s="81"/>
      <c r="H69" s="187">
        <f t="shared" ref="H69:K69" si="35">($F$69/4)</f>
        <v>6.070925</v>
      </c>
      <c r="I69" s="188">
        <f t="shared" si="35"/>
        <v>6.070925</v>
      </c>
      <c r="J69" s="189">
        <f t="shared" si="35"/>
        <v>6.070925</v>
      </c>
      <c r="K69" s="190">
        <f t="shared" si="35"/>
        <v>6.070925</v>
      </c>
      <c r="L69" s="81"/>
      <c r="M69" s="191"/>
      <c r="N69" s="192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</row>
    <row r="70">
      <c r="A70" s="55">
        <v>45234.0</v>
      </c>
      <c r="B70" s="118" t="s">
        <v>50</v>
      </c>
      <c r="C70" s="118" t="s">
        <v>653</v>
      </c>
      <c r="D70" s="118" t="s">
        <v>2</v>
      </c>
      <c r="E70" s="118">
        <v>23.99</v>
      </c>
      <c r="F70" s="81">
        <f>23.99*1.13</f>
        <v>27.1087</v>
      </c>
      <c r="G70" s="81"/>
      <c r="H70" s="187"/>
      <c r="I70" s="188"/>
      <c r="J70" s="189">
        <f t="shared" ref="J70:K70" si="36">27.11/2</f>
        <v>13.555</v>
      </c>
      <c r="K70" s="190">
        <f t="shared" si="36"/>
        <v>13.555</v>
      </c>
      <c r="L70" s="81"/>
      <c r="M70" s="191"/>
      <c r="N70" s="192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</row>
    <row r="71">
      <c r="A71" s="55">
        <v>45234.0</v>
      </c>
      <c r="B71" s="118" t="s">
        <v>50</v>
      </c>
      <c r="C71" s="118" t="s">
        <v>654</v>
      </c>
      <c r="D71" s="118" t="s">
        <v>2</v>
      </c>
      <c r="E71" s="118">
        <v>15.99</v>
      </c>
      <c r="F71" s="81">
        <f>E71*1.13</f>
        <v>18.0687</v>
      </c>
      <c r="G71" s="81"/>
      <c r="H71" s="187">
        <f t="shared" ref="H71:K71" si="37">$F$71/4</f>
        <v>4.517175</v>
      </c>
      <c r="I71" s="188">
        <f t="shared" si="37"/>
        <v>4.517175</v>
      </c>
      <c r="J71" s="189">
        <f t="shared" si="37"/>
        <v>4.517175</v>
      </c>
      <c r="K71" s="190">
        <f t="shared" si="37"/>
        <v>4.517175</v>
      </c>
      <c r="L71" s="81"/>
      <c r="M71" s="191"/>
      <c r="N71" s="192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</row>
    <row r="72">
      <c r="A72" s="55">
        <v>45237.0</v>
      </c>
      <c r="B72" s="118" t="s">
        <v>612</v>
      </c>
      <c r="C72" s="118" t="s">
        <v>52</v>
      </c>
      <c r="D72" s="118" t="s">
        <v>14</v>
      </c>
      <c r="E72" s="81"/>
      <c r="F72" s="118">
        <v>34.1</v>
      </c>
      <c r="G72" s="81"/>
      <c r="H72" s="187">
        <f>F72/4</f>
        <v>8.525</v>
      </c>
      <c r="I72" s="188">
        <f>F72/4</f>
        <v>8.525</v>
      </c>
      <c r="J72" s="189">
        <f>F72/4</f>
        <v>8.525</v>
      </c>
      <c r="K72" s="190">
        <f>F72/4</f>
        <v>8.525</v>
      </c>
      <c r="L72" s="81"/>
      <c r="M72" s="191"/>
      <c r="N72" s="192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</row>
    <row r="73">
      <c r="A73" s="55">
        <v>45236.0</v>
      </c>
      <c r="B73" s="118" t="s">
        <v>241</v>
      </c>
      <c r="C73" s="118" t="s">
        <v>655</v>
      </c>
      <c r="D73" s="118" t="s">
        <v>13</v>
      </c>
      <c r="E73" s="81"/>
      <c r="F73" s="118">
        <v>2.99</v>
      </c>
      <c r="G73" s="81"/>
      <c r="H73" s="187"/>
      <c r="I73" s="188"/>
      <c r="J73" s="189">
        <f>F73/2</f>
        <v>1.495</v>
      </c>
      <c r="K73" s="190">
        <f>F73/2</f>
        <v>1.495</v>
      </c>
      <c r="L73" s="81"/>
      <c r="M73" s="191"/>
      <c r="N73" s="192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</row>
    <row r="74">
      <c r="A74" s="55">
        <v>45236.0</v>
      </c>
      <c r="B74" s="118" t="s">
        <v>353</v>
      </c>
      <c r="C74" s="118" t="s">
        <v>656</v>
      </c>
      <c r="D74" s="118" t="s">
        <v>13</v>
      </c>
      <c r="E74" s="118">
        <v>4.25</v>
      </c>
      <c r="F74" s="81">
        <f>E74*1.13</f>
        <v>4.8025</v>
      </c>
      <c r="G74" s="81"/>
      <c r="H74" s="187">
        <f t="shared" ref="H74:H75" si="38">F74/4</f>
        <v>1.200625</v>
      </c>
      <c r="I74" s="188">
        <f t="shared" ref="I74:I75" si="39">F74/4</f>
        <v>1.200625</v>
      </c>
      <c r="J74" s="189">
        <f t="shared" ref="J74:J75" si="40">F74/4</f>
        <v>1.200625</v>
      </c>
      <c r="K74" s="190">
        <f t="shared" ref="K74:K75" si="41">F74/4</f>
        <v>1.200625</v>
      </c>
      <c r="L74" s="81"/>
      <c r="M74" s="191"/>
      <c r="N74" s="192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</row>
    <row r="75">
      <c r="A75" s="55">
        <v>45238.0</v>
      </c>
      <c r="B75" s="118" t="s">
        <v>353</v>
      </c>
      <c r="C75" s="118" t="s">
        <v>657</v>
      </c>
      <c r="D75" s="118" t="s">
        <v>4</v>
      </c>
      <c r="E75" s="118">
        <v>13.84</v>
      </c>
      <c r="F75" s="118">
        <v>14.66</v>
      </c>
      <c r="G75" s="81"/>
      <c r="H75" s="187">
        <f t="shared" si="38"/>
        <v>3.665</v>
      </c>
      <c r="I75" s="188">
        <f t="shared" si="39"/>
        <v>3.665</v>
      </c>
      <c r="J75" s="189">
        <f t="shared" si="40"/>
        <v>3.665</v>
      </c>
      <c r="K75" s="190">
        <f t="shared" si="41"/>
        <v>3.665</v>
      </c>
      <c r="L75" s="81"/>
      <c r="M75" s="191"/>
      <c r="N75" s="192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</row>
    <row r="76">
      <c r="A76" s="55">
        <v>45238.0</v>
      </c>
      <c r="B76" s="118" t="s">
        <v>241</v>
      </c>
      <c r="C76" s="118" t="s">
        <v>658</v>
      </c>
      <c r="D76" s="118" t="s">
        <v>4</v>
      </c>
      <c r="E76" s="118"/>
      <c r="F76" s="118">
        <v>12.6</v>
      </c>
      <c r="G76" s="81"/>
      <c r="H76" s="187">
        <f>F76/7</f>
        <v>1.8</v>
      </c>
      <c r="I76" s="188">
        <f>F76/7</f>
        <v>1.8</v>
      </c>
      <c r="J76" s="189">
        <f>F76/7</f>
        <v>1.8</v>
      </c>
      <c r="K76" s="190">
        <f>F76/7</f>
        <v>1.8</v>
      </c>
      <c r="L76" s="81">
        <f>F76/7</f>
        <v>1.8</v>
      </c>
      <c r="M76" s="191">
        <f>F76/7</f>
        <v>1.8</v>
      </c>
      <c r="N76" s="192"/>
      <c r="O76" s="10">
        <f>F76/7</f>
        <v>1.8</v>
      </c>
      <c r="P76" s="10"/>
      <c r="Q76" s="10"/>
      <c r="R76" s="10"/>
      <c r="S76" s="10"/>
      <c r="T76" s="10"/>
      <c r="U76" s="10"/>
      <c r="V76" s="10"/>
      <c r="W76" s="10"/>
      <c r="X76" s="10"/>
      <c r="Y76" s="10"/>
    </row>
    <row r="77">
      <c r="A77" s="55">
        <v>45236.0</v>
      </c>
      <c r="B77" s="118" t="s">
        <v>659</v>
      </c>
      <c r="C77" s="118" t="s">
        <v>660</v>
      </c>
      <c r="D77" s="118" t="s">
        <v>4</v>
      </c>
      <c r="E77" s="118">
        <f>19.49+23.99</f>
        <v>43.48</v>
      </c>
      <c r="F77" s="81">
        <f>E77*1.13</f>
        <v>49.1324</v>
      </c>
      <c r="G77" s="81"/>
      <c r="H77" s="187"/>
      <c r="I77" s="188">
        <f>23.99*1.13</f>
        <v>27.1087</v>
      </c>
      <c r="J77" s="189">
        <f>19.49*1.13</f>
        <v>22.0237</v>
      </c>
      <c r="K77" s="190"/>
      <c r="L77" s="81"/>
      <c r="M77" s="191"/>
      <c r="N77" s="192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</row>
    <row r="78">
      <c r="A78" s="55">
        <v>45236.0</v>
      </c>
      <c r="B78" s="118" t="s">
        <v>602</v>
      </c>
      <c r="C78" s="118" t="s">
        <v>661</v>
      </c>
      <c r="D78" s="118" t="s">
        <v>4</v>
      </c>
      <c r="E78" s="118">
        <v>3.29</v>
      </c>
      <c r="F78" s="118">
        <v>3.29</v>
      </c>
      <c r="G78" s="81"/>
      <c r="H78" s="187">
        <f t="shared" ref="H78:H81" si="42">F78/4</f>
        <v>0.8225</v>
      </c>
      <c r="I78" s="188">
        <f t="shared" ref="I78:I81" si="43">F78/4</f>
        <v>0.8225</v>
      </c>
      <c r="J78" s="189">
        <f t="shared" ref="J78:J81" si="44">F78/4</f>
        <v>0.8225</v>
      </c>
      <c r="K78" s="190">
        <f t="shared" ref="K78:K81" si="45">F78/4</f>
        <v>0.8225</v>
      </c>
      <c r="L78" s="81"/>
      <c r="M78" s="191"/>
      <c r="N78" s="192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</row>
    <row r="79">
      <c r="A79" s="55">
        <v>45237.0</v>
      </c>
      <c r="B79" s="118" t="s">
        <v>353</v>
      </c>
      <c r="C79" s="118" t="s">
        <v>662</v>
      </c>
      <c r="D79" s="118" t="s">
        <v>13</v>
      </c>
      <c r="E79" s="118">
        <v>3.75</v>
      </c>
      <c r="F79" s="118">
        <v>3.95</v>
      </c>
      <c r="G79" s="81"/>
      <c r="H79" s="187">
        <f t="shared" si="42"/>
        <v>0.9875</v>
      </c>
      <c r="I79" s="188">
        <f t="shared" si="43"/>
        <v>0.9875</v>
      </c>
      <c r="J79" s="189">
        <f t="shared" si="44"/>
        <v>0.9875</v>
      </c>
      <c r="K79" s="190">
        <f t="shared" si="45"/>
        <v>0.9875</v>
      </c>
      <c r="L79" s="81"/>
      <c r="M79" s="191"/>
      <c r="N79" s="192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</row>
    <row r="80">
      <c r="A80" s="55">
        <v>45239.0</v>
      </c>
      <c r="B80" s="118" t="s">
        <v>212</v>
      </c>
      <c r="C80" s="118" t="s">
        <v>663</v>
      </c>
      <c r="D80" s="118" t="s">
        <v>2</v>
      </c>
      <c r="F80" s="118">
        <v>27.97</v>
      </c>
      <c r="G80" s="81"/>
      <c r="H80" s="187">
        <f t="shared" si="42"/>
        <v>6.9925</v>
      </c>
      <c r="I80" s="188">
        <f t="shared" si="43"/>
        <v>6.9925</v>
      </c>
      <c r="J80" s="189">
        <f t="shared" si="44"/>
        <v>6.9925</v>
      </c>
      <c r="K80" s="190">
        <f t="shared" si="45"/>
        <v>6.9925</v>
      </c>
      <c r="L80" s="81"/>
      <c r="M80" s="191"/>
      <c r="N80" s="192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</row>
    <row r="81">
      <c r="A81" s="55">
        <v>45239.0</v>
      </c>
      <c r="B81" s="118" t="s">
        <v>212</v>
      </c>
      <c r="C81" s="118" t="s">
        <v>664</v>
      </c>
      <c r="D81" s="118" t="s">
        <v>13</v>
      </c>
      <c r="E81" s="81"/>
      <c r="F81" s="81">
        <f>2.5+4.98+8.88</f>
        <v>16.36</v>
      </c>
      <c r="G81" s="81"/>
      <c r="H81" s="187">
        <f t="shared" si="42"/>
        <v>4.09</v>
      </c>
      <c r="I81" s="188">
        <f t="shared" si="43"/>
        <v>4.09</v>
      </c>
      <c r="J81" s="189">
        <f t="shared" si="44"/>
        <v>4.09</v>
      </c>
      <c r="K81" s="190">
        <f t="shared" si="45"/>
        <v>4.09</v>
      </c>
      <c r="L81" s="81"/>
      <c r="M81" s="191"/>
      <c r="N81" s="192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>
      <c r="A82" s="55">
        <v>45239.0</v>
      </c>
      <c r="B82" s="118" t="s">
        <v>212</v>
      </c>
      <c r="C82" s="118" t="s">
        <v>468</v>
      </c>
      <c r="D82" s="118" t="s">
        <v>2</v>
      </c>
      <c r="E82" s="81">
        <f>4.88*2</f>
        <v>9.76</v>
      </c>
      <c r="F82" s="81">
        <f>E82*1.13</f>
        <v>11.0288</v>
      </c>
      <c r="G82" s="81"/>
      <c r="H82" s="187">
        <f>F82/3</f>
        <v>3.676266667</v>
      </c>
      <c r="I82" s="188"/>
      <c r="J82" s="189">
        <f>F82/3</f>
        <v>3.676266667</v>
      </c>
      <c r="K82" s="190">
        <f>F82/3</f>
        <v>3.676266667</v>
      </c>
      <c r="L82" s="81"/>
      <c r="M82" s="191"/>
      <c r="N82" s="192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>
      <c r="A83" s="55">
        <v>45240.0</v>
      </c>
      <c r="B83" s="118" t="s">
        <v>212</v>
      </c>
      <c r="C83" s="118" t="s">
        <v>665</v>
      </c>
      <c r="D83" s="12" t="s">
        <v>14</v>
      </c>
      <c r="F83" s="81">
        <f>2.79+6.48+6.38+0.64+2.59</f>
        <v>18.88</v>
      </c>
      <c r="G83" s="81"/>
      <c r="H83" s="187">
        <f>F83/7</f>
        <v>2.697142857</v>
      </c>
      <c r="I83" s="188">
        <f>F83/7</f>
        <v>2.697142857</v>
      </c>
      <c r="J83" s="189">
        <f>F83/7</f>
        <v>2.697142857</v>
      </c>
      <c r="K83" s="190">
        <f>F83/7</f>
        <v>2.697142857</v>
      </c>
      <c r="L83" s="81">
        <f>F83/7</f>
        <v>2.697142857</v>
      </c>
      <c r="M83" s="191">
        <f>F83/7</f>
        <v>2.697142857</v>
      </c>
      <c r="N83" s="192"/>
      <c r="O83" s="81">
        <f>F83/7</f>
        <v>2.697142857</v>
      </c>
      <c r="P83" s="10"/>
      <c r="Q83" s="10"/>
      <c r="R83" s="10"/>
      <c r="S83" s="10"/>
      <c r="T83" s="10"/>
      <c r="U83" s="10"/>
      <c r="V83" s="10"/>
      <c r="W83" s="10"/>
      <c r="X83" s="10"/>
      <c r="Y83" s="10"/>
    </row>
    <row r="84">
      <c r="A84" s="55">
        <v>45240.0</v>
      </c>
      <c r="B84" s="118" t="s">
        <v>212</v>
      </c>
      <c r="C84" s="118" t="s">
        <v>666</v>
      </c>
      <c r="D84" s="12" t="s">
        <v>14</v>
      </c>
      <c r="E84" s="81"/>
      <c r="F84" s="81">
        <f>2.99+4.88+2.72+0.89+6.49+4.49</f>
        <v>22.46</v>
      </c>
      <c r="G84" s="81"/>
      <c r="H84" s="187">
        <f>F84/4</f>
        <v>5.615</v>
      </c>
      <c r="I84" s="188">
        <f>F84/4</f>
        <v>5.615</v>
      </c>
      <c r="J84" s="189">
        <f>F84/4</f>
        <v>5.615</v>
      </c>
      <c r="K84" s="190">
        <f>F84/4</f>
        <v>5.615</v>
      </c>
      <c r="L84" s="81"/>
      <c r="M84" s="191"/>
      <c r="N84" s="192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</row>
    <row r="85">
      <c r="A85" s="55">
        <v>45241.0</v>
      </c>
      <c r="B85" s="118" t="s">
        <v>667</v>
      </c>
      <c r="C85" s="118" t="s">
        <v>52</v>
      </c>
      <c r="D85" s="118" t="s">
        <v>4</v>
      </c>
      <c r="E85" s="81"/>
      <c r="F85" s="118">
        <v>17.15</v>
      </c>
      <c r="G85" s="81"/>
      <c r="H85" s="187">
        <f>F85/6</f>
        <v>2.858333333</v>
      </c>
      <c r="I85" s="188">
        <f>F85/6</f>
        <v>2.858333333</v>
      </c>
      <c r="J85" s="189">
        <f>F85/6</f>
        <v>2.858333333</v>
      </c>
      <c r="K85" s="190">
        <f>F85/6</f>
        <v>2.858333333</v>
      </c>
      <c r="L85" s="81">
        <f>F85/6</f>
        <v>2.858333333</v>
      </c>
      <c r="M85" s="191">
        <f>F85/6</f>
        <v>2.858333333</v>
      </c>
      <c r="N85" s="192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</row>
    <row r="86">
      <c r="A86" s="55">
        <v>45242.0</v>
      </c>
      <c r="B86" s="118" t="s">
        <v>241</v>
      </c>
      <c r="C86" s="118" t="s">
        <v>52</v>
      </c>
      <c r="D86" s="118" t="s">
        <v>2</v>
      </c>
      <c r="E86" s="118">
        <v>40.0</v>
      </c>
      <c r="F86" s="118">
        <v>40.86</v>
      </c>
      <c r="G86" s="81"/>
      <c r="H86" s="187">
        <f t="shared" ref="H86:K86" si="46">SUM($F$86/5)</f>
        <v>8.172</v>
      </c>
      <c r="I86" s="188">
        <f t="shared" si="46"/>
        <v>8.172</v>
      </c>
      <c r="J86" s="189">
        <f t="shared" si="46"/>
        <v>8.172</v>
      </c>
      <c r="K86" s="190">
        <f t="shared" si="46"/>
        <v>8.172</v>
      </c>
      <c r="L86" s="81"/>
      <c r="M86" s="191">
        <f>SUM($F$86/5)</f>
        <v>8.172</v>
      </c>
      <c r="N86" s="192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</row>
    <row r="87">
      <c r="A87" s="55">
        <v>45242.0</v>
      </c>
      <c r="B87" s="118" t="s">
        <v>241</v>
      </c>
      <c r="C87" s="118" t="s">
        <v>668</v>
      </c>
      <c r="D87" s="118" t="s">
        <v>2</v>
      </c>
      <c r="E87" s="118">
        <v>7.99</v>
      </c>
      <c r="F87" s="81">
        <f t="shared" ref="F87:F90" si="47">E87*1.13</f>
        <v>9.0287</v>
      </c>
      <c r="G87" s="81"/>
      <c r="H87" s="187">
        <f>F87/5</f>
        <v>1.80574</v>
      </c>
      <c r="I87" s="188">
        <f>F87/5</f>
        <v>1.80574</v>
      </c>
      <c r="J87" s="189">
        <f>F87/5</f>
        <v>1.80574</v>
      </c>
      <c r="K87" s="190">
        <f>F87/5</f>
        <v>1.80574</v>
      </c>
      <c r="L87" s="81"/>
      <c r="M87" s="191"/>
      <c r="N87" s="192">
        <f>F87/5</f>
        <v>1.80574</v>
      </c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</row>
    <row r="88">
      <c r="A88" s="55">
        <v>45244.0</v>
      </c>
      <c r="B88" s="118" t="s">
        <v>192</v>
      </c>
      <c r="C88" s="118" t="s">
        <v>669</v>
      </c>
      <c r="D88" s="118" t="s">
        <v>670</v>
      </c>
      <c r="E88" s="118">
        <v>15.97</v>
      </c>
      <c r="F88" s="81">
        <f t="shared" si="47"/>
        <v>18.0461</v>
      </c>
      <c r="G88" s="81"/>
      <c r="H88" s="187">
        <f t="shared" ref="H88:K88" si="48">SUM($F$88/5)</f>
        <v>3.60922</v>
      </c>
      <c r="I88" s="188">
        <f t="shared" si="48"/>
        <v>3.60922</v>
      </c>
      <c r="J88" s="189">
        <f t="shared" si="48"/>
        <v>3.60922</v>
      </c>
      <c r="K88" s="190">
        <f t="shared" si="48"/>
        <v>3.60922</v>
      </c>
      <c r="L88" s="81"/>
      <c r="M88" s="191"/>
      <c r="N88" s="192">
        <v>3.6092199999999997</v>
      </c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</row>
    <row r="89">
      <c r="A89" s="55">
        <v>45244.0</v>
      </c>
      <c r="B89" s="118" t="s">
        <v>192</v>
      </c>
      <c r="C89" s="118" t="s">
        <v>671</v>
      </c>
      <c r="D89" s="118" t="s">
        <v>2</v>
      </c>
      <c r="E89" s="118">
        <v>6.97</v>
      </c>
      <c r="F89" s="81">
        <f t="shared" si="47"/>
        <v>7.8761</v>
      </c>
      <c r="G89" s="81"/>
      <c r="H89" s="187">
        <f t="shared" ref="H89:K89" si="49">SUM($F$89/5)</f>
        <v>1.57522</v>
      </c>
      <c r="I89" s="188">
        <f t="shared" si="49"/>
        <v>1.57522</v>
      </c>
      <c r="J89" s="189">
        <f t="shared" si="49"/>
        <v>1.57522</v>
      </c>
      <c r="K89" s="190">
        <f t="shared" si="49"/>
        <v>1.57522</v>
      </c>
      <c r="L89" s="81"/>
      <c r="M89" s="191"/>
      <c r="N89" s="192">
        <f>SUM($F$89/5)</f>
        <v>1.57522</v>
      </c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</row>
    <row r="90">
      <c r="A90" s="55">
        <v>45244.0</v>
      </c>
      <c r="B90" s="118" t="s">
        <v>192</v>
      </c>
      <c r="C90" s="118" t="s">
        <v>672</v>
      </c>
      <c r="D90" s="118" t="s">
        <v>2</v>
      </c>
      <c r="E90" s="118">
        <v>4.48</v>
      </c>
      <c r="F90" s="81">
        <f t="shared" si="47"/>
        <v>5.0624</v>
      </c>
      <c r="G90" s="81"/>
      <c r="H90" s="187">
        <f t="shared" ref="H90:K90" si="50">SUM($F$90/5)</f>
        <v>1.01248</v>
      </c>
      <c r="I90" s="188">
        <f t="shared" si="50"/>
        <v>1.01248</v>
      </c>
      <c r="J90" s="189">
        <f t="shared" si="50"/>
        <v>1.01248</v>
      </c>
      <c r="K90" s="190">
        <f t="shared" si="50"/>
        <v>1.01248</v>
      </c>
      <c r="L90" s="81"/>
      <c r="M90" s="191"/>
      <c r="N90" s="192">
        <f>SUM($F$90/5)</f>
        <v>1.01248</v>
      </c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</row>
    <row r="91">
      <c r="A91" s="55">
        <v>45244.0</v>
      </c>
      <c r="B91" s="118" t="s">
        <v>673</v>
      </c>
      <c r="C91" s="118" t="s">
        <v>674</v>
      </c>
      <c r="D91" s="118" t="s">
        <v>7</v>
      </c>
      <c r="E91" s="81"/>
      <c r="F91" s="118">
        <v>71.38</v>
      </c>
      <c r="G91" s="81"/>
      <c r="H91" s="187">
        <f>F91/7</f>
        <v>10.19714286</v>
      </c>
      <c r="I91" s="188">
        <f>F91/7</f>
        <v>10.19714286</v>
      </c>
      <c r="J91" s="189">
        <f>F91/7</f>
        <v>10.19714286</v>
      </c>
      <c r="K91" s="190">
        <f>F91/7</f>
        <v>10.19714286</v>
      </c>
      <c r="L91" s="81"/>
      <c r="M91" s="191"/>
      <c r="N91" s="192">
        <f>F91/7</f>
        <v>10.19714286</v>
      </c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</row>
    <row r="92">
      <c r="A92" s="55">
        <v>45243.0</v>
      </c>
      <c r="B92" s="118" t="s">
        <v>675</v>
      </c>
      <c r="C92" s="81"/>
      <c r="D92" s="118" t="s">
        <v>7</v>
      </c>
      <c r="E92" s="81"/>
      <c r="F92" s="118">
        <v>230.0</v>
      </c>
      <c r="G92" s="81"/>
      <c r="H92" s="193">
        <f>F92/8</f>
        <v>28.75</v>
      </c>
      <c r="I92" s="194">
        <f>F92/8</f>
        <v>28.75</v>
      </c>
      <c r="J92" s="195">
        <f>F92/8</f>
        <v>28.75</v>
      </c>
      <c r="K92" s="196">
        <f>F92/8</f>
        <v>28.75</v>
      </c>
      <c r="L92" s="81"/>
      <c r="M92" s="197">
        <f>F92/8</f>
        <v>28.75</v>
      </c>
      <c r="N92" s="192">
        <f>F92/8</f>
        <v>28.75</v>
      </c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</row>
    <row r="93">
      <c r="A93" s="55">
        <v>45245.0</v>
      </c>
      <c r="B93" s="118" t="s">
        <v>667</v>
      </c>
      <c r="C93" s="118" t="s">
        <v>52</v>
      </c>
      <c r="D93" s="118" t="s">
        <v>7</v>
      </c>
      <c r="E93" s="81"/>
      <c r="F93" s="118">
        <v>49.04</v>
      </c>
      <c r="G93" s="81"/>
      <c r="H93" s="187">
        <f>F93/5</f>
        <v>9.808</v>
      </c>
      <c r="I93" s="188">
        <f>F93/5</f>
        <v>9.808</v>
      </c>
      <c r="J93" s="189">
        <f>F93/5</f>
        <v>9.808</v>
      </c>
      <c r="K93" s="190">
        <f>F93/5</f>
        <v>9.808</v>
      </c>
      <c r="L93" s="81"/>
      <c r="M93" s="191"/>
      <c r="N93" s="192">
        <f>F93/5</f>
        <v>9.808</v>
      </c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</row>
    <row r="94">
      <c r="A94" s="55">
        <v>45245.0</v>
      </c>
      <c r="B94" s="118" t="s">
        <v>357</v>
      </c>
      <c r="C94" s="118" t="s">
        <v>676</v>
      </c>
      <c r="D94" s="118" t="s">
        <v>2</v>
      </c>
      <c r="E94" s="118">
        <v>50.0</v>
      </c>
      <c r="F94" s="81">
        <f>SUM(E94 * 1.13)</f>
        <v>56.5</v>
      </c>
      <c r="G94" s="81"/>
      <c r="H94" s="187">
        <f t="shared" ref="H94:K94" si="51">SUM($F$94/5)</f>
        <v>11.3</v>
      </c>
      <c r="I94" s="188">
        <f t="shared" si="51"/>
        <v>11.3</v>
      </c>
      <c r="J94" s="189">
        <f t="shared" si="51"/>
        <v>11.3</v>
      </c>
      <c r="K94" s="190">
        <f t="shared" si="51"/>
        <v>11.3</v>
      </c>
      <c r="L94" s="81"/>
      <c r="M94" s="191"/>
      <c r="N94" s="192">
        <f>SUM($F$94/5)</f>
        <v>11.3</v>
      </c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</row>
    <row r="95">
      <c r="A95" s="55">
        <v>45242.0</v>
      </c>
      <c r="B95" s="118" t="s">
        <v>677</v>
      </c>
      <c r="C95" s="118" t="s">
        <v>678</v>
      </c>
      <c r="D95" s="118" t="s">
        <v>13</v>
      </c>
      <c r="E95" s="81"/>
      <c r="F95" s="118">
        <v>104.98</v>
      </c>
      <c r="G95" s="81"/>
      <c r="H95" s="187">
        <f>14.99*1.12+1.875</f>
        <v>18.6638</v>
      </c>
      <c r="I95" s="188">
        <f>12.99*1.12+1.875</f>
        <v>16.4238</v>
      </c>
      <c r="J95" s="189">
        <f>14.74*1.12+1.875</f>
        <v>18.3838</v>
      </c>
      <c r="K95" s="190">
        <f>13.24*1.12+1.875</f>
        <v>16.7038</v>
      </c>
      <c r="L95" s="81">
        <f>11.99*1.12+1.875</f>
        <v>15.3038</v>
      </c>
      <c r="M95" s="191">
        <f>14.99*1.12+1.875</f>
        <v>18.6638</v>
      </c>
      <c r="N95" s="192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</row>
    <row r="96">
      <c r="A96" s="55">
        <v>45233.0</v>
      </c>
      <c r="B96" s="118" t="s">
        <v>181</v>
      </c>
      <c r="C96" s="118" t="s">
        <v>679</v>
      </c>
      <c r="D96" s="118" t="s">
        <v>2</v>
      </c>
      <c r="E96" s="81"/>
      <c r="F96" s="118">
        <v>18.08</v>
      </c>
      <c r="G96" s="81"/>
      <c r="H96" s="187">
        <f>F96/5</f>
        <v>3.616</v>
      </c>
      <c r="I96" s="188">
        <f>F96/5</f>
        <v>3.616</v>
      </c>
      <c r="J96" s="189">
        <f>F96/5</f>
        <v>3.616</v>
      </c>
      <c r="K96" s="190">
        <f>F96/5</f>
        <v>3.616</v>
      </c>
      <c r="M96" s="191"/>
      <c r="N96" s="192">
        <f>F96/5</f>
        <v>3.616</v>
      </c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</row>
    <row r="97">
      <c r="A97" s="55">
        <v>45233.0</v>
      </c>
      <c r="B97" s="118" t="s">
        <v>181</v>
      </c>
      <c r="C97" s="118" t="s">
        <v>680</v>
      </c>
      <c r="D97" s="118" t="s">
        <v>2</v>
      </c>
      <c r="E97" s="81"/>
      <c r="F97" s="118">
        <v>11.3</v>
      </c>
      <c r="G97" s="81"/>
      <c r="H97" s="187"/>
      <c r="I97" s="188"/>
      <c r="J97" s="189">
        <f>F97/3</f>
        <v>3.766666667</v>
      </c>
      <c r="K97" s="190">
        <f>F97/3</f>
        <v>3.766666667</v>
      </c>
      <c r="L97" s="81"/>
      <c r="M97" s="191"/>
      <c r="N97" s="192">
        <f>F97/3</f>
        <v>3.766666667</v>
      </c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</row>
    <row r="98">
      <c r="A98" s="55">
        <v>45233.0</v>
      </c>
      <c r="B98" s="118" t="s">
        <v>181</v>
      </c>
      <c r="C98" s="118" t="s">
        <v>681</v>
      </c>
      <c r="D98" s="118" t="s">
        <v>2</v>
      </c>
      <c r="E98" s="81"/>
      <c r="F98" s="118">
        <v>10.16</v>
      </c>
      <c r="G98" s="81"/>
      <c r="H98" s="187">
        <f>F98/5</f>
        <v>2.032</v>
      </c>
      <c r="I98" s="188">
        <f>F98/5</f>
        <v>2.032</v>
      </c>
      <c r="J98" s="189">
        <f>F98/5</f>
        <v>2.032</v>
      </c>
      <c r="K98" s="190">
        <f>F98/5</f>
        <v>2.032</v>
      </c>
      <c r="L98" s="81"/>
      <c r="M98" s="191"/>
      <c r="N98" s="192">
        <f>F98/5</f>
        <v>2.032</v>
      </c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</row>
    <row r="99">
      <c r="A99" s="55">
        <v>45233.0</v>
      </c>
      <c r="B99" s="118" t="s">
        <v>181</v>
      </c>
      <c r="C99" s="118" t="s">
        <v>682</v>
      </c>
      <c r="D99" s="118" t="s">
        <v>2</v>
      </c>
      <c r="E99" s="81"/>
      <c r="F99" s="118">
        <v>9.0</v>
      </c>
      <c r="G99" s="81"/>
      <c r="H99" s="187"/>
      <c r="I99" s="188"/>
      <c r="J99" s="189">
        <f t="shared" ref="J99:J101" si="52">F99</f>
        <v>9</v>
      </c>
      <c r="K99" s="190"/>
      <c r="L99" s="81"/>
      <c r="M99" s="191"/>
      <c r="N99" s="192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</row>
    <row r="100">
      <c r="A100" s="55">
        <v>45233.0</v>
      </c>
      <c r="B100" s="118" t="s">
        <v>181</v>
      </c>
      <c r="C100" s="118" t="s">
        <v>683</v>
      </c>
      <c r="D100" s="118" t="s">
        <v>2</v>
      </c>
      <c r="E100" s="81"/>
      <c r="F100" s="118">
        <v>7.91</v>
      </c>
      <c r="G100" s="81"/>
      <c r="H100" s="187"/>
      <c r="I100" s="188"/>
      <c r="J100" s="195">
        <f t="shared" si="52"/>
        <v>7.91</v>
      </c>
      <c r="K100" s="190"/>
      <c r="L100" s="81"/>
      <c r="M100" s="191"/>
      <c r="N100" s="192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</row>
    <row r="101">
      <c r="A101" s="55">
        <v>45233.0</v>
      </c>
      <c r="B101" s="118" t="s">
        <v>181</v>
      </c>
      <c r="C101" s="118" t="s">
        <v>684</v>
      </c>
      <c r="D101" s="118" t="s">
        <v>2</v>
      </c>
      <c r="E101" s="81"/>
      <c r="F101" s="118">
        <v>6.77</v>
      </c>
      <c r="G101" s="81"/>
      <c r="H101" s="187"/>
      <c r="I101" s="188"/>
      <c r="J101" s="189">
        <f t="shared" si="52"/>
        <v>6.77</v>
      </c>
      <c r="K101" s="190"/>
      <c r="L101" s="81"/>
      <c r="M101" s="191"/>
      <c r="N101" s="192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</row>
    <row r="102">
      <c r="A102" s="55">
        <v>45233.0</v>
      </c>
      <c r="B102" s="118" t="s">
        <v>181</v>
      </c>
      <c r="C102" s="118" t="s">
        <v>685</v>
      </c>
      <c r="D102" s="118" t="s">
        <v>2</v>
      </c>
      <c r="E102" s="81"/>
      <c r="F102" s="118">
        <v>6.77</v>
      </c>
      <c r="G102" s="81"/>
      <c r="H102" s="187"/>
      <c r="I102" s="188">
        <f>F102</f>
        <v>6.77</v>
      </c>
      <c r="J102" s="189"/>
      <c r="K102" s="190"/>
      <c r="L102" s="81"/>
      <c r="M102" s="191"/>
      <c r="N102" s="192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</row>
    <row r="103">
      <c r="A103" s="55">
        <v>45233.0</v>
      </c>
      <c r="B103" s="118" t="s">
        <v>181</v>
      </c>
      <c r="C103" s="118" t="s">
        <v>679</v>
      </c>
      <c r="D103" s="118" t="s">
        <v>2</v>
      </c>
      <c r="E103" s="81"/>
      <c r="F103" s="118">
        <f t="shared" ref="F103:F104" si="53">6.76/2</f>
        <v>3.38</v>
      </c>
      <c r="G103" s="81"/>
      <c r="H103" s="187"/>
      <c r="I103" s="188"/>
      <c r="J103" s="189">
        <f>F103/3</f>
        <v>1.126666667</v>
      </c>
      <c r="K103" s="190">
        <f>F103/3</f>
        <v>1.126666667</v>
      </c>
      <c r="L103" s="81"/>
      <c r="M103" s="191"/>
      <c r="N103" s="192">
        <f>F103/3</f>
        <v>1.126666667</v>
      </c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</row>
    <row r="104">
      <c r="A104" s="55">
        <v>45233.0</v>
      </c>
      <c r="B104" s="118" t="s">
        <v>181</v>
      </c>
      <c r="C104" s="118" t="s">
        <v>679</v>
      </c>
      <c r="D104" s="118" t="s">
        <v>2</v>
      </c>
      <c r="E104" s="81"/>
      <c r="F104" s="118">
        <f t="shared" si="53"/>
        <v>3.38</v>
      </c>
      <c r="G104" s="81"/>
      <c r="H104" s="187"/>
      <c r="I104" s="188"/>
      <c r="J104" s="189">
        <f>F104/2</f>
        <v>1.69</v>
      </c>
      <c r="K104" s="190">
        <f>F104/2</f>
        <v>1.69</v>
      </c>
      <c r="L104" s="81"/>
      <c r="M104" s="191"/>
      <c r="N104" s="192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</row>
    <row r="105">
      <c r="A105" s="55">
        <v>45233.0</v>
      </c>
      <c r="B105" s="118" t="s">
        <v>181</v>
      </c>
      <c r="C105" s="118" t="s">
        <v>686</v>
      </c>
      <c r="D105" s="118" t="s">
        <v>2</v>
      </c>
      <c r="E105" s="81"/>
      <c r="F105" s="81">
        <f>9.45/3</f>
        <v>3.15</v>
      </c>
      <c r="G105" s="81"/>
      <c r="H105" s="187"/>
      <c r="I105" s="188">
        <f>F105</f>
        <v>3.15</v>
      </c>
      <c r="J105" s="189"/>
      <c r="K105" s="190"/>
      <c r="L105" s="81"/>
      <c r="M105" s="191"/>
      <c r="N105" s="192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</row>
    <row r="106">
      <c r="A106" s="55">
        <v>45233.0</v>
      </c>
      <c r="B106" s="118" t="s">
        <v>181</v>
      </c>
      <c r="C106" s="118" t="s">
        <v>686</v>
      </c>
      <c r="D106" s="118" t="s">
        <v>2</v>
      </c>
      <c r="E106" s="81"/>
      <c r="F106" s="81">
        <f>9.45/3*2</f>
        <v>6.3</v>
      </c>
      <c r="G106" s="81"/>
      <c r="H106" s="187"/>
      <c r="I106" s="188"/>
      <c r="J106" s="189">
        <f>F106/2</f>
        <v>3.15</v>
      </c>
      <c r="K106" s="190">
        <f>F106/2</f>
        <v>3.15</v>
      </c>
      <c r="L106" s="81"/>
      <c r="M106" s="191"/>
      <c r="N106" s="192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</row>
    <row r="107">
      <c r="A107" s="55">
        <v>45233.0</v>
      </c>
      <c r="B107" s="118" t="s">
        <v>181</v>
      </c>
      <c r="C107" s="118" t="s">
        <v>687</v>
      </c>
      <c r="D107" s="118" t="s">
        <v>2</v>
      </c>
      <c r="E107" s="81"/>
      <c r="F107" s="118">
        <v>2.25</v>
      </c>
      <c r="G107" s="81"/>
      <c r="H107" s="187">
        <f t="shared" ref="H107:H108" si="54">F107/4</f>
        <v>0.5625</v>
      </c>
      <c r="I107" s="188">
        <f t="shared" ref="I107:I108" si="55">F107/4</f>
        <v>0.5625</v>
      </c>
      <c r="J107" s="189">
        <f t="shared" ref="J107:J108" si="56">F107/4</f>
        <v>0.5625</v>
      </c>
      <c r="K107" s="190">
        <f t="shared" ref="K107:K108" si="57">F107/4</f>
        <v>0.5625</v>
      </c>
      <c r="L107" s="81"/>
      <c r="M107" s="191"/>
      <c r="N107" s="192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</row>
    <row r="108">
      <c r="A108" s="55">
        <v>45233.0</v>
      </c>
      <c r="B108" s="118" t="s">
        <v>181</v>
      </c>
      <c r="C108" s="118" t="s">
        <v>688</v>
      </c>
      <c r="D108" s="118" t="s">
        <v>2</v>
      </c>
      <c r="E108" s="81"/>
      <c r="F108" s="118">
        <v>2.24</v>
      </c>
      <c r="G108" s="81"/>
      <c r="H108" s="187">
        <f t="shared" si="54"/>
        <v>0.56</v>
      </c>
      <c r="I108" s="188">
        <f t="shared" si="55"/>
        <v>0.56</v>
      </c>
      <c r="J108" s="189">
        <f t="shared" si="56"/>
        <v>0.56</v>
      </c>
      <c r="K108" s="190">
        <f t="shared" si="57"/>
        <v>0.56</v>
      </c>
      <c r="L108" s="81"/>
      <c r="M108" s="191"/>
      <c r="N108" s="192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</row>
    <row r="109">
      <c r="A109" s="55">
        <v>45246.0</v>
      </c>
      <c r="B109" s="118" t="s">
        <v>667</v>
      </c>
      <c r="C109" s="118" t="s">
        <v>52</v>
      </c>
      <c r="D109" s="118" t="s">
        <v>2</v>
      </c>
      <c r="E109" s="81"/>
      <c r="F109" s="118">
        <v>22.08</v>
      </c>
      <c r="G109" s="81"/>
      <c r="H109" s="187">
        <f t="shared" ref="H109:K109" si="58">SUM($F$109/5)</f>
        <v>4.416</v>
      </c>
      <c r="I109" s="188">
        <f t="shared" si="58"/>
        <v>4.416</v>
      </c>
      <c r="J109" s="189">
        <f t="shared" si="58"/>
        <v>4.416</v>
      </c>
      <c r="K109" s="190">
        <f t="shared" si="58"/>
        <v>4.416</v>
      </c>
      <c r="L109" s="81"/>
      <c r="M109" s="191"/>
      <c r="N109" s="192">
        <f>SUM($F$109/5)</f>
        <v>4.416</v>
      </c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</row>
    <row r="110">
      <c r="A110" s="55">
        <v>45246.0</v>
      </c>
      <c r="B110" s="118" t="s">
        <v>149</v>
      </c>
      <c r="C110" s="118" t="s">
        <v>658</v>
      </c>
      <c r="D110" s="118" t="s">
        <v>14</v>
      </c>
      <c r="E110" s="81"/>
      <c r="F110" s="118">
        <v>14.5</v>
      </c>
      <c r="G110" s="81"/>
      <c r="H110" s="187">
        <f>F110/7</f>
        <v>2.071428571</v>
      </c>
      <c r="I110" s="188">
        <f>F110/7</f>
        <v>2.071428571</v>
      </c>
      <c r="J110" s="189">
        <f>F110/7</f>
        <v>2.071428571</v>
      </c>
      <c r="K110" s="190">
        <f>F110/7</f>
        <v>2.071428571</v>
      </c>
      <c r="L110" s="81">
        <f>F110/7</f>
        <v>2.071428571</v>
      </c>
      <c r="M110" s="191">
        <f>F110/7</f>
        <v>2.071428571</v>
      </c>
      <c r="N110" s="192">
        <f>F110/7</f>
        <v>2.071428571</v>
      </c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</row>
    <row r="111">
      <c r="A111" s="55">
        <v>45246.0</v>
      </c>
      <c r="B111" s="118" t="s">
        <v>149</v>
      </c>
      <c r="C111" s="118" t="s">
        <v>334</v>
      </c>
      <c r="D111" s="118" t="s">
        <v>14</v>
      </c>
      <c r="E111" s="118">
        <v>5.48</v>
      </c>
      <c r="F111" s="81">
        <f>E111*1.13</f>
        <v>6.1924</v>
      </c>
      <c r="G111" s="81"/>
      <c r="H111" s="187">
        <f t="shared" ref="H111:H112" si="59">F111/5</f>
        <v>1.23848</v>
      </c>
      <c r="I111" s="188">
        <f t="shared" ref="I111:I112" si="60">F111/5</f>
        <v>1.23848</v>
      </c>
      <c r="J111" s="189">
        <f t="shared" ref="J111:J112" si="61">F111/5</f>
        <v>1.23848</v>
      </c>
      <c r="K111" s="190">
        <f t="shared" ref="K111:K112" si="62">F111/5</f>
        <v>1.23848</v>
      </c>
      <c r="L111" s="81"/>
      <c r="M111" s="191"/>
      <c r="N111" s="192">
        <f t="shared" ref="N111:N112" si="63">F111/5</f>
        <v>1.23848</v>
      </c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</row>
    <row r="112">
      <c r="A112" s="55">
        <v>45247.0</v>
      </c>
      <c r="B112" s="118" t="s">
        <v>149</v>
      </c>
      <c r="C112" s="118" t="s">
        <v>689</v>
      </c>
      <c r="D112" s="118" t="s">
        <v>14</v>
      </c>
      <c r="E112" s="81"/>
      <c r="F112" s="118">
        <v>13.01</v>
      </c>
      <c r="G112" s="81"/>
      <c r="H112" s="187">
        <f t="shared" si="59"/>
        <v>2.602</v>
      </c>
      <c r="I112" s="188">
        <f t="shared" si="60"/>
        <v>2.602</v>
      </c>
      <c r="J112" s="189">
        <f t="shared" si="61"/>
        <v>2.602</v>
      </c>
      <c r="K112" s="190">
        <f t="shared" si="62"/>
        <v>2.602</v>
      </c>
      <c r="L112" s="81"/>
      <c r="M112" s="191"/>
      <c r="N112" s="192">
        <f t="shared" si="63"/>
        <v>2.602</v>
      </c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</row>
    <row r="113">
      <c r="A113" s="55">
        <v>45247.0</v>
      </c>
      <c r="B113" s="118" t="s">
        <v>667</v>
      </c>
      <c r="C113" s="118" t="s">
        <v>52</v>
      </c>
      <c r="D113" s="118" t="s">
        <v>14</v>
      </c>
      <c r="E113" s="81"/>
      <c r="F113" s="118">
        <v>47.93</v>
      </c>
      <c r="G113" s="81"/>
      <c r="H113" s="187">
        <f>F113/7</f>
        <v>6.847142857</v>
      </c>
      <c r="I113" s="188">
        <f>F113/7</f>
        <v>6.847142857</v>
      </c>
      <c r="J113" s="189">
        <f>F113/7</f>
        <v>6.847142857</v>
      </c>
      <c r="K113" s="190">
        <f>F113/7</f>
        <v>6.847142857</v>
      </c>
      <c r="L113" s="81">
        <f>F113/7</f>
        <v>6.847142857</v>
      </c>
      <c r="M113" s="191">
        <f>F113/7</f>
        <v>6.847142857</v>
      </c>
      <c r="N113" s="192">
        <f>F113/7</f>
        <v>6.847142857</v>
      </c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</row>
    <row r="114">
      <c r="A114" s="55">
        <v>45249.0</v>
      </c>
      <c r="B114" s="118" t="s">
        <v>192</v>
      </c>
      <c r="C114" s="118" t="s">
        <v>690</v>
      </c>
      <c r="D114" s="118" t="s">
        <v>14</v>
      </c>
      <c r="E114" s="81"/>
      <c r="F114" s="118">
        <v>242.56</v>
      </c>
      <c r="G114" s="81"/>
      <c r="H114" s="187">
        <f>38.48*1.13</f>
        <v>43.4824</v>
      </c>
      <c r="I114" s="204"/>
      <c r="J114" s="189">
        <f>38.48*1.13</f>
        <v>43.4824</v>
      </c>
      <c r="K114" s="190">
        <f>16.8*1.05</f>
        <v>17.64</v>
      </c>
      <c r="L114" s="81"/>
      <c r="M114" s="191"/>
      <c r="N114" s="192">
        <f>16.8*1.05</f>
        <v>17.64</v>
      </c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</row>
    <row r="115">
      <c r="A115" s="55">
        <v>45249.0</v>
      </c>
      <c r="B115" s="118" t="s">
        <v>192</v>
      </c>
      <c r="C115" s="118" t="s">
        <v>691</v>
      </c>
      <c r="D115" s="118" t="s">
        <v>14</v>
      </c>
      <c r="E115" s="81"/>
      <c r="F115" s="81"/>
      <c r="G115" s="81"/>
      <c r="H115" s="187"/>
      <c r="I115" s="188"/>
      <c r="J115" s="189"/>
      <c r="K115" s="196">
        <f>64.97*1.13</f>
        <v>73.4161</v>
      </c>
      <c r="L115" s="81"/>
      <c r="M115" s="191"/>
      <c r="N115" s="192">
        <f>39*1.13</f>
        <v>44.07</v>
      </c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</row>
    <row r="116">
      <c r="A116" s="55">
        <v>45249.0</v>
      </c>
      <c r="B116" s="118" t="s">
        <v>192</v>
      </c>
      <c r="C116" s="118" t="s">
        <v>692</v>
      </c>
      <c r="D116" s="118" t="s">
        <v>14</v>
      </c>
      <c r="E116" s="81"/>
      <c r="F116" s="81"/>
      <c r="G116" s="81"/>
      <c r="H116" s="187"/>
      <c r="I116" s="188"/>
      <c r="J116" s="189"/>
      <c r="K116" s="196">
        <f>1.25*1.13</f>
        <v>1.4125</v>
      </c>
      <c r="L116" s="81"/>
      <c r="M116" s="191"/>
      <c r="N116" s="198">
        <f>1.25*1.13</f>
        <v>1.4125</v>
      </c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</row>
    <row r="117">
      <c r="A117" s="55">
        <v>45249.0</v>
      </c>
      <c r="B117" s="118" t="s">
        <v>52</v>
      </c>
      <c r="C117" s="118" t="s">
        <v>566</v>
      </c>
      <c r="D117" s="118" t="s">
        <v>2</v>
      </c>
      <c r="E117" s="118">
        <v>90.93</v>
      </c>
      <c r="F117" s="81">
        <f>E117*1.13</f>
        <v>102.7509</v>
      </c>
      <c r="G117" s="81"/>
      <c r="H117" s="187">
        <f t="shared" ref="H117:N117" si="64">SUM($F$117/7)</f>
        <v>14.6787</v>
      </c>
      <c r="I117" s="188">
        <f t="shared" si="64"/>
        <v>14.6787</v>
      </c>
      <c r="J117" s="189">
        <f t="shared" si="64"/>
        <v>14.6787</v>
      </c>
      <c r="K117" s="190">
        <f t="shared" si="64"/>
        <v>14.6787</v>
      </c>
      <c r="L117" s="81">
        <f t="shared" si="64"/>
        <v>14.6787</v>
      </c>
      <c r="M117" s="191">
        <f t="shared" si="64"/>
        <v>14.6787</v>
      </c>
      <c r="N117" s="192">
        <f t="shared" si="64"/>
        <v>14.6787</v>
      </c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</row>
    <row r="118">
      <c r="A118" s="55">
        <v>45246.0</v>
      </c>
      <c r="B118" s="118" t="s">
        <v>667</v>
      </c>
      <c r="C118" s="118" t="s">
        <v>693</v>
      </c>
      <c r="D118" s="118" t="s">
        <v>2</v>
      </c>
      <c r="E118" s="81"/>
      <c r="F118" s="118">
        <v>22.08</v>
      </c>
      <c r="G118" s="81"/>
      <c r="H118" s="187">
        <f>F118/5</f>
        <v>4.416</v>
      </c>
      <c r="I118" s="188">
        <f>F118/5</f>
        <v>4.416</v>
      </c>
      <c r="J118" s="189">
        <f>F118/5</f>
        <v>4.416</v>
      </c>
      <c r="K118" s="190">
        <f>F118/5</f>
        <v>4.416</v>
      </c>
      <c r="L118" s="81"/>
      <c r="M118" s="191"/>
      <c r="N118" s="192">
        <f>F118/5</f>
        <v>4.416</v>
      </c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</row>
    <row r="119">
      <c r="A119" s="55">
        <v>45249.0</v>
      </c>
      <c r="B119" s="118" t="s">
        <v>667</v>
      </c>
      <c r="C119" s="118" t="s">
        <v>473</v>
      </c>
      <c r="D119" s="118" t="s">
        <v>2</v>
      </c>
      <c r="E119" s="81"/>
      <c r="F119" s="118">
        <v>5.3</v>
      </c>
      <c r="G119" s="81"/>
      <c r="H119" s="187">
        <f>F119/7</f>
        <v>0.7571428571</v>
      </c>
      <c r="I119" s="188">
        <f>F119/7</f>
        <v>0.7571428571</v>
      </c>
      <c r="J119" s="189">
        <f>F119/7</f>
        <v>0.7571428571</v>
      </c>
      <c r="K119" s="190">
        <f>F119/7</f>
        <v>0.7571428571</v>
      </c>
      <c r="L119" s="81">
        <f>F119/7</f>
        <v>0.7571428571</v>
      </c>
      <c r="M119" s="191">
        <f>F119/7</f>
        <v>0.7571428571</v>
      </c>
      <c r="N119" s="192">
        <f>F119/7</f>
        <v>0.7571428571</v>
      </c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</row>
    <row r="120">
      <c r="A120" s="55">
        <v>45248.0</v>
      </c>
      <c r="B120" s="118" t="s">
        <v>192</v>
      </c>
      <c r="C120" s="118" t="s">
        <v>694</v>
      </c>
      <c r="D120" s="118" t="s">
        <v>14</v>
      </c>
      <c r="E120" s="118">
        <v>68.88</v>
      </c>
      <c r="F120" s="81">
        <f t="shared" ref="F120:F123" si="65">E120*1.13</f>
        <v>77.8344</v>
      </c>
      <c r="G120" s="81"/>
      <c r="H120" s="187">
        <f t="shared" ref="H120:H124" si="66">F120/5</f>
        <v>15.56688</v>
      </c>
      <c r="I120" s="188">
        <v>15.566879999999998</v>
      </c>
      <c r="J120" s="189">
        <f t="shared" ref="J120:J122" si="67">F120/5</f>
        <v>15.56688</v>
      </c>
      <c r="K120" s="190">
        <f t="shared" ref="K120:K122" si="68">F120/5</f>
        <v>15.56688</v>
      </c>
      <c r="L120" s="81"/>
      <c r="M120" s="191"/>
      <c r="N120" s="192">
        <v>15.566879999999998</v>
      </c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</row>
    <row r="121">
      <c r="A121" s="55">
        <v>45248.0</v>
      </c>
      <c r="B121" s="118" t="s">
        <v>192</v>
      </c>
      <c r="C121" s="118" t="s">
        <v>695</v>
      </c>
      <c r="D121" s="118" t="s">
        <v>14</v>
      </c>
      <c r="E121" s="118">
        <v>79.97</v>
      </c>
      <c r="F121" s="81">
        <f t="shared" si="65"/>
        <v>90.3661</v>
      </c>
      <c r="G121" s="81"/>
      <c r="H121" s="187">
        <f t="shared" si="66"/>
        <v>18.07322</v>
      </c>
      <c r="I121" s="188">
        <f t="shared" ref="I121:I122" si="69">F121/5</f>
        <v>18.07322</v>
      </c>
      <c r="J121" s="189">
        <f t="shared" si="67"/>
        <v>18.07322</v>
      </c>
      <c r="K121" s="190">
        <f t="shared" si="68"/>
        <v>18.07322</v>
      </c>
      <c r="L121" s="81"/>
      <c r="M121" s="191"/>
      <c r="N121" s="192">
        <f t="shared" ref="N121:N122" si="70">F121/5</f>
        <v>18.07322</v>
      </c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</row>
    <row r="122">
      <c r="A122" s="55">
        <v>45248.0</v>
      </c>
      <c r="B122" s="118" t="s">
        <v>192</v>
      </c>
      <c r="C122" s="118" t="s">
        <v>333</v>
      </c>
      <c r="D122" s="118" t="s">
        <v>14</v>
      </c>
      <c r="E122" s="118">
        <f>2.47*2-0.94</f>
        <v>4</v>
      </c>
      <c r="F122" s="81">
        <f t="shared" si="65"/>
        <v>4.52</v>
      </c>
      <c r="G122" s="81"/>
      <c r="H122" s="187">
        <f t="shared" si="66"/>
        <v>0.904</v>
      </c>
      <c r="I122" s="188">
        <f t="shared" si="69"/>
        <v>0.904</v>
      </c>
      <c r="J122" s="189">
        <f t="shared" si="67"/>
        <v>0.904</v>
      </c>
      <c r="K122" s="190">
        <f t="shared" si="68"/>
        <v>0.904</v>
      </c>
      <c r="L122" s="81"/>
      <c r="M122" s="191"/>
      <c r="N122" s="192">
        <f t="shared" si="70"/>
        <v>0.904</v>
      </c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</row>
    <row r="123">
      <c r="A123" s="55">
        <v>45248.0</v>
      </c>
      <c r="B123" s="118" t="s">
        <v>192</v>
      </c>
      <c r="C123" s="118" t="s">
        <v>696</v>
      </c>
      <c r="D123" s="118" t="s">
        <v>14</v>
      </c>
      <c r="E123" s="118">
        <v>8.97</v>
      </c>
      <c r="F123" s="81">
        <f t="shared" si="65"/>
        <v>10.1361</v>
      </c>
      <c r="G123" s="81"/>
      <c r="H123" s="193">
        <f t="shared" si="66"/>
        <v>2.02722</v>
      </c>
      <c r="I123" s="194">
        <v>2.02722</v>
      </c>
      <c r="J123" s="195">
        <v>2.02722</v>
      </c>
      <c r="K123" s="196">
        <v>2.02722</v>
      </c>
      <c r="L123" s="81"/>
      <c r="M123" s="191"/>
      <c r="N123" s="198">
        <v>2.02722</v>
      </c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</row>
    <row r="124">
      <c r="A124" s="55"/>
      <c r="B124" s="81"/>
      <c r="C124" s="118" t="s">
        <v>697</v>
      </c>
      <c r="D124" s="118" t="s">
        <v>4</v>
      </c>
      <c r="E124" s="81"/>
      <c r="F124" s="118">
        <v>6.0</v>
      </c>
      <c r="G124" s="81"/>
      <c r="H124" s="187">
        <f t="shared" si="66"/>
        <v>1.2</v>
      </c>
      <c r="I124" s="188">
        <v>1.2</v>
      </c>
      <c r="J124" s="189">
        <v>1.2</v>
      </c>
      <c r="K124" s="190">
        <v>1.2</v>
      </c>
      <c r="L124" s="81"/>
      <c r="M124" s="191"/>
      <c r="N124" s="192">
        <v>1.2</v>
      </c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</row>
    <row r="125">
      <c r="A125" s="55">
        <v>45250.0</v>
      </c>
      <c r="B125" s="1" t="s">
        <v>51</v>
      </c>
      <c r="C125" s="118" t="s">
        <v>698</v>
      </c>
      <c r="D125" s="118" t="s">
        <v>2</v>
      </c>
      <c r="E125" s="81"/>
      <c r="F125" s="118">
        <v>46.35</v>
      </c>
      <c r="G125" s="81"/>
      <c r="H125" s="187">
        <f t="shared" ref="H125:K125" si="71">SUM($F$125/5)</f>
        <v>9.27</v>
      </c>
      <c r="I125" s="188">
        <f t="shared" si="71"/>
        <v>9.27</v>
      </c>
      <c r="J125" s="189">
        <f t="shared" si="71"/>
        <v>9.27</v>
      </c>
      <c r="K125" s="190">
        <f t="shared" si="71"/>
        <v>9.27</v>
      </c>
      <c r="L125" s="81"/>
      <c r="M125" s="191"/>
      <c r="N125" s="192">
        <f>SUM($F$125/5)</f>
        <v>9.27</v>
      </c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</row>
    <row r="126">
      <c r="A126" s="55">
        <v>45252.0</v>
      </c>
      <c r="B126" s="118" t="s">
        <v>241</v>
      </c>
      <c r="C126" s="118" t="s">
        <v>699</v>
      </c>
      <c r="D126" s="118" t="s">
        <v>13</v>
      </c>
      <c r="E126" s="118">
        <f t="shared" ref="E126:F126" si="72">4.99+5.99</f>
        <v>10.98</v>
      </c>
      <c r="F126" s="81">
        <f t="shared" si="72"/>
        <v>10.98</v>
      </c>
      <c r="G126" s="81"/>
      <c r="H126" s="187">
        <f>F126/5</f>
        <v>2.196</v>
      </c>
      <c r="I126" s="188">
        <f>F126/5</f>
        <v>2.196</v>
      </c>
      <c r="J126" s="189">
        <f>F126/5</f>
        <v>2.196</v>
      </c>
      <c r="K126" s="190">
        <f>F126/5</f>
        <v>2.196</v>
      </c>
      <c r="L126" s="81"/>
      <c r="M126" s="191"/>
      <c r="N126" s="192">
        <f>F126/5</f>
        <v>2.196</v>
      </c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</row>
    <row r="127">
      <c r="A127" s="55">
        <v>45252.0</v>
      </c>
      <c r="B127" s="118" t="s">
        <v>241</v>
      </c>
      <c r="C127" s="118" t="s">
        <v>700</v>
      </c>
      <c r="D127" s="118" t="s">
        <v>13</v>
      </c>
      <c r="E127" s="81">
        <f>17.12+15.18</f>
        <v>32.3</v>
      </c>
      <c r="F127" s="81">
        <f>E127</f>
        <v>32.3</v>
      </c>
      <c r="G127" s="81"/>
      <c r="H127" s="187">
        <f t="shared" ref="H127:H128" si="73">F127/7</f>
        <v>4.614285714</v>
      </c>
      <c r="I127" s="188">
        <f t="shared" ref="I127:I128" si="74">F127/7</f>
        <v>4.614285714</v>
      </c>
      <c r="J127" s="189">
        <f t="shared" ref="J127:J128" si="75">F127/7</f>
        <v>4.614285714</v>
      </c>
      <c r="K127" s="190">
        <f t="shared" ref="K127:K128" si="76">F127/7</f>
        <v>4.614285714</v>
      </c>
      <c r="L127" s="81">
        <f t="shared" ref="L127:L128" si="77">F127/7</f>
        <v>4.614285714</v>
      </c>
      <c r="M127" s="191">
        <f t="shared" ref="M127:M128" si="78">F127/7</f>
        <v>4.614285714</v>
      </c>
      <c r="N127" s="192">
        <f t="shared" ref="N127:N128" si="79">F127/7</f>
        <v>4.614285714</v>
      </c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</row>
    <row r="128">
      <c r="A128" s="55">
        <v>45252.0</v>
      </c>
      <c r="B128" s="118" t="s">
        <v>701</v>
      </c>
      <c r="C128" s="118" t="s">
        <v>702</v>
      </c>
      <c r="D128" s="118" t="s">
        <v>14</v>
      </c>
      <c r="E128" s="81"/>
      <c r="F128" s="118">
        <v>17.67</v>
      </c>
      <c r="G128" s="81"/>
      <c r="H128" s="187">
        <f t="shared" si="73"/>
        <v>2.524285714</v>
      </c>
      <c r="I128" s="188">
        <f t="shared" si="74"/>
        <v>2.524285714</v>
      </c>
      <c r="J128" s="189">
        <f t="shared" si="75"/>
        <v>2.524285714</v>
      </c>
      <c r="K128" s="190">
        <f t="shared" si="76"/>
        <v>2.524285714</v>
      </c>
      <c r="L128" s="81">
        <f t="shared" si="77"/>
        <v>2.524285714</v>
      </c>
      <c r="M128" s="191">
        <f t="shared" si="78"/>
        <v>2.524285714</v>
      </c>
      <c r="N128" s="192">
        <f t="shared" si="79"/>
        <v>2.524285714</v>
      </c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</row>
    <row r="129">
      <c r="A129" s="55">
        <v>45250.0</v>
      </c>
      <c r="B129" s="118" t="s">
        <v>149</v>
      </c>
      <c r="C129" s="118" t="s">
        <v>703</v>
      </c>
      <c r="D129" s="118" t="s">
        <v>2</v>
      </c>
      <c r="E129" s="118">
        <v>44.26</v>
      </c>
      <c r="F129" s="118">
        <v>46.35</v>
      </c>
      <c r="G129" s="81"/>
      <c r="H129" s="187">
        <f t="shared" ref="H129:H134" si="80">F129/5</f>
        <v>9.27</v>
      </c>
      <c r="I129" s="188">
        <f t="shared" ref="I129:I134" si="81">F129/5</f>
        <v>9.27</v>
      </c>
      <c r="J129" s="189">
        <f t="shared" ref="J129:J134" si="82">F129/5</f>
        <v>9.27</v>
      </c>
      <c r="K129" s="190">
        <f t="shared" ref="K129:K134" si="83">F129/5</f>
        <v>9.27</v>
      </c>
      <c r="L129" s="81"/>
      <c r="M129" s="191"/>
      <c r="N129" s="192">
        <f t="shared" ref="N129:N134" si="84">F129/5</f>
        <v>9.27</v>
      </c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</row>
    <row r="130">
      <c r="A130" s="55">
        <v>45251.0</v>
      </c>
      <c r="B130" s="118" t="s">
        <v>704</v>
      </c>
      <c r="C130" s="118" t="s">
        <v>445</v>
      </c>
      <c r="D130" s="118" t="s">
        <v>13</v>
      </c>
      <c r="E130" s="81"/>
      <c r="F130" s="118">
        <v>3.89</v>
      </c>
      <c r="G130" s="81"/>
      <c r="H130" s="187">
        <f t="shared" si="80"/>
        <v>0.778</v>
      </c>
      <c r="I130" s="188">
        <f t="shared" si="81"/>
        <v>0.778</v>
      </c>
      <c r="J130" s="189">
        <f t="shared" si="82"/>
        <v>0.778</v>
      </c>
      <c r="K130" s="190">
        <f t="shared" si="83"/>
        <v>0.778</v>
      </c>
      <c r="L130" s="81"/>
      <c r="M130" s="191"/>
      <c r="N130" s="192">
        <f t="shared" si="84"/>
        <v>0.778</v>
      </c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</row>
    <row r="131">
      <c r="A131" s="55">
        <v>45251.0</v>
      </c>
      <c r="B131" s="118" t="s">
        <v>704</v>
      </c>
      <c r="C131" s="118" t="s">
        <v>705</v>
      </c>
      <c r="D131" s="118" t="s">
        <v>13</v>
      </c>
      <c r="E131" s="118">
        <v>17.87</v>
      </c>
      <c r="F131" s="118">
        <v>18.78</v>
      </c>
      <c r="G131" s="81"/>
      <c r="H131" s="187">
        <f t="shared" si="80"/>
        <v>3.756</v>
      </c>
      <c r="I131" s="188">
        <f t="shared" si="81"/>
        <v>3.756</v>
      </c>
      <c r="J131" s="189">
        <f t="shared" si="82"/>
        <v>3.756</v>
      </c>
      <c r="K131" s="190">
        <f t="shared" si="83"/>
        <v>3.756</v>
      </c>
      <c r="L131" s="81"/>
      <c r="M131" s="191"/>
      <c r="N131" s="192">
        <f t="shared" si="84"/>
        <v>3.756</v>
      </c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</row>
    <row r="132">
      <c r="A132" s="55">
        <v>45250.0</v>
      </c>
      <c r="B132" s="118" t="s">
        <v>241</v>
      </c>
      <c r="C132" s="118" t="s">
        <v>706</v>
      </c>
      <c r="D132" s="118" t="s">
        <v>4</v>
      </c>
      <c r="F132" s="118">
        <v>12.11</v>
      </c>
      <c r="G132" s="81"/>
      <c r="H132" s="187">
        <f t="shared" si="80"/>
        <v>2.422</v>
      </c>
      <c r="I132" s="188">
        <f t="shared" si="81"/>
        <v>2.422</v>
      </c>
      <c r="J132" s="189">
        <f t="shared" si="82"/>
        <v>2.422</v>
      </c>
      <c r="K132" s="190">
        <f t="shared" si="83"/>
        <v>2.422</v>
      </c>
      <c r="L132" s="81"/>
      <c r="M132" s="191"/>
      <c r="N132" s="192">
        <f t="shared" si="84"/>
        <v>2.422</v>
      </c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</row>
    <row r="133">
      <c r="A133" s="55">
        <v>45251.0</v>
      </c>
      <c r="B133" s="118" t="s">
        <v>149</v>
      </c>
      <c r="C133" s="118" t="s">
        <v>52</v>
      </c>
      <c r="D133" s="118" t="s">
        <v>14</v>
      </c>
      <c r="E133" s="81"/>
      <c r="F133" s="118">
        <v>78.23</v>
      </c>
      <c r="G133" s="81"/>
      <c r="H133" s="187">
        <f t="shared" si="80"/>
        <v>15.646</v>
      </c>
      <c r="I133" s="188">
        <f t="shared" si="81"/>
        <v>15.646</v>
      </c>
      <c r="J133" s="189">
        <f t="shared" si="82"/>
        <v>15.646</v>
      </c>
      <c r="K133" s="190">
        <f t="shared" si="83"/>
        <v>15.646</v>
      </c>
      <c r="L133" s="81"/>
      <c r="M133" s="191"/>
      <c r="N133" s="192">
        <f t="shared" si="84"/>
        <v>15.646</v>
      </c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</row>
    <row r="134">
      <c r="A134" s="55">
        <v>45252.0</v>
      </c>
      <c r="B134" s="118" t="s">
        <v>353</v>
      </c>
      <c r="C134" s="118"/>
      <c r="D134" s="118" t="s">
        <v>13</v>
      </c>
      <c r="E134" s="81"/>
      <c r="F134" s="118">
        <v>17.41</v>
      </c>
      <c r="G134" s="81"/>
      <c r="H134" s="187">
        <f t="shared" si="80"/>
        <v>3.482</v>
      </c>
      <c r="I134" s="188">
        <f t="shared" si="81"/>
        <v>3.482</v>
      </c>
      <c r="J134" s="189">
        <f t="shared" si="82"/>
        <v>3.482</v>
      </c>
      <c r="K134" s="190">
        <f t="shared" si="83"/>
        <v>3.482</v>
      </c>
      <c r="L134" s="81"/>
      <c r="M134" s="191"/>
      <c r="N134" s="192">
        <f t="shared" si="84"/>
        <v>3.482</v>
      </c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</row>
    <row r="135">
      <c r="A135" s="55">
        <v>45253.0</v>
      </c>
      <c r="B135" s="118" t="s">
        <v>149</v>
      </c>
      <c r="C135" s="118" t="s">
        <v>52</v>
      </c>
      <c r="D135" s="118" t="s">
        <v>14</v>
      </c>
      <c r="E135" s="81"/>
      <c r="F135" s="118">
        <v>35.71</v>
      </c>
      <c r="G135" s="81"/>
      <c r="H135" s="187">
        <f>F135/6</f>
        <v>5.951666667</v>
      </c>
      <c r="I135" s="188">
        <f>F135/6</f>
        <v>5.951666667</v>
      </c>
      <c r="J135" s="189">
        <f>F135/6</f>
        <v>5.951666667</v>
      </c>
      <c r="K135" s="190">
        <f>F135/6</f>
        <v>5.951666667</v>
      </c>
      <c r="L135" s="81"/>
      <c r="M135" s="191">
        <f>F135/6</f>
        <v>5.951666667</v>
      </c>
      <c r="N135" s="192">
        <f>F135/6</f>
        <v>5.951666667</v>
      </c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</row>
    <row r="136">
      <c r="A136" s="60"/>
      <c r="C136" s="1" t="s">
        <v>707</v>
      </c>
      <c r="D136" s="118" t="s">
        <v>15</v>
      </c>
      <c r="F136" s="12">
        <v>18.0</v>
      </c>
      <c r="H136" s="187">
        <f>F136/7</f>
        <v>2.571428571</v>
      </c>
      <c r="I136" s="188">
        <f>F136/7</f>
        <v>2.571428571</v>
      </c>
      <c r="J136" s="189">
        <f>F136/7</f>
        <v>2.571428571</v>
      </c>
      <c r="K136" s="190">
        <f>F136/7</f>
        <v>2.571428571</v>
      </c>
      <c r="L136" s="81">
        <f>F136/7</f>
        <v>2.571428571</v>
      </c>
      <c r="M136" s="191">
        <f>F136/7</f>
        <v>2.571428571</v>
      </c>
      <c r="N136" s="192">
        <f>F136/7</f>
        <v>2.571428571</v>
      </c>
    </row>
    <row r="137">
      <c r="C137" s="1" t="s">
        <v>708</v>
      </c>
      <c r="D137" s="118" t="s">
        <v>15</v>
      </c>
      <c r="H137" s="187">
        <f>44.07/3</f>
        <v>14.69</v>
      </c>
      <c r="I137" s="204"/>
      <c r="J137" s="195">
        <v>8.475</v>
      </c>
      <c r="K137" s="190">
        <f>44.07/3/2</f>
        <v>7.345</v>
      </c>
      <c r="L137" s="81"/>
      <c r="M137" s="191">
        <f>44.07/3</f>
        <v>14.69</v>
      </c>
      <c r="N137" s="192">
        <f>44.07/3/2</f>
        <v>7.345</v>
      </c>
    </row>
    <row r="138">
      <c r="C138" s="1" t="s">
        <v>709</v>
      </c>
      <c r="D138" s="1" t="s">
        <v>15</v>
      </c>
      <c r="H138" s="187">
        <v>6.4975</v>
      </c>
      <c r="I138" s="188"/>
      <c r="J138" s="189">
        <v>6.4975</v>
      </c>
      <c r="K138" s="190">
        <v>6.4975</v>
      </c>
      <c r="L138" s="81"/>
      <c r="M138" s="191"/>
      <c r="N138" s="192"/>
    </row>
    <row r="139">
      <c r="A139" s="55"/>
      <c r="B139" s="81"/>
      <c r="C139" s="118" t="s">
        <v>710</v>
      </c>
      <c r="D139" s="118" t="s">
        <v>15</v>
      </c>
      <c r="E139" s="81"/>
      <c r="F139" s="81"/>
      <c r="G139" s="81"/>
      <c r="H139" s="187"/>
      <c r="I139" s="188"/>
      <c r="J139" s="189"/>
      <c r="K139" s="190"/>
      <c r="L139" s="81"/>
      <c r="M139" s="191"/>
      <c r="N139" s="192">
        <v>4.275</v>
      </c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</row>
    <row r="140">
      <c r="A140" s="55"/>
      <c r="B140" s="81"/>
      <c r="C140" s="118" t="s">
        <v>711</v>
      </c>
      <c r="D140" s="118" t="s">
        <v>8</v>
      </c>
      <c r="E140" s="81"/>
      <c r="F140" s="81"/>
      <c r="G140" s="81"/>
      <c r="H140" s="193">
        <v>3.5</v>
      </c>
      <c r="I140" s="188"/>
      <c r="J140" s="195">
        <v>3.5</v>
      </c>
      <c r="K140" s="190"/>
      <c r="L140" s="118">
        <v>3.5</v>
      </c>
      <c r="M140" s="191"/>
      <c r="N140" s="192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</row>
    <row r="141">
      <c r="A141" s="55"/>
      <c r="B141" s="81"/>
      <c r="C141" s="118" t="s">
        <v>712</v>
      </c>
      <c r="D141" s="118" t="s">
        <v>8</v>
      </c>
      <c r="E141" s="81"/>
      <c r="F141" s="81"/>
      <c r="G141" s="81"/>
      <c r="H141" s="187"/>
      <c r="I141" s="194">
        <v>6.0</v>
      </c>
      <c r="J141" s="189"/>
      <c r="K141" s="190"/>
      <c r="L141" s="81"/>
      <c r="M141" s="191"/>
      <c r="N141" s="192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</row>
    <row r="142">
      <c r="A142" s="55">
        <v>45257.0</v>
      </c>
      <c r="B142" s="118" t="s">
        <v>50</v>
      </c>
      <c r="C142" s="118" t="s">
        <v>613</v>
      </c>
      <c r="D142" s="118" t="s">
        <v>2</v>
      </c>
      <c r="E142" s="81"/>
      <c r="F142" s="118">
        <v>177.29</v>
      </c>
      <c r="G142" s="81"/>
      <c r="H142" s="187">
        <f t="shared" ref="H142:K142" si="85">SUM($F$142/5)</f>
        <v>35.458</v>
      </c>
      <c r="I142" s="188">
        <f t="shared" si="85"/>
        <v>35.458</v>
      </c>
      <c r="J142" s="189">
        <f t="shared" si="85"/>
        <v>35.458</v>
      </c>
      <c r="K142" s="190">
        <f t="shared" si="85"/>
        <v>35.458</v>
      </c>
      <c r="L142" s="118"/>
      <c r="M142" s="197"/>
      <c r="N142" s="192">
        <f>SUM($F$142/5)</f>
        <v>35.458</v>
      </c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</row>
    <row r="143">
      <c r="A143" s="55">
        <v>45257.0</v>
      </c>
      <c r="B143" s="118" t="s">
        <v>50</v>
      </c>
      <c r="C143" s="118" t="s">
        <v>95</v>
      </c>
      <c r="D143" s="118" t="s">
        <v>2</v>
      </c>
      <c r="E143" s="81"/>
      <c r="F143" s="118">
        <v>1.69</v>
      </c>
      <c r="G143" s="81"/>
      <c r="H143" s="187"/>
      <c r="I143" s="188"/>
      <c r="J143" s="189"/>
      <c r="K143" s="190"/>
      <c r="L143" s="118"/>
      <c r="M143" s="197">
        <v>1.69</v>
      </c>
      <c r="N143" s="192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</row>
    <row r="144">
      <c r="A144" s="55">
        <v>45257.0</v>
      </c>
      <c r="B144" s="118" t="s">
        <v>50</v>
      </c>
      <c r="C144" s="118" t="s">
        <v>95</v>
      </c>
      <c r="D144" s="118" t="s">
        <v>2</v>
      </c>
      <c r="E144" s="81"/>
      <c r="F144" s="118">
        <v>1.69</v>
      </c>
      <c r="G144" s="81"/>
      <c r="H144" s="187">
        <f t="shared" ref="H144:K144" si="86">SUM($F$144/5)</f>
        <v>0.338</v>
      </c>
      <c r="I144" s="188">
        <f t="shared" si="86"/>
        <v>0.338</v>
      </c>
      <c r="J144" s="189">
        <f t="shared" si="86"/>
        <v>0.338</v>
      </c>
      <c r="K144" s="190">
        <f t="shared" si="86"/>
        <v>0.338</v>
      </c>
      <c r="L144" s="118"/>
      <c r="M144" s="197"/>
      <c r="N144" s="192">
        <f>SUM($F$144/5)</f>
        <v>0.338</v>
      </c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</row>
    <row r="145">
      <c r="A145" s="55">
        <v>45257.0</v>
      </c>
      <c r="B145" s="118" t="s">
        <v>50</v>
      </c>
      <c r="C145" s="118" t="s">
        <v>456</v>
      </c>
      <c r="D145" s="118" t="s">
        <v>2</v>
      </c>
      <c r="E145" s="81"/>
      <c r="F145" s="118">
        <v>5.99</v>
      </c>
      <c r="G145" s="81"/>
      <c r="H145" s="187"/>
      <c r="I145" s="188"/>
      <c r="J145" s="189"/>
      <c r="K145" s="190"/>
      <c r="L145" s="118">
        <v>5.99</v>
      </c>
      <c r="M145" s="197"/>
      <c r="N145" s="192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</row>
    <row r="146">
      <c r="A146" s="55">
        <v>45257.0</v>
      </c>
      <c r="B146" s="118" t="s">
        <v>50</v>
      </c>
      <c r="C146" s="118" t="s">
        <v>456</v>
      </c>
      <c r="D146" s="118" t="s">
        <v>2</v>
      </c>
      <c r="E146" s="81"/>
      <c r="F146" s="118">
        <v>11.98</v>
      </c>
      <c r="G146" s="81"/>
      <c r="H146" s="187">
        <f t="shared" ref="H146:K146" si="87">SUM($F$146/5)</f>
        <v>2.396</v>
      </c>
      <c r="I146" s="188">
        <f t="shared" si="87"/>
        <v>2.396</v>
      </c>
      <c r="J146" s="189">
        <f t="shared" si="87"/>
        <v>2.396</v>
      </c>
      <c r="K146" s="190">
        <f t="shared" si="87"/>
        <v>2.396</v>
      </c>
      <c r="L146" s="118"/>
      <c r="M146" s="197"/>
      <c r="N146" s="192">
        <f>SUM($F$146/5)</f>
        <v>2.396</v>
      </c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</row>
    <row r="147">
      <c r="A147" s="55">
        <v>45257.0</v>
      </c>
      <c r="B147" s="118" t="s">
        <v>50</v>
      </c>
      <c r="C147" s="118" t="s">
        <v>459</v>
      </c>
      <c r="D147" s="118" t="s">
        <v>2</v>
      </c>
      <c r="E147" s="81"/>
      <c r="F147" s="118">
        <v>40.99</v>
      </c>
      <c r="G147" s="81"/>
      <c r="H147" s="187"/>
      <c r="I147" s="194"/>
      <c r="J147" s="195">
        <f>40.99/3</f>
        <v>13.66333333</v>
      </c>
      <c r="K147" s="196"/>
      <c r="L147" s="118">
        <f t="shared" ref="L147:M147" si="88">40.99/3</f>
        <v>13.66333333</v>
      </c>
      <c r="M147" s="197">
        <f t="shared" si="88"/>
        <v>13.66333333</v>
      </c>
      <c r="N147" s="198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</row>
    <row r="148">
      <c r="A148" s="55">
        <v>45259.0</v>
      </c>
      <c r="B148" s="118" t="s">
        <v>149</v>
      </c>
      <c r="C148" s="118" t="s">
        <v>52</v>
      </c>
      <c r="D148" s="118" t="s">
        <v>7</v>
      </c>
      <c r="E148" s="81"/>
      <c r="F148" s="118">
        <v>98.87</v>
      </c>
      <c r="G148" s="81"/>
      <c r="H148" s="187">
        <f t="shared" ref="H148:H149" si="89">F148/5</f>
        <v>19.774</v>
      </c>
      <c r="I148" s="194">
        <v>19.77</v>
      </c>
      <c r="J148" s="195">
        <v>19.77</v>
      </c>
      <c r="K148" s="196">
        <v>19.77</v>
      </c>
      <c r="L148" s="81"/>
      <c r="M148" s="191"/>
      <c r="N148" s="198">
        <v>19.77</v>
      </c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</row>
    <row r="149">
      <c r="A149" s="55">
        <v>45259.0</v>
      </c>
      <c r="B149" s="118" t="s">
        <v>667</v>
      </c>
      <c r="C149" s="118" t="s">
        <v>52</v>
      </c>
      <c r="D149" s="118" t="s">
        <v>7</v>
      </c>
      <c r="E149" s="81"/>
      <c r="F149" s="118">
        <v>39.67</v>
      </c>
      <c r="G149" s="81"/>
      <c r="H149" s="187">
        <f t="shared" si="89"/>
        <v>7.934</v>
      </c>
      <c r="I149" s="194">
        <v>7.93</v>
      </c>
      <c r="J149" s="195">
        <v>7.93</v>
      </c>
      <c r="K149" s="196">
        <v>7.93</v>
      </c>
      <c r="L149" s="81"/>
      <c r="M149" s="191"/>
      <c r="N149" s="198">
        <v>7.93</v>
      </c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</row>
    <row r="150">
      <c r="A150" s="55">
        <v>45259.0</v>
      </c>
      <c r="B150" s="118" t="s">
        <v>367</v>
      </c>
      <c r="C150" s="118" t="s">
        <v>713</v>
      </c>
      <c r="D150" s="118" t="s">
        <v>2</v>
      </c>
      <c r="E150" s="81"/>
      <c r="F150" s="118">
        <f>12.49*1.13</f>
        <v>14.1137</v>
      </c>
      <c r="G150" s="81"/>
      <c r="H150" s="187">
        <f t="shared" ref="H150:K150" si="90">SUM(14.11/5)</f>
        <v>2.822</v>
      </c>
      <c r="I150" s="188">
        <f t="shared" si="90"/>
        <v>2.822</v>
      </c>
      <c r="J150" s="189">
        <f t="shared" si="90"/>
        <v>2.822</v>
      </c>
      <c r="K150" s="190">
        <f t="shared" si="90"/>
        <v>2.822</v>
      </c>
      <c r="L150" s="81"/>
      <c r="M150" s="191"/>
      <c r="N150" s="192">
        <f>SUM(14.11/5)</f>
        <v>2.822</v>
      </c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</row>
    <row r="151">
      <c r="A151" s="55">
        <v>45259.0</v>
      </c>
      <c r="B151" s="118" t="s">
        <v>367</v>
      </c>
      <c r="C151" s="118" t="s">
        <v>714</v>
      </c>
      <c r="D151" s="118" t="s">
        <v>2</v>
      </c>
      <c r="E151" s="81"/>
      <c r="F151" s="118">
        <f>14.98*1.13</f>
        <v>16.9274</v>
      </c>
      <c r="G151" s="81"/>
      <c r="H151" s="187">
        <f t="shared" ref="H151:K151" si="91">SUM(16.93/5)</f>
        <v>3.386</v>
      </c>
      <c r="I151" s="188">
        <f t="shared" si="91"/>
        <v>3.386</v>
      </c>
      <c r="J151" s="189">
        <f t="shared" si="91"/>
        <v>3.386</v>
      </c>
      <c r="K151" s="190">
        <f t="shared" si="91"/>
        <v>3.386</v>
      </c>
      <c r="L151" s="81"/>
      <c r="M151" s="191"/>
      <c r="N151" s="192">
        <f>SUM(16.93/5)</f>
        <v>3.386</v>
      </c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</row>
    <row r="152">
      <c r="A152" s="55">
        <v>45259.0</v>
      </c>
      <c r="B152" s="118" t="s">
        <v>367</v>
      </c>
      <c r="C152" s="118" t="s">
        <v>715</v>
      </c>
      <c r="D152" s="118" t="s">
        <v>2</v>
      </c>
      <c r="E152" s="81"/>
      <c r="F152" s="118">
        <f>14.99*1.13</f>
        <v>16.9387</v>
      </c>
      <c r="G152" s="81"/>
      <c r="H152" s="187">
        <f t="shared" ref="H152:K152" si="92">SUM(16.94/5)</f>
        <v>3.388</v>
      </c>
      <c r="I152" s="188">
        <f t="shared" si="92"/>
        <v>3.388</v>
      </c>
      <c r="J152" s="189">
        <f t="shared" si="92"/>
        <v>3.388</v>
      </c>
      <c r="K152" s="190">
        <f t="shared" si="92"/>
        <v>3.388</v>
      </c>
      <c r="L152" s="81"/>
      <c r="M152" s="191"/>
      <c r="N152" s="192">
        <f>SUM(16.94/5)</f>
        <v>3.388</v>
      </c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</row>
    <row r="153">
      <c r="A153" s="55">
        <v>45259.0</v>
      </c>
      <c r="B153" s="118" t="s">
        <v>367</v>
      </c>
      <c r="C153" s="118" t="s">
        <v>716</v>
      </c>
      <c r="D153" s="118" t="s">
        <v>2</v>
      </c>
      <c r="E153" s="81"/>
      <c r="F153" s="118">
        <f>5.99*1.13</f>
        <v>6.7687</v>
      </c>
      <c r="G153" s="81"/>
      <c r="H153" s="187">
        <f>SUM(6.77/2)</f>
        <v>3.385</v>
      </c>
      <c r="I153" s="188"/>
      <c r="J153" s="189">
        <f>SUM(6.77/2)</f>
        <v>3.385</v>
      </c>
      <c r="K153" s="190"/>
      <c r="L153" s="81"/>
      <c r="M153" s="191"/>
      <c r="N153" s="192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</row>
    <row r="154">
      <c r="A154" s="55">
        <v>45259.0</v>
      </c>
      <c r="B154" s="118" t="s">
        <v>367</v>
      </c>
      <c r="C154" s="118" t="s">
        <v>717</v>
      </c>
      <c r="D154" s="118" t="s">
        <v>2</v>
      </c>
      <c r="E154" s="81"/>
      <c r="F154" s="118">
        <f>9.99*1.13</f>
        <v>11.2887</v>
      </c>
      <c r="G154" s="81"/>
      <c r="H154" s="187">
        <f t="shared" ref="H154:K154" si="93">SUM(11.29/2)</f>
        <v>5.645</v>
      </c>
      <c r="I154" s="188">
        <f t="shared" si="93"/>
        <v>5.645</v>
      </c>
      <c r="J154" s="189">
        <f t="shared" si="93"/>
        <v>5.645</v>
      </c>
      <c r="K154" s="190">
        <f t="shared" si="93"/>
        <v>5.645</v>
      </c>
      <c r="L154" s="81"/>
      <c r="M154" s="191"/>
      <c r="N154" s="192">
        <f>SUM(11.29/2)</f>
        <v>5.645</v>
      </c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</row>
    <row r="155">
      <c r="A155" s="55">
        <v>45259.0</v>
      </c>
      <c r="B155" s="118" t="s">
        <v>718</v>
      </c>
      <c r="C155" s="118" t="s">
        <v>719</v>
      </c>
      <c r="D155" s="118" t="s">
        <v>2</v>
      </c>
      <c r="E155" s="81"/>
      <c r="F155" s="118">
        <v>13.42</v>
      </c>
      <c r="G155" s="81"/>
      <c r="H155" s="187"/>
      <c r="I155" s="188"/>
      <c r="J155" s="195">
        <v>13.42</v>
      </c>
      <c r="K155" s="190"/>
      <c r="L155" s="81"/>
      <c r="M155" s="191"/>
      <c r="N155" s="192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</row>
    <row r="156">
      <c r="A156" s="55"/>
      <c r="B156" s="118" t="s">
        <v>720</v>
      </c>
      <c r="C156" s="118" t="s">
        <v>721</v>
      </c>
      <c r="D156" s="118" t="s">
        <v>13</v>
      </c>
      <c r="E156" s="81"/>
      <c r="F156" s="118">
        <v>639.01</v>
      </c>
      <c r="G156" s="81"/>
      <c r="H156" s="187">
        <f t="shared" ref="H156:H157" si="94">F156/5</f>
        <v>127.802</v>
      </c>
      <c r="I156" s="188">
        <f t="shared" ref="I156:I157" si="95">F156/5</f>
        <v>127.802</v>
      </c>
      <c r="J156" s="189">
        <f t="shared" ref="J156:J157" si="96">F156/5</f>
        <v>127.802</v>
      </c>
      <c r="K156" s="190">
        <f t="shared" ref="K156:K157" si="97">F156/5</f>
        <v>127.802</v>
      </c>
      <c r="L156" s="81"/>
      <c r="M156" s="191"/>
      <c r="N156" s="192">
        <f t="shared" ref="N156:N157" si="98">F156/5</f>
        <v>127.802</v>
      </c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</row>
    <row r="157">
      <c r="A157" s="55"/>
      <c r="B157" s="81"/>
      <c r="C157" s="118" t="s">
        <v>434</v>
      </c>
      <c r="D157" s="118" t="s">
        <v>8</v>
      </c>
      <c r="E157" s="81"/>
      <c r="F157" s="118">
        <v>2.87</v>
      </c>
      <c r="G157" s="81"/>
      <c r="H157" s="187">
        <f t="shared" si="94"/>
        <v>0.574</v>
      </c>
      <c r="I157" s="188">
        <f t="shared" si="95"/>
        <v>0.574</v>
      </c>
      <c r="J157" s="189">
        <f t="shared" si="96"/>
        <v>0.574</v>
      </c>
      <c r="K157" s="190">
        <f t="shared" si="97"/>
        <v>0.574</v>
      </c>
      <c r="L157" s="81"/>
      <c r="M157" s="191"/>
      <c r="N157" s="192">
        <f t="shared" si="98"/>
        <v>0.574</v>
      </c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</row>
    <row r="158">
      <c r="A158" s="55">
        <v>45254.0</v>
      </c>
      <c r="B158" s="118" t="s">
        <v>722</v>
      </c>
      <c r="C158" s="118" t="s">
        <v>723</v>
      </c>
      <c r="D158" s="118" t="s">
        <v>14</v>
      </c>
      <c r="E158" s="81"/>
      <c r="F158" s="118">
        <v>760.72</v>
      </c>
      <c r="G158" s="81"/>
      <c r="H158" s="187"/>
      <c r="I158" s="188"/>
      <c r="J158" s="189"/>
      <c r="K158" s="190">
        <f>F158/2</f>
        <v>380.36</v>
      </c>
      <c r="L158" s="81"/>
      <c r="M158" s="191"/>
      <c r="N158" s="192">
        <f>F158/2</f>
        <v>380.36</v>
      </c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</row>
    <row r="159">
      <c r="A159" s="55">
        <v>45258.0</v>
      </c>
      <c r="B159" s="81"/>
      <c r="C159" s="118" t="s">
        <v>724</v>
      </c>
      <c r="D159" s="118" t="s">
        <v>14</v>
      </c>
      <c r="E159" s="81"/>
      <c r="F159" s="118">
        <v>100.0</v>
      </c>
      <c r="G159" s="81"/>
      <c r="H159" s="187">
        <f>F159/5</f>
        <v>20</v>
      </c>
      <c r="I159" s="194">
        <v>20.0</v>
      </c>
      <c r="J159" s="195">
        <v>20.0</v>
      </c>
      <c r="K159" s="196">
        <v>20.0</v>
      </c>
      <c r="L159" s="81"/>
      <c r="M159" s="191"/>
      <c r="N159" s="198">
        <v>20.0</v>
      </c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</row>
    <row r="160">
      <c r="A160" s="55"/>
      <c r="B160" s="118" t="s">
        <v>725</v>
      </c>
      <c r="C160" s="118" t="s">
        <v>726</v>
      </c>
      <c r="D160" s="118" t="s">
        <v>13</v>
      </c>
      <c r="E160" s="81"/>
      <c r="F160" s="118">
        <v>104.0</v>
      </c>
      <c r="G160" s="81"/>
      <c r="H160" s="187">
        <f>F160/7</f>
        <v>14.85714286</v>
      </c>
      <c r="I160" s="188">
        <f>F160/7</f>
        <v>14.85714286</v>
      </c>
      <c r="J160" s="189">
        <f>F160/7</f>
        <v>14.85714286</v>
      </c>
      <c r="K160" s="190">
        <f>F160/7</f>
        <v>14.85714286</v>
      </c>
      <c r="L160" s="81">
        <f>F160/7</f>
        <v>14.85714286</v>
      </c>
      <c r="M160" s="191">
        <f>F160/7</f>
        <v>14.85714286</v>
      </c>
      <c r="N160" s="192">
        <f>F160/7</f>
        <v>14.85714286</v>
      </c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</row>
    <row r="161">
      <c r="A161" s="55"/>
      <c r="B161" s="118" t="s">
        <v>192</v>
      </c>
      <c r="C161" s="118" t="s">
        <v>727</v>
      </c>
      <c r="D161" s="118" t="s">
        <v>14</v>
      </c>
      <c r="E161" s="81"/>
      <c r="F161" s="81">
        <f>21.97+9.97+15.75</f>
        <v>47.69</v>
      </c>
      <c r="G161" s="81"/>
      <c r="H161" s="187">
        <f>F161/5</f>
        <v>9.538</v>
      </c>
      <c r="I161" s="188">
        <f>F161/5</f>
        <v>9.538</v>
      </c>
      <c r="J161" s="189">
        <f>F161/5</f>
        <v>9.538</v>
      </c>
      <c r="K161" s="190">
        <f>F161/5</f>
        <v>9.538</v>
      </c>
      <c r="L161" s="81"/>
      <c r="M161" s="191"/>
      <c r="N161" s="192">
        <f>F161/5</f>
        <v>9.538</v>
      </c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</row>
    <row r="162">
      <c r="A162" s="55"/>
      <c r="B162" s="81"/>
      <c r="C162" s="81"/>
      <c r="D162" s="81"/>
      <c r="E162" s="81"/>
      <c r="F162" s="81"/>
      <c r="G162" s="81"/>
      <c r="H162" s="187"/>
      <c r="I162" s="188"/>
      <c r="J162" s="189"/>
      <c r="K162" s="190"/>
      <c r="L162" s="81"/>
      <c r="M162" s="191"/>
      <c r="N162" s="192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</row>
    <row r="163">
      <c r="A163" s="55"/>
      <c r="B163" s="81"/>
      <c r="C163" s="81"/>
      <c r="D163" s="81"/>
      <c r="E163" s="81"/>
      <c r="F163" s="81"/>
      <c r="G163" s="81"/>
      <c r="H163" s="187"/>
      <c r="I163" s="188"/>
      <c r="J163" s="189"/>
      <c r="K163" s="190"/>
      <c r="L163" s="81"/>
      <c r="M163" s="191"/>
      <c r="N163" s="192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</row>
    <row r="164">
      <c r="A164" s="55"/>
      <c r="B164" s="81"/>
      <c r="C164" s="81"/>
      <c r="D164" s="81"/>
      <c r="E164" s="81"/>
      <c r="F164" s="81"/>
      <c r="G164" s="81"/>
      <c r="H164" s="187"/>
      <c r="I164" s="188"/>
      <c r="J164" s="189"/>
      <c r="K164" s="190"/>
      <c r="L164" s="81"/>
      <c r="M164" s="191"/>
      <c r="N164" s="192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</row>
    <row r="165">
      <c r="A165" s="55"/>
      <c r="B165" s="81"/>
      <c r="C165" s="81"/>
      <c r="D165" s="81"/>
      <c r="E165" s="81"/>
      <c r="F165" s="81"/>
      <c r="G165" s="81"/>
      <c r="H165" s="187"/>
      <c r="I165" s="188"/>
      <c r="J165" s="189"/>
      <c r="K165" s="190"/>
      <c r="L165" s="81"/>
      <c r="M165" s="191"/>
      <c r="N165" s="192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</row>
    <row r="166">
      <c r="A166" s="55"/>
      <c r="B166" s="81"/>
      <c r="C166" s="81"/>
      <c r="D166" s="81"/>
      <c r="E166" s="81"/>
      <c r="F166" s="81"/>
      <c r="G166" s="81"/>
      <c r="H166" s="187"/>
      <c r="I166" s="188"/>
      <c r="J166" s="189"/>
      <c r="K166" s="190"/>
      <c r="L166" s="81"/>
      <c r="M166" s="191"/>
      <c r="N166" s="192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</row>
    <row r="167">
      <c r="A167" s="55"/>
      <c r="B167" s="81"/>
      <c r="C167" s="81"/>
      <c r="D167" s="81"/>
      <c r="E167" s="81"/>
      <c r="F167" s="81"/>
      <c r="G167" s="81"/>
      <c r="H167" s="187"/>
      <c r="I167" s="188"/>
      <c r="J167" s="189"/>
      <c r="K167" s="190"/>
      <c r="L167" s="81"/>
      <c r="M167" s="191"/>
      <c r="N167" s="192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</row>
    <row r="168">
      <c r="A168" s="55"/>
      <c r="B168" s="81"/>
      <c r="C168" s="81"/>
      <c r="D168" s="81"/>
      <c r="E168" s="81"/>
      <c r="F168" s="81"/>
      <c r="G168" s="81"/>
      <c r="H168" s="187"/>
      <c r="I168" s="188"/>
      <c r="J168" s="189"/>
      <c r="K168" s="190"/>
      <c r="L168" s="81"/>
      <c r="M168" s="191"/>
      <c r="N168" s="192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</row>
    <row r="169">
      <c r="A169" s="55"/>
      <c r="B169" s="81"/>
      <c r="C169" s="81"/>
      <c r="D169" s="81"/>
      <c r="E169" s="81"/>
      <c r="F169" s="81"/>
      <c r="G169" s="81"/>
      <c r="H169" s="187"/>
      <c r="I169" s="188"/>
      <c r="J169" s="189"/>
      <c r="K169" s="190"/>
      <c r="L169" s="81"/>
      <c r="M169" s="191"/>
      <c r="N169" s="192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</row>
    <row r="170">
      <c r="A170" s="55"/>
      <c r="B170" s="81"/>
      <c r="C170" s="81"/>
      <c r="D170" s="81"/>
      <c r="E170" s="81"/>
      <c r="F170" s="81"/>
      <c r="G170" s="81"/>
      <c r="H170" s="187"/>
      <c r="I170" s="188"/>
      <c r="J170" s="189"/>
      <c r="K170" s="190"/>
      <c r="L170" s="81"/>
      <c r="M170" s="191"/>
      <c r="N170" s="192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</row>
    <row r="171">
      <c r="A171" s="55"/>
      <c r="B171" s="81"/>
      <c r="C171" s="81"/>
      <c r="D171" s="81"/>
      <c r="E171" s="81"/>
      <c r="F171" s="81"/>
      <c r="G171" s="81"/>
      <c r="H171" s="187"/>
      <c r="I171" s="188"/>
      <c r="J171" s="189"/>
      <c r="K171" s="190"/>
      <c r="L171" s="81"/>
      <c r="M171" s="191"/>
      <c r="N171" s="192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</row>
    <row r="172">
      <c r="A172" s="55"/>
      <c r="B172" s="81"/>
      <c r="C172" s="81"/>
      <c r="D172" s="81"/>
      <c r="E172" s="81"/>
      <c r="F172" s="81"/>
      <c r="G172" s="81"/>
      <c r="H172" s="187"/>
      <c r="I172" s="188"/>
      <c r="J172" s="189"/>
      <c r="K172" s="190"/>
      <c r="L172" s="81"/>
      <c r="M172" s="191"/>
      <c r="N172" s="192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</row>
    <row r="173">
      <c r="A173" s="55"/>
      <c r="B173" s="81"/>
      <c r="C173" s="81"/>
      <c r="D173" s="81"/>
      <c r="E173" s="81"/>
      <c r="F173" s="81"/>
      <c r="G173" s="81"/>
      <c r="H173" s="187"/>
      <c r="I173" s="188"/>
      <c r="J173" s="189"/>
      <c r="K173" s="190"/>
      <c r="L173" s="81"/>
      <c r="M173" s="191"/>
      <c r="N173" s="192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</row>
    <row r="174">
      <c r="A174" s="55"/>
      <c r="B174" s="81"/>
      <c r="C174" s="81"/>
      <c r="D174" s="81"/>
      <c r="E174" s="81"/>
      <c r="F174" s="81"/>
      <c r="G174" s="81"/>
      <c r="H174" s="187"/>
      <c r="I174" s="188"/>
      <c r="J174" s="189"/>
      <c r="K174" s="190"/>
      <c r="L174" s="81"/>
      <c r="M174" s="191"/>
      <c r="N174" s="192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</row>
    <row r="175">
      <c r="A175" s="10"/>
      <c r="B175" s="10"/>
      <c r="C175" s="10"/>
      <c r="D175" s="10"/>
      <c r="E175" s="10"/>
      <c r="F175" s="10"/>
      <c r="G175" s="10"/>
      <c r="H175" s="205">
        <f t="shared" ref="H175:O175" si="99">SUM(H2:H173)</f>
        <v>832.8452962</v>
      </c>
      <c r="I175" s="206">
        <f t="shared" si="99"/>
        <v>786.4381629</v>
      </c>
      <c r="J175" s="207">
        <f t="shared" si="99"/>
        <v>1264.963763</v>
      </c>
      <c r="K175" s="208">
        <f t="shared" si="99"/>
        <v>1567.907405</v>
      </c>
      <c r="L175" s="209">
        <f t="shared" si="99"/>
        <v>172.8693417</v>
      </c>
      <c r="M175" s="210">
        <f t="shared" si="99"/>
        <v>254.4377083</v>
      </c>
      <c r="N175" s="211">
        <f t="shared" si="99"/>
        <v>1231.74982</v>
      </c>
      <c r="O175" s="209">
        <f t="shared" si="99"/>
        <v>4.497142857</v>
      </c>
      <c r="P175" s="10"/>
      <c r="Q175" s="10"/>
      <c r="R175" s="10"/>
      <c r="S175" s="10"/>
      <c r="T175" s="10"/>
      <c r="U175" s="10"/>
      <c r="V175" s="10"/>
      <c r="W175" s="10"/>
      <c r="X175" s="10"/>
      <c r="Y175" s="10"/>
    </row>
    <row r="176">
      <c r="A176" s="10"/>
      <c r="B176" s="10"/>
      <c r="C176" s="10"/>
      <c r="D176" s="10"/>
      <c r="E176" s="10"/>
      <c r="F176" s="10"/>
      <c r="G176" s="10"/>
      <c r="H176" s="199"/>
      <c r="I176" s="200"/>
      <c r="J176" s="201"/>
      <c r="K176" s="179"/>
      <c r="L176" s="10"/>
      <c r="M176" s="202"/>
      <c r="N176" s="203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</row>
    <row r="177">
      <c r="A177" s="10"/>
      <c r="B177" s="10"/>
      <c r="C177" s="10"/>
      <c r="D177" s="10"/>
      <c r="E177" s="10"/>
      <c r="F177" s="10"/>
      <c r="G177" s="10"/>
      <c r="H177" s="199"/>
      <c r="I177" s="200"/>
      <c r="J177" s="45"/>
      <c r="K177" s="46"/>
      <c r="L177" s="12"/>
      <c r="M177" s="48"/>
      <c r="N177" s="49"/>
      <c r="O177" s="12"/>
      <c r="P177" s="10"/>
      <c r="Q177" s="10"/>
      <c r="R177" s="10"/>
      <c r="S177" s="10"/>
      <c r="T177" s="10"/>
      <c r="U177" s="10"/>
      <c r="V177" s="10"/>
      <c r="W177" s="10"/>
      <c r="X177" s="10"/>
      <c r="Y177" s="10"/>
    </row>
    <row r="178">
      <c r="A178" s="10"/>
      <c r="B178" s="10"/>
      <c r="C178" s="10"/>
      <c r="D178" s="10"/>
      <c r="E178" s="10"/>
      <c r="F178" s="10"/>
      <c r="G178" s="10"/>
      <c r="H178" s="199"/>
      <c r="I178" s="44" t="s">
        <v>728</v>
      </c>
      <c r="P178" s="10"/>
      <c r="Q178" s="10"/>
      <c r="R178" s="10"/>
      <c r="S178" s="10"/>
      <c r="T178" s="10"/>
      <c r="U178" s="10"/>
      <c r="V178" s="10"/>
      <c r="W178" s="10"/>
      <c r="X178" s="10"/>
      <c r="Y178" s="10"/>
    </row>
    <row r="179">
      <c r="A179" s="10"/>
      <c r="B179" s="10"/>
      <c r="C179" s="10"/>
      <c r="D179" s="10"/>
      <c r="E179" s="10"/>
      <c r="F179" s="10"/>
      <c r="G179" s="10"/>
      <c r="H179" s="212"/>
      <c r="I179" s="213" t="s">
        <v>2</v>
      </c>
      <c r="J179" s="214" t="s">
        <v>4</v>
      </c>
      <c r="K179" s="215" t="s">
        <v>13</v>
      </c>
      <c r="L179" s="216" t="s">
        <v>14</v>
      </c>
      <c r="M179" s="217" t="s">
        <v>15</v>
      </c>
      <c r="N179" s="218" t="s">
        <v>8</v>
      </c>
      <c r="O179" s="216" t="s">
        <v>7</v>
      </c>
      <c r="P179" s="10"/>
      <c r="Q179" s="10"/>
      <c r="R179" s="10"/>
      <c r="S179" s="10"/>
      <c r="T179" s="10"/>
      <c r="U179" s="10"/>
      <c r="V179" s="10"/>
      <c r="W179" s="10"/>
      <c r="X179" s="10"/>
      <c r="Y179" s="10"/>
    </row>
    <row r="180">
      <c r="A180" s="10"/>
      <c r="B180" s="10"/>
      <c r="C180" s="10"/>
      <c r="D180" s="10"/>
      <c r="E180" s="10"/>
      <c r="F180" s="10"/>
      <c r="G180" s="10"/>
      <c r="H180" s="212"/>
      <c r="I180" s="219"/>
      <c r="J180" s="220"/>
      <c r="K180" s="221"/>
      <c r="L180" s="222"/>
      <c r="M180" s="223"/>
      <c r="N180" s="224"/>
      <c r="O180" s="222"/>
      <c r="P180" s="10"/>
      <c r="Q180" s="10"/>
      <c r="R180" s="10"/>
      <c r="S180" s="10"/>
      <c r="T180" s="10"/>
      <c r="U180" s="10"/>
      <c r="V180" s="10"/>
      <c r="W180" s="10"/>
      <c r="X180" s="10"/>
      <c r="Y180" s="10"/>
    </row>
    <row r="181">
      <c r="A181" s="10"/>
      <c r="B181" s="10"/>
      <c r="C181" s="10"/>
      <c r="D181" s="10"/>
      <c r="E181" s="10"/>
      <c r="F181" s="10"/>
      <c r="G181" s="10"/>
      <c r="H181" s="212" t="s">
        <v>2</v>
      </c>
      <c r="I181" s="225"/>
      <c r="J181" s="226">
        <f>sumif($D$136:$D$173,$J$179,H136:H173)-sumif($D$136:$D$273,H181,I136:I173)</f>
        <v>-53.433</v>
      </c>
      <c r="K181" s="227">
        <f>sumif($D$109:$D$173,K179,H109:H173)-sumif($D$109:$D$173,H181,J109:J173)</f>
        <v>30.77625238</v>
      </c>
      <c r="L181" s="228">
        <f>sumif($D$162:$D$173,L179,H162:H173)-sumif($D$162:$D$173,H181,K162:K173)</f>
        <v>0</v>
      </c>
      <c r="M181" s="229">
        <f>sumif($D$109:$D$173,M179,H109:H173)-sumif($D$109:$D$173,H181,L109:L173)</f>
        <v>-11.33024762</v>
      </c>
      <c r="N181" s="230">
        <f>sumif($D$109:$D$173,N179,H109:H173)-sumif($D$109:$D$173,H181,$M$109:$M$173)</f>
        <v>-26.71517619</v>
      </c>
      <c r="O181" s="228">
        <f>sumif($D$109:$D$173,O179,H109:H173)-sumif($D$109:$D$173,H181,$N$109:$N$173)</f>
        <v>-68.53284286</v>
      </c>
      <c r="P181" s="10"/>
      <c r="Q181" s="231">
        <f t="shared" ref="Q181:Q188" si="100">SUM(I181:O181)</f>
        <v>-129.2350143</v>
      </c>
      <c r="R181" s="10"/>
      <c r="S181" s="10"/>
      <c r="T181" s="10"/>
      <c r="U181" s="10"/>
      <c r="V181" s="10"/>
      <c r="W181" s="10"/>
      <c r="X181" s="10"/>
      <c r="Y181" s="10"/>
    </row>
    <row r="182">
      <c r="A182" s="10"/>
      <c r="B182" s="10"/>
      <c r="C182" s="10"/>
      <c r="D182" s="10"/>
      <c r="E182" s="10"/>
      <c r="F182" s="10"/>
      <c r="G182" s="10"/>
      <c r="H182" s="212" t="s">
        <v>4</v>
      </c>
      <c r="I182" s="225">
        <f>sumif($D$136:$D$173,I179,$I$136:$I$173)-sumif($D$136:$D$173,H182,H136:H173)</f>
        <v>53.433</v>
      </c>
      <c r="J182" s="226"/>
      <c r="K182" s="227">
        <f>sumif($D$136:$D$173,K179,I136:I173)-sumif($D$136:$D$173,H182,J136:J173)</f>
        <v>142.6591429</v>
      </c>
      <c r="L182" s="228">
        <f>sumif($D$136:$D$173,L179,I136:I173)-sumif($D$136:$D$173,H182,K136:K173)</f>
        <v>29.538</v>
      </c>
      <c r="M182" s="229">
        <f>sumif($D$136:$D$173,M179,I136:I173)-sumif($D$136:$D$173,H182,L136:L173)</f>
        <v>2.571428571</v>
      </c>
      <c r="N182" s="230">
        <f>sumif($D$136:$D$173,N179,I136:I173)-sumif($D$136:$D$173,H182,$M$136:$M$173)</f>
        <v>6.574</v>
      </c>
      <c r="O182" s="228">
        <f>sumif($D$136:$D$173,O179,I136:I173)-sumif($D$136:$D$173,H182,$N$136:$N$173)</f>
        <v>27.7</v>
      </c>
      <c r="P182" s="10"/>
      <c r="Q182" s="231">
        <f t="shared" si="100"/>
        <v>262.4755714</v>
      </c>
      <c r="R182" s="10"/>
      <c r="S182" s="10"/>
      <c r="T182" s="10"/>
      <c r="U182" s="10"/>
      <c r="V182" s="10"/>
      <c r="W182" s="10"/>
      <c r="X182" s="10"/>
      <c r="Y182" s="10"/>
    </row>
    <row r="183">
      <c r="A183" s="10"/>
      <c r="B183" s="10"/>
      <c r="C183" s="10"/>
      <c r="D183" s="10"/>
      <c r="E183" s="10"/>
      <c r="F183" s="10"/>
      <c r="G183" s="10"/>
      <c r="H183" s="212" t="s">
        <v>13</v>
      </c>
      <c r="I183" s="225">
        <f>sumif($D$109:$D$173,I179,J$109:J$173)-sumif($D$109:$D$173,H183,H109:H173)</f>
        <v>-30.77625238</v>
      </c>
      <c r="J183" s="226">
        <f>sumif($D$136:$D$173,$J$179,J136:J173)-sumif($D$136:$D$273,H183,I136:I173)</f>
        <v>-142.6591429</v>
      </c>
      <c r="K183" s="227"/>
      <c r="L183" s="228">
        <f>sumif($D$109:$D$173,L179,J109:J173)-sumif($D$109:$D$173,H183,K109:K173)</f>
        <v>-11.01270476</v>
      </c>
      <c r="M183" s="229">
        <f>sumif($D$136:$D$173,M179,J136:J173)-sumif($D$136:$D$173,H183,L136:L173)</f>
        <v>2.686785714</v>
      </c>
      <c r="N183" s="230">
        <f>sumif($D$109:$D$173,N179,J109:J173)-sumif($D$109:$D$173,H183,$M$109:$M$173)</f>
        <v>-15.39742857</v>
      </c>
      <c r="O183" s="228">
        <f>sumif($D$109:$D$173,O179,J109:J173)-sumif($D$109:$D$173,H183,$N$109:$N$173)</f>
        <v>-129.7854286</v>
      </c>
      <c r="P183" s="10"/>
      <c r="Q183" s="231">
        <f t="shared" si="100"/>
        <v>-326.9441714</v>
      </c>
      <c r="R183" s="10"/>
      <c r="S183" s="10"/>
      <c r="T183" s="10"/>
      <c r="U183" s="10"/>
      <c r="V183" s="10"/>
      <c r="W183" s="10"/>
      <c r="X183" s="10"/>
      <c r="Y183" s="10"/>
    </row>
    <row r="184">
      <c r="A184" s="10"/>
      <c r="B184" s="10"/>
      <c r="C184" s="10"/>
      <c r="D184" s="10"/>
      <c r="E184" s="10"/>
      <c r="F184" s="10"/>
      <c r="G184" s="10"/>
      <c r="H184" s="212" t="s">
        <v>14</v>
      </c>
      <c r="I184" s="225">
        <f>sumif($D$162:$D$173,I179,K162:K173)-sumif($D$162:$D$173,H184,H162:H173)</f>
        <v>0</v>
      </c>
      <c r="J184" s="226">
        <f>sumif($D$136:$D$173,$J$179,K136:K173)-sumif($D$136:$D$273,H184,I136:I173)</f>
        <v>-29.538</v>
      </c>
      <c r="K184" s="227">
        <f>sumif($D$109:$D$173,K179,K109:K173)-sumif($D$109:$D$173,H184,J109:J173)</f>
        <v>11.01270476</v>
      </c>
      <c r="L184" s="232"/>
      <c r="M184" s="229">
        <f>sumif($D$109:$D$173,M179,K109:K174)-sumif($D$109:$D$173,H184,L109:L174)</f>
        <v>4.971071429</v>
      </c>
      <c r="N184" s="230">
        <f>sumif($D$109:$D$173,N179,K109:K173)-sumif($D$109:$D$173,H184,$M$109:$M$173)</f>
        <v>-16.82052381</v>
      </c>
      <c r="O184" s="228">
        <f>sumif($D$109:$D$173,O179,K109:K173)-sumif($D$109:$D$173,H184,$N$109:$N$173)</f>
        <v>-518.7728238</v>
      </c>
      <c r="P184" s="10"/>
      <c r="Q184" s="231">
        <f t="shared" si="100"/>
        <v>-549.1475714</v>
      </c>
      <c r="R184" s="10"/>
      <c r="S184" s="10"/>
      <c r="T184" s="10"/>
      <c r="U184" s="10"/>
      <c r="V184" s="10"/>
      <c r="W184" s="10"/>
      <c r="X184" s="10"/>
      <c r="Y184" s="10"/>
    </row>
    <row r="185">
      <c r="A185" s="10"/>
      <c r="B185" s="10"/>
      <c r="C185" s="10"/>
      <c r="D185" s="10"/>
      <c r="E185" s="10"/>
      <c r="F185" s="10"/>
      <c r="G185" s="10"/>
      <c r="H185" s="212" t="s">
        <v>15</v>
      </c>
      <c r="I185" s="225">
        <f>SUMIF(D109:D174,I179,L109:L174)-sumif($D$109:$D$173,H185,H109:H173)</f>
        <v>11.33024762</v>
      </c>
      <c r="J185" s="226">
        <f>sumif($D$136:$D$173,$J$179,L136:L173)-sumif($D$136:$D$273,H185,I136:I173)</f>
        <v>-2.571428571</v>
      </c>
      <c r="K185" s="227">
        <f>sumif($D$136:$D$173,K179,L136:L173)-sumif($D$136:$D$173,H185,J136:J173)</f>
        <v>-2.686785714</v>
      </c>
      <c r="L185" s="228">
        <f>sumif($D$109:$D$173,L179,L109:L174)-sumif($D$109:$D$174,H185,K109:K174)</f>
        <v>-4.971071429</v>
      </c>
      <c r="M185" s="229"/>
      <c r="N185" s="230">
        <f>sumif($D$109:$D$173,N179,L109:L173)-sumif($D$109:$D$173,H185,$M$109:$M$173)</f>
        <v>-13.76142857</v>
      </c>
      <c r="O185" s="228">
        <f>sumif($D$109:$D$173,O179,L109:L173)-sumif($D$109:$D$173,H185,$N$109:$N$173)</f>
        <v>-14.19142857</v>
      </c>
      <c r="P185" s="10"/>
      <c r="Q185" s="231">
        <f t="shared" si="100"/>
        <v>-26.85189524</v>
      </c>
      <c r="R185" s="10"/>
      <c r="S185" s="10"/>
      <c r="T185" s="10"/>
      <c r="U185" s="10"/>
      <c r="V185" s="10"/>
      <c r="W185" s="10"/>
      <c r="X185" s="10"/>
      <c r="Y185" s="10"/>
    </row>
    <row r="186">
      <c r="A186" s="10"/>
      <c r="B186" s="10"/>
      <c r="C186" s="10"/>
      <c r="D186" s="10"/>
      <c r="E186" s="10"/>
      <c r="F186" s="10"/>
      <c r="G186" s="10"/>
      <c r="H186" s="212" t="s">
        <v>8</v>
      </c>
      <c r="I186" s="225">
        <f>sumif($D$109:$D$173,I179,M109:M173)-sumif($D$109:$D$173,H186,H109:H173)</f>
        <v>26.71517619</v>
      </c>
      <c r="J186" s="226">
        <f>sumif($D$136:$D$173,$J$179,M136:M173)-sumif($D$136:$D$273,H186,I136:I173)</f>
        <v>-6.574</v>
      </c>
      <c r="K186" s="227">
        <f>sumif($D$109:$D$173,K179,M109:M173)-sumif($D$109:$D$173,H186,J109:J173)</f>
        <v>15.39742857</v>
      </c>
      <c r="L186" s="228">
        <f>sumif($D$109:$D$173,L179,M109:M173)-sumif($D$109:$D$173,H186,K109:K173)</f>
        <v>16.82052381</v>
      </c>
      <c r="M186" s="229">
        <f>sumif($D$109:$D$173,M179,M109:M174)-sumif($D$109:$D$173,H186,L109:L174)</f>
        <v>13.76142857</v>
      </c>
      <c r="N186" s="230"/>
      <c r="O186" s="228">
        <f>sumif($D$109:$D$173,O179,M109:M173)-sumif($D$109:$D$173,H186,$N$109:$N$173)</f>
        <v>-0.574</v>
      </c>
      <c r="P186" s="10"/>
      <c r="Q186" s="231">
        <f t="shared" si="100"/>
        <v>65.54655714</v>
      </c>
      <c r="R186" s="10"/>
      <c r="S186" s="10"/>
      <c r="T186" s="10"/>
      <c r="U186" s="10"/>
      <c r="V186" s="10"/>
      <c r="W186" s="10"/>
      <c r="X186" s="10"/>
      <c r="Y186" s="10"/>
    </row>
    <row r="187">
      <c r="A187" s="10"/>
      <c r="B187" s="10"/>
      <c r="C187" s="10"/>
      <c r="D187" s="10"/>
      <c r="E187" s="10"/>
      <c r="F187" s="10"/>
      <c r="G187" s="10"/>
      <c r="H187" s="212" t="s">
        <v>7</v>
      </c>
      <c r="I187" s="225">
        <f>sumif($D$109:$D$173,I179,N109:N173)-sumif($D$109:$D$173,H187,H109:H173)</f>
        <v>68.53284286</v>
      </c>
      <c r="J187" s="226">
        <f>sumif($D$136:$D$173,J179,N136:N173)-sumif($D$136:$D$173,H187,I136:I173)</f>
        <v>-27.7</v>
      </c>
      <c r="K187" s="227">
        <f>sumif($D$109:$D$173,K179,N109:N173)-sumif($D$109:$D$173,H187,J109:J173)</f>
        <v>129.7854286</v>
      </c>
      <c r="L187" s="228">
        <f>sumif($D$109:$D$173,L179,N109:N173)-sumif($D$109:$D$173,H187,K109:K173)</f>
        <v>518.7728238</v>
      </c>
      <c r="M187" s="229">
        <f>sumif($D$109:$D$173,M179,N109:N174)-sumif($D$109:$D$173,H187,L109:L174)</f>
        <v>14.19142857</v>
      </c>
      <c r="N187" s="230">
        <f>sumif($D$109:$D$173,N179,N109:N173)-sumif($D$109:$D$173,H187,$M$109:$M$173)</f>
        <v>0.574</v>
      </c>
      <c r="O187" s="232"/>
      <c r="P187" s="10"/>
      <c r="Q187" s="231">
        <f t="shared" si="100"/>
        <v>704.1565238</v>
      </c>
      <c r="R187" s="10"/>
      <c r="S187" s="10"/>
      <c r="T187" s="10"/>
      <c r="U187" s="10"/>
      <c r="V187" s="10"/>
      <c r="W187" s="10"/>
      <c r="X187" s="10"/>
      <c r="Y187" s="10"/>
    </row>
    <row r="188">
      <c r="A188" s="10"/>
      <c r="B188" s="10"/>
      <c r="C188" s="10"/>
      <c r="D188" s="10"/>
      <c r="E188" s="10"/>
      <c r="F188" s="10"/>
      <c r="G188" s="10"/>
      <c r="H188" s="43" t="s">
        <v>601</v>
      </c>
      <c r="I188" s="225">
        <f>sumif($D$109:$D$173,I180,N109:N174)-sumif($D$109:$D$173,H188,H109:H174)</f>
        <v>0</v>
      </c>
      <c r="J188" s="226">
        <f>sumif($D$136:$D$173,J179,O136:O174)-sumif($D$136:$D$273,H188,I136:I173)</f>
        <v>0</v>
      </c>
      <c r="K188" s="227">
        <f>sumif($D$109:$D$174,K179,O109:O174)-sumif($D$109:$D$173,H188,J109:J173)</f>
        <v>0</v>
      </c>
      <c r="L188" s="228">
        <f>sumif($D$109:$D$174,L179,O109:O174)-sumif($D$109:$D$173,H188,K109:K173)</f>
        <v>0</v>
      </c>
      <c r="M188" s="229">
        <f>sumif($D$109:$D$173,M179,O109:O174)-sumif($D$109:$D$173,H188,L109:L174)</f>
        <v>0</v>
      </c>
      <c r="N188" s="230">
        <f>sumif($D$109:$D$173,N180,O109:O174)-sumif($D$109:$D$173,H188,$M$109:$M$173)</f>
        <v>0</v>
      </c>
      <c r="O188" s="10"/>
      <c r="P188" s="10"/>
      <c r="Q188" s="231">
        <f t="shared" si="100"/>
        <v>0</v>
      </c>
      <c r="R188" s="10"/>
      <c r="S188" s="10"/>
      <c r="T188" s="10"/>
      <c r="U188" s="10"/>
      <c r="V188" s="10"/>
      <c r="W188" s="10"/>
      <c r="X188" s="10"/>
      <c r="Y188" s="10"/>
    </row>
    <row r="189">
      <c r="A189" s="10"/>
      <c r="B189" s="10"/>
      <c r="C189" s="10"/>
      <c r="D189" s="10"/>
      <c r="E189" s="10"/>
      <c r="F189" s="10"/>
      <c r="G189" s="10"/>
      <c r="H189" s="199"/>
      <c r="I189" s="200"/>
      <c r="J189" s="201"/>
      <c r="K189" s="179"/>
      <c r="L189" s="10"/>
      <c r="M189" s="202"/>
      <c r="N189" s="203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</row>
    <row r="190">
      <c r="A190" s="10"/>
      <c r="B190" s="10"/>
      <c r="C190" s="10"/>
      <c r="D190" s="10"/>
      <c r="E190" s="10"/>
      <c r="F190" s="10"/>
      <c r="G190" s="10"/>
      <c r="H190" s="199"/>
      <c r="I190" s="206">
        <f t="shared" ref="I190:O190" si="101">SUM(I181:I188)</f>
        <v>129.2350143</v>
      </c>
      <c r="J190" s="207">
        <f t="shared" si="101"/>
        <v>-262.4755714</v>
      </c>
      <c r="K190" s="208">
        <f t="shared" si="101"/>
        <v>326.9441714</v>
      </c>
      <c r="L190" s="209">
        <f t="shared" si="101"/>
        <v>549.1475714</v>
      </c>
      <c r="M190" s="210">
        <f t="shared" si="101"/>
        <v>26.85189524</v>
      </c>
      <c r="N190" s="211">
        <f t="shared" si="101"/>
        <v>-65.54655714</v>
      </c>
      <c r="O190" s="209">
        <f t="shared" si="101"/>
        <v>-704.1565238</v>
      </c>
      <c r="P190" s="10"/>
      <c r="Q190" s="10"/>
      <c r="R190" s="10"/>
      <c r="S190" s="10"/>
      <c r="T190" s="10"/>
      <c r="U190" s="10"/>
      <c r="V190" s="10"/>
      <c r="W190" s="10"/>
      <c r="X190" s="10"/>
      <c r="Y190" s="10"/>
    </row>
    <row r="191">
      <c r="A191" s="10"/>
      <c r="B191" s="10"/>
      <c r="C191" s="10"/>
      <c r="D191" s="10"/>
      <c r="E191" s="10"/>
      <c r="F191" s="10"/>
      <c r="G191" s="10"/>
      <c r="H191" s="199"/>
      <c r="I191" s="200"/>
      <c r="J191" s="201"/>
      <c r="K191" s="179"/>
      <c r="L191" s="10"/>
      <c r="M191" s="202"/>
      <c r="N191" s="203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</row>
    <row r="192">
      <c r="A192" s="10"/>
      <c r="B192" s="10"/>
      <c r="C192" s="10"/>
      <c r="D192" s="10"/>
      <c r="E192" s="10"/>
      <c r="F192" s="10"/>
      <c r="G192" s="10"/>
      <c r="H192" s="199"/>
      <c r="I192" s="200"/>
      <c r="J192" s="201"/>
      <c r="K192" s="179"/>
      <c r="L192" s="10"/>
      <c r="M192" s="202"/>
      <c r="N192" s="203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</row>
    <row r="193">
      <c r="A193" s="10"/>
      <c r="B193" s="10"/>
      <c r="C193" s="10"/>
      <c r="D193" s="10"/>
      <c r="E193" s="10"/>
      <c r="F193" s="10"/>
      <c r="G193" s="10"/>
      <c r="H193" s="199"/>
      <c r="I193" s="200"/>
      <c r="J193" s="201"/>
      <c r="K193" s="179"/>
      <c r="L193" s="10"/>
      <c r="M193" s="202"/>
      <c r="N193" s="203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</row>
    <row r="194">
      <c r="A194" s="10"/>
      <c r="B194" s="10"/>
      <c r="C194" s="10"/>
      <c r="D194" s="10"/>
      <c r="E194" s="10"/>
      <c r="F194" s="10"/>
      <c r="G194" s="10"/>
      <c r="H194" s="199"/>
      <c r="I194" s="200"/>
      <c r="J194" s="201"/>
      <c r="K194" s="179"/>
      <c r="L194" s="12"/>
      <c r="M194" s="202"/>
      <c r="N194" s="203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</row>
    <row r="195">
      <c r="A195" s="10"/>
      <c r="B195" s="10"/>
      <c r="C195" s="10"/>
      <c r="D195" s="10"/>
      <c r="E195" s="10"/>
      <c r="F195" s="10"/>
      <c r="G195" s="10"/>
      <c r="H195" s="199"/>
      <c r="I195" s="200"/>
      <c r="J195" s="201"/>
      <c r="K195" s="179"/>
      <c r="L195" s="10"/>
      <c r="M195" s="202"/>
      <c r="N195" s="203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</row>
    <row r="196">
      <c r="A196" s="10"/>
      <c r="B196" s="10"/>
      <c r="C196" s="10"/>
      <c r="D196" s="10"/>
      <c r="E196" s="10"/>
      <c r="F196" s="10"/>
      <c r="G196" s="10"/>
      <c r="H196" s="199"/>
      <c r="I196" s="44"/>
      <c r="J196" s="201"/>
      <c r="K196" s="179"/>
      <c r="L196" s="10"/>
      <c r="M196" s="202"/>
      <c r="N196" s="203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</row>
    <row r="197">
      <c r="A197" s="10"/>
      <c r="B197" s="10"/>
      <c r="C197" s="10"/>
      <c r="D197" s="10"/>
      <c r="E197" s="10"/>
      <c r="F197" s="10"/>
      <c r="G197" s="10"/>
      <c r="H197" s="199"/>
      <c r="I197" s="200"/>
      <c r="J197" s="201"/>
      <c r="K197" s="179"/>
      <c r="L197" s="10"/>
      <c r="M197" s="202"/>
      <c r="N197" s="203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</row>
    <row r="198">
      <c r="A198" s="10"/>
      <c r="B198" s="10"/>
      <c r="C198" s="10"/>
      <c r="D198" s="10"/>
      <c r="E198" s="10"/>
      <c r="F198" s="10"/>
      <c r="G198" s="10"/>
      <c r="H198" s="199"/>
      <c r="I198" s="200"/>
      <c r="J198" s="201"/>
      <c r="K198" s="179"/>
      <c r="L198" s="10"/>
      <c r="M198" s="202"/>
      <c r="N198" s="203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</row>
    <row r="199">
      <c r="A199" s="10"/>
      <c r="B199" s="10"/>
      <c r="C199" s="10"/>
      <c r="D199" s="10"/>
      <c r="E199" s="10"/>
      <c r="F199" s="10"/>
      <c r="G199" s="10"/>
      <c r="H199" s="199"/>
      <c r="I199" s="200"/>
      <c r="J199" s="201"/>
      <c r="K199" s="179"/>
      <c r="L199" s="10"/>
      <c r="M199" s="202"/>
      <c r="N199" s="203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</row>
    <row r="200">
      <c r="A200" s="10"/>
      <c r="B200" s="10"/>
      <c r="C200" s="10"/>
      <c r="D200" s="10"/>
      <c r="E200" s="10"/>
      <c r="F200" s="10"/>
      <c r="G200" s="10"/>
      <c r="H200" s="199"/>
      <c r="I200" s="200"/>
      <c r="J200" s="201"/>
      <c r="K200" s="179"/>
      <c r="L200" s="10"/>
      <c r="M200" s="202"/>
      <c r="N200" s="203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</row>
    <row r="201">
      <c r="A201" s="10"/>
      <c r="B201" s="10"/>
      <c r="C201" s="10"/>
      <c r="D201" s="10"/>
      <c r="E201" s="10"/>
      <c r="F201" s="10"/>
      <c r="G201" s="10"/>
      <c r="H201" s="199"/>
      <c r="I201" s="200"/>
      <c r="J201" s="201"/>
      <c r="K201" s="179"/>
      <c r="L201" s="10"/>
      <c r="M201" s="202"/>
      <c r="N201" s="203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</row>
    <row r="202">
      <c r="A202" s="10"/>
      <c r="B202" s="10"/>
      <c r="C202" s="10"/>
      <c r="D202" s="10"/>
      <c r="E202" s="10"/>
      <c r="F202" s="10"/>
      <c r="G202" s="10"/>
      <c r="H202" s="199"/>
      <c r="I202" s="200"/>
      <c r="J202" s="201"/>
      <c r="K202" s="179"/>
      <c r="L202" s="10"/>
      <c r="M202" s="202"/>
      <c r="N202" s="203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</row>
    <row r="203">
      <c r="A203" s="10"/>
      <c r="B203" s="10"/>
      <c r="C203" s="10"/>
      <c r="D203" s="10"/>
      <c r="E203" s="10"/>
      <c r="F203" s="10"/>
      <c r="G203" s="10"/>
      <c r="H203" s="199"/>
      <c r="I203" s="200"/>
      <c r="J203" s="201"/>
      <c r="K203" s="179"/>
      <c r="L203" s="10"/>
      <c r="M203" s="202"/>
      <c r="N203" s="203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</row>
    <row r="204">
      <c r="A204" s="10"/>
      <c r="B204" s="10"/>
      <c r="C204" s="10"/>
      <c r="D204" s="10"/>
      <c r="E204" s="10"/>
      <c r="F204" s="10"/>
      <c r="G204" s="10"/>
      <c r="H204" s="199"/>
      <c r="I204" s="200"/>
      <c r="J204" s="201"/>
      <c r="K204" s="179"/>
      <c r="L204" s="10"/>
      <c r="M204" s="202"/>
      <c r="N204" s="203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</row>
    <row r="205">
      <c r="A205" s="10"/>
      <c r="B205" s="10"/>
      <c r="C205" s="10"/>
      <c r="D205" s="10"/>
      <c r="E205" s="10"/>
      <c r="F205" s="10"/>
      <c r="G205" s="10"/>
      <c r="H205" s="199"/>
      <c r="I205" s="200"/>
      <c r="J205" s="201"/>
      <c r="K205" s="179"/>
      <c r="L205" s="10"/>
      <c r="M205" s="202"/>
      <c r="N205" s="203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</row>
    <row r="206">
      <c r="A206" s="10"/>
      <c r="B206" s="10"/>
      <c r="C206" s="10"/>
      <c r="D206" s="10"/>
      <c r="E206" s="10"/>
      <c r="F206" s="10"/>
      <c r="G206" s="10"/>
      <c r="H206" s="199"/>
      <c r="I206" s="200"/>
      <c r="J206" s="201"/>
      <c r="K206" s="179"/>
      <c r="L206" s="10"/>
      <c r="M206" s="202"/>
      <c r="N206" s="203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</row>
    <row r="207">
      <c r="A207" s="10"/>
      <c r="B207" s="10"/>
      <c r="C207" s="10"/>
      <c r="D207" s="10"/>
      <c r="E207" s="10"/>
      <c r="F207" s="10"/>
      <c r="G207" s="10"/>
      <c r="H207" s="199"/>
      <c r="I207" s="200"/>
      <c r="J207" s="201"/>
      <c r="K207" s="179"/>
      <c r="L207" s="10"/>
      <c r="M207" s="202"/>
      <c r="N207" s="203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</row>
    <row r="208">
      <c r="A208" s="10"/>
      <c r="B208" s="10"/>
      <c r="C208" s="10"/>
      <c r="D208" s="10"/>
      <c r="E208" s="10"/>
      <c r="F208" s="10"/>
      <c r="G208" s="10"/>
      <c r="H208" s="199"/>
      <c r="I208" s="200"/>
      <c r="J208" s="201"/>
      <c r="K208" s="179"/>
      <c r="L208" s="10"/>
      <c r="M208" s="202"/>
      <c r="N208" s="203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</row>
    <row r="209">
      <c r="A209" s="10"/>
      <c r="B209" s="10"/>
      <c r="C209" s="10"/>
      <c r="D209" s="10"/>
      <c r="E209" s="10"/>
      <c r="F209" s="10"/>
      <c r="G209" s="10"/>
      <c r="H209" s="199"/>
      <c r="I209" s="200"/>
      <c r="J209" s="201"/>
      <c r="K209" s="179"/>
      <c r="L209" s="10"/>
      <c r="M209" s="202"/>
      <c r="N209" s="203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</row>
    <row r="210">
      <c r="A210" s="10"/>
      <c r="B210" s="10"/>
      <c r="C210" s="10"/>
      <c r="D210" s="10"/>
      <c r="E210" s="10"/>
      <c r="F210" s="10"/>
      <c r="G210" s="10"/>
      <c r="H210" s="199"/>
      <c r="I210" s="200"/>
      <c r="J210" s="201"/>
      <c r="K210" s="179"/>
      <c r="L210" s="10"/>
      <c r="M210" s="202"/>
      <c r="N210" s="203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</row>
    <row r="211">
      <c r="A211" s="10"/>
      <c r="B211" s="10"/>
      <c r="C211" s="10"/>
      <c r="D211" s="10"/>
      <c r="E211" s="10"/>
      <c r="F211" s="10"/>
      <c r="G211" s="10"/>
      <c r="H211" s="199"/>
      <c r="I211" s="200"/>
      <c r="J211" s="201"/>
      <c r="K211" s="179"/>
      <c r="L211" s="10"/>
      <c r="M211" s="202"/>
      <c r="N211" s="203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</row>
    <row r="212">
      <c r="A212" s="10"/>
      <c r="B212" s="10"/>
      <c r="C212" s="10"/>
      <c r="D212" s="10"/>
      <c r="E212" s="10"/>
      <c r="F212" s="10"/>
      <c r="G212" s="10"/>
      <c r="H212" s="199"/>
      <c r="I212" s="200"/>
      <c r="J212" s="201"/>
      <c r="K212" s="179"/>
      <c r="L212" s="10"/>
      <c r="M212" s="202"/>
      <c r="N212" s="203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</row>
    <row r="213">
      <c r="A213" s="10"/>
      <c r="B213" s="10"/>
      <c r="C213" s="10"/>
      <c r="D213" s="10"/>
      <c r="E213" s="10"/>
      <c r="F213" s="10"/>
      <c r="G213" s="10"/>
      <c r="H213" s="199"/>
      <c r="I213" s="200"/>
      <c r="J213" s="201"/>
      <c r="K213" s="179"/>
      <c r="L213" s="10"/>
      <c r="M213" s="202"/>
      <c r="N213" s="203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</row>
    <row r="214">
      <c r="A214" s="10"/>
      <c r="B214" s="10"/>
      <c r="C214" s="10"/>
      <c r="D214" s="10"/>
      <c r="E214" s="10"/>
      <c r="F214" s="10"/>
      <c r="G214" s="10"/>
      <c r="H214" s="199"/>
      <c r="I214" s="200"/>
      <c r="J214" s="201"/>
      <c r="K214" s="179"/>
      <c r="L214" s="10"/>
      <c r="M214" s="202"/>
      <c r="N214" s="203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</row>
    <row r="215">
      <c r="A215" s="10"/>
      <c r="B215" s="10"/>
      <c r="C215" s="10"/>
      <c r="D215" s="10"/>
      <c r="E215" s="10"/>
      <c r="F215" s="10"/>
      <c r="G215" s="10"/>
      <c r="H215" s="199"/>
      <c r="I215" s="200"/>
      <c r="J215" s="201"/>
      <c r="K215" s="179"/>
      <c r="L215" s="10"/>
      <c r="M215" s="202"/>
      <c r="N215" s="203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</row>
    <row r="216">
      <c r="A216" s="10"/>
      <c r="B216" s="10"/>
      <c r="C216" s="10"/>
      <c r="D216" s="10"/>
      <c r="E216" s="10"/>
      <c r="F216" s="10"/>
      <c r="G216" s="10"/>
      <c r="H216" s="199"/>
      <c r="I216" s="200"/>
      <c r="J216" s="201"/>
      <c r="K216" s="179"/>
      <c r="L216" s="10"/>
      <c r="M216" s="202"/>
      <c r="N216" s="203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</row>
    <row r="217">
      <c r="A217" s="10"/>
      <c r="B217" s="10"/>
      <c r="C217" s="10"/>
      <c r="D217" s="10"/>
      <c r="E217" s="10"/>
      <c r="F217" s="10"/>
      <c r="G217" s="10"/>
      <c r="H217" s="199"/>
      <c r="I217" s="200"/>
      <c r="J217" s="201"/>
      <c r="K217" s="179"/>
      <c r="L217" s="10"/>
      <c r="M217" s="202"/>
      <c r="N217" s="203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</row>
    <row r="218">
      <c r="A218" s="10"/>
      <c r="B218" s="10"/>
      <c r="C218" s="10"/>
      <c r="D218" s="10"/>
      <c r="E218" s="10"/>
      <c r="F218" s="10"/>
      <c r="G218" s="10"/>
      <c r="H218" s="199"/>
      <c r="I218" s="200"/>
      <c r="J218" s="201"/>
      <c r="K218" s="179"/>
      <c r="L218" s="10"/>
      <c r="M218" s="202"/>
      <c r="N218" s="203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</row>
    <row r="219">
      <c r="A219" s="10"/>
      <c r="B219" s="10"/>
      <c r="C219" s="10"/>
      <c r="D219" s="10"/>
      <c r="E219" s="10"/>
      <c r="F219" s="10"/>
      <c r="G219" s="10"/>
      <c r="H219" s="199"/>
      <c r="I219" s="200"/>
      <c r="J219" s="201"/>
      <c r="K219" s="179"/>
      <c r="L219" s="10"/>
      <c r="M219" s="202"/>
      <c r="N219" s="203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</row>
    <row r="220">
      <c r="A220" s="10"/>
      <c r="B220" s="10"/>
      <c r="C220" s="10"/>
      <c r="D220" s="10"/>
      <c r="E220" s="10"/>
      <c r="F220" s="10"/>
      <c r="G220" s="10"/>
      <c r="H220" s="199"/>
      <c r="I220" s="200"/>
      <c r="J220" s="201"/>
      <c r="K220" s="179"/>
      <c r="L220" s="10"/>
      <c r="M220" s="202"/>
      <c r="N220" s="203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</row>
    <row r="221">
      <c r="A221" s="55">
        <v>45254.0</v>
      </c>
      <c r="B221" s="118" t="s">
        <v>46</v>
      </c>
      <c r="C221" s="118" t="s">
        <v>349</v>
      </c>
      <c r="D221" s="118" t="s">
        <v>4</v>
      </c>
      <c r="E221" s="81"/>
      <c r="F221" s="118">
        <v>74.66</v>
      </c>
      <c r="G221" s="81"/>
      <c r="H221" s="187">
        <f t="shared" ref="H221:K221" si="102">(74.66+194.38+16.52)/12</f>
        <v>23.79666667</v>
      </c>
      <c r="I221" s="188">
        <f t="shared" si="102"/>
        <v>23.79666667</v>
      </c>
      <c r="J221" s="189">
        <f t="shared" si="102"/>
        <v>23.79666667</v>
      </c>
      <c r="K221" s="190">
        <f t="shared" si="102"/>
        <v>23.79666667</v>
      </c>
      <c r="L221" s="81"/>
      <c r="M221" s="191">
        <f t="shared" ref="M221:O221" si="103">(74.66+194.38+16.52)/12</f>
        <v>23.79666667</v>
      </c>
      <c r="N221" s="192">
        <f t="shared" si="103"/>
        <v>23.79666667</v>
      </c>
      <c r="O221" s="81">
        <f t="shared" si="103"/>
        <v>23.79666667</v>
      </c>
      <c r="P221" s="10"/>
      <c r="Q221" s="10"/>
      <c r="R221" s="10"/>
      <c r="S221" s="10"/>
      <c r="T221" s="10"/>
      <c r="U221" s="10"/>
      <c r="V221" s="10"/>
      <c r="W221" s="10"/>
      <c r="X221" s="10"/>
      <c r="Y221" s="10"/>
    </row>
    <row r="222">
      <c r="A222" s="55">
        <v>45255.0</v>
      </c>
      <c r="B222" s="118" t="s">
        <v>149</v>
      </c>
      <c r="C222" s="118" t="s">
        <v>349</v>
      </c>
      <c r="D222" s="118" t="s">
        <v>13</v>
      </c>
      <c r="E222" s="81"/>
      <c r="F222" s="118">
        <v>194.38</v>
      </c>
      <c r="G222" s="81"/>
      <c r="P222" s="10"/>
      <c r="Q222" s="10"/>
      <c r="R222" s="10"/>
      <c r="S222" s="10"/>
      <c r="T222" s="10"/>
      <c r="U222" s="10"/>
      <c r="V222" s="10"/>
      <c r="W222" s="10"/>
      <c r="X222" s="10"/>
      <c r="Y222" s="10"/>
    </row>
    <row r="223">
      <c r="A223" s="55">
        <v>45255.0</v>
      </c>
      <c r="B223" s="118" t="s">
        <v>46</v>
      </c>
      <c r="C223" s="118" t="s">
        <v>349</v>
      </c>
      <c r="D223" s="118" t="s">
        <v>2</v>
      </c>
      <c r="E223" s="81"/>
      <c r="F223" s="118">
        <v>16.52</v>
      </c>
      <c r="G223" s="81"/>
      <c r="P223" s="10"/>
      <c r="Q223" s="10"/>
      <c r="R223" s="10"/>
      <c r="S223" s="10"/>
      <c r="T223" s="10"/>
      <c r="U223" s="10"/>
      <c r="V223" s="10"/>
      <c r="W223" s="10"/>
      <c r="X223" s="10"/>
      <c r="Y223" s="10"/>
    </row>
    <row r="224">
      <c r="A224" s="10"/>
      <c r="B224" s="10"/>
      <c r="C224" s="10"/>
      <c r="D224" s="10"/>
      <c r="E224" s="10"/>
      <c r="F224" s="233">
        <v>131.0</v>
      </c>
      <c r="G224" s="10"/>
      <c r="H224" s="199"/>
      <c r="I224" s="200"/>
      <c r="J224" s="201"/>
      <c r="K224" s="179"/>
      <c r="L224" s="10"/>
      <c r="M224" s="202"/>
      <c r="N224" s="49" t="s">
        <v>729</v>
      </c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</row>
    <row r="225">
      <c r="A225" s="10"/>
      <c r="B225" s="10"/>
      <c r="C225" s="10"/>
      <c r="D225" s="10"/>
      <c r="E225" s="10"/>
      <c r="F225" s="10"/>
      <c r="G225" s="10"/>
      <c r="H225" s="199"/>
      <c r="I225" s="200"/>
      <c r="J225" s="201"/>
      <c r="K225" s="179"/>
      <c r="L225" s="10"/>
      <c r="M225" s="202"/>
      <c r="N225" s="49">
        <v>37.7</v>
      </c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</row>
    <row r="226">
      <c r="A226" s="10"/>
      <c r="B226" s="10"/>
      <c r="C226" s="10"/>
      <c r="D226" s="10"/>
      <c r="E226" s="10"/>
      <c r="F226" s="10"/>
      <c r="G226" s="10"/>
      <c r="H226" s="199"/>
      <c r="I226" s="200"/>
      <c r="J226" s="201"/>
      <c r="K226" s="179"/>
      <c r="L226" s="10"/>
      <c r="M226" s="202"/>
      <c r="N226" s="203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</row>
    <row r="227">
      <c r="A227" s="10"/>
      <c r="B227" s="10"/>
      <c r="C227" s="10"/>
      <c r="D227" s="10"/>
      <c r="E227" s="10"/>
      <c r="F227" s="10"/>
      <c r="G227" s="10"/>
      <c r="H227" s="199"/>
      <c r="I227" s="200"/>
      <c r="J227" s="201"/>
      <c r="K227" s="179"/>
      <c r="L227" s="10"/>
      <c r="M227" s="48"/>
      <c r="N227" s="203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</row>
    <row r="228">
      <c r="A228" s="10"/>
      <c r="B228" s="10"/>
      <c r="C228" s="10"/>
      <c r="D228" s="10"/>
      <c r="E228" s="10"/>
      <c r="F228" s="10"/>
      <c r="G228" s="10"/>
      <c r="H228" s="199"/>
      <c r="I228" s="200"/>
      <c r="J228" s="201"/>
      <c r="K228" s="179"/>
      <c r="L228" s="10"/>
      <c r="M228" s="202"/>
      <c r="N228" s="203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</row>
    <row r="229">
      <c r="A229" s="10"/>
      <c r="B229" s="10"/>
      <c r="C229" s="10"/>
      <c r="D229" s="10"/>
      <c r="E229" s="10"/>
      <c r="F229" s="10"/>
      <c r="G229" s="10"/>
      <c r="H229" s="199"/>
      <c r="I229" s="200"/>
      <c r="J229" s="201"/>
      <c r="K229" s="46" t="s">
        <v>730</v>
      </c>
      <c r="L229" s="12" t="s">
        <v>731</v>
      </c>
      <c r="M229" s="48" t="s">
        <v>731</v>
      </c>
      <c r="N229" s="49">
        <v>60.8</v>
      </c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</row>
    <row r="230">
      <c r="A230" s="10"/>
      <c r="B230" s="10"/>
      <c r="C230" s="10"/>
      <c r="D230" s="10"/>
      <c r="E230" s="10"/>
      <c r="F230" s="10"/>
      <c r="G230" s="10"/>
      <c r="H230" s="199"/>
      <c r="I230" s="200"/>
      <c r="J230" s="201"/>
      <c r="K230" s="46" t="s">
        <v>732</v>
      </c>
      <c r="L230" s="12" t="s">
        <v>731</v>
      </c>
      <c r="M230" s="48" t="s">
        <v>731</v>
      </c>
      <c r="N230" s="203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</row>
    <row r="231">
      <c r="A231" s="10"/>
      <c r="B231" s="10"/>
      <c r="C231" s="10"/>
      <c r="D231" s="10"/>
      <c r="E231" s="10"/>
      <c r="F231" s="10"/>
      <c r="G231" s="10"/>
      <c r="H231" s="199"/>
      <c r="I231" s="200"/>
      <c r="J231" s="201"/>
      <c r="K231" s="46" t="s">
        <v>8</v>
      </c>
      <c r="L231" s="12" t="s">
        <v>731</v>
      </c>
      <c r="M231" s="48" t="s">
        <v>731</v>
      </c>
      <c r="N231" s="49">
        <v>37.7</v>
      </c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</row>
    <row r="232">
      <c r="A232" s="10"/>
      <c r="B232" s="10"/>
      <c r="C232" s="10"/>
      <c r="D232" s="10"/>
      <c r="E232" s="10"/>
      <c r="F232" s="10"/>
      <c r="G232" s="10"/>
      <c r="H232" s="199"/>
      <c r="I232" s="200"/>
      <c r="J232" s="201"/>
      <c r="K232" s="46" t="s">
        <v>733</v>
      </c>
      <c r="L232" s="10"/>
      <c r="M232" s="202"/>
      <c r="N232" s="49">
        <v>37.7</v>
      </c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</row>
    <row r="233">
      <c r="A233" s="10"/>
      <c r="B233" s="10"/>
      <c r="C233" s="10"/>
      <c r="D233" s="10"/>
      <c r="E233" s="10"/>
      <c r="F233" s="10"/>
      <c r="G233" s="10"/>
      <c r="H233" s="199"/>
      <c r="I233" s="200"/>
      <c r="J233" s="201"/>
      <c r="K233" s="46" t="s">
        <v>734</v>
      </c>
      <c r="L233" s="12" t="s">
        <v>731</v>
      </c>
      <c r="M233" s="48" t="s">
        <v>731</v>
      </c>
      <c r="N233" s="49">
        <v>37.7</v>
      </c>
      <c r="P233" s="10"/>
      <c r="Q233" s="10"/>
      <c r="R233" s="10"/>
      <c r="S233" s="10"/>
      <c r="T233" s="10"/>
      <c r="U233" s="10"/>
      <c r="V233" s="10"/>
      <c r="W233" s="10"/>
      <c r="X233" s="10"/>
      <c r="Y233" s="10"/>
    </row>
    <row r="234">
      <c r="A234" s="10"/>
      <c r="B234" s="10"/>
      <c r="C234" s="10"/>
      <c r="D234" s="10"/>
      <c r="E234" s="10"/>
      <c r="F234" s="10"/>
      <c r="G234" s="10"/>
      <c r="H234" s="199"/>
      <c r="I234" s="200"/>
      <c r="J234" s="201"/>
      <c r="K234" s="46" t="s">
        <v>735</v>
      </c>
      <c r="L234" s="12" t="s">
        <v>731</v>
      </c>
      <c r="M234" s="48" t="s">
        <v>731</v>
      </c>
      <c r="N234" s="49">
        <v>60.8</v>
      </c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</row>
    <row r="235">
      <c r="A235" s="10"/>
      <c r="B235" s="10"/>
      <c r="C235" s="10"/>
      <c r="D235" s="10"/>
      <c r="E235" s="10"/>
      <c r="F235" s="10"/>
      <c r="G235" s="10"/>
      <c r="H235" s="199"/>
      <c r="I235" s="200"/>
      <c r="J235" s="201"/>
      <c r="K235" s="179"/>
      <c r="L235" s="10"/>
      <c r="M235" s="202"/>
      <c r="N235" s="203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</row>
    <row r="236">
      <c r="A236" s="10"/>
      <c r="B236" s="10"/>
      <c r="C236" s="10"/>
      <c r="D236" s="10"/>
      <c r="E236" s="10"/>
      <c r="F236" s="10"/>
      <c r="G236" s="10"/>
      <c r="H236" s="199"/>
      <c r="I236" s="200"/>
      <c r="J236" s="201"/>
      <c r="K236" s="179"/>
      <c r="L236" s="10"/>
      <c r="M236" s="202"/>
      <c r="N236" s="12">
        <f>272.4+37.7</f>
        <v>310.1</v>
      </c>
      <c r="O236" s="12" t="s">
        <v>8</v>
      </c>
      <c r="P236" s="233">
        <v>131.0</v>
      </c>
      <c r="Q236" s="12" t="s">
        <v>736</v>
      </c>
      <c r="R236" s="10"/>
      <c r="S236" s="10"/>
      <c r="T236" s="10"/>
      <c r="U236" s="10"/>
      <c r="V236" s="10"/>
      <c r="W236" s="10"/>
      <c r="X236" s="10"/>
      <c r="Y236" s="10"/>
    </row>
    <row r="237">
      <c r="A237" s="10"/>
      <c r="B237" s="10"/>
      <c r="C237" s="10"/>
      <c r="D237" s="10"/>
      <c r="E237" s="10"/>
      <c r="F237" s="10"/>
      <c r="G237" s="10"/>
      <c r="H237" s="199"/>
      <c r="I237" s="200"/>
      <c r="J237" s="201"/>
      <c r="K237" s="179"/>
      <c r="L237" s="10"/>
      <c r="M237" s="202"/>
      <c r="N237" s="203"/>
      <c r="O237" s="12" t="s">
        <v>2</v>
      </c>
      <c r="P237" s="234">
        <f>16.52-37.7</f>
        <v>-21.18</v>
      </c>
      <c r="Q237" s="12" t="s">
        <v>737</v>
      </c>
      <c r="R237" s="10"/>
      <c r="S237" s="10"/>
      <c r="T237" s="10"/>
      <c r="U237" s="10"/>
      <c r="V237" s="10"/>
      <c r="W237" s="10"/>
      <c r="X237" s="10"/>
      <c r="Y237" s="10"/>
    </row>
    <row r="238">
      <c r="A238" s="10"/>
      <c r="B238" s="10"/>
      <c r="C238" s="10"/>
      <c r="D238" s="10"/>
      <c r="E238" s="10"/>
      <c r="F238" s="10"/>
      <c r="G238" s="10"/>
      <c r="H238" s="199"/>
      <c r="I238" s="200"/>
      <c r="J238" s="201"/>
      <c r="K238" s="179"/>
      <c r="L238" s="10"/>
      <c r="M238" s="202"/>
      <c r="N238" s="203"/>
      <c r="O238" s="12" t="s">
        <v>13</v>
      </c>
      <c r="P238" s="234">
        <f>194.38-37.7</f>
        <v>156.68</v>
      </c>
      <c r="Q238" s="12" t="s">
        <v>736</v>
      </c>
      <c r="R238" s="10"/>
      <c r="S238" s="10"/>
      <c r="T238" s="10"/>
      <c r="U238" s="10"/>
      <c r="V238" s="10"/>
      <c r="W238" s="10"/>
      <c r="X238" s="10"/>
      <c r="Y238" s="10"/>
    </row>
    <row r="239">
      <c r="A239" s="10"/>
      <c r="B239" s="10"/>
      <c r="C239" s="10"/>
      <c r="D239" s="10"/>
      <c r="E239" s="10"/>
      <c r="F239" s="10"/>
      <c r="G239" s="10"/>
      <c r="H239" s="199"/>
      <c r="I239" s="200"/>
      <c r="J239" s="201"/>
      <c r="K239" s="179"/>
      <c r="L239" s="10"/>
      <c r="M239" s="202"/>
      <c r="N239" s="203"/>
      <c r="O239" s="12" t="s">
        <v>4</v>
      </c>
      <c r="P239" s="234">
        <f>74.66-23.1</f>
        <v>51.56</v>
      </c>
      <c r="Q239" s="12" t="s">
        <v>736</v>
      </c>
      <c r="R239" s="10"/>
      <c r="S239" s="10"/>
      <c r="T239" s="10"/>
      <c r="U239" s="10"/>
      <c r="V239" s="10"/>
      <c r="W239" s="10"/>
      <c r="X239" s="10"/>
      <c r="Y239" s="10"/>
    </row>
    <row r="240">
      <c r="A240" s="10"/>
      <c r="B240" s="10"/>
      <c r="C240" s="10"/>
      <c r="D240" s="10"/>
      <c r="E240" s="10"/>
      <c r="F240" s="10"/>
      <c r="G240" s="10"/>
      <c r="H240" s="199"/>
      <c r="I240" s="200"/>
      <c r="J240" s="201"/>
      <c r="K240" s="179"/>
      <c r="L240" s="10"/>
      <c r="M240" s="202"/>
      <c r="N240" s="203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</row>
    <row r="241">
      <c r="A241" s="10"/>
      <c r="B241" s="10"/>
      <c r="C241" s="10"/>
      <c r="D241" s="10"/>
      <c r="E241" s="10"/>
      <c r="F241" s="10"/>
      <c r="G241" s="10"/>
      <c r="H241" s="199"/>
      <c r="I241" s="200"/>
      <c r="J241" s="201"/>
      <c r="K241" s="179"/>
      <c r="L241" s="10"/>
      <c r="M241" s="202"/>
      <c r="N241" s="203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</row>
    <row r="242">
      <c r="A242" s="10"/>
      <c r="B242" s="10"/>
      <c r="C242" s="10"/>
      <c r="D242" s="10"/>
      <c r="E242" s="10"/>
      <c r="F242" s="10"/>
      <c r="G242" s="10"/>
      <c r="H242" s="199"/>
      <c r="I242" s="200"/>
      <c r="J242" s="201"/>
      <c r="K242" s="179"/>
      <c r="L242" s="10"/>
      <c r="M242" s="202"/>
      <c r="N242" s="203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</row>
    <row r="243">
      <c r="A243" s="10"/>
      <c r="B243" s="10"/>
      <c r="C243" s="10"/>
      <c r="D243" s="10"/>
      <c r="E243" s="10"/>
      <c r="F243" s="10"/>
      <c r="G243" s="10"/>
      <c r="H243" s="199"/>
      <c r="I243" s="200"/>
      <c r="J243" s="201"/>
      <c r="K243" s="179"/>
      <c r="L243" s="10"/>
      <c r="M243" s="202"/>
      <c r="N243" s="203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</row>
    <row r="244">
      <c r="A244" s="10"/>
      <c r="B244" s="10"/>
      <c r="C244" s="10"/>
      <c r="D244" s="10"/>
      <c r="E244" s="10"/>
      <c r="F244" s="10"/>
      <c r="G244" s="10"/>
      <c r="H244" s="199"/>
      <c r="I244" s="200"/>
      <c r="J244" s="201"/>
      <c r="K244" s="179"/>
      <c r="L244" s="10"/>
      <c r="M244" s="202"/>
      <c r="N244" s="203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</row>
    <row r="245">
      <c r="A245" s="10"/>
      <c r="B245" s="10"/>
      <c r="C245" s="10"/>
      <c r="D245" s="10"/>
      <c r="E245" s="10"/>
      <c r="F245" s="10"/>
      <c r="G245" s="10"/>
      <c r="H245" s="199"/>
      <c r="I245" s="200"/>
      <c r="J245" s="201"/>
      <c r="K245" s="179"/>
      <c r="L245" s="10"/>
      <c r="M245" s="202"/>
      <c r="N245" s="203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</row>
    <row r="246">
      <c r="A246" s="10"/>
      <c r="B246" s="10"/>
      <c r="C246" s="10"/>
      <c r="D246" s="10"/>
      <c r="E246" s="10"/>
      <c r="F246" s="10"/>
      <c r="G246" s="10"/>
      <c r="H246" s="199"/>
      <c r="I246" s="200"/>
      <c r="J246" s="201"/>
      <c r="K246" s="179"/>
      <c r="L246" s="10"/>
      <c r="M246" s="202"/>
      <c r="N246" s="203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</row>
    <row r="247">
      <c r="A247" s="10"/>
      <c r="B247" s="10"/>
      <c r="C247" s="10"/>
      <c r="D247" s="10"/>
      <c r="E247" s="10"/>
      <c r="F247" s="10"/>
      <c r="G247" s="10"/>
      <c r="H247" s="199"/>
      <c r="I247" s="200"/>
      <c r="J247" s="201"/>
      <c r="K247" s="179"/>
      <c r="L247" s="10"/>
      <c r="M247" s="202"/>
      <c r="N247" s="203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</row>
    <row r="248">
      <c r="A248" s="10"/>
      <c r="B248" s="10"/>
      <c r="C248" s="10"/>
      <c r="D248" s="10"/>
      <c r="E248" s="10"/>
      <c r="F248" s="10"/>
      <c r="G248" s="10"/>
      <c r="H248" s="199"/>
      <c r="I248" s="200"/>
      <c r="J248" s="201"/>
      <c r="K248" s="179"/>
      <c r="L248" s="10"/>
      <c r="M248" s="202"/>
      <c r="N248" s="203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</row>
    <row r="249">
      <c r="A249" s="10"/>
      <c r="B249" s="10"/>
      <c r="C249" s="10"/>
      <c r="D249" s="10"/>
      <c r="E249" s="10"/>
      <c r="F249" s="10"/>
      <c r="G249" s="10"/>
      <c r="H249" s="199"/>
      <c r="I249" s="200"/>
      <c r="J249" s="201"/>
      <c r="K249" s="179"/>
      <c r="L249" s="10"/>
      <c r="M249" s="202"/>
      <c r="N249" s="203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</row>
    <row r="250">
      <c r="A250" s="10"/>
      <c r="B250" s="10"/>
      <c r="C250" s="10"/>
      <c r="D250" s="10"/>
      <c r="E250" s="10"/>
      <c r="F250" s="10"/>
      <c r="G250" s="10"/>
      <c r="H250" s="199"/>
      <c r="I250" s="200"/>
      <c r="J250" s="201"/>
      <c r="K250" s="179"/>
      <c r="L250" s="10"/>
      <c r="M250" s="202"/>
      <c r="N250" s="203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</row>
    <row r="251">
      <c r="A251" s="10"/>
      <c r="B251" s="10"/>
      <c r="C251" s="10"/>
      <c r="D251" s="10"/>
      <c r="E251" s="10"/>
      <c r="F251" s="10"/>
      <c r="G251" s="10"/>
      <c r="H251" s="199"/>
      <c r="I251" s="200"/>
      <c r="J251" s="201"/>
      <c r="K251" s="179"/>
      <c r="L251" s="10"/>
      <c r="M251" s="202"/>
      <c r="N251" s="203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</row>
    <row r="252">
      <c r="A252" s="10"/>
      <c r="B252" s="10"/>
      <c r="C252" s="10"/>
      <c r="D252" s="10"/>
      <c r="E252" s="10"/>
      <c r="F252" s="10"/>
      <c r="G252" s="10"/>
      <c r="H252" s="199"/>
      <c r="I252" s="200"/>
      <c r="J252" s="201"/>
      <c r="K252" s="179"/>
      <c r="L252" s="10"/>
      <c r="M252" s="202"/>
      <c r="N252" s="203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</row>
    <row r="253">
      <c r="A253" s="10"/>
      <c r="B253" s="10"/>
      <c r="C253" s="10"/>
      <c r="D253" s="10"/>
      <c r="E253" s="10"/>
      <c r="F253" s="10"/>
      <c r="G253" s="10"/>
      <c r="H253" s="199"/>
      <c r="I253" s="200"/>
      <c r="J253" s="201"/>
      <c r="K253" s="179"/>
      <c r="L253" s="10"/>
      <c r="M253" s="202"/>
      <c r="N253" s="203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</row>
    <row r="254">
      <c r="A254" s="10"/>
      <c r="B254" s="10"/>
      <c r="C254" s="10"/>
      <c r="D254" s="10"/>
      <c r="E254" s="10"/>
      <c r="F254" s="10"/>
      <c r="G254" s="10"/>
      <c r="H254" s="199"/>
      <c r="I254" s="200"/>
      <c r="J254" s="201"/>
      <c r="K254" s="179"/>
      <c r="L254" s="10"/>
      <c r="M254" s="202"/>
      <c r="N254" s="203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</row>
    <row r="255">
      <c r="A255" s="10"/>
      <c r="B255" s="10"/>
      <c r="C255" s="10"/>
      <c r="D255" s="10"/>
      <c r="E255" s="10"/>
      <c r="F255" s="10"/>
      <c r="G255" s="10"/>
      <c r="H255" s="199"/>
      <c r="I255" s="200"/>
      <c r="J255" s="201"/>
      <c r="K255" s="179"/>
      <c r="L255" s="10"/>
      <c r="M255" s="202"/>
      <c r="N255" s="203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</row>
    <row r="256">
      <c r="A256" s="10"/>
      <c r="B256" s="10"/>
      <c r="C256" s="10"/>
      <c r="D256" s="10"/>
      <c r="E256" s="10"/>
      <c r="F256" s="10"/>
      <c r="G256" s="10"/>
      <c r="H256" s="199"/>
      <c r="I256" s="200"/>
      <c r="J256" s="201"/>
      <c r="K256" s="179"/>
      <c r="L256" s="10"/>
      <c r="M256" s="202"/>
      <c r="N256" s="203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</row>
    <row r="257">
      <c r="A257" s="10"/>
      <c r="B257" s="10"/>
      <c r="C257" s="10"/>
      <c r="D257" s="10"/>
      <c r="E257" s="10"/>
      <c r="F257" s="10"/>
      <c r="G257" s="10"/>
      <c r="H257" s="199"/>
      <c r="I257" s="200"/>
      <c r="J257" s="201"/>
      <c r="K257" s="179"/>
      <c r="L257" s="10"/>
      <c r="M257" s="202"/>
      <c r="N257" s="203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</row>
    <row r="258">
      <c r="A258" s="10"/>
      <c r="B258" s="10"/>
      <c r="C258" s="10"/>
      <c r="D258" s="10"/>
      <c r="E258" s="10"/>
      <c r="F258" s="10"/>
      <c r="G258" s="10"/>
      <c r="H258" s="199"/>
      <c r="I258" s="200"/>
      <c r="J258" s="201"/>
      <c r="K258" s="179"/>
      <c r="L258" s="10"/>
      <c r="M258" s="202"/>
      <c r="N258" s="203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</row>
    <row r="259">
      <c r="A259" s="10"/>
      <c r="B259" s="10"/>
      <c r="C259" s="10"/>
      <c r="D259" s="10"/>
      <c r="E259" s="10"/>
      <c r="F259" s="10"/>
      <c r="G259" s="10"/>
      <c r="H259" s="199"/>
      <c r="I259" s="200"/>
      <c r="J259" s="201"/>
      <c r="K259" s="179"/>
      <c r="L259" s="10"/>
      <c r="M259" s="202"/>
      <c r="N259" s="203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</row>
    <row r="260">
      <c r="A260" s="10"/>
      <c r="B260" s="10"/>
      <c r="C260" s="10"/>
      <c r="D260" s="10"/>
      <c r="E260" s="10"/>
      <c r="F260" s="10"/>
      <c r="G260" s="10"/>
      <c r="H260" s="199"/>
      <c r="I260" s="200"/>
      <c r="J260" s="201"/>
      <c r="K260" s="179"/>
      <c r="L260" s="10"/>
      <c r="M260" s="202"/>
      <c r="N260" s="203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</row>
    <row r="261">
      <c r="A261" s="10"/>
      <c r="B261" s="10"/>
      <c r="C261" s="10"/>
      <c r="D261" s="10"/>
      <c r="E261" s="10"/>
      <c r="F261" s="10"/>
      <c r="G261" s="10"/>
      <c r="H261" s="199"/>
      <c r="I261" s="200"/>
      <c r="J261" s="201"/>
      <c r="K261" s="179"/>
      <c r="L261" s="10"/>
      <c r="M261" s="202"/>
      <c r="N261" s="203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</row>
    <row r="262">
      <c r="A262" s="10"/>
      <c r="B262" s="10"/>
      <c r="C262" s="10"/>
      <c r="D262" s="10"/>
      <c r="E262" s="10"/>
      <c r="F262" s="10"/>
      <c r="G262" s="10"/>
      <c r="H262" s="199"/>
      <c r="I262" s="200"/>
      <c r="J262" s="201"/>
      <c r="K262" s="179"/>
      <c r="L262" s="10"/>
      <c r="M262" s="202"/>
      <c r="N262" s="203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</row>
    <row r="263">
      <c r="A263" s="10"/>
      <c r="B263" s="10"/>
      <c r="C263" s="10"/>
      <c r="D263" s="10"/>
      <c r="E263" s="10"/>
      <c r="F263" s="10"/>
      <c r="G263" s="10"/>
      <c r="H263" s="199"/>
      <c r="I263" s="200"/>
      <c r="J263" s="201"/>
      <c r="K263" s="179"/>
      <c r="L263" s="10"/>
      <c r="M263" s="202"/>
      <c r="N263" s="203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</row>
    <row r="264">
      <c r="A264" s="10"/>
      <c r="B264" s="10"/>
      <c r="C264" s="10"/>
      <c r="D264" s="10"/>
      <c r="E264" s="10"/>
      <c r="F264" s="10"/>
      <c r="G264" s="10"/>
      <c r="H264" s="199"/>
      <c r="I264" s="200"/>
      <c r="J264" s="201"/>
      <c r="K264" s="179"/>
      <c r="L264" s="10"/>
      <c r="M264" s="202"/>
      <c r="N264" s="203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</row>
    <row r="265">
      <c r="A265" s="10"/>
      <c r="B265" s="10"/>
      <c r="C265" s="10"/>
      <c r="D265" s="10"/>
      <c r="E265" s="10"/>
      <c r="F265" s="10"/>
      <c r="G265" s="10"/>
      <c r="H265" s="199"/>
      <c r="I265" s="200"/>
      <c r="J265" s="201"/>
      <c r="K265" s="179"/>
      <c r="L265" s="10"/>
      <c r="M265" s="202"/>
      <c r="N265" s="203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</row>
    <row r="266">
      <c r="A266" s="10"/>
      <c r="B266" s="10"/>
      <c r="C266" s="10"/>
      <c r="D266" s="10"/>
      <c r="E266" s="10"/>
      <c r="F266" s="10"/>
      <c r="G266" s="10"/>
      <c r="H266" s="199"/>
      <c r="I266" s="200"/>
      <c r="J266" s="201"/>
      <c r="K266" s="179"/>
      <c r="L266" s="10"/>
      <c r="M266" s="202"/>
      <c r="N266" s="203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</row>
    <row r="267">
      <c r="A267" s="10"/>
      <c r="B267" s="10"/>
      <c r="C267" s="10"/>
      <c r="D267" s="10"/>
      <c r="E267" s="10"/>
      <c r="F267" s="10"/>
      <c r="G267" s="10"/>
      <c r="H267" s="199"/>
      <c r="I267" s="200"/>
      <c r="J267" s="201"/>
      <c r="K267" s="179"/>
      <c r="L267" s="10"/>
      <c r="M267" s="202"/>
      <c r="N267" s="203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</row>
    <row r="268">
      <c r="A268" s="10"/>
      <c r="B268" s="10"/>
      <c r="C268" s="10"/>
      <c r="D268" s="10"/>
      <c r="E268" s="10"/>
      <c r="F268" s="10"/>
      <c r="G268" s="10"/>
      <c r="H268" s="199"/>
      <c r="I268" s="200"/>
      <c r="J268" s="201"/>
      <c r="K268" s="179"/>
      <c r="L268" s="10"/>
      <c r="M268" s="202"/>
      <c r="N268" s="203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</row>
    <row r="269">
      <c r="A269" s="10"/>
      <c r="B269" s="10"/>
      <c r="C269" s="10"/>
      <c r="D269" s="10"/>
      <c r="E269" s="10"/>
      <c r="F269" s="10"/>
      <c r="G269" s="10"/>
      <c r="H269" s="199"/>
      <c r="I269" s="200"/>
      <c r="J269" s="201"/>
      <c r="K269" s="179"/>
      <c r="L269" s="10"/>
      <c r="M269" s="202"/>
      <c r="N269" s="203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</row>
    <row r="270">
      <c r="A270" s="10"/>
      <c r="B270" s="10"/>
      <c r="C270" s="10"/>
      <c r="D270" s="10"/>
      <c r="E270" s="10"/>
      <c r="F270" s="10"/>
      <c r="G270" s="10"/>
      <c r="H270" s="199"/>
      <c r="I270" s="200"/>
      <c r="J270" s="201"/>
      <c r="K270" s="179"/>
      <c r="L270" s="10"/>
      <c r="M270" s="202"/>
      <c r="N270" s="203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</row>
    <row r="271">
      <c r="A271" s="10"/>
      <c r="B271" s="10"/>
      <c r="C271" s="10"/>
      <c r="D271" s="10"/>
      <c r="E271" s="10"/>
      <c r="F271" s="10"/>
      <c r="G271" s="10"/>
      <c r="H271" s="199"/>
      <c r="I271" s="200"/>
      <c r="J271" s="201"/>
      <c r="K271" s="179"/>
      <c r="L271" s="10"/>
      <c r="M271" s="202"/>
      <c r="N271" s="203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</row>
    <row r="272">
      <c r="A272" s="10"/>
      <c r="B272" s="10"/>
      <c r="C272" s="10"/>
      <c r="D272" s="10"/>
      <c r="E272" s="10"/>
      <c r="F272" s="10"/>
      <c r="G272" s="10"/>
      <c r="H272" s="199"/>
      <c r="I272" s="200"/>
      <c r="J272" s="201"/>
      <c r="K272" s="179"/>
      <c r="L272" s="10"/>
      <c r="M272" s="202"/>
      <c r="N272" s="203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</row>
    <row r="273">
      <c r="A273" s="10"/>
      <c r="B273" s="10"/>
      <c r="C273" s="10"/>
      <c r="D273" s="10"/>
      <c r="E273" s="10"/>
      <c r="F273" s="10"/>
      <c r="G273" s="10"/>
      <c r="H273" s="199"/>
      <c r="I273" s="200"/>
      <c r="J273" s="201"/>
      <c r="K273" s="179"/>
      <c r="L273" s="10"/>
      <c r="M273" s="202"/>
      <c r="N273" s="203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</row>
    <row r="274">
      <c r="A274" s="10"/>
      <c r="B274" s="10"/>
      <c r="C274" s="10"/>
      <c r="D274" s="10"/>
      <c r="E274" s="10"/>
      <c r="F274" s="10"/>
      <c r="G274" s="10"/>
      <c r="H274" s="199"/>
      <c r="I274" s="200"/>
      <c r="J274" s="201"/>
      <c r="K274" s="179"/>
      <c r="L274" s="10"/>
      <c r="M274" s="202"/>
      <c r="N274" s="203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</row>
    <row r="275">
      <c r="A275" s="10"/>
      <c r="B275" s="10"/>
      <c r="C275" s="10"/>
      <c r="D275" s="10"/>
      <c r="E275" s="10"/>
      <c r="F275" s="10"/>
      <c r="G275" s="10"/>
      <c r="H275" s="199"/>
      <c r="I275" s="200"/>
      <c r="J275" s="201"/>
      <c r="K275" s="179"/>
      <c r="L275" s="10"/>
      <c r="M275" s="202"/>
      <c r="N275" s="203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</row>
    <row r="276">
      <c r="A276" s="10"/>
      <c r="B276" s="10"/>
      <c r="C276" s="10"/>
      <c r="D276" s="10"/>
      <c r="E276" s="10"/>
      <c r="F276" s="10"/>
      <c r="G276" s="10"/>
      <c r="H276" s="199"/>
      <c r="I276" s="200"/>
      <c r="J276" s="201"/>
      <c r="K276" s="179"/>
      <c r="L276" s="10"/>
      <c r="M276" s="202"/>
      <c r="N276" s="203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</row>
    <row r="277">
      <c r="A277" s="10"/>
      <c r="B277" s="10"/>
      <c r="C277" s="10"/>
      <c r="D277" s="10"/>
      <c r="E277" s="10"/>
      <c r="F277" s="10"/>
      <c r="G277" s="10"/>
      <c r="H277" s="199"/>
      <c r="I277" s="200"/>
      <c r="J277" s="201"/>
      <c r="K277" s="179"/>
      <c r="L277" s="10"/>
      <c r="M277" s="202"/>
      <c r="N277" s="203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</row>
    <row r="278">
      <c r="A278" s="10"/>
      <c r="B278" s="10"/>
      <c r="C278" s="10"/>
      <c r="D278" s="10"/>
      <c r="E278" s="10"/>
      <c r="F278" s="10"/>
      <c r="G278" s="10"/>
      <c r="H278" s="199"/>
      <c r="I278" s="200"/>
      <c r="J278" s="201"/>
      <c r="K278" s="179"/>
      <c r="L278" s="10"/>
      <c r="M278" s="202"/>
      <c r="N278" s="203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</row>
    <row r="279">
      <c r="A279" s="10"/>
      <c r="B279" s="10"/>
      <c r="C279" s="10"/>
      <c r="D279" s="10"/>
      <c r="E279" s="10"/>
      <c r="F279" s="10"/>
      <c r="G279" s="10"/>
      <c r="H279" s="199"/>
      <c r="I279" s="200"/>
      <c r="J279" s="201"/>
      <c r="K279" s="179"/>
      <c r="L279" s="10"/>
      <c r="M279" s="202"/>
      <c r="N279" s="203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</row>
    <row r="280">
      <c r="A280" s="10"/>
      <c r="B280" s="10"/>
      <c r="C280" s="10"/>
      <c r="D280" s="10"/>
      <c r="E280" s="10"/>
      <c r="F280" s="10"/>
      <c r="G280" s="10"/>
      <c r="H280" s="199"/>
      <c r="I280" s="200"/>
      <c r="J280" s="201"/>
      <c r="K280" s="179"/>
      <c r="L280" s="10"/>
      <c r="M280" s="202"/>
      <c r="N280" s="203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</row>
    <row r="281">
      <c r="A281" s="10"/>
      <c r="B281" s="10"/>
      <c r="C281" s="10"/>
      <c r="D281" s="10"/>
      <c r="E281" s="10"/>
      <c r="F281" s="10"/>
      <c r="G281" s="10"/>
      <c r="H281" s="199"/>
      <c r="I281" s="200"/>
      <c r="J281" s="201"/>
      <c r="K281" s="179"/>
      <c r="L281" s="10"/>
      <c r="M281" s="202"/>
      <c r="N281" s="203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</row>
    <row r="282">
      <c r="A282" s="10"/>
      <c r="B282" s="10"/>
      <c r="C282" s="10"/>
      <c r="D282" s="10"/>
      <c r="E282" s="10"/>
      <c r="F282" s="10"/>
      <c r="G282" s="10"/>
      <c r="H282" s="199"/>
      <c r="I282" s="200"/>
      <c r="J282" s="201"/>
      <c r="K282" s="179"/>
      <c r="L282" s="10"/>
      <c r="M282" s="202"/>
      <c r="N282" s="203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</row>
    <row r="283">
      <c r="A283" s="10"/>
      <c r="B283" s="10"/>
      <c r="C283" s="10"/>
      <c r="D283" s="10"/>
      <c r="E283" s="10"/>
      <c r="F283" s="10"/>
      <c r="G283" s="10"/>
      <c r="H283" s="199"/>
      <c r="I283" s="200"/>
      <c r="J283" s="201"/>
      <c r="K283" s="179"/>
      <c r="L283" s="10"/>
      <c r="M283" s="202"/>
      <c r="N283" s="203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</row>
    <row r="284">
      <c r="A284" s="10"/>
      <c r="B284" s="10"/>
      <c r="C284" s="10"/>
      <c r="D284" s="10"/>
      <c r="E284" s="10"/>
      <c r="F284" s="10"/>
      <c r="G284" s="10"/>
      <c r="H284" s="199"/>
      <c r="I284" s="200"/>
      <c r="J284" s="201"/>
      <c r="K284" s="179"/>
      <c r="L284" s="10"/>
      <c r="M284" s="202"/>
      <c r="N284" s="203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</row>
    <row r="285">
      <c r="A285" s="10"/>
      <c r="B285" s="10"/>
      <c r="C285" s="10"/>
      <c r="D285" s="10"/>
      <c r="E285" s="10"/>
      <c r="F285" s="10"/>
      <c r="G285" s="10"/>
      <c r="H285" s="199"/>
      <c r="I285" s="200"/>
      <c r="J285" s="201"/>
      <c r="K285" s="179"/>
      <c r="L285" s="10"/>
      <c r="M285" s="202"/>
      <c r="N285" s="203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</row>
    <row r="286">
      <c r="A286" s="10"/>
      <c r="B286" s="10"/>
      <c r="C286" s="10"/>
      <c r="D286" s="10"/>
      <c r="E286" s="10"/>
      <c r="F286" s="10"/>
      <c r="G286" s="10"/>
      <c r="H286" s="199"/>
      <c r="I286" s="200"/>
      <c r="J286" s="201"/>
      <c r="K286" s="179"/>
      <c r="L286" s="10"/>
      <c r="M286" s="202"/>
      <c r="N286" s="203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</row>
    <row r="287">
      <c r="A287" s="10"/>
      <c r="B287" s="10"/>
      <c r="C287" s="10"/>
      <c r="D287" s="10"/>
      <c r="E287" s="10"/>
      <c r="F287" s="10"/>
      <c r="G287" s="10"/>
      <c r="H287" s="199"/>
      <c r="I287" s="200"/>
      <c r="J287" s="201"/>
      <c r="K287" s="179"/>
      <c r="L287" s="10"/>
      <c r="M287" s="202"/>
      <c r="N287" s="203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</row>
    <row r="288">
      <c r="A288" s="10"/>
      <c r="B288" s="10"/>
      <c r="C288" s="10"/>
      <c r="D288" s="10"/>
      <c r="E288" s="10"/>
      <c r="F288" s="10"/>
      <c r="G288" s="10"/>
      <c r="H288" s="199"/>
      <c r="I288" s="200"/>
      <c r="J288" s="201"/>
      <c r="K288" s="179"/>
      <c r="L288" s="10"/>
      <c r="M288" s="202"/>
      <c r="N288" s="203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</row>
    <row r="289">
      <c r="A289" s="10"/>
      <c r="B289" s="10"/>
      <c r="C289" s="10"/>
      <c r="D289" s="10"/>
      <c r="E289" s="10"/>
      <c r="F289" s="10"/>
      <c r="G289" s="10"/>
      <c r="H289" s="199"/>
      <c r="I289" s="200"/>
      <c r="J289" s="201"/>
      <c r="K289" s="179"/>
      <c r="L289" s="10"/>
      <c r="M289" s="202"/>
      <c r="N289" s="203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</row>
    <row r="290">
      <c r="A290" s="10"/>
      <c r="B290" s="10"/>
      <c r="C290" s="10"/>
      <c r="D290" s="10"/>
      <c r="E290" s="10"/>
      <c r="F290" s="10"/>
      <c r="G290" s="10"/>
      <c r="H290" s="199"/>
      <c r="I290" s="200"/>
      <c r="J290" s="201"/>
      <c r="K290" s="179"/>
      <c r="L290" s="10"/>
      <c r="M290" s="202"/>
      <c r="N290" s="203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</row>
    <row r="291">
      <c r="A291" s="10"/>
      <c r="B291" s="10"/>
      <c r="C291" s="10"/>
      <c r="D291" s="10"/>
      <c r="E291" s="10"/>
      <c r="F291" s="10"/>
      <c r="G291" s="10"/>
      <c r="H291" s="199"/>
      <c r="I291" s="200"/>
      <c r="J291" s="201"/>
      <c r="K291" s="179"/>
      <c r="L291" s="10"/>
      <c r="M291" s="202"/>
      <c r="N291" s="203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</row>
    <row r="292">
      <c r="A292" s="10"/>
      <c r="B292" s="10"/>
      <c r="C292" s="10"/>
      <c r="D292" s="10"/>
      <c r="E292" s="10"/>
      <c r="F292" s="10"/>
      <c r="G292" s="10"/>
      <c r="H292" s="199"/>
      <c r="I292" s="200"/>
      <c r="J292" s="201"/>
      <c r="K292" s="179"/>
      <c r="L292" s="10"/>
      <c r="M292" s="202"/>
      <c r="N292" s="203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</row>
    <row r="293">
      <c r="A293" s="10"/>
      <c r="B293" s="10"/>
      <c r="C293" s="10"/>
      <c r="D293" s="10"/>
      <c r="E293" s="10"/>
      <c r="F293" s="10"/>
      <c r="G293" s="10"/>
      <c r="H293" s="199"/>
      <c r="I293" s="200"/>
      <c r="J293" s="201"/>
      <c r="K293" s="179"/>
      <c r="L293" s="10"/>
      <c r="M293" s="202"/>
      <c r="N293" s="203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</row>
    <row r="294">
      <c r="A294" s="10"/>
      <c r="B294" s="10"/>
      <c r="C294" s="10"/>
      <c r="D294" s="10"/>
      <c r="E294" s="10"/>
      <c r="F294" s="10"/>
      <c r="G294" s="10"/>
      <c r="H294" s="199"/>
      <c r="I294" s="200"/>
      <c r="J294" s="201"/>
      <c r="K294" s="179"/>
      <c r="L294" s="10"/>
      <c r="M294" s="202"/>
      <c r="N294" s="203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</row>
    <row r="295">
      <c r="A295" s="10"/>
      <c r="B295" s="10"/>
      <c r="C295" s="10"/>
      <c r="D295" s="10"/>
      <c r="E295" s="10"/>
      <c r="F295" s="10"/>
      <c r="G295" s="10"/>
      <c r="H295" s="199"/>
      <c r="I295" s="200"/>
      <c r="J295" s="201"/>
      <c r="K295" s="179"/>
      <c r="L295" s="10"/>
      <c r="M295" s="202"/>
      <c r="N295" s="203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</row>
    <row r="296">
      <c r="A296" s="10"/>
      <c r="B296" s="10"/>
      <c r="C296" s="10"/>
      <c r="D296" s="10"/>
      <c r="E296" s="10"/>
      <c r="F296" s="10"/>
      <c r="G296" s="10"/>
      <c r="H296" s="199"/>
      <c r="I296" s="200"/>
      <c r="J296" s="201"/>
      <c r="K296" s="179"/>
      <c r="L296" s="10"/>
      <c r="M296" s="202"/>
      <c r="N296" s="203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</row>
    <row r="297">
      <c r="A297" s="10"/>
      <c r="B297" s="10"/>
      <c r="C297" s="10"/>
      <c r="D297" s="10"/>
      <c r="E297" s="10"/>
      <c r="F297" s="10"/>
      <c r="G297" s="10"/>
      <c r="H297" s="199"/>
      <c r="I297" s="200"/>
      <c r="J297" s="201"/>
      <c r="K297" s="179"/>
      <c r="L297" s="10"/>
      <c r="M297" s="202"/>
      <c r="N297" s="203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</row>
    <row r="298">
      <c r="A298" s="10"/>
      <c r="B298" s="10"/>
      <c r="C298" s="10"/>
      <c r="D298" s="10"/>
      <c r="E298" s="10"/>
      <c r="F298" s="10"/>
      <c r="G298" s="10"/>
      <c r="H298" s="199"/>
      <c r="I298" s="200"/>
      <c r="J298" s="201"/>
      <c r="K298" s="179"/>
      <c r="L298" s="10"/>
      <c r="M298" s="202"/>
      <c r="N298" s="203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</row>
    <row r="299">
      <c r="A299" s="10"/>
      <c r="B299" s="10"/>
      <c r="C299" s="10"/>
      <c r="D299" s="10"/>
      <c r="E299" s="10"/>
      <c r="F299" s="10"/>
      <c r="G299" s="10"/>
      <c r="H299" s="199"/>
      <c r="I299" s="200"/>
      <c r="J299" s="201"/>
      <c r="K299" s="179"/>
      <c r="L299" s="10"/>
      <c r="M299" s="202"/>
      <c r="N299" s="203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</row>
    <row r="300">
      <c r="A300" s="10"/>
      <c r="B300" s="10"/>
      <c r="C300" s="10"/>
      <c r="D300" s="10"/>
      <c r="E300" s="10"/>
      <c r="F300" s="10"/>
      <c r="G300" s="10"/>
      <c r="H300" s="199"/>
      <c r="I300" s="200"/>
      <c r="J300" s="201"/>
      <c r="K300" s="179"/>
      <c r="L300" s="10"/>
      <c r="M300" s="202"/>
      <c r="N300" s="203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</row>
    <row r="301">
      <c r="A301" s="10"/>
      <c r="B301" s="10"/>
      <c r="C301" s="10"/>
      <c r="D301" s="10"/>
      <c r="E301" s="10"/>
      <c r="F301" s="10"/>
      <c r="G301" s="10"/>
      <c r="H301" s="199"/>
      <c r="I301" s="200"/>
      <c r="J301" s="201"/>
      <c r="K301" s="179"/>
      <c r="L301" s="10"/>
      <c r="M301" s="202"/>
      <c r="N301" s="203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</row>
    <row r="302">
      <c r="A302" s="10"/>
      <c r="B302" s="10"/>
      <c r="C302" s="10"/>
      <c r="D302" s="10"/>
      <c r="E302" s="10"/>
      <c r="F302" s="10"/>
      <c r="G302" s="10"/>
      <c r="H302" s="199"/>
      <c r="I302" s="200"/>
      <c r="J302" s="201"/>
      <c r="K302" s="179"/>
      <c r="L302" s="10"/>
      <c r="M302" s="202"/>
      <c r="N302" s="203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</row>
    <row r="303">
      <c r="A303" s="10"/>
      <c r="B303" s="10"/>
      <c r="C303" s="10"/>
      <c r="D303" s="10"/>
      <c r="E303" s="10"/>
      <c r="F303" s="10"/>
      <c r="G303" s="10"/>
      <c r="H303" s="199"/>
      <c r="I303" s="200"/>
      <c r="J303" s="201"/>
      <c r="K303" s="179"/>
      <c r="L303" s="10"/>
      <c r="M303" s="202"/>
      <c r="N303" s="203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</row>
    <row r="304">
      <c r="A304" s="10"/>
      <c r="B304" s="10"/>
      <c r="C304" s="10"/>
      <c r="D304" s="10"/>
      <c r="E304" s="10"/>
      <c r="F304" s="10"/>
      <c r="G304" s="10"/>
      <c r="H304" s="199"/>
      <c r="I304" s="200"/>
      <c r="J304" s="201"/>
      <c r="K304" s="179"/>
      <c r="L304" s="10"/>
      <c r="M304" s="202"/>
      <c r="N304" s="203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</row>
    <row r="305">
      <c r="A305" s="10"/>
      <c r="B305" s="10"/>
      <c r="C305" s="10"/>
      <c r="D305" s="10"/>
      <c r="E305" s="10"/>
      <c r="F305" s="10"/>
      <c r="G305" s="10"/>
      <c r="H305" s="199"/>
      <c r="I305" s="200"/>
      <c r="J305" s="201"/>
      <c r="K305" s="179"/>
      <c r="L305" s="10"/>
      <c r="M305" s="202"/>
      <c r="N305" s="203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</row>
    <row r="306">
      <c r="A306" s="10"/>
      <c r="B306" s="10"/>
      <c r="C306" s="10"/>
      <c r="D306" s="10"/>
      <c r="E306" s="10"/>
      <c r="F306" s="10"/>
      <c r="G306" s="10"/>
      <c r="H306" s="199"/>
      <c r="I306" s="200"/>
      <c r="J306" s="201"/>
      <c r="K306" s="179"/>
      <c r="L306" s="10"/>
      <c r="M306" s="202"/>
      <c r="N306" s="203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</row>
    <row r="307">
      <c r="A307" s="10"/>
      <c r="B307" s="10"/>
      <c r="C307" s="10"/>
      <c r="D307" s="10"/>
      <c r="E307" s="10"/>
      <c r="F307" s="10"/>
      <c r="G307" s="10"/>
      <c r="H307" s="199"/>
      <c r="I307" s="200"/>
      <c r="J307" s="201"/>
      <c r="K307" s="179"/>
      <c r="L307" s="10"/>
      <c r="M307" s="202"/>
      <c r="N307" s="203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</row>
    <row r="308">
      <c r="A308" s="10"/>
      <c r="B308" s="10"/>
      <c r="C308" s="10"/>
      <c r="D308" s="10"/>
      <c r="E308" s="10"/>
      <c r="F308" s="10"/>
      <c r="G308" s="10"/>
      <c r="H308" s="199"/>
      <c r="I308" s="200"/>
      <c r="J308" s="201"/>
      <c r="K308" s="179"/>
      <c r="L308" s="10"/>
      <c r="M308" s="202"/>
      <c r="N308" s="203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</row>
    <row r="309">
      <c r="A309" s="10"/>
      <c r="B309" s="10"/>
      <c r="C309" s="10"/>
      <c r="D309" s="10"/>
      <c r="E309" s="10"/>
      <c r="F309" s="10"/>
      <c r="G309" s="10"/>
      <c r="H309" s="199"/>
      <c r="I309" s="200"/>
      <c r="J309" s="201"/>
      <c r="K309" s="179"/>
      <c r="L309" s="10"/>
      <c r="M309" s="202"/>
      <c r="N309" s="203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</row>
    <row r="310">
      <c r="A310" s="10"/>
      <c r="B310" s="10"/>
      <c r="C310" s="10"/>
      <c r="D310" s="10"/>
      <c r="E310" s="10"/>
      <c r="F310" s="10"/>
      <c r="G310" s="10"/>
      <c r="H310" s="199"/>
      <c r="I310" s="200"/>
      <c r="J310" s="201"/>
      <c r="K310" s="179"/>
      <c r="L310" s="10"/>
      <c r="M310" s="202"/>
      <c r="N310" s="203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</row>
    <row r="311">
      <c r="A311" s="10"/>
      <c r="B311" s="10"/>
      <c r="C311" s="10"/>
      <c r="D311" s="10"/>
      <c r="E311" s="10"/>
      <c r="F311" s="10"/>
      <c r="G311" s="10"/>
      <c r="H311" s="199"/>
      <c r="I311" s="200"/>
      <c r="J311" s="201"/>
      <c r="K311" s="179"/>
      <c r="L311" s="10"/>
      <c r="M311" s="202"/>
      <c r="N311" s="203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</row>
    <row r="312">
      <c r="A312" s="10"/>
      <c r="B312" s="10"/>
      <c r="C312" s="10"/>
      <c r="D312" s="10"/>
      <c r="E312" s="10"/>
      <c r="F312" s="10"/>
      <c r="G312" s="10"/>
      <c r="H312" s="199"/>
      <c r="I312" s="200"/>
      <c r="J312" s="201"/>
      <c r="K312" s="179"/>
      <c r="L312" s="10"/>
      <c r="M312" s="202"/>
      <c r="N312" s="203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</row>
    <row r="313">
      <c r="A313" s="10"/>
      <c r="B313" s="10"/>
      <c r="C313" s="10"/>
      <c r="D313" s="10"/>
      <c r="E313" s="10"/>
      <c r="F313" s="10"/>
      <c r="G313" s="10"/>
      <c r="H313" s="199"/>
      <c r="I313" s="200"/>
      <c r="J313" s="201"/>
      <c r="K313" s="179"/>
      <c r="L313" s="10"/>
      <c r="M313" s="202"/>
      <c r="N313" s="203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</row>
    <row r="314">
      <c r="A314" s="10"/>
      <c r="B314" s="10"/>
      <c r="C314" s="10"/>
      <c r="D314" s="10"/>
      <c r="E314" s="10"/>
      <c r="F314" s="10"/>
      <c r="G314" s="10"/>
      <c r="H314" s="199"/>
      <c r="I314" s="200"/>
      <c r="J314" s="201"/>
      <c r="K314" s="179"/>
      <c r="L314" s="10"/>
      <c r="M314" s="202"/>
      <c r="N314" s="203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</row>
    <row r="315">
      <c r="A315" s="10"/>
      <c r="B315" s="10"/>
      <c r="C315" s="10"/>
      <c r="D315" s="10"/>
      <c r="E315" s="10"/>
      <c r="F315" s="10"/>
      <c r="G315" s="10"/>
      <c r="H315" s="199"/>
      <c r="I315" s="200"/>
      <c r="J315" s="201"/>
      <c r="K315" s="179"/>
      <c r="L315" s="10"/>
      <c r="M315" s="202"/>
      <c r="N315" s="203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</row>
    <row r="316">
      <c r="A316" s="10"/>
      <c r="B316" s="10"/>
      <c r="C316" s="10"/>
      <c r="D316" s="10"/>
      <c r="E316" s="10"/>
      <c r="F316" s="10"/>
      <c r="G316" s="10"/>
      <c r="H316" s="199"/>
      <c r="I316" s="200"/>
      <c r="J316" s="201"/>
      <c r="K316" s="179"/>
      <c r="L316" s="10"/>
      <c r="M316" s="202"/>
      <c r="N316" s="203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</row>
    <row r="317">
      <c r="A317" s="10"/>
      <c r="B317" s="10"/>
      <c r="C317" s="10"/>
      <c r="D317" s="10"/>
      <c r="E317" s="10"/>
      <c r="F317" s="10"/>
      <c r="G317" s="10"/>
      <c r="H317" s="199"/>
      <c r="I317" s="200"/>
      <c r="J317" s="201"/>
      <c r="K317" s="179"/>
      <c r="L317" s="10"/>
      <c r="M317" s="202"/>
      <c r="N317" s="203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</row>
    <row r="318">
      <c r="A318" s="10"/>
      <c r="B318" s="10"/>
      <c r="C318" s="10"/>
      <c r="D318" s="10"/>
      <c r="E318" s="10"/>
      <c r="F318" s="10"/>
      <c r="G318" s="10"/>
      <c r="H318" s="199"/>
      <c r="I318" s="200"/>
      <c r="J318" s="201"/>
      <c r="K318" s="179"/>
      <c r="L318" s="10"/>
      <c r="M318" s="202"/>
      <c r="N318" s="203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</row>
    <row r="319">
      <c r="A319" s="10"/>
      <c r="B319" s="10"/>
      <c r="C319" s="10"/>
      <c r="D319" s="10"/>
      <c r="E319" s="10"/>
      <c r="F319" s="10"/>
      <c r="G319" s="10"/>
      <c r="H319" s="199"/>
      <c r="I319" s="200"/>
      <c r="J319" s="201"/>
      <c r="K319" s="179"/>
      <c r="L319" s="10"/>
      <c r="M319" s="202"/>
      <c r="N319" s="203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</row>
    <row r="320">
      <c r="A320" s="10"/>
      <c r="B320" s="10"/>
      <c r="C320" s="10"/>
      <c r="D320" s="10"/>
      <c r="E320" s="10"/>
      <c r="F320" s="10"/>
      <c r="G320" s="10"/>
      <c r="H320" s="199"/>
      <c r="I320" s="200"/>
      <c r="J320" s="201"/>
      <c r="K320" s="179"/>
      <c r="L320" s="10"/>
      <c r="M320" s="202"/>
      <c r="N320" s="203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</row>
    <row r="321">
      <c r="A321" s="10"/>
      <c r="B321" s="10"/>
      <c r="C321" s="10"/>
      <c r="D321" s="10"/>
      <c r="E321" s="10"/>
      <c r="F321" s="10"/>
      <c r="G321" s="10"/>
      <c r="H321" s="199"/>
      <c r="I321" s="200"/>
      <c r="J321" s="201"/>
      <c r="K321" s="179"/>
      <c r="L321" s="10"/>
      <c r="M321" s="202"/>
      <c r="N321" s="203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</row>
    <row r="322">
      <c r="A322" s="10"/>
      <c r="B322" s="10"/>
      <c r="C322" s="10"/>
      <c r="D322" s="10"/>
      <c r="E322" s="10"/>
      <c r="F322" s="10"/>
      <c r="G322" s="10"/>
      <c r="H322" s="199"/>
      <c r="I322" s="200"/>
      <c r="J322" s="201"/>
      <c r="K322" s="179"/>
      <c r="L322" s="10"/>
      <c r="M322" s="202"/>
      <c r="N322" s="203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</row>
    <row r="323">
      <c r="A323" s="10"/>
      <c r="B323" s="10"/>
      <c r="C323" s="10"/>
      <c r="D323" s="10"/>
      <c r="E323" s="10"/>
      <c r="F323" s="10"/>
      <c r="G323" s="10"/>
      <c r="H323" s="199"/>
      <c r="I323" s="200"/>
      <c r="J323" s="201"/>
      <c r="K323" s="179"/>
      <c r="L323" s="10"/>
      <c r="M323" s="202"/>
      <c r="N323" s="203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</row>
    <row r="324">
      <c r="A324" s="10"/>
      <c r="B324" s="10"/>
      <c r="C324" s="10"/>
      <c r="D324" s="10"/>
      <c r="E324" s="10"/>
      <c r="F324" s="10"/>
      <c r="G324" s="10"/>
      <c r="H324" s="199"/>
      <c r="I324" s="200"/>
      <c r="J324" s="201"/>
      <c r="K324" s="179"/>
      <c r="L324" s="10"/>
      <c r="M324" s="202"/>
      <c r="N324" s="203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</row>
    <row r="325">
      <c r="A325" s="10"/>
      <c r="B325" s="10"/>
      <c r="C325" s="10"/>
      <c r="D325" s="10"/>
      <c r="E325" s="10"/>
      <c r="F325" s="10"/>
      <c r="G325" s="10"/>
      <c r="H325" s="199"/>
      <c r="I325" s="200"/>
      <c r="J325" s="201"/>
      <c r="K325" s="179"/>
      <c r="L325" s="10"/>
      <c r="M325" s="202"/>
      <c r="N325" s="203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</row>
    <row r="326">
      <c r="A326" s="10"/>
      <c r="B326" s="10"/>
      <c r="C326" s="10"/>
      <c r="D326" s="10"/>
      <c r="E326" s="10"/>
      <c r="F326" s="10"/>
      <c r="G326" s="10"/>
      <c r="H326" s="199"/>
      <c r="I326" s="200"/>
      <c r="J326" s="201"/>
      <c r="K326" s="179"/>
      <c r="L326" s="10"/>
      <c r="M326" s="202"/>
      <c r="N326" s="203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</row>
    <row r="327">
      <c r="A327" s="10"/>
      <c r="B327" s="10"/>
      <c r="C327" s="10"/>
      <c r="D327" s="10"/>
      <c r="E327" s="10"/>
      <c r="F327" s="10"/>
      <c r="G327" s="10"/>
      <c r="H327" s="199"/>
      <c r="I327" s="200"/>
      <c r="J327" s="201"/>
      <c r="K327" s="179"/>
      <c r="L327" s="10"/>
      <c r="M327" s="202"/>
      <c r="N327" s="203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</row>
    <row r="328">
      <c r="A328" s="10"/>
      <c r="B328" s="10"/>
      <c r="C328" s="10"/>
      <c r="D328" s="10"/>
      <c r="E328" s="10"/>
      <c r="F328" s="10"/>
      <c r="G328" s="10"/>
      <c r="H328" s="199"/>
      <c r="I328" s="200"/>
      <c r="J328" s="201"/>
      <c r="K328" s="179"/>
      <c r="L328" s="10"/>
      <c r="M328" s="202"/>
      <c r="N328" s="203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</row>
    <row r="329">
      <c r="A329" s="10"/>
      <c r="B329" s="10"/>
      <c r="C329" s="10"/>
      <c r="D329" s="10"/>
      <c r="E329" s="10"/>
      <c r="F329" s="10"/>
      <c r="G329" s="10"/>
      <c r="H329" s="199"/>
      <c r="I329" s="200"/>
      <c r="J329" s="201"/>
      <c r="K329" s="179"/>
      <c r="L329" s="10"/>
      <c r="M329" s="202"/>
      <c r="N329" s="203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</row>
    <row r="330">
      <c r="A330" s="10"/>
      <c r="B330" s="10"/>
      <c r="C330" s="10"/>
      <c r="D330" s="10"/>
      <c r="E330" s="10"/>
      <c r="F330" s="10"/>
      <c r="G330" s="10"/>
      <c r="H330" s="199"/>
      <c r="I330" s="200"/>
      <c r="J330" s="201"/>
      <c r="K330" s="179"/>
      <c r="L330" s="10"/>
      <c r="M330" s="202"/>
      <c r="N330" s="203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</row>
    <row r="331">
      <c r="A331" s="10"/>
      <c r="B331" s="10"/>
      <c r="C331" s="10"/>
      <c r="D331" s="10"/>
      <c r="E331" s="10"/>
      <c r="F331" s="10"/>
      <c r="G331" s="10"/>
      <c r="H331" s="199"/>
      <c r="I331" s="200"/>
      <c r="J331" s="201"/>
      <c r="K331" s="179"/>
      <c r="L331" s="10"/>
      <c r="M331" s="202"/>
      <c r="N331" s="203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</row>
    <row r="332">
      <c r="A332" s="10"/>
      <c r="B332" s="10"/>
      <c r="C332" s="10"/>
      <c r="D332" s="10"/>
      <c r="E332" s="10"/>
      <c r="F332" s="10"/>
      <c r="G332" s="10"/>
      <c r="H332" s="199"/>
      <c r="I332" s="200"/>
      <c r="J332" s="201"/>
      <c r="K332" s="179"/>
      <c r="L332" s="10"/>
      <c r="M332" s="202"/>
      <c r="N332" s="203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</row>
    <row r="333">
      <c r="A333" s="10"/>
      <c r="B333" s="10"/>
      <c r="C333" s="10"/>
      <c r="D333" s="10"/>
      <c r="E333" s="10"/>
      <c r="F333" s="10"/>
      <c r="G333" s="10"/>
      <c r="H333" s="199"/>
      <c r="I333" s="200"/>
      <c r="J333" s="201"/>
      <c r="K333" s="179"/>
      <c r="L333" s="10"/>
      <c r="M333" s="202"/>
      <c r="N333" s="203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</row>
    <row r="334">
      <c r="A334" s="10"/>
      <c r="B334" s="10"/>
      <c r="C334" s="10"/>
      <c r="D334" s="10"/>
      <c r="E334" s="10"/>
      <c r="F334" s="10"/>
      <c r="G334" s="10"/>
      <c r="H334" s="199"/>
      <c r="I334" s="200"/>
      <c r="J334" s="201"/>
      <c r="K334" s="179"/>
      <c r="L334" s="10"/>
      <c r="M334" s="202"/>
      <c r="N334" s="203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</row>
    <row r="335">
      <c r="A335" s="10"/>
      <c r="B335" s="10"/>
      <c r="C335" s="10"/>
      <c r="D335" s="10"/>
      <c r="E335" s="10"/>
      <c r="F335" s="10"/>
      <c r="G335" s="10"/>
      <c r="H335" s="199"/>
      <c r="I335" s="200"/>
      <c r="J335" s="201"/>
      <c r="K335" s="179"/>
      <c r="L335" s="10"/>
      <c r="M335" s="202"/>
      <c r="N335" s="203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</row>
    <row r="336">
      <c r="A336" s="10"/>
      <c r="B336" s="10"/>
      <c r="C336" s="10"/>
      <c r="D336" s="10"/>
      <c r="E336" s="10"/>
      <c r="F336" s="10"/>
      <c r="G336" s="10"/>
      <c r="H336" s="199"/>
      <c r="I336" s="200"/>
      <c r="J336" s="201"/>
      <c r="K336" s="179"/>
      <c r="L336" s="10"/>
      <c r="M336" s="202"/>
      <c r="N336" s="203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</row>
    <row r="337">
      <c r="A337" s="10"/>
      <c r="B337" s="10"/>
      <c r="C337" s="10"/>
      <c r="D337" s="10"/>
      <c r="E337" s="10"/>
      <c r="F337" s="10"/>
      <c r="G337" s="10"/>
      <c r="H337" s="199"/>
      <c r="I337" s="200"/>
      <c r="J337" s="201"/>
      <c r="K337" s="179"/>
      <c r="L337" s="10"/>
      <c r="M337" s="202"/>
      <c r="N337" s="203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</row>
    <row r="338">
      <c r="A338" s="10"/>
      <c r="B338" s="10"/>
      <c r="C338" s="10"/>
      <c r="D338" s="10"/>
      <c r="E338" s="10"/>
      <c r="F338" s="10"/>
      <c r="G338" s="10"/>
      <c r="H338" s="199"/>
      <c r="I338" s="200"/>
      <c r="J338" s="201"/>
      <c r="K338" s="179"/>
      <c r="L338" s="10"/>
      <c r="M338" s="202"/>
      <c r="N338" s="203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</row>
    <row r="339">
      <c r="A339" s="10"/>
      <c r="B339" s="10"/>
      <c r="C339" s="10"/>
      <c r="D339" s="10"/>
      <c r="E339" s="10"/>
      <c r="F339" s="10"/>
      <c r="G339" s="10"/>
      <c r="H339" s="199"/>
      <c r="I339" s="200"/>
      <c r="J339" s="201"/>
      <c r="K339" s="179"/>
      <c r="L339" s="10"/>
      <c r="M339" s="202"/>
      <c r="N339" s="203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</row>
    <row r="340">
      <c r="A340" s="10"/>
      <c r="B340" s="10"/>
      <c r="C340" s="10"/>
      <c r="D340" s="10"/>
      <c r="E340" s="10"/>
      <c r="F340" s="10"/>
      <c r="G340" s="10"/>
      <c r="H340" s="199"/>
      <c r="I340" s="200"/>
      <c r="J340" s="201"/>
      <c r="K340" s="179"/>
      <c r="L340" s="10"/>
      <c r="M340" s="202"/>
      <c r="N340" s="203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</row>
    <row r="341">
      <c r="A341" s="10"/>
      <c r="B341" s="10"/>
      <c r="C341" s="10"/>
      <c r="D341" s="10"/>
      <c r="E341" s="10"/>
      <c r="F341" s="10"/>
      <c r="G341" s="10"/>
      <c r="H341" s="199"/>
      <c r="I341" s="200"/>
      <c r="J341" s="201"/>
      <c r="K341" s="179"/>
      <c r="L341" s="10"/>
      <c r="M341" s="202"/>
      <c r="N341" s="203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</row>
    <row r="342">
      <c r="A342" s="10"/>
      <c r="B342" s="10"/>
      <c r="C342" s="10"/>
      <c r="D342" s="10"/>
      <c r="E342" s="10"/>
      <c r="F342" s="10"/>
      <c r="G342" s="10"/>
      <c r="H342" s="199"/>
      <c r="I342" s="200"/>
      <c r="J342" s="201"/>
      <c r="K342" s="179"/>
      <c r="L342" s="10"/>
      <c r="M342" s="202"/>
      <c r="N342" s="203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</row>
    <row r="343">
      <c r="A343" s="10"/>
      <c r="B343" s="10"/>
      <c r="C343" s="10"/>
      <c r="D343" s="10"/>
      <c r="E343" s="10"/>
      <c r="F343" s="10"/>
      <c r="G343" s="10"/>
      <c r="H343" s="199"/>
      <c r="I343" s="200"/>
      <c r="J343" s="201"/>
      <c r="K343" s="179"/>
      <c r="L343" s="10"/>
      <c r="M343" s="202"/>
      <c r="N343" s="203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</row>
    <row r="344">
      <c r="A344" s="10"/>
      <c r="B344" s="10"/>
      <c r="C344" s="10"/>
      <c r="D344" s="10"/>
      <c r="E344" s="10"/>
      <c r="F344" s="10"/>
      <c r="G344" s="10"/>
      <c r="H344" s="199"/>
      <c r="I344" s="200"/>
      <c r="J344" s="201"/>
      <c r="K344" s="179"/>
      <c r="L344" s="10"/>
      <c r="M344" s="202"/>
      <c r="N344" s="203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</row>
    <row r="345">
      <c r="A345" s="10"/>
      <c r="B345" s="10"/>
      <c r="C345" s="10"/>
      <c r="D345" s="10"/>
      <c r="E345" s="10"/>
      <c r="F345" s="10"/>
      <c r="G345" s="10"/>
      <c r="H345" s="199"/>
      <c r="I345" s="200"/>
      <c r="J345" s="201"/>
      <c r="K345" s="179"/>
      <c r="L345" s="10"/>
      <c r="M345" s="202"/>
      <c r="N345" s="203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</row>
    <row r="346">
      <c r="A346" s="10"/>
      <c r="B346" s="10"/>
      <c r="C346" s="10"/>
      <c r="D346" s="10"/>
      <c r="E346" s="10"/>
      <c r="F346" s="10"/>
      <c r="G346" s="10"/>
      <c r="H346" s="199"/>
      <c r="I346" s="200"/>
      <c r="J346" s="201"/>
      <c r="K346" s="179"/>
      <c r="L346" s="10"/>
      <c r="M346" s="202"/>
      <c r="N346" s="203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</row>
    <row r="347">
      <c r="A347" s="10"/>
      <c r="B347" s="10"/>
      <c r="C347" s="10"/>
      <c r="D347" s="10"/>
      <c r="E347" s="10"/>
      <c r="F347" s="10"/>
      <c r="G347" s="10"/>
      <c r="H347" s="199"/>
      <c r="I347" s="200"/>
      <c r="J347" s="201"/>
      <c r="K347" s="179"/>
      <c r="L347" s="10"/>
      <c r="M347" s="202"/>
      <c r="N347" s="203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</row>
    <row r="348">
      <c r="A348" s="10"/>
      <c r="B348" s="10"/>
      <c r="C348" s="10"/>
      <c r="D348" s="10"/>
      <c r="E348" s="10"/>
      <c r="F348" s="10"/>
      <c r="G348" s="10"/>
      <c r="H348" s="199"/>
      <c r="I348" s="200"/>
      <c r="J348" s="201"/>
      <c r="K348" s="179"/>
      <c r="L348" s="10"/>
      <c r="M348" s="202"/>
      <c r="N348" s="203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</row>
    <row r="349">
      <c r="A349" s="10"/>
      <c r="B349" s="10"/>
      <c r="C349" s="10"/>
      <c r="D349" s="10"/>
      <c r="E349" s="10"/>
      <c r="F349" s="10"/>
      <c r="G349" s="10"/>
      <c r="H349" s="199"/>
      <c r="I349" s="200"/>
      <c r="J349" s="201"/>
      <c r="K349" s="179"/>
      <c r="L349" s="10"/>
      <c r="M349" s="202"/>
      <c r="N349" s="203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</row>
    <row r="350">
      <c r="A350" s="10"/>
      <c r="B350" s="10"/>
      <c r="C350" s="10"/>
      <c r="D350" s="10"/>
      <c r="E350" s="10"/>
      <c r="F350" s="10"/>
      <c r="G350" s="10"/>
      <c r="H350" s="199"/>
      <c r="I350" s="200"/>
      <c r="J350" s="201"/>
      <c r="K350" s="179"/>
      <c r="L350" s="10"/>
      <c r="M350" s="202"/>
      <c r="N350" s="203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</row>
    <row r="351">
      <c r="A351" s="10"/>
      <c r="B351" s="10"/>
      <c r="C351" s="10"/>
      <c r="D351" s="10"/>
      <c r="E351" s="10"/>
      <c r="F351" s="10"/>
      <c r="G351" s="10"/>
      <c r="H351" s="199"/>
      <c r="I351" s="200"/>
      <c r="J351" s="201"/>
      <c r="K351" s="179"/>
      <c r="L351" s="10"/>
      <c r="M351" s="202"/>
      <c r="N351" s="203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</row>
    <row r="352">
      <c r="A352" s="10"/>
      <c r="B352" s="10"/>
      <c r="C352" s="10"/>
      <c r="D352" s="10"/>
      <c r="E352" s="10"/>
      <c r="F352" s="10"/>
      <c r="G352" s="10"/>
      <c r="H352" s="199"/>
      <c r="I352" s="200"/>
      <c r="J352" s="201"/>
      <c r="K352" s="179"/>
      <c r="L352" s="10"/>
      <c r="M352" s="202"/>
      <c r="N352" s="203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</row>
    <row r="353">
      <c r="A353" s="10"/>
      <c r="B353" s="10"/>
      <c r="C353" s="10"/>
      <c r="D353" s="10"/>
      <c r="E353" s="10"/>
      <c r="F353" s="10"/>
      <c r="G353" s="10"/>
      <c r="H353" s="199"/>
      <c r="I353" s="200"/>
      <c r="J353" s="201"/>
      <c r="K353" s="179"/>
      <c r="L353" s="10"/>
      <c r="M353" s="202"/>
      <c r="N353" s="203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</row>
    <row r="354">
      <c r="A354" s="10"/>
      <c r="B354" s="10"/>
      <c r="C354" s="10"/>
      <c r="D354" s="10"/>
      <c r="E354" s="10"/>
      <c r="F354" s="10"/>
      <c r="G354" s="10"/>
      <c r="H354" s="199"/>
      <c r="I354" s="200"/>
      <c r="J354" s="201"/>
      <c r="K354" s="179"/>
      <c r="L354" s="10"/>
      <c r="M354" s="202"/>
      <c r="N354" s="203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</row>
    <row r="355">
      <c r="A355" s="10"/>
      <c r="B355" s="10"/>
      <c r="C355" s="10"/>
      <c r="D355" s="10"/>
      <c r="E355" s="10"/>
      <c r="F355" s="10"/>
      <c r="G355" s="10"/>
      <c r="H355" s="199"/>
      <c r="I355" s="200"/>
      <c r="J355" s="201"/>
      <c r="K355" s="179"/>
      <c r="L355" s="10"/>
      <c r="M355" s="202"/>
      <c r="N355" s="203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</row>
    <row r="356">
      <c r="A356" s="10"/>
      <c r="B356" s="10"/>
      <c r="C356" s="10"/>
      <c r="D356" s="10"/>
      <c r="E356" s="10"/>
      <c r="F356" s="10"/>
      <c r="G356" s="10"/>
      <c r="H356" s="199"/>
      <c r="I356" s="200"/>
      <c r="J356" s="201"/>
      <c r="K356" s="179"/>
      <c r="L356" s="10"/>
      <c r="M356" s="202"/>
      <c r="N356" s="203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</row>
    <row r="357">
      <c r="A357" s="10"/>
      <c r="B357" s="10"/>
      <c r="C357" s="10"/>
      <c r="D357" s="10"/>
      <c r="E357" s="10"/>
      <c r="F357" s="10"/>
      <c r="G357" s="10"/>
      <c r="H357" s="199"/>
      <c r="I357" s="200"/>
      <c r="J357" s="201"/>
      <c r="K357" s="179"/>
      <c r="L357" s="10"/>
      <c r="M357" s="202"/>
      <c r="N357" s="203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</row>
    <row r="358">
      <c r="A358" s="10"/>
      <c r="B358" s="10"/>
      <c r="C358" s="10"/>
      <c r="D358" s="10"/>
      <c r="E358" s="10"/>
      <c r="F358" s="10"/>
      <c r="G358" s="10"/>
      <c r="H358" s="199"/>
      <c r="I358" s="200"/>
      <c r="J358" s="201"/>
      <c r="K358" s="179"/>
      <c r="L358" s="10"/>
      <c r="M358" s="202"/>
      <c r="N358" s="203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</row>
    <row r="359">
      <c r="A359" s="10"/>
      <c r="B359" s="10"/>
      <c r="C359" s="10"/>
      <c r="D359" s="10"/>
      <c r="E359" s="10"/>
      <c r="F359" s="10"/>
      <c r="G359" s="10"/>
      <c r="H359" s="199"/>
      <c r="I359" s="200"/>
      <c r="J359" s="201"/>
      <c r="K359" s="179"/>
      <c r="L359" s="10"/>
      <c r="M359" s="202"/>
      <c r="N359" s="203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</row>
    <row r="360">
      <c r="A360" s="10"/>
      <c r="B360" s="10"/>
      <c r="C360" s="10"/>
      <c r="D360" s="10"/>
      <c r="E360" s="10"/>
      <c r="F360" s="10"/>
      <c r="G360" s="10"/>
      <c r="H360" s="199"/>
      <c r="I360" s="200"/>
      <c r="J360" s="201"/>
      <c r="K360" s="179"/>
      <c r="L360" s="10"/>
      <c r="M360" s="202"/>
      <c r="N360" s="203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</row>
    <row r="361">
      <c r="A361" s="10"/>
      <c r="B361" s="10"/>
      <c r="C361" s="10"/>
      <c r="D361" s="10"/>
      <c r="E361" s="10"/>
      <c r="F361" s="10"/>
      <c r="G361" s="10"/>
      <c r="H361" s="199"/>
      <c r="I361" s="200"/>
      <c r="J361" s="201"/>
      <c r="K361" s="179"/>
      <c r="L361" s="10"/>
      <c r="M361" s="202"/>
      <c r="N361" s="203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</row>
    <row r="362">
      <c r="A362" s="10"/>
      <c r="B362" s="10"/>
      <c r="C362" s="10"/>
      <c r="D362" s="10"/>
      <c r="E362" s="10"/>
      <c r="F362" s="10"/>
      <c r="G362" s="10"/>
      <c r="H362" s="199"/>
      <c r="I362" s="200"/>
      <c r="J362" s="201"/>
      <c r="K362" s="179"/>
      <c r="L362" s="10"/>
      <c r="M362" s="202"/>
      <c r="N362" s="203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</row>
    <row r="363">
      <c r="A363" s="10"/>
      <c r="B363" s="10"/>
      <c r="C363" s="10"/>
      <c r="D363" s="10"/>
      <c r="E363" s="10"/>
      <c r="F363" s="10"/>
      <c r="G363" s="10"/>
      <c r="H363" s="199"/>
      <c r="I363" s="200"/>
      <c r="J363" s="201"/>
      <c r="K363" s="179"/>
      <c r="L363" s="10"/>
      <c r="M363" s="202"/>
      <c r="N363" s="203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</row>
    <row r="364">
      <c r="A364" s="10"/>
      <c r="B364" s="10"/>
      <c r="C364" s="10"/>
      <c r="D364" s="10"/>
      <c r="E364" s="10"/>
      <c r="F364" s="10"/>
      <c r="G364" s="10"/>
      <c r="H364" s="199"/>
      <c r="I364" s="200"/>
      <c r="J364" s="201"/>
      <c r="K364" s="179"/>
      <c r="L364" s="10"/>
      <c r="M364" s="202"/>
      <c r="N364" s="203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</row>
    <row r="365">
      <c r="A365" s="10"/>
      <c r="B365" s="10"/>
      <c r="C365" s="10"/>
      <c r="D365" s="10"/>
      <c r="E365" s="10"/>
      <c r="F365" s="10"/>
      <c r="G365" s="10"/>
      <c r="H365" s="199"/>
      <c r="I365" s="200"/>
      <c r="J365" s="201"/>
      <c r="K365" s="179"/>
      <c r="L365" s="10"/>
      <c r="M365" s="202"/>
      <c r="N365" s="203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</row>
    <row r="366">
      <c r="A366" s="10"/>
      <c r="B366" s="10"/>
      <c r="C366" s="10"/>
      <c r="D366" s="10"/>
      <c r="E366" s="10"/>
      <c r="F366" s="10"/>
      <c r="G366" s="10"/>
      <c r="H366" s="199"/>
      <c r="I366" s="200"/>
      <c r="J366" s="201"/>
      <c r="K366" s="179"/>
      <c r="L366" s="10"/>
      <c r="M366" s="202"/>
      <c r="N366" s="203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</row>
    <row r="367">
      <c r="A367" s="10"/>
      <c r="B367" s="10"/>
      <c r="C367" s="10"/>
      <c r="D367" s="10"/>
      <c r="E367" s="10"/>
      <c r="F367" s="10"/>
      <c r="G367" s="10"/>
      <c r="H367" s="199"/>
      <c r="I367" s="200"/>
      <c r="J367" s="201"/>
      <c r="K367" s="179"/>
      <c r="L367" s="10"/>
      <c r="M367" s="202"/>
      <c r="N367" s="203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</row>
    <row r="368">
      <c r="A368" s="10"/>
      <c r="B368" s="10"/>
      <c r="C368" s="10"/>
      <c r="D368" s="10"/>
      <c r="E368" s="10"/>
      <c r="F368" s="10"/>
      <c r="G368" s="10"/>
      <c r="H368" s="199"/>
      <c r="I368" s="200"/>
      <c r="J368" s="201"/>
      <c r="K368" s="179"/>
      <c r="L368" s="10"/>
      <c r="M368" s="202"/>
      <c r="N368" s="203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</row>
    <row r="369">
      <c r="A369" s="10"/>
      <c r="B369" s="10"/>
      <c r="C369" s="10"/>
      <c r="D369" s="10"/>
      <c r="E369" s="10"/>
      <c r="F369" s="10"/>
      <c r="G369" s="10"/>
      <c r="H369" s="199"/>
      <c r="I369" s="200"/>
      <c r="J369" s="201"/>
      <c r="K369" s="179"/>
      <c r="L369" s="10"/>
      <c r="M369" s="202"/>
      <c r="N369" s="203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</row>
    <row r="370">
      <c r="A370" s="10"/>
      <c r="B370" s="10"/>
      <c r="C370" s="10"/>
      <c r="D370" s="10"/>
      <c r="E370" s="10"/>
      <c r="F370" s="10"/>
      <c r="G370" s="10"/>
      <c r="H370" s="199"/>
      <c r="I370" s="200"/>
      <c r="J370" s="201"/>
      <c r="K370" s="179"/>
      <c r="L370" s="10"/>
      <c r="M370" s="202"/>
      <c r="N370" s="203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</row>
    <row r="371">
      <c r="A371" s="10"/>
      <c r="B371" s="10"/>
      <c r="C371" s="10"/>
      <c r="D371" s="10"/>
      <c r="E371" s="10"/>
      <c r="F371" s="10"/>
      <c r="G371" s="10"/>
      <c r="H371" s="199"/>
      <c r="I371" s="200"/>
      <c r="J371" s="201"/>
      <c r="K371" s="179"/>
      <c r="L371" s="10"/>
      <c r="M371" s="202"/>
      <c r="N371" s="203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</row>
    <row r="372">
      <c r="A372" s="10"/>
      <c r="B372" s="10"/>
      <c r="C372" s="10"/>
      <c r="D372" s="10"/>
      <c r="E372" s="10"/>
      <c r="F372" s="10"/>
      <c r="G372" s="10"/>
      <c r="H372" s="199"/>
      <c r="I372" s="200"/>
      <c r="J372" s="201"/>
      <c r="K372" s="179"/>
      <c r="L372" s="10"/>
      <c r="M372" s="202"/>
      <c r="N372" s="203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</row>
    <row r="373">
      <c r="A373" s="10"/>
      <c r="B373" s="10"/>
      <c r="C373" s="10"/>
      <c r="D373" s="10"/>
      <c r="E373" s="10"/>
      <c r="F373" s="10"/>
      <c r="G373" s="10"/>
      <c r="H373" s="199"/>
      <c r="I373" s="200"/>
      <c r="J373" s="201"/>
      <c r="K373" s="179"/>
      <c r="L373" s="10"/>
      <c r="M373" s="202"/>
      <c r="N373" s="203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</row>
    <row r="374">
      <c r="A374" s="10"/>
      <c r="B374" s="10"/>
      <c r="C374" s="10"/>
      <c r="D374" s="10"/>
      <c r="E374" s="10"/>
      <c r="F374" s="10"/>
      <c r="G374" s="10"/>
      <c r="H374" s="199"/>
      <c r="I374" s="200"/>
      <c r="J374" s="201"/>
      <c r="K374" s="179"/>
      <c r="L374" s="10"/>
      <c r="M374" s="202"/>
      <c r="N374" s="203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</row>
    <row r="375">
      <c r="A375" s="10"/>
      <c r="B375" s="10"/>
      <c r="C375" s="10"/>
      <c r="D375" s="10"/>
      <c r="E375" s="10"/>
      <c r="F375" s="10"/>
      <c r="G375" s="10"/>
      <c r="H375" s="199"/>
      <c r="I375" s="200"/>
      <c r="J375" s="201"/>
      <c r="K375" s="179"/>
      <c r="L375" s="10"/>
      <c r="M375" s="202"/>
      <c r="N375" s="203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</row>
    <row r="376">
      <c r="A376" s="10"/>
      <c r="B376" s="10"/>
      <c r="C376" s="10"/>
      <c r="D376" s="10"/>
      <c r="E376" s="10"/>
      <c r="F376" s="10"/>
      <c r="G376" s="10"/>
      <c r="H376" s="199"/>
      <c r="I376" s="200"/>
      <c r="J376" s="201"/>
      <c r="K376" s="179"/>
      <c r="L376" s="10"/>
      <c r="M376" s="202"/>
      <c r="N376" s="203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</row>
    <row r="377">
      <c r="A377" s="10"/>
      <c r="B377" s="10"/>
      <c r="C377" s="10"/>
      <c r="D377" s="10"/>
      <c r="E377" s="10"/>
      <c r="F377" s="10"/>
      <c r="G377" s="10"/>
      <c r="H377" s="199"/>
      <c r="I377" s="200"/>
      <c r="J377" s="201"/>
      <c r="K377" s="179"/>
      <c r="L377" s="10"/>
      <c r="M377" s="202"/>
      <c r="N377" s="203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</row>
    <row r="378">
      <c r="A378" s="10"/>
      <c r="B378" s="10"/>
      <c r="C378" s="10"/>
      <c r="D378" s="10"/>
      <c r="E378" s="10"/>
      <c r="F378" s="10"/>
      <c r="G378" s="10"/>
      <c r="H378" s="199"/>
      <c r="I378" s="200"/>
      <c r="J378" s="201"/>
      <c r="K378" s="179"/>
      <c r="L378" s="10"/>
      <c r="M378" s="202"/>
      <c r="N378" s="203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</row>
    <row r="379">
      <c r="A379" s="10"/>
      <c r="B379" s="10"/>
      <c r="C379" s="10"/>
      <c r="D379" s="10"/>
      <c r="E379" s="10"/>
      <c r="F379" s="10"/>
      <c r="G379" s="10"/>
      <c r="H379" s="199"/>
      <c r="I379" s="200"/>
      <c r="J379" s="201"/>
      <c r="K379" s="179"/>
      <c r="L379" s="10"/>
      <c r="M379" s="202"/>
      <c r="N379" s="203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</row>
    <row r="380">
      <c r="A380" s="10"/>
      <c r="B380" s="10"/>
      <c r="C380" s="10"/>
      <c r="D380" s="10"/>
      <c r="E380" s="10"/>
      <c r="F380" s="10"/>
      <c r="G380" s="10"/>
      <c r="H380" s="199"/>
      <c r="I380" s="200"/>
      <c r="J380" s="201"/>
      <c r="K380" s="179"/>
      <c r="L380" s="10"/>
      <c r="M380" s="202"/>
      <c r="N380" s="203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</row>
    <row r="381">
      <c r="A381" s="10"/>
      <c r="B381" s="10"/>
      <c r="C381" s="10"/>
      <c r="D381" s="10"/>
      <c r="E381" s="10"/>
      <c r="F381" s="10"/>
      <c r="G381" s="10"/>
      <c r="H381" s="199"/>
      <c r="I381" s="200"/>
      <c r="J381" s="201"/>
      <c r="K381" s="179"/>
      <c r="L381" s="10"/>
      <c r="M381" s="202"/>
      <c r="N381" s="203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</row>
    <row r="382">
      <c r="A382" s="10"/>
      <c r="B382" s="10"/>
      <c r="C382" s="10"/>
      <c r="D382" s="10"/>
      <c r="E382" s="10"/>
      <c r="F382" s="10"/>
      <c r="G382" s="10"/>
      <c r="H382" s="199"/>
      <c r="I382" s="200"/>
      <c r="J382" s="201"/>
      <c r="K382" s="179"/>
      <c r="L382" s="10"/>
      <c r="M382" s="202"/>
      <c r="N382" s="203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</row>
    <row r="383">
      <c r="A383" s="10"/>
      <c r="B383" s="10"/>
      <c r="C383" s="10"/>
      <c r="D383" s="10"/>
      <c r="E383" s="10"/>
      <c r="F383" s="10"/>
      <c r="G383" s="10"/>
      <c r="H383" s="199"/>
      <c r="I383" s="200"/>
      <c r="J383" s="201"/>
      <c r="K383" s="179"/>
      <c r="L383" s="10"/>
      <c r="M383" s="202"/>
      <c r="N383" s="203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</row>
    <row r="384">
      <c r="A384" s="10"/>
      <c r="B384" s="10"/>
      <c r="C384" s="10"/>
      <c r="D384" s="10"/>
      <c r="E384" s="10"/>
      <c r="F384" s="10"/>
      <c r="G384" s="10"/>
      <c r="H384" s="199"/>
      <c r="I384" s="200"/>
      <c r="J384" s="201"/>
      <c r="K384" s="179"/>
      <c r="L384" s="10"/>
      <c r="M384" s="202"/>
      <c r="N384" s="203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</row>
    <row r="385">
      <c r="A385" s="10"/>
      <c r="B385" s="10"/>
      <c r="C385" s="10"/>
      <c r="D385" s="10"/>
      <c r="E385" s="10"/>
      <c r="F385" s="10"/>
      <c r="G385" s="10"/>
      <c r="H385" s="199"/>
      <c r="I385" s="200"/>
      <c r="J385" s="201"/>
      <c r="K385" s="179"/>
      <c r="L385" s="10"/>
      <c r="M385" s="202"/>
      <c r="N385" s="203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</row>
    <row r="386">
      <c r="A386" s="10"/>
      <c r="B386" s="10"/>
      <c r="C386" s="10"/>
      <c r="D386" s="10"/>
      <c r="E386" s="10"/>
      <c r="F386" s="10"/>
      <c r="G386" s="10"/>
      <c r="H386" s="199"/>
      <c r="I386" s="200"/>
      <c r="J386" s="201"/>
      <c r="K386" s="179"/>
      <c r="L386" s="10"/>
      <c r="M386" s="202"/>
      <c r="N386" s="203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</row>
    <row r="387">
      <c r="A387" s="10"/>
      <c r="B387" s="10"/>
      <c r="C387" s="10"/>
      <c r="D387" s="10"/>
      <c r="E387" s="10"/>
      <c r="F387" s="10"/>
      <c r="G387" s="10"/>
      <c r="H387" s="199"/>
      <c r="I387" s="200"/>
      <c r="J387" s="201"/>
      <c r="K387" s="179"/>
      <c r="L387" s="10"/>
      <c r="M387" s="202"/>
      <c r="N387" s="203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</row>
    <row r="388">
      <c r="A388" s="10"/>
      <c r="B388" s="10"/>
      <c r="C388" s="10"/>
      <c r="D388" s="10"/>
      <c r="E388" s="10"/>
      <c r="F388" s="10"/>
      <c r="G388" s="10"/>
      <c r="H388" s="199"/>
      <c r="I388" s="200"/>
      <c r="J388" s="201"/>
      <c r="K388" s="179"/>
      <c r="L388" s="10"/>
      <c r="M388" s="202"/>
      <c r="N388" s="203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</row>
    <row r="389">
      <c r="A389" s="10"/>
      <c r="B389" s="10"/>
      <c r="C389" s="10"/>
      <c r="D389" s="10"/>
      <c r="E389" s="10"/>
      <c r="F389" s="10"/>
      <c r="G389" s="10"/>
      <c r="H389" s="199"/>
      <c r="I389" s="200"/>
      <c r="J389" s="201"/>
      <c r="K389" s="179"/>
      <c r="L389" s="10"/>
      <c r="M389" s="202"/>
      <c r="N389" s="203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</row>
    <row r="390">
      <c r="A390" s="10"/>
      <c r="B390" s="10"/>
      <c r="C390" s="10"/>
      <c r="D390" s="10"/>
      <c r="E390" s="10"/>
      <c r="F390" s="10"/>
      <c r="G390" s="10"/>
      <c r="H390" s="199"/>
      <c r="I390" s="200"/>
      <c r="J390" s="201"/>
      <c r="K390" s="179"/>
      <c r="L390" s="10"/>
      <c r="M390" s="202"/>
      <c r="N390" s="203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</row>
    <row r="391">
      <c r="A391" s="10"/>
      <c r="B391" s="10"/>
      <c r="C391" s="10"/>
      <c r="D391" s="10"/>
      <c r="E391" s="10"/>
      <c r="F391" s="10"/>
      <c r="G391" s="10"/>
      <c r="H391" s="199"/>
      <c r="I391" s="200"/>
      <c r="J391" s="201"/>
      <c r="K391" s="179"/>
      <c r="L391" s="10"/>
      <c r="M391" s="202"/>
      <c r="N391" s="203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</row>
    <row r="392">
      <c r="A392" s="10"/>
      <c r="B392" s="10"/>
      <c r="C392" s="10"/>
      <c r="D392" s="10"/>
      <c r="E392" s="10"/>
      <c r="F392" s="10"/>
      <c r="G392" s="10"/>
      <c r="H392" s="199"/>
      <c r="I392" s="200"/>
      <c r="J392" s="201"/>
      <c r="K392" s="179"/>
      <c r="L392" s="10"/>
      <c r="M392" s="202"/>
      <c r="N392" s="203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</row>
    <row r="393">
      <c r="A393" s="10"/>
      <c r="B393" s="10"/>
      <c r="C393" s="10"/>
      <c r="D393" s="10"/>
      <c r="E393" s="10"/>
      <c r="F393" s="10"/>
      <c r="G393" s="10"/>
      <c r="H393" s="199"/>
      <c r="I393" s="200"/>
      <c r="J393" s="201"/>
      <c r="K393" s="179"/>
      <c r="L393" s="10"/>
      <c r="M393" s="202"/>
      <c r="N393" s="203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</row>
    <row r="394">
      <c r="A394" s="10"/>
      <c r="B394" s="10"/>
      <c r="C394" s="10"/>
      <c r="D394" s="10"/>
      <c r="E394" s="10"/>
      <c r="F394" s="10"/>
      <c r="G394" s="10"/>
      <c r="H394" s="199"/>
      <c r="I394" s="200"/>
      <c r="J394" s="201"/>
      <c r="K394" s="179"/>
      <c r="L394" s="10"/>
      <c r="M394" s="202"/>
      <c r="N394" s="203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</row>
    <row r="395">
      <c r="A395" s="10"/>
      <c r="B395" s="10"/>
      <c r="C395" s="10"/>
      <c r="D395" s="10"/>
      <c r="E395" s="10"/>
      <c r="F395" s="10"/>
      <c r="G395" s="10"/>
      <c r="H395" s="199"/>
      <c r="I395" s="200"/>
      <c r="J395" s="201"/>
      <c r="K395" s="179"/>
      <c r="L395" s="10"/>
      <c r="M395" s="202"/>
      <c r="N395" s="203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</row>
    <row r="396">
      <c r="A396" s="10"/>
      <c r="B396" s="10"/>
      <c r="C396" s="10"/>
      <c r="D396" s="10"/>
      <c r="E396" s="10"/>
      <c r="F396" s="10"/>
      <c r="G396" s="10"/>
      <c r="H396" s="199"/>
      <c r="I396" s="200"/>
      <c r="J396" s="201"/>
      <c r="K396" s="179"/>
      <c r="L396" s="10"/>
      <c r="M396" s="202"/>
      <c r="N396" s="203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</row>
    <row r="397">
      <c r="A397" s="10"/>
      <c r="B397" s="10"/>
      <c r="C397" s="10"/>
      <c r="D397" s="10"/>
      <c r="E397" s="10"/>
      <c r="F397" s="10"/>
      <c r="G397" s="10"/>
      <c r="H397" s="199"/>
      <c r="I397" s="200"/>
      <c r="J397" s="201"/>
      <c r="K397" s="179"/>
      <c r="L397" s="10"/>
      <c r="M397" s="202"/>
      <c r="N397" s="203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</row>
    <row r="398">
      <c r="A398" s="10"/>
      <c r="B398" s="10"/>
      <c r="C398" s="10"/>
      <c r="D398" s="10"/>
      <c r="E398" s="10"/>
      <c r="F398" s="10"/>
      <c r="G398" s="10"/>
      <c r="H398" s="199"/>
      <c r="I398" s="200"/>
      <c r="J398" s="201"/>
      <c r="K398" s="179"/>
      <c r="L398" s="10"/>
      <c r="M398" s="202"/>
      <c r="N398" s="203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</row>
    <row r="399">
      <c r="A399" s="10"/>
      <c r="B399" s="10"/>
      <c r="C399" s="10"/>
      <c r="D399" s="10"/>
      <c r="E399" s="10"/>
      <c r="F399" s="10"/>
      <c r="G399" s="10"/>
      <c r="H399" s="199"/>
      <c r="I399" s="200"/>
      <c r="J399" s="201"/>
      <c r="K399" s="179"/>
      <c r="L399" s="10"/>
      <c r="M399" s="202"/>
      <c r="N399" s="203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</row>
    <row r="400">
      <c r="A400" s="10"/>
      <c r="B400" s="10"/>
      <c r="C400" s="10"/>
      <c r="D400" s="10"/>
      <c r="E400" s="10"/>
      <c r="F400" s="10"/>
      <c r="G400" s="10"/>
      <c r="H400" s="199"/>
      <c r="I400" s="200"/>
      <c r="J400" s="201"/>
      <c r="K400" s="179"/>
      <c r="L400" s="10"/>
      <c r="M400" s="202"/>
      <c r="N400" s="203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</row>
    <row r="401">
      <c r="A401" s="10"/>
      <c r="B401" s="10"/>
      <c r="C401" s="10"/>
      <c r="D401" s="10"/>
      <c r="E401" s="10"/>
      <c r="F401" s="10"/>
      <c r="G401" s="10"/>
      <c r="H401" s="199"/>
      <c r="I401" s="200"/>
      <c r="J401" s="201"/>
      <c r="K401" s="179"/>
      <c r="L401" s="10"/>
      <c r="M401" s="202"/>
      <c r="N401" s="203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</row>
    <row r="402">
      <c r="A402" s="10"/>
      <c r="B402" s="10"/>
      <c r="C402" s="10"/>
      <c r="D402" s="10"/>
      <c r="E402" s="10"/>
      <c r="F402" s="10"/>
      <c r="G402" s="10"/>
      <c r="H402" s="199"/>
      <c r="I402" s="200"/>
      <c r="J402" s="201"/>
      <c r="K402" s="179"/>
      <c r="L402" s="10"/>
      <c r="M402" s="202"/>
      <c r="N402" s="203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</row>
    <row r="403">
      <c r="A403" s="10"/>
      <c r="B403" s="10"/>
      <c r="C403" s="10"/>
      <c r="D403" s="10"/>
      <c r="E403" s="10"/>
      <c r="F403" s="10"/>
      <c r="G403" s="10"/>
      <c r="H403" s="199"/>
      <c r="I403" s="200"/>
      <c r="J403" s="201"/>
      <c r="K403" s="179"/>
      <c r="L403" s="10"/>
      <c r="M403" s="202"/>
      <c r="N403" s="203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</row>
    <row r="404">
      <c r="A404" s="10"/>
      <c r="B404" s="10"/>
      <c r="C404" s="10"/>
      <c r="D404" s="10"/>
      <c r="E404" s="10"/>
      <c r="F404" s="10"/>
      <c r="G404" s="10"/>
      <c r="H404" s="199"/>
      <c r="I404" s="200"/>
      <c r="J404" s="201"/>
      <c r="K404" s="179"/>
      <c r="L404" s="10"/>
      <c r="M404" s="202"/>
      <c r="N404" s="203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</row>
    <row r="405">
      <c r="A405" s="10"/>
      <c r="B405" s="10"/>
      <c r="C405" s="10"/>
      <c r="D405" s="10"/>
      <c r="E405" s="10"/>
      <c r="F405" s="10"/>
      <c r="G405" s="10"/>
      <c r="H405" s="199"/>
      <c r="I405" s="200"/>
      <c r="J405" s="201"/>
      <c r="K405" s="179"/>
      <c r="L405" s="10"/>
      <c r="M405" s="202"/>
      <c r="N405" s="203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</row>
    <row r="406">
      <c r="A406" s="10"/>
      <c r="B406" s="10"/>
      <c r="C406" s="10"/>
      <c r="D406" s="10"/>
      <c r="E406" s="10"/>
      <c r="F406" s="10"/>
      <c r="G406" s="10"/>
      <c r="H406" s="199"/>
      <c r="I406" s="200"/>
      <c r="J406" s="201"/>
      <c r="K406" s="179"/>
      <c r="L406" s="10"/>
      <c r="M406" s="202"/>
      <c r="N406" s="203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</row>
    <row r="407">
      <c r="A407" s="10"/>
      <c r="B407" s="10"/>
      <c r="C407" s="10"/>
      <c r="D407" s="10"/>
      <c r="E407" s="10"/>
      <c r="F407" s="10"/>
      <c r="G407" s="10"/>
      <c r="H407" s="199"/>
      <c r="I407" s="200"/>
      <c r="J407" s="201"/>
      <c r="K407" s="179"/>
      <c r="L407" s="10"/>
      <c r="M407" s="202"/>
      <c r="N407" s="203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</row>
    <row r="408">
      <c r="A408" s="10"/>
      <c r="B408" s="10"/>
      <c r="C408" s="10"/>
      <c r="D408" s="10"/>
      <c r="E408" s="10"/>
      <c r="F408" s="10"/>
      <c r="G408" s="10"/>
      <c r="H408" s="199"/>
      <c r="I408" s="200"/>
      <c r="J408" s="201"/>
      <c r="K408" s="179"/>
      <c r="L408" s="10"/>
      <c r="M408" s="202"/>
      <c r="N408" s="203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</row>
    <row r="409">
      <c r="A409" s="10"/>
      <c r="B409" s="10"/>
      <c r="C409" s="10"/>
      <c r="D409" s="10"/>
      <c r="E409" s="10"/>
      <c r="F409" s="10"/>
      <c r="G409" s="10"/>
      <c r="H409" s="199"/>
      <c r="I409" s="200"/>
      <c r="J409" s="201"/>
      <c r="K409" s="179"/>
      <c r="L409" s="10"/>
      <c r="M409" s="202"/>
      <c r="N409" s="203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</row>
    <row r="410">
      <c r="A410" s="10"/>
      <c r="B410" s="10"/>
      <c r="C410" s="10"/>
      <c r="D410" s="10"/>
      <c r="E410" s="10"/>
      <c r="F410" s="10"/>
      <c r="G410" s="10"/>
      <c r="H410" s="199"/>
      <c r="I410" s="200"/>
      <c r="J410" s="201"/>
      <c r="K410" s="179"/>
      <c r="L410" s="10"/>
      <c r="M410" s="202"/>
      <c r="N410" s="203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</row>
    <row r="411">
      <c r="A411" s="10"/>
      <c r="B411" s="10"/>
      <c r="C411" s="10"/>
      <c r="D411" s="10"/>
      <c r="E411" s="10"/>
      <c r="F411" s="10"/>
      <c r="G411" s="10"/>
      <c r="H411" s="199"/>
      <c r="I411" s="200"/>
      <c r="J411" s="201"/>
      <c r="K411" s="179"/>
      <c r="L411" s="10"/>
      <c r="M411" s="202"/>
      <c r="N411" s="203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</row>
    <row r="412">
      <c r="A412" s="10"/>
      <c r="B412" s="10"/>
      <c r="C412" s="10"/>
      <c r="D412" s="10"/>
      <c r="E412" s="10"/>
      <c r="F412" s="10"/>
      <c r="G412" s="10"/>
      <c r="H412" s="199"/>
      <c r="I412" s="200"/>
      <c r="J412" s="201"/>
      <c r="K412" s="179"/>
      <c r="L412" s="10"/>
      <c r="M412" s="202"/>
      <c r="N412" s="203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</row>
    <row r="413">
      <c r="A413" s="10"/>
      <c r="B413" s="10"/>
      <c r="C413" s="10"/>
      <c r="D413" s="10"/>
      <c r="E413" s="10"/>
      <c r="F413" s="10"/>
      <c r="G413" s="10"/>
      <c r="H413" s="199"/>
      <c r="I413" s="200"/>
      <c r="J413" s="201"/>
      <c r="K413" s="179"/>
      <c r="L413" s="10"/>
      <c r="M413" s="202"/>
      <c r="N413" s="203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</row>
    <row r="414">
      <c r="A414" s="10"/>
      <c r="B414" s="10"/>
      <c r="C414" s="10"/>
      <c r="D414" s="10"/>
      <c r="E414" s="10"/>
      <c r="F414" s="10"/>
      <c r="G414" s="10"/>
      <c r="H414" s="199"/>
      <c r="I414" s="200"/>
      <c r="J414" s="201"/>
      <c r="K414" s="179"/>
      <c r="L414" s="10"/>
      <c r="M414" s="202"/>
      <c r="N414" s="203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</row>
    <row r="415">
      <c r="A415" s="10"/>
      <c r="B415" s="10"/>
      <c r="C415" s="10"/>
      <c r="D415" s="10"/>
      <c r="E415" s="10"/>
      <c r="F415" s="10"/>
      <c r="G415" s="10"/>
      <c r="H415" s="199"/>
      <c r="I415" s="200"/>
      <c r="J415" s="201"/>
      <c r="K415" s="179"/>
      <c r="L415" s="10"/>
      <c r="M415" s="202"/>
      <c r="N415" s="203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</row>
    <row r="416">
      <c r="A416" s="10"/>
      <c r="B416" s="10"/>
      <c r="C416" s="10"/>
      <c r="D416" s="10"/>
      <c r="E416" s="10"/>
      <c r="F416" s="10"/>
      <c r="G416" s="10"/>
      <c r="H416" s="199"/>
      <c r="I416" s="200"/>
      <c r="J416" s="201"/>
      <c r="K416" s="179"/>
      <c r="L416" s="10"/>
      <c r="M416" s="202"/>
      <c r="N416" s="203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</row>
    <row r="417">
      <c r="A417" s="10"/>
      <c r="B417" s="10"/>
      <c r="C417" s="10"/>
      <c r="D417" s="10"/>
      <c r="E417" s="10"/>
      <c r="F417" s="10"/>
      <c r="G417" s="10"/>
      <c r="H417" s="199"/>
      <c r="I417" s="200"/>
      <c r="J417" s="201"/>
      <c r="K417" s="179"/>
      <c r="L417" s="10"/>
      <c r="M417" s="202"/>
      <c r="N417" s="203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</row>
    <row r="418">
      <c r="A418" s="10"/>
      <c r="B418" s="10"/>
      <c r="C418" s="10"/>
      <c r="D418" s="10"/>
      <c r="E418" s="10"/>
      <c r="F418" s="10"/>
      <c r="G418" s="10"/>
      <c r="H418" s="199"/>
      <c r="I418" s="200"/>
      <c r="J418" s="201"/>
      <c r="K418" s="179"/>
      <c r="L418" s="10"/>
      <c r="M418" s="202"/>
      <c r="N418" s="203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</row>
    <row r="419">
      <c r="A419" s="10"/>
      <c r="B419" s="10"/>
      <c r="C419" s="10"/>
      <c r="D419" s="10"/>
      <c r="E419" s="10"/>
      <c r="F419" s="10"/>
      <c r="G419" s="10"/>
      <c r="H419" s="199"/>
      <c r="I419" s="200"/>
      <c r="J419" s="201"/>
      <c r="K419" s="179"/>
      <c r="L419" s="10"/>
      <c r="M419" s="202"/>
      <c r="N419" s="203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</row>
    <row r="420">
      <c r="A420" s="10"/>
      <c r="B420" s="10"/>
      <c r="C420" s="10"/>
      <c r="D420" s="10"/>
      <c r="E420" s="10"/>
      <c r="F420" s="10"/>
      <c r="G420" s="10"/>
      <c r="H420" s="199"/>
      <c r="I420" s="200"/>
      <c r="J420" s="201"/>
      <c r="K420" s="179"/>
      <c r="L420" s="10"/>
      <c r="M420" s="202"/>
      <c r="N420" s="203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</row>
    <row r="421">
      <c r="A421" s="10"/>
      <c r="B421" s="10"/>
      <c r="C421" s="10"/>
      <c r="D421" s="10"/>
      <c r="E421" s="10"/>
      <c r="F421" s="10"/>
      <c r="G421" s="10"/>
      <c r="H421" s="199"/>
      <c r="I421" s="200"/>
      <c r="J421" s="201"/>
      <c r="K421" s="179"/>
      <c r="L421" s="10"/>
      <c r="M421" s="202"/>
      <c r="N421" s="203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</row>
    <row r="422">
      <c r="A422" s="10"/>
      <c r="B422" s="10"/>
      <c r="C422" s="10"/>
      <c r="D422" s="10"/>
      <c r="E422" s="10"/>
      <c r="F422" s="10"/>
      <c r="G422" s="10"/>
      <c r="H422" s="199"/>
      <c r="I422" s="200"/>
      <c r="J422" s="201"/>
      <c r="K422" s="179"/>
      <c r="L422" s="10"/>
      <c r="M422" s="202"/>
      <c r="N422" s="203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</row>
    <row r="423">
      <c r="A423" s="10"/>
      <c r="B423" s="10"/>
      <c r="C423" s="10"/>
      <c r="D423" s="10"/>
      <c r="E423" s="10"/>
      <c r="F423" s="10"/>
      <c r="G423" s="10"/>
      <c r="H423" s="199"/>
      <c r="I423" s="200"/>
      <c r="J423" s="201"/>
      <c r="K423" s="179"/>
      <c r="L423" s="10"/>
      <c r="M423" s="202"/>
      <c r="N423" s="203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</row>
    <row r="424">
      <c r="A424" s="10"/>
      <c r="B424" s="10"/>
      <c r="C424" s="10"/>
      <c r="D424" s="10"/>
      <c r="E424" s="10"/>
      <c r="F424" s="10"/>
      <c r="G424" s="10"/>
      <c r="H424" s="199"/>
      <c r="I424" s="200"/>
      <c r="J424" s="201"/>
      <c r="K424" s="179"/>
      <c r="L424" s="10"/>
      <c r="M424" s="202"/>
      <c r="N424" s="203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</row>
    <row r="425">
      <c r="A425" s="10"/>
      <c r="B425" s="10"/>
      <c r="C425" s="10"/>
      <c r="D425" s="10"/>
      <c r="E425" s="10"/>
      <c r="F425" s="10"/>
      <c r="G425" s="10"/>
      <c r="H425" s="199"/>
      <c r="I425" s="200"/>
      <c r="J425" s="201"/>
      <c r="K425" s="179"/>
      <c r="L425" s="10"/>
      <c r="M425" s="202"/>
      <c r="N425" s="203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</row>
    <row r="426">
      <c r="A426" s="10"/>
      <c r="B426" s="10"/>
      <c r="C426" s="10"/>
      <c r="D426" s="10"/>
      <c r="E426" s="10"/>
      <c r="F426" s="10"/>
      <c r="G426" s="10"/>
      <c r="H426" s="199"/>
      <c r="I426" s="200"/>
      <c r="J426" s="201"/>
      <c r="K426" s="179"/>
      <c r="L426" s="10"/>
      <c r="M426" s="202"/>
      <c r="N426" s="203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</row>
    <row r="427">
      <c r="A427" s="10"/>
      <c r="B427" s="10"/>
      <c r="C427" s="10"/>
      <c r="D427" s="10"/>
      <c r="E427" s="10"/>
      <c r="F427" s="10"/>
      <c r="G427" s="10"/>
      <c r="H427" s="199"/>
      <c r="I427" s="200"/>
      <c r="J427" s="201"/>
      <c r="K427" s="179"/>
      <c r="L427" s="10"/>
      <c r="M427" s="202"/>
      <c r="N427" s="203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</row>
    <row r="428">
      <c r="A428" s="10"/>
      <c r="B428" s="10"/>
      <c r="C428" s="10"/>
      <c r="D428" s="10"/>
      <c r="E428" s="10"/>
      <c r="F428" s="10"/>
      <c r="G428" s="10"/>
      <c r="H428" s="199"/>
      <c r="I428" s="200"/>
      <c r="J428" s="201"/>
      <c r="K428" s="179"/>
      <c r="L428" s="10"/>
      <c r="M428" s="202"/>
      <c r="N428" s="203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</row>
    <row r="429">
      <c r="A429" s="10"/>
      <c r="B429" s="10"/>
      <c r="C429" s="10"/>
      <c r="D429" s="10"/>
      <c r="E429" s="10"/>
      <c r="F429" s="10"/>
      <c r="G429" s="10"/>
      <c r="H429" s="199"/>
      <c r="I429" s="200"/>
      <c r="J429" s="201"/>
      <c r="K429" s="179"/>
      <c r="L429" s="10"/>
      <c r="M429" s="202"/>
      <c r="N429" s="203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</row>
    <row r="430">
      <c r="A430" s="10"/>
      <c r="B430" s="10"/>
      <c r="C430" s="10"/>
      <c r="D430" s="10"/>
      <c r="E430" s="10"/>
      <c r="F430" s="10"/>
      <c r="G430" s="10"/>
      <c r="H430" s="199"/>
      <c r="I430" s="200"/>
      <c r="J430" s="201"/>
      <c r="K430" s="179"/>
      <c r="L430" s="10"/>
      <c r="M430" s="202"/>
      <c r="N430" s="203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</row>
    <row r="431">
      <c r="A431" s="10"/>
      <c r="B431" s="10"/>
      <c r="C431" s="10"/>
      <c r="D431" s="10"/>
      <c r="E431" s="10"/>
      <c r="F431" s="10"/>
      <c r="G431" s="10"/>
      <c r="H431" s="199"/>
      <c r="I431" s="200"/>
      <c r="J431" s="201"/>
      <c r="K431" s="179"/>
      <c r="L431" s="10"/>
      <c r="M431" s="202"/>
      <c r="N431" s="203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</row>
    <row r="432">
      <c r="A432" s="10"/>
      <c r="B432" s="10"/>
      <c r="C432" s="10"/>
      <c r="D432" s="10"/>
      <c r="E432" s="10"/>
      <c r="F432" s="10"/>
      <c r="G432" s="10"/>
      <c r="H432" s="199"/>
      <c r="I432" s="200"/>
      <c r="J432" s="201"/>
      <c r="K432" s="179"/>
      <c r="L432" s="10"/>
      <c r="M432" s="202"/>
      <c r="N432" s="203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</row>
    <row r="433">
      <c r="A433" s="10"/>
      <c r="B433" s="10"/>
      <c r="C433" s="10"/>
      <c r="D433" s="10"/>
      <c r="E433" s="10"/>
      <c r="F433" s="10"/>
      <c r="G433" s="10"/>
      <c r="H433" s="199"/>
      <c r="I433" s="200"/>
      <c r="J433" s="201"/>
      <c r="K433" s="179"/>
      <c r="L433" s="10"/>
      <c r="M433" s="202"/>
      <c r="N433" s="203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</row>
    <row r="434">
      <c r="A434" s="10"/>
      <c r="B434" s="10"/>
      <c r="C434" s="10"/>
      <c r="D434" s="10"/>
      <c r="E434" s="10"/>
      <c r="F434" s="10"/>
      <c r="G434" s="10"/>
      <c r="H434" s="199"/>
      <c r="I434" s="200"/>
      <c r="J434" s="201"/>
      <c r="K434" s="179"/>
      <c r="L434" s="10"/>
      <c r="M434" s="202"/>
      <c r="N434" s="203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</row>
    <row r="435">
      <c r="A435" s="10"/>
      <c r="B435" s="10"/>
      <c r="C435" s="10"/>
      <c r="D435" s="10"/>
      <c r="E435" s="10"/>
      <c r="F435" s="10"/>
      <c r="G435" s="10"/>
      <c r="H435" s="199"/>
      <c r="I435" s="200"/>
      <c r="J435" s="201"/>
      <c r="K435" s="179"/>
      <c r="L435" s="10"/>
      <c r="M435" s="202"/>
      <c r="N435" s="203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</row>
    <row r="436">
      <c r="A436" s="10"/>
      <c r="B436" s="10"/>
      <c r="C436" s="10"/>
      <c r="D436" s="10"/>
      <c r="E436" s="10"/>
      <c r="F436" s="10"/>
      <c r="G436" s="10"/>
      <c r="H436" s="199"/>
      <c r="I436" s="200"/>
      <c r="J436" s="201"/>
      <c r="K436" s="179"/>
      <c r="L436" s="10"/>
      <c r="M436" s="202"/>
      <c r="N436" s="203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</row>
    <row r="437">
      <c r="A437" s="10"/>
      <c r="B437" s="10"/>
      <c r="C437" s="10"/>
      <c r="D437" s="10"/>
      <c r="E437" s="10"/>
      <c r="F437" s="10"/>
      <c r="G437" s="10"/>
      <c r="H437" s="199"/>
      <c r="I437" s="200"/>
      <c r="J437" s="201"/>
      <c r="K437" s="179"/>
      <c r="L437" s="10"/>
      <c r="M437" s="202"/>
      <c r="N437" s="203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</row>
    <row r="438">
      <c r="A438" s="10"/>
      <c r="B438" s="10"/>
      <c r="C438" s="10"/>
      <c r="D438" s="10"/>
      <c r="E438" s="10"/>
      <c r="F438" s="10"/>
      <c r="G438" s="10"/>
      <c r="H438" s="199"/>
      <c r="I438" s="200"/>
      <c r="J438" s="201"/>
      <c r="K438" s="179"/>
      <c r="L438" s="10"/>
      <c r="M438" s="202"/>
      <c r="N438" s="203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</row>
    <row r="439">
      <c r="A439" s="10"/>
      <c r="B439" s="10"/>
      <c r="C439" s="10"/>
      <c r="D439" s="10"/>
      <c r="E439" s="10"/>
      <c r="F439" s="10"/>
      <c r="G439" s="10"/>
      <c r="H439" s="199"/>
      <c r="I439" s="200"/>
      <c r="J439" s="201"/>
      <c r="K439" s="179"/>
      <c r="L439" s="10"/>
      <c r="M439" s="202"/>
      <c r="N439" s="203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</row>
    <row r="440">
      <c r="A440" s="10"/>
      <c r="B440" s="10"/>
      <c r="C440" s="10"/>
      <c r="D440" s="10"/>
      <c r="E440" s="10"/>
      <c r="F440" s="10"/>
      <c r="G440" s="10"/>
      <c r="H440" s="199"/>
      <c r="I440" s="200"/>
      <c r="J440" s="201"/>
      <c r="K440" s="179"/>
      <c r="L440" s="10"/>
      <c r="M440" s="202"/>
      <c r="N440" s="203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</row>
    <row r="441">
      <c r="A441" s="10"/>
      <c r="B441" s="10"/>
      <c r="C441" s="10"/>
      <c r="D441" s="10"/>
      <c r="E441" s="10"/>
      <c r="F441" s="10"/>
      <c r="G441" s="10"/>
      <c r="H441" s="199"/>
      <c r="I441" s="200"/>
      <c r="J441" s="201"/>
      <c r="K441" s="179"/>
      <c r="L441" s="10"/>
      <c r="M441" s="202"/>
      <c r="N441" s="203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</row>
    <row r="442">
      <c r="A442" s="10"/>
      <c r="B442" s="10"/>
      <c r="C442" s="10"/>
      <c r="D442" s="10"/>
      <c r="E442" s="10"/>
      <c r="F442" s="10"/>
      <c r="G442" s="10"/>
      <c r="H442" s="199"/>
      <c r="I442" s="200"/>
      <c r="J442" s="201"/>
      <c r="K442" s="179"/>
      <c r="L442" s="10"/>
      <c r="M442" s="202"/>
      <c r="N442" s="203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</row>
    <row r="443">
      <c r="A443" s="10"/>
      <c r="B443" s="10"/>
      <c r="C443" s="10"/>
      <c r="D443" s="10"/>
      <c r="E443" s="10"/>
      <c r="F443" s="10"/>
      <c r="G443" s="10"/>
      <c r="H443" s="199"/>
      <c r="I443" s="200"/>
      <c r="J443" s="201"/>
      <c r="K443" s="179"/>
      <c r="L443" s="10"/>
      <c r="M443" s="202"/>
      <c r="N443" s="203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</row>
    <row r="444">
      <c r="A444" s="10"/>
      <c r="B444" s="10"/>
      <c r="C444" s="10"/>
      <c r="D444" s="10"/>
      <c r="E444" s="10"/>
      <c r="F444" s="10"/>
      <c r="G444" s="10"/>
      <c r="H444" s="199"/>
      <c r="I444" s="200"/>
      <c r="J444" s="201"/>
      <c r="K444" s="179"/>
      <c r="L444" s="10"/>
      <c r="M444" s="202"/>
      <c r="N444" s="203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</row>
    <row r="445">
      <c r="A445" s="10"/>
      <c r="B445" s="10"/>
      <c r="C445" s="10"/>
      <c r="D445" s="10"/>
      <c r="E445" s="10"/>
      <c r="F445" s="10"/>
      <c r="G445" s="10"/>
      <c r="H445" s="199"/>
      <c r="I445" s="200"/>
      <c r="J445" s="201"/>
      <c r="K445" s="179"/>
      <c r="L445" s="10"/>
      <c r="M445" s="202"/>
      <c r="N445" s="203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</row>
    <row r="446">
      <c r="A446" s="10"/>
      <c r="B446" s="10"/>
      <c r="C446" s="10"/>
      <c r="D446" s="10"/>
      <c r="E446" s="10"/>
      <c r="F446" s="10"/>
      <c r="G446" s="10"/>
      <c r="H446" s="199"/>
      <c r="I446" s="200"/>
      <c r="J446" s="201"/>
      <c r="K446" s="179"/>
      <c r="L446" s="10"/>
      <c r="M446" s="202"/>
      <c r="N446" s="203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</row>
    <row r="447">
      <c r="A447" s="10"/>
      <c r="B447" s="10"/>
      <c r="C447" s="10"/>
      <c r="D447" s="10"/>
      <c r="E447" s="10"/>
      <c r="F447" s="10"/>
      <c r="G447" s="10"/>
      <c r="H447" s="199"/>
      <c r="I447" s="200"/>
      <c r="J447" s="201"/>
      <c r="K447" s="179"/>
      <c r="L447" s="10"/>
      <c r="M447" s="202"/>
      <c r="N447" s="203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</row>
    <row r="448">
      <c r="A448" s="10"/>
      <c r="B448" s="10"/>
      <c r="C448" s="10"/>
      <c r="D448" s="10"/>
      <c r="E448" s="10"/>
      <c r="F448" s="10"/>
      <c r="G448" s="10"/>
      <c r="H448" s="199"/>
      <c r="I448" s="200"/>
      <c r="J448" s="201"/>
      <c r="K448" s="179"/>
      <c r="L448" s="10"/>
      <c r="M448" s="202"/>
      <c r="N448" s="203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</row>
    <row r="449">
      <c r="A449" s="10"/>
      <c r="B449" s="10"/>
      <c r="C449" s="10"/>
      <c r="D449" s="10"/>
      <c r="E449" s="10"/>
      <c r="F449" s="10"/>
      <c r="G449" s="10"/>
      <c r="H449" s="199"/>
      <c r="I449" s="200"/>
      <c r="J449" s="201"/>
      <c r="K449" s="179"/>
      <c r="L449" s="10"/>
      <c r="M449" s="202"/>
      <c r="N449" s="203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</row>
    <row r="450">
      <c r="A450" s="10"/>
      <c r="B450" s="10"/>
      <c r="C450" s="10"/>
      <c r="D450" s="10"/>
      <c r="E450" s="10"/>
      <c r="F450" s="10"/>
      <c r="G450" s="10"/>
      <c r="H450" s="199"/>
      <c r="I450" s="200"/>
      <c r="J450" s="201"/>
      <c r="K450" s="179"/>
      <c r="L450" s="10"/>
      <c r="M450" s="202"/>
      <c r="N450" s="203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</row>
    <row r="451">
      <c r="A451" s="10"/>
      <c r="B451" s="10"/>
      <c r="C451" s="10"/>
      <c r="D451" s="10"/>
      <c r="E451" s="10"/>
      <c r="F451" s="10"/>
      <c r="G451" s="10"/>
      <c r="H451" s="199"/>
      <c r="I451" s="200"/>
      <c r="J451" s="201"/>
      <c r="K451" s="179"/>
      <c r="L451" s="10"/>
      <c r="M451" s="202"/>
      <c r="N451" s="203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</row>
    <row r="452">
      <c r="A452" s="10"/>
      <c r="B452" s="10"/>
      <c r="C452" s="10"/>
      <c r="D452" s="10"/>
      <c r="E452" s="10"/>
      <c r="F452" s="10"/>
      <c r="G452" s="10"/>
      <c r="H452" s="199"/>
      <c r="I452" s="200"/>
      <c r="J452" s="201"/>
      <c r="K452" s="179"/>
      <c r="L452" s="10"/>
      <c r="M452" s="202"/>
      <c r="N452" s="203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</row>
    <row r="453">
      <c r="A453" s="10"/>
      <c r="B453" s="10"/>
      <c r="C453" s="10"/>
      <c r="D453" s="10"/>
      <c r="E453" s="10"/>
      <c r="F453" s="10"/>
      <c r="G453" s="10"/>
      <c r="H453" s="199"/>
      <c r="I453" s="200"/>
      <c r="J453" s="201"/>
      <c r="K453" s="179"/>
      <c r="L453" s="10"/>
      <c r="M453" s="202"/>
      <c r="N453" s="203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</row>
    <row r="454">
      <c r="A454" s="10"/>
      <c r="B454" s="10"/>
      <c r="C454" s="10"/>
      <c r="D454" s="10"/>
      <c r="E454" s="10"/>
      <c r="F454" s="10"/>
      <c r="G454" s="10"/>
      <c r="H454" s="199"/>
      <c r="I454" s="200"/>
      <c r="J454" s="201"/>
      <c r="K454" s="179"/>
      <c r="L454" s="10"/>
      <c r="M454" s="202"/>
      <c r="N454" s="203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</row>
    <row r="455">
      <c r="A455" s="10"/>
      <c r="B455" s="10"/>
      <c r="C455" s="10"/>
      <c r="D455" s="10"/>
      <c r="E455" s="10"/>
      <c r="F455" s="10"/>
      <c r="G455" s="10"/>
      <c r="H455" s="199"/>
      <c r="I455" s="200"/>
      <c r="J455" s="201"/>
      <c r="K455" s="179"/>
      <c r="L455" s="10"/>
      <c r="M455" s="202"/>
      <c r="N455" s="203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</row>
    <row r="456">
      <c r="A456" s="10"/>
      <c r="B456" s="10"/>
      <c r="C456" s="10"/>
      <c r="D456" s="10"/>
      <c r="E456" s="10"/>
      <c r="F456" s="10"/>
      <c r="G456" s="10"/>
      <c r="H456" s="199"/>
      <c r="I456" s="200"/>
      <c r="J456" s="201"/>
      <c r="K456" s="179"/>
      <c r="L456" s="10"/>
      <c r="M456" s="202"/>
      <c r="N456" s="203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</row>
    <row r="457">
      <c r="A457" s="10"/>
      <c r="B457" s="10"/>
      <c r="C457" s="10"/>
      <c r="D457" s="10"/>
      <c r="E457" s="10"/>
      <c r="F457" s="10"/>
      <c r="G457" s="10"/>
      <c r="H457" s="199"/>
      <c r="I457" s="200"/>
      <c r="J457" s="201"/>
      <c r="K457" s="179"/>
      <c r="L457" s="10"/>
      <c r="M457" s="202"/>
      <c r="N457" s="203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</row>
    <row r="458">
      <c r="A458" s="10"/>
      <c r="B458" s="10"/>
      <c r="C458" s="10"/>
      <c r="D458" s="10"/>
      <c r="E458" s="10"/>
      <c r="F458" s="10"/>
      <c r="G458" s="10"/>
      <c r="H458" s="199"/>
      <c r="I458" s="200"/>
      <c r="J458" s="201"/>
      <c r="K458" s="179"/>
      <c r="L458" s="10"/>
      <c r="M458" s="202"/>
      <c r="N458" s="203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</row>
    <row r="459">
      <c r="A459" s="10"/>
      <c r="B459" s="10"/>
      <c r="C459" s="10"/>
      <c r="D459" s="10"/>
      <c r="E459" s="10"/>
      <c r="F459" s="10"/>
      <c r="G459" s="10"/>
      <c r="H459" s="199"/>
      <c r="I459" s="200"/>
      <c r="J459" s="201"/>
      <c r="K459" s="179"/>
      <c r="L459" s="10"/>
      <c r="M459" s="202"/>
      <c r="N459" s="203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</row>
    <row r="460">
      <c r="A460" s="10"/>
      <c r="B460" s="10"/>
      <c r="C460" s="10"/>
      <c r="D460" s="10"/>
      <c r="E460" s="10"/>
      <c r="F460" s="10"/>
      <c r="G460" s="10"/>
      <c r="H460" s="199"/>
      <c r="I460" s="200"/>
      <c r="J460" s="201"/>
      <c r="K460" s="179"/>
      <c r="L460" s="10"/>
      <c r="M460" s="202"/>
      <c r="N460" s="203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</row>
    <row r="461">
      <c r="A461" s="10"/>
      <c r="B461" s="10"/>
      <c r="C461" s="10"/>
      <c r="D461" s="10"/>
      <c r="E461" s="10"/>
      <c r="F461" s="10"/>
      <c r="G461" s="10"/>
      <c r="H461" s="199"/>
      <c r="I461" s="200"/>
      <c r="J461" s="201"/>
      <c r="K461" s="179"/>
      <c r="L461" s="10"/>
      <c r="M461" s="202"/>
      <c r="N461" s="203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</row>
    <row r="462">
      <c r="A462" s="10"/>
      <c r="B462" s="10"/>
      <c r="C462" s="10"/>
      <c r="D462" s="10"/>
      <c r="E462" s="10"/>
      <c r="F462" s="10"/>
      <c r="G462" s="10"/>
      <c r="H462" s="199"/>
      <c r="I462" s="200"/>
      <c r="J462" s="201"/>
      <c r="K462" s="179"/>
      <c r="L462" s="10"/>
      <c r="M462" s="202"/>
      <c r="N462" s="203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</row>
    <row r="463">
      <c r="A463" s="10"/>
      <c r="B463" s="10"/>
      <c r="C463" s="10"/>
      <c r="D463" s="10"/>
      <c r="E463" s="10"/>
      <c r="F463" s="10"/>
      <c r="G463" s="10"/>
      <c r="H463" s="199"/>
      <c r="I463" s="200"/>
      <c r="J463" s="201"/>
      <c r="K463" s="179"/>
      <c r="L463" s="10"/>
      <c r="M463" s="202"/>
      <c r="N463" s="203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</row>
    <row r="464">
      <c r="A464" s="10"/>
      <c r="B464" s="10"/>
      <c r="C464" s="10"/>
      <c r="D464" s="10"/>
      <c r="E464" s="10"/>
      <c r="F464" s="10"/>
      <c r="G464" s="10"/>
      <c r="H464" s="199"/>
      <c r="I464" s="200"/>
      <c r="J464" s="201"/>
      <c r="K464" s="179"/>
      <c r="L464" s="10"/>
      <c r="M464" s="202"/>
      <c r="N464" s="203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</row>
    <row r="465">
      <c r="A465" s="10"/>
      <c r="B465" s="10"/>
      <c r="C465" s="10"/>
      <c r="D465" s="10"/>
      <c r="E465" s="10"/>
      <c r="F465" s="10"/>
      <c r="G465" s="10"/>
      <c r="H465" s="199"/>
      <c r="I465" s="200"/>
      <c r="J465" s="201"/>
      <c r="K465" s="179"/>
      <c r="L465" s="10"/>
      <c r="M465" s="202"/>
      <c r="N465" s="203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</row>
    <row r="466">
      <c r="A466" s="10"/>
      <c r="B466" s="10"/>
      <c r="C466" s="10"/>
      <c r="D466" s="10"/>
      <c r="E466" s="10"/>
      <c r="F466" s="10"/>
      <c r="G466" s="10"/>
      <c r="H466" s="199"/>
      <c r="I466" s="200"/>
      <c r="J466" s="201"/>
      <c r="K466" s="179"/>
      <c r="L466" s="10"/>
      <c r="M466" s="202"/>
      <c r="N466" s="203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</row>
    <row r="467">
      <c r="A467" s="10"/>
      <c r="B467" s="10"/>
      <c r="C467" s="10"/>
      <c r="D467" s="10"/>
      <c r="E467" s="10"/>
      <c r="F467" s="10"/>
      <c r="G467" s="10"/>
      <c r="H467" s="199"/>
      <c r="I467" s="200"/>
      <c r="J467" s="201"/>
      <c r="K467" s="179"/>
      <c r="L467" s="10"/>
      <c r="M467" s="202"/>
      <c r="N467" s="203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</row>
    <row r="468">
      <c r="A468" s="10"/>
      <c r="B468" s="10"/>
      <c r="C468" s="10"/>
      <c r="D468" s="10"/>
      <c r="E468" s="10"/>
      <c r="F468" s="10"/>
      <c r="G468" s="10"/>
      <c r="H468" s="199"/>
      <c r="I468" s="200"/>
      <c r="J468" s="201"/>
      <c r="K468" s="179"/>
      <c r="L468" s="10"/>
      <c r="M468" s="202"/>
      <c r="N468" s="203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</row>
    <row r="469">
      <c r="A469" s="10"/>
      <c r="B469" s="10"/>
      <c r="C469" s="10"/>
      <c r="D469" s="10"/>
      <c r="E469" s="10"/>
      <c r="F469" s="10"/>
      <c r="G469" s="10"/>
      <c r="H469" s="199"/>
      <c r="I469" s="200"/>
      <c r="J469" s="201"/>
      <c r="K469" s="179"/>
      <c r="L469" s="10"/>
      <c r="M469" s="202"/>
      <c r="N469" s="203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</row>
    <row r="470">
      <c r="A470" s="10"/>
      <c r="B470" s="10"/>
      <c r="C470" s="10"/>
      <c r="D470" s="10"/>
      <c r="E470" s="10"/>
      <c r="F470" s="10"/>
      <c r="G470" s="10"/>
      <c r="H470" s="199"/>
      <c r="I470" s="200"/>
      <c r="J470" s="201"/>
      <c r="K470" s="179"/>
      <c r="L470" s="10"/>
      <c r="M470" s="202"/>
      <c r="N470" s="203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</row>
    <row r="471">
      <c r="A471" s="10"/>
      <c r="B471" s="10"/>
      <c r="C471" s="10"/>
      <c r="D471" s="10"/>
      <c r="E471" s="10"/>
      <c r="F471" s="10"/>
      <c r="G471" s="10"/>
      <c r="H471" s="199"/>
      <c r="I471" s="200"/>
      <c r="J471" s="201"/>
      <c r="K471" s="179"/>
      <c r="L471" s="10"/>
      <c r="M471" s="202"/>
      <c r="N471" s="203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</row>
    <row r="472">
      <c r="A472" s="10"/>
      <c r="B472" s="10"/>
      <c r="C472" s="10"/>
      <c r="D472" s="10"/>
      <c r="E472" s="10"/>
      <c r="F472" s="10"/>
      <c r="G472" s="10"/>
      <c r="H472" s="199"/>
      <c r="I472" s="200"/>
      <c r="J472" s="201"/>
      <c r="K472" s="179"/>
      <c r="L472" s="10"/>
      <c r="M472" s="202"/>
      <c r="N472" s="203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</row>
    <row r="473">
      <c r="A473" s="10"/>
      <c r="B473" s="10"/>
      <c r="C473" s="10"/>
      <c r="D473" s="10"/>
      <c r="E473" s="10"/>
      <c r="F473" s="10"/>
      <c r="G473" s="10"/>
      <c r="H473" s="199"/>
      <c r="I473" s="200"/>
      <c r="J473" s="201"/>
      <c r="K473" s="179"/>
      <c r="L473" s="10"/>
      <c r="M473" s="202"/>
      <c r="N473" s="203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</row>
    <row r="474">
      <c r="A474" s="10"/>
      <c r="B474" s="10"/>
      <c r="C474" s="10"/>
      <c r="D474" s="10"/>
      <c r="E474" s="10"/>
      <c r="F474" s="10"/>
      <c r="G474" s="10"/>
      <c r="H474" s="199"/>
      <c r="I474" s="200"/>
      <c r="J474" s="201"/>
      <c r="K474" s="179"/>
      <c r="L474" s="10"/>
      <c r="M474" s="202"/>
      <c r="N474" s="203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</row>
    <row r="475">
      <c r="A475" s="10"/>
      <c r="B475" s="10"/>
      <c r="C475" s="10"/>
      <c r="D475" s="10"/>
      <c r="E475" s="10"/>
      <c r="F475" s="10"/>
      <c r="G475" s="10"/>
      <c r="H475" s="199"/>
      <c r="I475" s="200"/>
      <c r="J475" s="201"/>
      <c r="K475" s="179"/>
      <c r="L475" s="10"/>
      <c r="M475" s="202"/>
      <c r="N475" s="203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</row>
    <row r="476">
      <c r="A476" s="10"/>
      <c r="B476" s="10"/>
      <c r="C476" s="10"/>
      <c r="D476" s="10"/>
      <c r="E476" s="10"/>
      <c r="F476" s="10"/>
      <c r="G476" s="10"/>
      <c r="H476" s="199"/>
      <c r="I476" s="200"/>
      <c r="J476" s="201"/>
      <c r="K476" s="179"/>
      <c r="L476" s="10"/>
      <c r="M476" s="202"/>
      <c r="N476" s="203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</row>
    <row r="477">
      <c r="A477" s="10"/>
      <c r="B477" s="10"/>
      <c r="C477" s="10"/>
      <c r="D477" s="10"/>
      <c r="E477" s="10"/>
      <c r="F477" s="10"/>
      <c r="G477" s="10"/>
      <c r="H477" s="199"/>
      <c r="I477" s="200"/>
      <c r="J477" s="201"/>
      <c r="K477" s="179"/>
      <c r="L477" s="10"/>
      <c r="M477" s="202"/>
      <c r="N477" s="203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</row>
    <row r="478">
      <c r="A478" s="10"/>
      <c r="B478" s="10"/>
      <c r="C478" s="10"/>
      <c r="D478" s="10"/>
      <c r="E478" s="10"/>
      <c r="F478" s="10"/>
      <c r="G478" s="10"/>
      <c r="H478" s="199"/>
      <c r="I478" s="200"/>
      <c r="J478" s="201"/>
      <c r="K478" s="179"/>
      <c r="L478" s="10"/>
      <c r="M478" s="202"/>
      <c r="N478" s="203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</row>
    <row r="479">
      <c r="A479" s="10"/>
      <c r="B479" s="10"/>
      <c r="C479" s="10"/>
      <c r="D479" s="10"/>
      <c r="E479" s="10"/>
      <c r="F479" s="10"/>
      <c r="G479" s="10"/>
      <c r="H479" s="199"/>
      <c r="I479" s="200"/>
      <c r="J479" s="201"/>
      <c r="K479" s="179"/>
      <c r="L479" s="10"/>
      <c r="M479" s="202"/>
      <c r="N479" s="203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</row>
    <row r="480">
      <c r="A480" s="10"/>
      <c r="B480" s="10"/>
      <c r="C480" s="10"/>
      <c r="D480" s="10"/>
      <c r="E480" s="10"/>
      <c r="F480" s="10"/>
      <c r="G480" s="10"/>
      <c r="H480" s="199"/>
      <c r="I480" s="200"/>
      <c r="J480" s="201"/>
      <c r="K480" s="179"/>
      <c r="L480" s="10"/>
      <c r="M480" s="202"/>
      <c r="N480" s="203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</row>
    <row r="481">
      <c r="A481" s="10"/>
      <c r="B481" s="10"/>
      <c r="C481" s="10"/>
      <c r="D481" s="10"/>
      <c r="E481" s="10"/>
      <c r="F481" s="10"/>
      <c r="G481" s="10"/>
      <c r="H481" s="199"/>
      <c r="I481" s="200"/>
      <c r="J481" s="201"/>
      <c r="K481" s="179"/>
      <c r="L481" s="10"/>
      <c r="M481" s="202"/>
      <c r="N481" s="203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</row>
    <row r="482">
      <c r="A482" s="10"/>
      <c r="B482" s="10"/>
      <c r="C482" s="10"/>
      <c r="D482" s="10"/>
      <c r="E482" s="10"/>
      <c r="F482" s="10"/>
      <c r="G482" s="10"/>
      <c r="H482" s="199"/>
      <c r="I482" s="200"/>
      <c r="J482" s="201"/>
      <c r="K482" s="179"/>
      <c r="L482" s="10"/>
      <c r="M482" s="202"/>
      <c r="N482" s="203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</row>
    <row r="483">
      <c r="A483" s="10"/>
      <c r="B483" s="10"/>
      <c r="C483" s="10"/>
      <c r="D483" s="10"/>
      <c r="E483" s="10"/>
      <c r="F483" s="10"/>
      <c r="G483" s="10"/>
      <c r="H483" s="199"/>
      <c r="I483" s="200"/>
      <c r="J483" s="201"/>
      <c r="K483" s="179"/>
      <c r="L483" s="10"/>
      <c r="M483" s="202"/>
      <c r="N483" s="203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</row>
    <row r="484">
      <c r="A484" s="10"/>
      <c r="B484" s="10"/>
      <c r="C484" s="10"/>
      <c r="D484" s="10"/>
      <c r="E484" s="10"/>
      <c r="F484" s="10"/>
      <c r="G484" s="10"/>
      <c r="H484" s="199"/>
      <c r="I484" s="200"/>
      <c r="J484" s="201"/>
      <c r="K484" s="179"/>
      <c r="L484" s="10"/>
      <c r="M484" s="202"/>
      <c r="N484" s="203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</row>
    <row r="485">
      <c r="A485" s="10"/>
      <c r="B485" s="10"/>
      <c r="C485" s="10"/>
      <c r="D485" s="10"/>
      <c r="E485" s="10"/>
      <c r="F485" s="10"/>
      <c r="G485" s="10"/>
      <c r="H485" s="199"/>
      <c r="I485" s="200"/>
      <c r="J485" s="201"/>
      <c r="K485" s="179"/>
      <c r="L485" s="10"/>
      <c r="M485" s="202"/>
      <c r="N485" s="203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</row>
    <row r="486">
      <c r="A486" s="10"/>
      <c r="B486" s="10"/>
      <c r="C486" s="10"/>
      <c r="D486" s="10"/>
      <c r="E486" s="10"/>
      <c r="F486" s="10"/>
      <c r="G486" s="10"/>
      <c r="H486" s="199"/>
      <c r="I486" s="200"/>
      <c r="J486" s="201"/>
      <c r="K486" s="179"/>
      <c r="L486" s="10"/>
      <c r="M486" s="202"/>
      <c r="N486" s="203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</row>
    <row r="487">
      <c r="A487" s="10"/>
      <c r="B487" s="10"/>
      <c r="C487" s="10"/>
      <c r="D487" s="10"/>
      <c r="E487" s="10"/>
      <c r="F487" s="10"/>
      <c r="G487" s="10"/>
      <c r="H487" s="199"/>
      <c r="I487" s="200"/>
      <c r="J487" s="201"/>
      <c r="K487" s="179"/>
      <c r="L487" s="10"/>
      <c r="M487" s="202"/>
      <c r="N487" s="203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</row>
    <row r="488">
      <c r="A488" s="10"/>
      <c r="B488" s="10"/>
      <c r="C488" s="10"/>
      <c r="D488" s="10"/>
      <c r="E488" s="10"/>
      <c r="F488" s="10"/>
      <c r="G488" s="10"/>
      <c r="H488" s="199"/>
      <c r="I488" s="200"/>
      <c r="J488" s="201"/>
      <c r="K488" s="179"/>
      <c r="L488" s="10"/>
      <c r="M488" s="202"/>
      <c r="N488" s="203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</row>
    <row r="489">
      <c r="A489" s="10"/>
      <c r="B489" s="10"/>
      <c r="C489" s="10"/>
      <c r="D489" s="10"/>
      <c r="E489" s="10"/>
      <c r="F489" s="10"/>
      <c r="G489" s="10"/>
      <c r="H489" s="199"/>
      <c r="I489" s="200"/>
      <c r="J489" s="201"/>
      <c r="K489" s="179"/>
      <c r="L489" s="10"/>
      <c r="M489" s="202"/>
      <c r="N489" s="203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</row>
    <row r="490">
      <c r="A490" s="10"/>
      <c r="B490" s="10"/>
      <c r="C490" s="10"/>
      <c r="D490" s="10"/>
      <c r="E490" s="10"/>
      <c r="F490" s="10"/>
      <c r="G490" s="10"/>
      <c r="H490" s="199"/>
      <c r="I490" s="200"/>
      <c r="J490" s="201"/>
      <c r="K490" s="179"/>
      <c r="L490" s="10"/>
      <c r="M490" s="202"/>
      <c r="N490" s="203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</row>
    <row r="491">
      <c r="A491" s="10"/>
      <c r="B491" s="10"/>
      <c r="C491" s="10"/>
      <c r="D491" s="10"/>
      <c r="E491" s="10"/>
      <c r="F491" s="10"/>
      <c r="G491" s="10"/>
      <c r="H491" s="199"/>
      <c r="I491" s="200"/>
      <c r="J491" s="201"/>
      <c r="K491" s="179"/>
      <c r="L491" s="10"/>
      <c r="M491" s="202"/>
      <c r="N491" s="203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</row>
    <row r="492">
      <c r="A492" s="10"/>
      <c r="B492" s="10"/>
      <c r="C492" s="10"/>
      <c r="D492" s="10"/>
      <c r="E492" s="10"/>
      <c r="F492" s="10"/>
      <c r="G492" s="10"/>
      <c r="H492" s="199"/>
      <c r="I492" s="200"/>
      <c r="J492" s="201"/>
      <c r="K492" s="179"/>
      <c r="L492" s="10"/>
      <c r="M492" s="202"/>
      <c r="N492" s="203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</row>
    <row r="493">
      <c r="A493" s="10"/>
      <c r="B493" s="10"/>
      <c r="C493" s="10"/>
      <c r="D493" s="10"/>
      <c r="E493" s="10"/>
      <c r="F493" s="10"/>
      <c r="G493" s="10"/>
      <c r="H493" s="199"/>
      <c r="I493" s="200"/>
      <c r="J493" s="201"/>
      <c r="K493" s="179"/>
      <c r="L493" s="10"/>
      <c r="M493" s="202"/>
      <c r="N493" s="203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</row>
    <row r="494">
      <c r="A494" s="10"/>
      <c r="B494" s="10"/>
      <c r="C494" s="10"/>
      <c r="D494" s="10"/>
      <c r="E494" s="10"/>
      <c r="F494" s="10"/>
      <c r="G494" s="10"/>
      <c r="H494" s="199"/>
      <c r="I494" s="200"/>
      <c r="J494" s="201"/>
      <c r="K494" s="179"/>
      <c r="L494" s="10"/>
      <c r="M494" s="202"/>
      <c r="N494" s="203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</row>
    <row r="495">
      <c r="A495" s="10"/>
      <c r="B495" s="10"/>
      <c r="C495" s="10"/>
      <c r="D495" s="10"/>
      <c r="E495" s="10"/>
      <c r="F495" s="10"/>
      <c r="G495" s="10"/>
      <c r="H495" s="199"/>
      <c r="I495" s="200"/>
      <c r="J495" s="201"/>
      <c r="K495" s="179"/>
      <c r="L495" s="10"/>
      <c r="M495" s="202"/>
      <c r="N495" s="203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</row>
    <row r="496">
      <c r="A496" s="10"/>
      <c r="B496" s="10"/>
      <c r="C496" s="10"/>
      <c r="D496" s="10"/>
      <c r="E496" s="10"/>
      <c r="F496" s="10"/>
      <c r="G496" s="10"/>
      <c r="H496" s="199"/>
      <c r="I496" s="200"/>
      <c r="J496" s="201"/>
      <c r="K496" s="179"/>
      <c r="L496" s="10"/>
      <c r="M496" s="202"/>
      <c r="N496" s="203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</row>
    <row r="497">
      <c r="A497" s="10"/>
      <c r="B497" s="10"/>
      <c r="C497" s="10"/>
      <c r="D497" s="10"/>
      <c r="E497" s="10"/>
      <c r="F497" s="10"/>
      <c r="G497" s="10"/>
      <c r="H497" s="199"/>
      <c r="I497" s="200"/>
      <c r="J497" s="201"/>
      <c r="K497" s="179"/>
      <c r="L497" s="10"/>
      <c r="M497" s="202"/>
      <c r="N497" s="203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</row>
    <row r="498">
      <c r="A498" s="10"/>
      <c r="B498" s="10"/>
      <c r="C498" s="10"/>
      <c r="D498" s="10"/>
      <c r="E498" s="10"/>
      <c r="F498" s="10"/>
      <c r="G498" s="10"/>
      <c r="H498" s="199"/>
      <c r="I498" s="200"/>
      <c r="J498" s="201"/>
      <c r="K498" s="179"/>
      <c r="L498" s="10"/>
      <c r="M498" s="202"/>
      <c r="N498" s="203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</row>
    <row r="499">
      <c r="A499" s="10"/>
      <c r="B499" s="10"/>
      <c r="C499" s="10"/>
      <c r="D499" s="10"/>
      <c r="E499" s="10"/>
      <c r="F499" s="10"/>
      <c r="G499" s="10"/>
      <c r="H499" s="199"/>
      <c r="I499" s="200"/>
      <c r="J499" s="201"/>
      <c r="K499" s="179"/>
      <c r="L499" s="10"/>
      <c r="M499" s="202"/>
      <c r="N499" s="203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</row>
    <row r="500">
      <c r="A500" s="10"/>
      <c r="B500" s="10"/>
      <c r="C500" s="10"/>
      <c r="D500" s="10"/>
      <c r="E500" s="10"/>
      <c r="F500" s="10"/>
      <c r="G500" s="10"/>
      <c r="H500" s="199"/>
      <c r="I500" s="200"/>
      <c r="J500" s="201"/>
      <c r="K500" s="179"/>
      <c r="L500" s="10"/>
      <c r="M500" s="202"/>
      <c r="N500" s="203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</row>
    <row r="501">
      <c r="A501" s="10"/>
      <c r="B501" s="10"/>
      <c r="C501" s="10"/>
      <c r="D501" s="10"/>
      <c r="E501" s="10"/>
      <c r="F501" s="10"/>
      <c r="G501" s="10"/>
      <c r="H501" s="199"/>
      <c r="I501" s="200"/>
      <c r="J501" s="201"/>
      <c r="K501" s="179"/>
      <c r="L501" s="10"/>
      <c r="M501" s="202"/>
      <c r="N501" s="203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</row>
    <row r="502">
      <c r="A502" s="10"/>
      <c r="B502" s="10"/>
      <c r="C502" s="10"/>
      <c r="D502" s="10"/>
      <c r="E502" s="10"/>
      <c r="F502" s="10"/>
      <c r="G502" s="10"/>
      <c r="H502" s="199"/>
      <c r="I502" s="200"/>
      <c r="J502" s="201"/>
      <c r="K502" s="179"/>
      <c r="L502" s="10"/>
      <c r="M502" s="202"/>
      <c r="N502" s="203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</row>
    <row r="503">
      <c r="A503" s="10"/>
      <c r="B503" s="10"/>
      <c r="C503" s="10"/>
      <c r="D503" s="10"/>
      <c r="E503" s="10"/>
      <c r="F503" s="10"/>
      <c r="G503" s="10"/>
      <c r="H503" s="199"/>
      <c r="I503" s="200"/>
      <c r="J503" s="201"/>
      <c r="K503" s="179"/>
      <c r="L503" s="10"/>
      <c r="M503" s="202"/>
      <c r="N503" s="203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</row>
    <row r="504">
      <c r="A504" s="10"/>
      <c r="B504" s="10"/>
      <c r="C504" s="10"/>
      <c r="D504" s="10"/>
      <c r="E504" s="10"/>
      <c r="F504" s="10"/>
      <c r="G504" s="10"/>
      <c r="H504" s="199"/>
      <c r="I504" s="200"/>
      <c r="J504" s="201"/>
      <c r="K504" s="179"/>
      <c r="L504" s="10"/>
      <c r="M504" s="202"/>
      <c r="N504" s="203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</row>
    <row r="505">
      <c r="A505" s="10"/>
      <c r="B505" s="10"/>
      <c r="C505" s="10"/>
      <c r="D505" s="10"/>
      <c r="E505" s="10"/>
      <c r="F505" s="10"/>
      <c r="G505" s="10"/>
      <c r="H505" s="199"/>
      <c r="I505" s="200"/>
      <c r="J505" s="201"/>
      <c r="K505" s="179"/>
      <c r="L505" s="10"/>
      <c r="M505" s="202"/>
      <c r="N505" s="203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</row>
    <row r="506">
      <c r="A506" s="10"/>
      <c r="B506" s="10"/>
      <c r="C506" s="10"/>
      <c r="D506" s="10"/>
      <c r="E506" s="10"/>
      <c r="F506" s="10"/>
      <c r="G506" s="10"/>
      <c r="H506" s="199"/>
      <c r="I506" s="200"/>
      <c r="J506" s="201"/>
      <c r="K506" s="179"/>
      <c r="L506" s="10"/>
      <c r="M506" s="202"/>
      <c r="N506" s="203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</row>
    <row r="507">
      <c r="A507" s="10"/>
      <c r="B507" s="10"/>
      <c r="C507" s="10"/>
      <c r="D507" s="10"/>
      <c r="E507" s="10"/>
      <c r="F507" s="10"/>
      <c r="G507" s="10"/>
      <c r="H507" s="199"/>
      <c r="I507" s="200"/>
      <c r="J507" s="201"/>
      <c r="K507" s="179"/>
      <c r="L507" s="10"/>
      <c r="M507" s="202"/>
      <c r="N507" s="203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</row>
    <row r="508">
      <c r="A508" s="10"/>
      <c r="B508" s="10"/>
      <c r="C508" s="10"/>
      <c r="D508" s="10"/>
      <c r="E508" s="10"/>
      <c r="F508" s="10"/>
      <c r="G508" s="10"/>
      <c r="H508" s="199"/>
      <c r="I508" s="200"/>
      <c r="J508" s="201"/>
      <c r="K508" s="179"/>
      <c r="L508" s="10"/>
      <c r="M508" s="202"/>
      <c r="N508" s="203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</row>
    <row r="509">
      <c r="A509" s="10"/>
      <c r="B509" s="10"/>
      <c r="C509" s="10"/>
      <c r="D509" s="10"/>
      <c r="E509" s="10"/>
      <c r="F509" s="10"/>
      <c r="G509" s="10"/>
      <c r="H509" s="199"/>
      <c r="I509" s="200"/>
      <c r="J509" s="201"/>
      <c r="K509" s="179"/>
      <c r="L509" s="10"/>
      <c r="M509" s="202"/>
      <c r="N509" s="203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</row>
    <row r="510">
      <c r="A510" s="10"/>
      <c r="B510" s="10"/>
      <c r="C510" s="10"/>
      <c r="D510" s="10"/>
      <c r="E510" s="10"/>
      <c r="F510" s="10"/>
      <c r="G510" s="10"/>
      <c r="H510" s="199"/>
      <c r="I510" s="200"/>
      <c r="J510" s="201"/>
      <c r="K510" s="179"/>
      <c r="L510" s="10"/>
      <c r="M510" s="202"/>
      <c r="N510" s="203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</row>
    <row r="511">
      <c r="A511" s="10"/>
      <c r="B511" s="10"/>
      <c r="C511" s="10"/>
      <c r="D511" s="10"/>
      <c r="E511" s="10"/>
      <c r="F511" s="10"/>
      <c r="G511" s="10"/>
      <c r="H511" s="199"/>
      <c r="I511" s="200"/>
      <c r="J511" s="201"/>
      <c r="K511" s="179"/>
      <c r="L511" s="10"/>
      <c r="M511" s="202"/>
      <c r="N511" s="203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</row>
    <row r="512">
      <c r="A512" s="10"/>
      <c r="B512" s="10"/>
      <c r="C512" s="10"/>
      <c r="D512" s="10"/>
      <c r="E512" s="10"/>
      <c r="F512" s="10"/>
      <c r="G512" s="10"/>
      <c r="H512" s="199"/>
      <c r="I512" s="200"/>
      <c r="J512" s="201"/>
      <c r="K512" s="179"/>
      <c r="L512" s="10"/>
      <c r="M512" s="202"/>
      <c r="N512" s="203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</row>
    <row r="513">
      <c r="A513" s="10"/>
      <c r="B513" s="10"/>
      <c r="C513" s="10"/>
      <c r="D513" s="10"/>
      <c r="E513" s="10"/>
      <c r="F513" s="10"/>
      <c r="G513" s="10"/>
      <c r="H513" s="199"/>
      <c r="I513" s="200"/>
      <c r="J513" s="201"/>
      <c r="K513" s="179"/>
      <c r="L513" s="10"/>
      <c r="M513" s="202"/>
      <c r="N513" s="203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</row>
    <row r="514">
      <c r="A514" s="10"/>
      <c r="B514" s="10"/>
      <c r="C514" s="10"/>
      <c r="D514" s="10"/>
      <c r="E514" s="10"/>
      <c r="F514" s="10"/>
      <c r="G514" s="10"/>
      <c r="H514" s="199"/>
      <c r="I514" s="200"/>
      <c r="J514" s="201"/>
      <c r="K514" s="179"/>
      <c r="L514" s="10"/>
      <c r="M514" s="202"/>
      <c r="N514" s="203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</row>
    <row r="515">
      <c r="A515" s="10"/>
      <c r="B515" s="10"/>
      <c r="C515" s="10"/>
      <c r="D515" s="10"/>
      <c r="E515" s="10"/>
      <c r="F515" s="10"/>
      <c r="G515" s="10"/>
      <c r="H515" s="199"/>
      <c r="I515" s="200"/>
      <c r="J515" s="201"/>
      <c r="K515" s="179"/>
      <c r="L515" s="10"/>
      <c r="M515" s="202"/>
      <c r="N515" s="203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</row>
    <row r="516">
      <c r="A516" s="10"/>
      <c r="B516" s="10"/>
      <c r="C516" s="10"/>
      <c r="D516" s="10"/>
      <c r="E516" s="10"/>
      <c r="F516" s="10"/>
      <c r="G516" s="10"/>
      <c r="H516" s="199"/>
      <c r="I516" s="200"/>
      <c r="J516" s="201"/>
      <c r="K516" s="179"/>
      <c r="L516" s="10"/>
      <c r="M516" s="202"/>
      <c r="N516" s="203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</row>
    <row r="517">
      <c r="A517" s="10"/>
      <c r="B517" s="10"/>
      <c r="C517" s="10"/>
      <c r="D517" s="10"/>
      <c r="E517" s="10"/>
      <c r="F517" s="10"/>
      <c r="G517" s="10"/>
      <c r="H517" s="199"/>
      <c r="I517" s="200"/>
      <c r="J517" s="201"/>
      <c r="K517" s="179"/>
      <c r="L517" s="10"/>
      <c r="M517" s="202"/>
      <c r="N517" s="203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</row>
    <row r="518">
      <c r="A518" s="10"/>
      <c r="B518" s="10"/>
      <c r="C518" s="10"/>
      <c r="D518" s="10"/>
      <c r="E518" s="10"/>
      <c r="F518" s="10"/>
      <c r="G518" s="10"/>
      <c r="H518" s="199"/>
      <c r="I518" s="200"/>
      <c r="J518" s="201"/>
      <c r="K518" s="179"/>
      <c r="L518" s="10"/>
      <c r="M518" s="202"/>
      <c r="N518" s="203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</row>
    <row r="519">
      <c r="A519" s="10"/>
      <c r="B519" s="10"/>
      <c r="C519" s="10"/>
      <c r="D519" s="10"/>
      <c r="E519" s="10"/>
      <c r="F519" s="10"/>
      <c r="G519" s="10"/>
      <c r="H519" s="199"/>
      <c r="I519" s="200"/>
      <c r="J519" s="201"/>
      <c r="K519" s="179"/>
      <c r="L519" s="10"/>
      <c r="M519" s="202"/>
      <c r="N519" s="203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</row>
    <row r="520">
      <c r="A520" s="10"/>
      <c r="B520" s="10"/>
      <c r="C520" s="10"/>
      <c r="D520" s="10"/>
      <c r="E520" s="10"/>
      <c r="F520" s="10"/>
      <c r="G520" s="10"/>
      <c r="H520" s="199"/>
      <c r="I520" s="200"/>
      <c r="J520" s="201"/>
      <c r="K520" s="179"/>
      <c r="L520" s="10"/>
      <c r="M520" s="202"/>
      <c r="N520" s="203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</row>
    <row r="521">
      <c r="A521" s="10"/>
      <c r="B521" s="10"/>
      <c r="C521" s="10"/>
      <c r="D521" s="10"/>
      <c r="E521" s="10"/>
      <c r="F521" s="10"/>
      <c r="G521" s="10"/>
      <c r="H521" s="199"/>
      <c r="I521" s="200"/>
      <c r="J521" s="201"/>
      <c r="K521" s="179"/>
      <c r="L521" s="10"/>
      <c r="M521" s="202"/>
      <c r="N521" s="203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</row>
    <row r="522">
      <c r="A522" s="10"/>
      <c r="B522" s="10"/>
      <c r="C522" s="10"/>
      <c r="D522" s="10"/>
      <c r="E522" s="10"/>
      <c r="F522" s="10"/>
      <c r="G522" s="10"/>
      <c r="H522" s="199"/>
      <c r="I522" s="200"/>
      <c r="J522" s="201"/>
      <c r="K522" s="179"/>
      <c r="L522" s="10"/>
      <c r="M522" s="202"/>
      <c r="N522" s="203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</row>
    <row r="523">
      <c r="A523" s="10"/>
      <c r="B523" s="10"/>
      <c r="C523" s="10"/>
      <c r="D523" s="10"/>
      <c r="E523" s="10"/>
      <c r="F523" s="10"/>
      <c r="G523" s="10"/>
      <c r="H523" s="199"/>
      <c r="I523" s="200"/>
      <c r="J523" s="201"/>
      <c r="K523" s="179"/>
      <c r="L523" s="10"/>
      <c r="M523" s="202"/>
      <c r="N523" s="203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</row>
    <row r="524">
      <c r="A524" s="10"/>
      <c r="B524" s="10"/>
      <c r="C524" s="10"/>
      <c r="D524" s="10"/>
      <c r="E524" s="10"/>
      <c r="F524" s="10"/>
      <c r="G524" s="10"/>
      <c r="H524" s="199"/>
      <c r="I524" s="200"/>
      <c r="J524" s="201"/>
      <c r="K524" s="179"/>
      <c r="L524" s="10"/>
      <c r="M524" s="202"/>
      <c r="N524" s="203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</row>
    <row r="525">
      <c r="A525" s="10"/>
      <c r="B525" s="10"/>
      <c r="C525" s="10"/>
      <c r="D525" s="10"/>
      <c r="E525" s="10"/>
      <c r="F525" s="10"/>
      <c r="G525" s="10"/>
      <c r="H525" s="199"/>
      <c r="I525" s="200"/>
      <c r="J525" s="201"/>
      <c r="K525" s="179"/>
      <c r="L525" s="10"/>
      <c r="M525" s="202"/>
      <c r="N525" s="203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</row>
    <row r="526">
      <c r="A526" s="10"/>
      <c r="B526" s="10"/>
      <c r="C526" s="10"/>
      <c r="D526" s="10"/>
      <c r="E526" s="10"/>
      <c r="F526" s="10"/>
      <c r="G526" s="10"/>
      <c r="H526" s="199"/>
      <c r="I526" s="200"/>
      <c r="J526" s="201"/>
      <c r="K526" s="179"/>
      <c r="L526" s="10"/>
      <c r="M526" s="202"/>
      <c r="N526" s="203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</row>
    <row r="527">
      <c r="A527" s="10"/>
      <c r="B527" s="10"/>
      <c r="C527" s="10"/>
      <c r="D527" s="10"/>
      <c r="E527" s="10"/>
      <c r="F527" s="10"/>
      <c r="G527" s="10"/>
      <c r="H527" s="199"/>
      <c r="I527" s="200"/>
      <c r="J527" s="201"/>
      <c r="K527" s="179"/>
      <c r="L527" s="10"/>
      <c r="M527" s="202"/>
      <c r="N527" s="203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</row>
    <row r="528">
      <c r="A528" s="10"/>
      <c r="B528" s="10"/>
      <c r="C528" s="10"/>
      <c r="D528" s="10"/>
      <c r="E528" s="10"/>
      <c r="F528" s="10"/>
      <c r="G528" s="10"/>
      <c r="H528" s="199"/>
      <c r="I528" s="200"/>
      <c r="J528" s="201"/>
      <c r="K528" s="179"/>
      <c r="L528" s="10"/>
      <c r="M528" s="202"/>
      <c r="N528" s="203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</row>
    <row r="529">
      <c r="A529" s="10"/>
      <c r="B529" s="10"/>
      <c r="C529" s="10"/>
      <c r="D529" s="10"/>
      <c r="E529" s="10"/>
      <c r="F529" s="10"/>
      <c r="G529" s="10"/>
      <c r="H529" s="199"/>
      <c r="I529" s="200"/>
      <c r="J529" s="201"/>
      <c r="K529" s="179"/>
      <c r="L529" s="10"/>
      <c r="M529" s="202"/>
      <c r="N529" s="203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</row>
    <row r="530">
      <c r="A530" s="10"/>
      <c r="B530" s="10"/>
      <c r="C530" s="10"/>
      <c r="D530" s="10"/>
      <c r="E530" s="10"/>
      <c r="F530" s="10"/>
      <c r="G530" s="10"/>
      <c r="H530" s="199"/>
      <c r="I530" s="200"/>
      <c r="J530" s="201"/>
      <c r="K530" s="179"/>
      <c r="L530" s="10"/>
      <c r="M530" s="202"/>
      <c r="N530" s="203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</row>
    <row r="531">
      <c r="A531" s="10"/>
      <c r="B531" s="10"/>
      <c r="C531" s="10"/>
      <c r="D531" s="10"/>
      <c r="E531" s="10"/>
      <c r="F531" s="10"/>
      <c r="G531" s="10"/>
      <c r="H531" s="199"/>
      <c r="I531" s="200"/>
      <c r="J531" s="201"/>
      <c r="K531" s="179"/>
      <c r="L531" s="10"/>
      <c r="M531" s="202"/>
      <c r="N531" s="203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</row>
    <row r="532">
      <c r="A532" s="10"/>
      <c r="B532" s="10"/>
      <c r="C532" s="10"/>
      <c r="D532" s="10"/>
      <c r="E532" s="10"/>
      <c r="F532" s="10"/>
      <c r="G532" s="10"/>
      <c r="H532" s="199"/>
      <c r="I532" s="200"/>
      <c r="J532" s="201"/>
      <c r="K532" s="179"/>
      <c r="L532" s="10"/>
      <c r="M532" s="202"/>
      <c r="N532" s="203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</row>
    <row r="533">
      <c r="A533" s="10"/>
      <c r="B533" s="10"/>
      <c r="C533" s="10"/>
      <c r="D533" s="10"/>
      <c r="E533" s="10"/>
      <c r="F533" s="10"/>
      <c r="G533" s="10"/>
      <c r="H533" s="199"/>
      <c r="I533" s="200"/>
      <c r="J533" s="201"/>
      <c r="K533" s="179"/>
      <c r="L533" s="10"/>
      <c r="M533" s="202"/>
      <c r="N533" s="203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</row>
    <row r="534">
      <c r="A534" s="10"/>
      <c r="B534" s="10"/>
      <c r="C534" s="10"/>
      <c r="D534" s="10"/>
      <c r="E534" s="10"/>
      <c r="F534" s="10"/>
      <c r="G534" s="10"/>
      <c r="H534" s="199"/>
      <c r="I534" s="200"/>
      <c r="J534" s="201"/>
      <c r="K534" s="179"/>
      <c r="L534" s="10"/>
      <c r="M534" s="202"/>
      <c r="N534" s="203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</row>
    <row r="535">
      <c r="A535" s="10"/>
      <c r="B535" s="10"/>
      <c r="C535" s="10"/>
      <c r="D535" s="10"/>
      <c r="E535" s="10"/>
      <c r="F535" s="10"/>
      <c r="G535" s="10"/>
      <c r="H535" s="199"/>
      <c r="I535" s="200"/>
      <c r="J535" s="201"/>
      <c r="K535" s="179"/>
      <c r="L535" s="10"/>
      <c r="M535" s="202"/>
      <c r="N535" s="203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</row>
    <row r="536">
      <c r="A536" s="10"/>
      <c r="B536" s="10"/>
      <c r="C536" s="10"/>
      <c r="D536" s="10"/>
      <c r="E536" s="10"/>
      <c r="F536" s="10"/>
      <c r="G536" s="10"/>
      <c r="H536" s="199"/>
      <c r="I536" s="200"/>
      <c r="J536" s="201"/>
      <c r="K536" s="179"/>
      <c r="L536" s="10"/>
      <c r="M536" s="202"/>
      <c r="N536" s="203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</row>
    <row r="537">
      <c r="A537" s="10"/>
      <c r="B537" s="10"/>
      <c r="C537" s="10"/>
      <c r="D537" s="10"/>
      <c r="E537" s="10"/>
      <c r="F537" s="10"/>
      <c r="G537" s="10"/>
      <c r="H537" s="199"/>
      <c r="I537" s="200"/>
      <c r="J537" s="201"/>
      <c r="K537" s="179"/>
      <c r="L537" s="10"/>
      <c r="M537" s="202"/>
      <c r="N537" s="203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</row>
    <row r="538">
      <c r="A538" s="10"/>
      <c r="B538" s="10"/>
      <c r="C538" s="10"/>
      <c r="D538" s="10"/>
      <c r="E538" s="10"/>
      <c r="F538" s="10"/>
      <c r="G538" s="10"/>
      <c r="H538" s="199"/>
      <c r="I538" s="200"/>
      <c r="J538" s="201"/>
      <c r="K538" s="179"/>
      <c r="L538" s="10"/>
      <c r="M538" s="202"/>
      <c r="N538" s="203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</row>
    <row r="539">
      <c r="A539" s="10"/>
      <c r="B539" s="10"/>
      <c r="C539" s="10"/>
      <c r="D539" s="10"/>
      <c r="E539" s="10"/>
      <c r="F539" s="10"/>
      <c r="G539" s="10"/>
      <c r="H539" s="199"/>
      <c r="I539" s="200"/>
      <c r="J539" s="201"/>
      <c r="K539" s="179"/>
      <c r="L539" s="10"/>
      <c r="M539" s="202"/>
      <c r="N539" s="203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</row>
    <row r="540">
      <c r="A540" s="10"/>
      <c r="B540" s="10"/>
      <c r="C540" s="10"/>
      <c r="D540" s="10"/>
      <c r="E540" s="10"/>
      <c r="F540" s="10"/>
      <c r="G540" s="10"/>
      <c r="H540" s="199"/>
      <c r="I540" s="200"/>
      <c r="J540" s="201"/>
      <c r="K540" s="179"/>
      <c r="L540" s="10"/>
      <c r="M540" s="202"/>
      <c r="N540" s="203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</row>
    <row r="541">
      <c r="A541" s="10"/>
      <c r="B541" s="10"/>
      <c r="C541" s="10"/>
      <c r="D541" s="10"/>
      <c r="E541" s="10"/>
      <c r="F541" s="10"/>
      <c r="G541" s="10"/>
      <c r="H541" s="199"/>
      <c r="I541" s="200"/>
      <c r="J541" s="201"/>
      <c r="K541" s="179"/>
      <c r="L541" s="10"/>
      <c r="M541" s="202"/>
      <c r="N541" s="203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</row>
    <row r="542">
      <c r="A542" s="10"/>
      <c r="B542" s="10"/>
      <c r="C542" s="10"/>
      <c r="D542" s="10"/>
      <c r="E542" s="10"/>
      <c r="F542" s="10"/>
      <c r="G542" s="10"/>
      <c r="H542" s="199"/>
      <c r="I542" s="200"/>
      <c r="J542" s="201"/>
      <c r="K542" s="179"/>
      <c r="L542" s="10"/>
      <c r="M542" s="202"/>
      <c r="N542" s="203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</row>
    <row r="543">
      <c r="A543" s="10"/>
      <c r="B543" s="10"/>
      <c r="C543" s="10"/>
      <c r="D543" s="10"/>
      <c r="E543" s="10"/>
      <c r="F543" s="10"/>
      <c r="G543" s="10"/>
      <c r="H543" s="199"/>
      <c r="I543" s="200"/>
      <c r="J543" s="201"/>
      <c r="K543" s="179"/>
      <c r="L543" s="10"/>
      <c r="M543" s="202"/>
      <c r="N543" s="203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</row>
    <row r="544">
      <c r="A544" s="10"/>
      <c r="B544" s="10"/>
      <c r="C544" s="10"/>
      <c r="D544" s="10"/>
      <c r="E544" s="10"/>
      <c r="F544" s="10"/>
      <c r="G544" s="10"/>
      <c r="H544" s="199"/>
      <c r="I544" s="200"/>
      <c r="J544" s="201"/>
      <c r="K544" s="179"/>
      <c r="L544" s="10"/>
      <c r="M544" s="202"/>
      <c r="N544" s="203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</row>
    <row r="545">
      <c r="A545" s="10"/>
      <c r="B545" s="10"/>
      <c r="C545" s="10"/>
      <c r="D545" s="10"/>
      <c r="E545" s="10"/>
      <c r="F545" s="10"/>
      <c r="G545" s="10"/>
      <c r="H545" s="199"/>
      <c r="I545" s="200"/>
      <c r="J545" s="201"/>
      <c r="K545" s="179"/>
      <c r="L545" s="10"/>
      <c r="M545" s="202"/>
      <c r="N545" s="203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</row>
    <row r="546">
      <c r="A546" s="10"/>
      <c r="B546" s="10"/>
      <c r="C546" s="10"/>
      <c r="D546" s="10"/>
      <c r="E546" s="10"/>
      <c r="F546" s="10"/>
      <c r="G546" s="10"/>
      <c r="H546" s="199"/>
      <c r="I546" s="200"/>
      <c r="J546" s="201"/>
      <c r="K546" s="179"/>
      <c r="L546" s="10"/>
      <c r="M546" s="202"/>
      <c r="N546" s="203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</row>
    <row r="547">
      <c r="A547" s="10"/>
      <c r="B547" s="10"/>
      <c r="C547" s="10"/>
      <c r="D547" s="10"/>
      <c r="E547" s="10"/>
      <c r="F547" s="10"/>
      <c r="G547" s="10"/>
      <c r="H547" s="199"/>
      <c r="I547" s="200"/>
      <c r="J547" s="201"/>
      <c r="K547" s="179"/>
      <c r="L547" s="10"/>
      <c r="M547" s="202"/>
      <c r="N547" s="203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</row>
    <row r="548">
      <c r="A548" s="10"/>
      <c r="B548" s="10"/>
      <c r="C548" s="10"/>
      <c r="D548" s="10"/>
      <c r="E548" s="10"/>
      <c r="F548" s="10"/>
      <c r="G548" s="10"/>
      <c r="H548" s="199"/>
      <c r="I548" s="200"/>
      <c r="J548" s="201"/>
      <c r="K548" s="179"/>
      <c r="L548" s="10"/>
      <c r="M548" s="202"/>
      <c r="N548" s="203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</row>
    <row r="549">
      <c r="A549" s="10"/>
      <c r="B549" s="10"/>
      <c r="C549" s="10"/>
      <c r="D549" s="10"/>
      <c r="E549" s="10"/>
      <c r="F549" s="10"/>
      <c r="G549" s="10"/>
      <c r="H549" s="199"/>
      <c r="I549" s="200"/>
      <c r="J549" s="201"/>
      <c r="K549" s="179"/>
      <c r="L549" s="10"/>
      <c r="M549" s="202"/>
      <c r="N549" s="203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</row>
    <row r="550">
      <c r="A550" s="10"/>
      <c r="B550" s="10"/>
      <c r="C550" s="10"/>
      <c r="D550" s="10"/>
      <c r="E550" s="10"/>
      <c r="F550" s="10"/>
      <c r="G550" s="10"/>
      <c r="H550" s="199"/>
      <c r="I550" s="200"/>
      <c r="J550" s="201"/>
      <c r="K550" s="179"/>
      <c r="L550" s="10"/>
      <c r="M550" s="202"/>
      <c r="N550" s="203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</row>
    <row r="551">
      <c r="A551" s="10"/>
      <c r="B551" s="10"/>
      <c r="C551" s="10"/>
      <c r="D551" s="10"/>
      <c r="E551" s="10"/>
      <c r="F551" s="10"/>
      <c r="G551" s="10"/>
      <c r="H551" s="199"/>
      <c r="I551" s="200"/>
      <c r="J551" s="201"/>
      <c r="K551" s="179"/>
      <c r="L551" s="10"/>
      <c r="M551" s="202"/>
      <c r="N551" s="203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</row>
    <row r="552">
      <c r="A552" s="10"/>
      <c r="B552" s="10"/>
      <c r="C552" s="10"/>
      <c r="D552" s="10"/>
      <c r="E552" s="10"/>
      <c r="F552" s="10"/>
      <c r="G552" s="10"/>
      <c r="H552" s="199"/>
      <c r="I552" s="200"/>
      <c r="J552" s="201"/>
      <c r="K552" s="179"/>
      <c r="L552" s="10"/>
      <c r="M552" s="202"/>
      <c r="N552" s="203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</row>
    <row r="553">
      <c r="A553" s="10"/>
      <c r="B553" s="10"/>
      <c r="C553" s="10"/>
      <c r="D553" s="10"/>
      <c r="E553" s="10"/>
      <c r="F553" s="10"/>
      <c r="G553" s="10"/>
      <c r="H553" s="199"/>
      <c r="I553" s="200"/>
      <c r="J553" s="201"/>
      <c r="K553" s="179"/>
      <c r="L553" s="10"/>
      <c r="M553" s="202"/>
      <c r="N553" s="203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</row>
    <row r="554">
      <c r="A554" s="10"/>
      <c r="B554" s="10"/>
      <c r="C554" s="10"/>
      <c r="D554" s="10"/>
      <c r="E554" s="10"/>
      <c r="F554" s="10"/>
      <c r="G554" s="10"/>
      <c r="H554" s="199"/>
      <c r="I554" s="200"/>
      <c r="J554" s="201"/>
      <c r="K554" s="179"/>
      <c r="L554" s="10"/>
      <c r="M554" s="202"/>
      <c r="N554" s="203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</row>
    <row r="555">
      <c r="A555" s="10"/>
      <c r="B555" s="10"/>
      <c r="C555" s="10"/>
      <c r="D555" s="10"/>
      <c r="E555" s="10"/>
      <c r="F555" s="10"/>
      <c r="G555" s="10"/>
      <c r="H555" s="199"/>
      <c r="I555" s="200"/>
      <c r="J555" s="201"/>
      <c r="K555" s="179"/>
      <c r="L555" s="10"/>
      <c r="M555" s="202"/>
      <c r="N555" s="203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</row>
    <row r="556">
      <c r="A556" s="10"/>
      <c r="B556" s="10"/>
      <c r="C556" s="10"/>
      <c r="D556" s="10"/>
      <c r="E556" s="10"/>
      <c r="F556" s="10"/>
      <c r="G556" s="10"/>
      <c r="H556" s="199"/>
      <c r="I556" s="200"/>
      <c r="J556" s="201"/>
      <c r="K556" s="179"/>
      <c r="L556" s="10"/>
      <c r="M556" s="202"/>
      <c r="N556" s="203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</row>
    <row r="557">
      <c r="A557" s="10"/>
      <c r="B557" s="10"/>
      <c r="C557" s="10"/>
      <c r="D557" s="10"/>
      <c r="E557" s="10"/>
      <c r="F557" s="10"/>
      <c r="G557" s="10"/>
      <c r="H557" s="199"/>
      <c r="I557" s="200"/>
      <c r="J557" s="201"/>
      <c r="K557" s="179"/>
      <c r="L557" s="10"/>
      <c r="M557" s="202"/>
      <c r="N557" s="203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</row>
    <row r="558">
      <c r="A558" s="10"/>
      <c r="B558" s="10"/>
      <c r="C558" s="10"/>
      <c r="D558" s="10"/>
      <c r="E558" s="10"/>
      <c r="F558" s="10"/>
      <c r="G558" s="10"/>
      <c r="H558" s="199"/>
      <c r="I558" s="200"/>
      <c r="J558" s="201"/>
      <c r="K558" s="179"/>
      <c r="L558" s="10"/>
      <c r="M558" s="202"/>
      <c r="N558" s="203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</row>
    <row r="559">
      <c r="A559" s="10"/>
      <c r="B559" s="10"/>
      <c r="C559" s="10"/>
      <c r="D559" s="10"/>
      <c r="E559" s="10"/>
      <c r="F559" s="10"/>
      <c r="G559" s="10"/>
      <c r="H559" s="199"/>
      <c r="I559" s="200"/>
      <c r="J559" s="201"/>
      <c r="K559" s="179"/>
      <c r="L559" s="10"/>
      <c r="M559" s="202"/>
      <c r="N559" s="203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</row>
    <row r="560">
      <c r="A560" s="10"/>
      <c r="B560" s="10"/>
      <c r="C560" s="10"/>
      <c r="D560" s="10"/>
      <c r="E560" s="10"/>
      <c r="F560" s="10"/>
      <c r="G560" s="10"/>
      <c r="H560" s="199"/>
      <c r="I560" s="200"/>
      <c r="J560" s="201"/>
      <c r="K560" s="179"/>
      <c r="L560" s="10"/>
      <c r="M560" s="202"/>
      <c r="N560" s="203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</row>
    <row r="561">
      <c r="A561" s="10"/>
      <c r="B561" s="10"/>
      <c r="C561" s="10"/>
      <c r="D561" s="10"/>
      <c r="E561" s="10"/>
      <c r="F561" s="10"/>
      <c r="G561" s="10"/>
      <c r="H561" s="199"/>
      <c r="I561" s="200"/>
      <c r="J561" s="201"/>
      <c r="K561" s="179"/>
      <c r="L561" s="10"/>
      <c r="M561" s="202"/>
      <c r="N561" s="203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</row>
    <row r="562">
      <c r="A562" s="10"/>
      <c r="B562" s="10"/>
      <c r="C562" s="10"/>
      <c r="D562" s="10"/>
      <c r="E562" s="10"/>
      <c r="F562" s="10"/>
      <c r="G562" s="10"/>
      <c r="H562" s="199"/>
      <c r="I562" s="200"/>
      <c r="J562" s="201"/>
      <c r="K562" s="179"/>
      <c r="L562" s="10"/>
      <c r="M562" s="202"/>
      <c r="N562" s="203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</row>
    <row r="563">
      <c r="A563" s="10"/>
      <c r="B563" s="10"/>
      <c r="C563" s="10"/>
      <c r="D563" s="10"/>
      <c r="E563" s="10"/>
      <c r="F563" s="10"/>
      <c r="G563" s="10"/>
      <c r="H563" s="199"/>
      <c r="I563" s="200"/>
      <c r="J563" s="201"/>
      <c r="K563" s="179"/>
      <c r="L563" s="10"/>
      <c r="M563" s="202"/>
      <c r="N563" s="203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</row>
    <row r="564">
      <c r="A564" s="10"/>
      <c r="B564" s="10"/>
      <c r="C564" s="10"/>
      <c r="D564" s="10"/>
      <c r="E564" s="10"/>
      <c r="F564" s="10"/>
      <c r="G564" s="10"/>
      <c r="H564" s="199"/>
      <c r="I564" s="200"/>
      <c r="J564" s="201"/>
      <c r="K564" s="179"/>
      <c r="L564" s="10"/>
      <c r="M564" s="202"/>
      <c r="N564" s="203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</row>
    <row r="565">
      <c r="A565" s="10"/>
      <c r="B565" s="10"/>
      <c r="C565" s="10"/>
      <c r="D565" s="10"/>
      <c r="E565" s="10"/>
      <c r="F565" s="10"/>
      <c r="G565" s="10"/>
      <c r="H565" s="199"/>
      <c r="I565" s="200"/>
      <c r="J565" s="201"/>
      <c r="K565" s="179"/>
      <c r="L565" s="10"/>
      <c r="M565" s="202"/>
      <c r="N565" s="203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</row>
    <row r="566">
      <c r="A566" s="10"/>
      <c r="B566" s="10"/>
      <c r="C566" s="10"/>
      <c r="D566" s="10"/>
      <c r="E566" s="10"/>
      <c r="F566" s="10"/>
      <c r="G566" s="10"/>
      <c r="H566" s="199"/>
      <c r="I566" s="200"/>
      <c r="J566" s="201"/>
      <c r="K566" s="179"/>
      <c r="L566" s="10"/>
      <c r="M566" s="202"/>
      <c r="N566" s="203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</row>
    <row r="567">
      <c r="A567" s="10"/>
      <c r="B567" s="10"/>
      <c r="C567" s="10"/>
      <c r="D567" s="10"/>
      <c r="E567" s="10"/>
      <c r="F567" s="10"/>
      <c r="G567" s="10"/>
      <c r="H567" s="199"/>
      <c r="I567" s="200"/>
      <c r="J567" s="201"/>
      <c r="K567" s="179"/>
      <c r="L567" s="10"/>
      <c r="M567" s="202"/>
      <c r="N567" s="203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</row>
    <row r="568">
      <c r="A568" s="10"/>
      <c r="B568" s="10"/>
      <c r="C568" s="10"/>
      <c r="D568" s="10"/>
      <c r="E568" s="10"/>
      <c r="F568" s="10"/>
      <c r="G568" s="10"/>
      <c r="H568" s="199"/>
      <c r="I568" s="200"/>
      <c r="J568" s="201"/>
      <c r="K568" s="179"/>
      <c r="L568" s="10"/>
      <c r="M568" s="202"/>
      <c r="N568" s="203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</row>
    <row r="569">
      <c r="A569" s="10"/>
      <c r="B569" s="10"/>
      <c r="C569" s="10"/>
      <c r="D569" s="10"/>
      <c r="E569" s="10"/>
      <c r="F569" s="10"/>
      <c r="G569" s="10"/>
      <c r="H569" s="199"/>
      <c r="I569" s="200"/>
      <c r="J569" s="201"/>
      <c r="K569" s="179"/>
      <c r="L569" s="10"/>
      <c r="M569" s="202"/>
      <c r="N569" s="203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</row>
    <row r="570">
      <c r="A570" s="10"/>
      <c r="B570" s="10"/>
      <c r="C570" s="10"/>
      <c r="D570" s="10"/>
      <c r="E570" s="10"/>
      <c r="F570" s="10"/>
      <c r="G570" s="10"/>
      <c r="H570" s="199"/>
      <c r="I570" s="200"/>
      <c r="J570" s="201"/>
      <c r="K570" s="179"/>
      <c r="L570" s="10"/>
      <c r="M570" s="202"/>
      <c r="N570" s="203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</row>
    <row r="571">
      <c r="A571" s="10"/>
      <c r="B571" s="10"/>
      <c r="C571" s="10"/>
      <c r="D571" s="10"/>
      <c r="E571" s="10"/>
      <c r="F571" s="10"/>
      <c r="G571" s="10"/>
      <c r="H571" s="199"/>
      <c r="I571" s="200"/>
      <c r="J571" s="201"/>
      <c r="K571" s="179"/>
      <c r="L571" s="10"/>
      <c r="M571" s="202"/>
      <c r="N571" s="203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</row>
    <row r="572">
      <c r="A572" s="10"/>
      <c r="B572" s="10"/>
      <c r="C572" s="10"/>
      <c r="D572" s="10"/>
      <c r="E572" s="10"/>
      <c r="F572" s="10"/>
      <c r="G572" s="10"/>
      <c r="H572" s="199"/>
      <c r="I572" s="200"/>
      <c r="J572" s="201"/>
      <c r="K572" s="179"/>
      <c r="L572" s="10"/>
      <c r="M572" s="202"/>
      <c r="N572" s="203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</row>
    <row r="573">
      <c r="A573" s="10"/>
      <c r="B573" s="10"/>
      <c r="C573" s="10"/>
      <c r="D573" s="10"/>
      <c r="E573" s="10"/>
      <c r="F573" s="10"/>
      <c r="G573" s="10"/>
      <c r="H573" s="199"/>
      <c r="I573" s="200"/>
      <c r="J573" s="201"/>
      <c r="K573" s="179"/>
      <c r="L573" s="10"/>
      <c r="M573" s="202"/>
      <c r="N573" s="203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</row>
    <row r="574">
      <c r="A574" s="10"/>
      <c r="B574" s="10"/>
      <c r="C574" s="10"/>
      <c r="D574" s="10"/>
      <c r="E574" s="10"/>
      <c r="F574" s="10"/>
      <c r="G574" s="10"/>
      <c r="H574" s="199"/>
      <c r="I574" s="200"/>
      <c r="J574" s="201"/>
      <c r="K574" s="179"/>
      <c r="L574" s="10"/>
      <c r="M574" s="202"/>
      <c r="N574" s="203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</row>
    <row r="575">
      <c r="A575" s="10"/>
      <c r="B575" s="10"/>
      <c r="C575" s="10"/>
      <c r="D575" s="10"/>
      <c r="E575" s="10"/>
      <c r="F575" s="10"/>
      <c r="G575" s="10"/>
      <c r="H575" s="199"/>
      <c r="I575" s="200"/>
      <c r="J575" s="201"/>
      <c r="K575" s="179"/>
      <c r="L575" s="10"/>
      <c r="M575" s="202"/>
      <c r="N575" s="203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</row>
    <row r="576">
      <c r="A576" s="10"/>
      <c r="B576" s="10"/>
      <c r="C576" s="10"/>
      <c r="D576" s="10"/>
      <c r="E576" s="10"/>
      <c r="F576" s="10"/>
      <c r="G576" s="10"/>
      <c r="H576" s="199"/>
      <c r="I576" s="200"/>
      <c r="J576" s="201"/>
      <c r="K576" s="179"/>
      <c r="L576" s="10"/>
      <c r="M576" s="202"/>
      <c r="N576" s="203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</row>
    <row r="577">
      <c r="A577" s="10"/>
      <c r="B577" s="10"/>
      <c r="C577" s="10"/>
      <c r="D577" s="10"/>
      <c r="E577" s="10"/>
      <c r="F577" s="10"/>
      <c r="G577" s="10"/>
      <c r="H577" s="199"/>
      <c r="I577" s="200"/>
      <c r="J577" s="201"/>
      <c r="K577" s="179"/>
      <c r="L577" s="10"/>
      <c r="M577" s="202"/>
      <c r="N577" s="203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</row>
    <row r="578">
      <c r="A578" s="10"/>
      <c r="B578" s="10"/>
      <c r="C578" s="10"/>
      <c r="D578" s="10"/>
      <c r="E578" s="10"/>
      <c r="F578" s="10"/>
      <c r="G578" s="10"/>
      <c r="H578" s="199"/>
      <c r="I578" s="200"/>
      <c r="J578" s="201"/>
      <c r="K578" s="179"/>
      <c r="L578" s="10"/>
      <c r="M578" s="202"/>
      <c r="N578" s="203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</row>
    <row r="579">
      <c r="A579" s="10"/>
      <c r="B579" s="10"/>
      <c r="C579" s="10"/>
      <c r="D579" s="10"/>
      <c r="E579" s="10"/>
      <c r="F579" s="10"/>
      <c r="G579" s="10"/>
      <c r="H579" s="199"/>
      <c r="I579" s="200"/>
      <c r="J579" s="201"/>
      <c r="K579" s="179"/>
      <c r="L579" s="10"/>
      <c r="M579" s="202"/>
      <c r="N579" s="203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</row>
    <row r="580">
      <c r="A580" s="10"/>
      <c r="B580" s="10"/>
      <c r="C580" s="10"/>
      <c r="D580" s="10"/>
      <c r="E580" s="10"/>
      <c r="F580" s="10"/>
      <c r="G580" s="10"/>
      <c r="H580" s="199"/>
      <c r="I580" s="200"/>
      <c r="J580" s="201"/>
      <c r="K580" s="179"/>
      <c r="L580" s="10"/>
      <c r="M580" s="202"/>
      <c r="N580" s="203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</row>
    <row r="581">
      <c r="A581" s="10"/>
      <c r="B581" s="10"/>
      <c r="C581" s="10"/>
      <c r="D581" s="10"/>
      <c r="E581" s="10"/>
      <c r="F581" s="10"/>
      <c r="G581" s="10"/>
      <c r="H581" s="199"/>
      <c r="I581" s="200"/>
      <c r="J581" s="201"/>
      <c r="K581" s="179"/>
      <c r="L581" s="10"/>
      <c r="M581" s="202"/>
      <c r="N581" s="203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</row>
    <row r="582">
      <c r="A582" s="10"/>
      <c r="B582" s="10"/>
      <c r="C582" s="10"/>
      <c r="D582" s="10"/>
      <c r="E582" s="10"/>
      <c r="F582" s="10"/>
      <c r="G582" s="10"/>
      <c r="H582" s="199"/>
      <c r="I582" s="200"/>
      <c r="J582" s="201"/>
      <c r="K582" s="179"/>
      <c r="L582" s="10"/>
      <c r="M582" s="202"/>
      <c r="N582" s="203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</row>
    <row r="583">
      <c r="A583" s="10"/>
      <c r="B583" s="10"/>
      <c r="C583" s="10"/>
      <c r="D583" s="10"/>
      <c r="E583" s="10"/>
      <c r="F583" s="10"/>
      <c r="G583" s="10"/>
      <c r="H583" s="199"/>
      <c r="I583" s="200"/>
      <c r="J583" s="201"/>
      <c r="K583" s="179"/>
      <c r="L583" s="10"/>
      <c r="M583" s="202"/>
      <c r="N583" s="203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</row>
    <row r="584">
      <c r="A584" s="10"/>
      <c r="B584" s="10"/>
      <c r="C584" s="10"/>
      <c r="D584" s="10"/>
      <c r="E584" s="10"/>
      <c r="F584" s="10"/>
      <c r="G584" s="10"/>
      <c r="H584" s="199"/>
      <c r="I584" s="200"/>
      <c r="J584" s="201"/>
      <c r="K584" s="179"/>
      <c r="L584" s="10"/>
      <c r="M584" s="202"/>
      <c r="N584" s="203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</row>
    <row r="585">
      <c r="A585" s="10"/>
      <c r="B585" s="10"/>
      <c r="C585" s="10"/>
      <c r="D585" s="10"/>
      <c r="E585" s="10"/>
      <c r="F585" s="10"/>
      <c r="G585" s="10"/>
      <c r="H585" s="199"/>
      <c r="I585" s="200"/>
      <c r="J585" s="201"/>
      <c r="K585" s="179"/>
      <c r="L585" s="10"/>
      <c r="M585" s="202"/>
      <c r="N585" s="203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</row>
    <row r="586">
      <c r="A586" s="10"/>
      <c r="B586" s="10"/>
      <c r="C586" s="10"/>
      <c r="D586" s="10"/>
      <c r="E586" s="10"/>
      <c r="F586" s="10"/>
      <c r="G586" s="10"/>
      <c r="H586" s="199"/>
      <c r="I586" s="200"/>
      <c r="J586" s="201"/>
      <c r="K586" s="179"/>
      <c r="L586" s="10"/>
      <c r="M586" s="202"/>
      <c r="N586" s="203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</row>
    <row r="587">
      <c r="A587" s="10"/>
      <c r="B587" s="10"/>
      <c r="C587" s="10"/>
      <c r="D587" s="10"/>
      <c r="E587" s="10"/>
      <c r="F587" s="10"/>
      <c r="G587" s="10"/>
      <c r="H587" s="199"/>
      <c r="I587" s="200"/>
      <c r="J587" s="201"/>
      <c r="K587" s="179"/>
      <c r="L587" s="10"/>
      <c r="M587" s="202"/>
      <c r="N587" s="203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</row>
    <row r="588">
      <c r="A588" s="10"/>
      <c r="B588" s="10"/>
      <c r="C588" s="10"/>
      <c r="D588" s="10"/>
      <c r="E588" s="10"/>
      <c r="F588" s="10"/>
      <c r="G588" s="10"/>
      <c r="H588" s="199"/>
      <c r="I588" s="200"/>
      <c r="J588" s="201"/>
      <c r="K588" s="179"/>
      <c r="L588" s="10"/>
      <c r="M588" s="202"/>
      <c r="N588" s="203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</row>
    <row r="589">
      <c r="A589" s="10"/>
      <c r="B589" s="10"/>
      <c r="C589" s="10"/>
      <c r="D589" s="10"/>
      <c r="E589" s="10"/>
      <c r="F589" s="10"/>
      <c r="G589" s="10"/>
      <c r="H589" s="199"/>
      <c r="I589" s="200"/>
      <c r="J589" s="201"/>
      <c r="K589" s="179"/>
      <c r="L589" s="10"/>
      <c r="M589" s="202"/>
      <c r="N589" s="203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</row>
    <row r="590">
      <c r="A590" s="10"/>
      <c r="B590" s="10"/>
      <c r="C590" s="10"/>
      <c r="D590" s="10"/>
      <c r="E590" s="10"/>
      <c r="F590" s="10"/>
      <c r="G590" s="10"/>
      <c r="H590" s="199"/>
      <c r="I590" s="200"/>
      <c r="J590" s="201"/>
      <c r="K590" s="179"/>
      <c r="L590" s="10"/>
      <c r="M590" s="202"/>
      <c r="N590" s="203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</row>
    <row r="591">
      <c r="A591" s="10"/>
      <c r="B591" s="10"/>
      <c r="C591" s="10"/>
      <c r="D591" s="10"/>
      <c r="E591" s="10"/>
      <c r="F591" s="10"/>
      <c r="G591" s="10"/>
      <c r="H591" s="199"/>
      <c r="I591" s="200"/>
      <c r="J591" s="201"/>
      <c r="K591" s="179"/>
      <c r="L591" s="10"/>
      <c r="M591" s="202"/>
      <c r="N591" s="203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</row>
    <row r="592">
      <c r="A592" s="10"/>
      <c r="B592" s="10"/>
      <c r="C592" s="10"/>
      <c r="D592" s="10"/>
      <c r="E592" s="10"/>
      <c r="F592" s="10"/>
      <c r="G592" s="10"/>
      <c r="H592" s="199"/>
      <c r="I592" s="200"/>
      <c r="J592" s="201"/>
      <c r="K592" s="179"/>
      <c r="L592" s="10"/>
      <c r="M592" s="202"/>
      <c r="N592" s="203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</row>
    <row r="593">
      <c r="A593" s="10"/>
      <c r="B593" s="10"/>
      <c r="C593" s="10"/>
      <c r="D593" s="10"/>
      <c r="E593" s="10"/>
      <c r="F593" s="10"/>
      <c r="G593" s="10"/>
      <c r="H593" s="199"/>
      <c r="I593" s="200"/>
      <c r="J593" s="201"/>
      <c r="K593" s="179"/>
      <c r="L593" s="10"/>
      <c r="M593" s="202"/>
      <c r="N593" s="203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</row>
    <row r="594">
      <c r="A594" s="10"/>
      <c r="B594" s="10"/>
      <c r="C594" s="10"/>
      <c r="D594" s="10"/>
      <c r="E594" s="10"/>
      <c r="F594" s="10"/>
      <c r="G594" s="10"/>
      <c r="H594" s="199"/>
      <c r="I594" s="200"/>
      <c r="J594" s="201"/>
      <c r="K594" s="179"/>
      <c r="L594" s="10"/>
      <c r="M594" s="202"/>
      <c r="N594" s="203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</row>
    <row r="595">
      <c r="A595" s="10"/>
      <c r="B595" s="10"/>
      <c r="C595" s="10"/>
      <c r="D595" s="10"/>
      <c r="E595" s="10"/>
      <c r="F595" s="10"/>
      <c r="G595" s="10"/>
      <c r="H595" s="199"/>
      <c r="I595" s="200"/>
      <c r="J595" s="201"/>
      <c r="K595" s="179"/>
      <c r="L595" s="10"/>
      <c r="M595" s="202"/>
      <c r="N595" s="203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</row>
    <row r="596">
      <c r="A596" s="10"/>
      <c r="B596" s="10"/>
      <c r="C596" s="10"/>
      <c r="D596" s="10"/>
      <c r="E596" s="10"/>
      <c r="F596" s="10"/>
      <c r="G596" s="10"/>
      <c r="H596" s="199"/>
      <c r="I596" s="200"/>
      <c r="J596" s="201"/>
      <c r="K596" s="179"/>
      <c r="L596" s="10"/>
      <c r="M596" s="202"/>
      <c r="N596" s="203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</row>
    <row r="597">
      <c r="A597" s="10"/>
      <c r="B597" s="10"/>
      <c r="C597" s="10"/>
      <c r="D597" s="10"/>
      <c r="E597" s="10"/>
      <c r="F597" s="10"/>
      <c r="G597" s="10"/>
      <c r="H597" s="199"/>
      <c r="I597" s="200"/>
      <c r="J597" s="201"/>
      <c r="K597" s="179"/>
      <c r="L597" s="10"/>
      <c r="M597" s="202"/>
      <c r="N597" s="203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</row>
    <row r="598">
      <c r="A598" s="10"/>
      <c r="B598" s="10"/>
      <c r="C598" s="10"/>
      <c r="D598" s="10"/>
      <c r="E598" s="10"/>
      <c r="F598" s="10"/>
      <c r="G598" s="10"/>
      <c r="H598" s="199"/>
      <c r="I598" s="200"/>
      <c r="J598" s="201"/>
      <c r="K598" s="179"/>
      <c r="L598" s="10"/>
      <c r="M598" s="202"/>
      <c r="N598" s="203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</row>
    <row r="599">
      <c r="A599" s="10"/>
      <c r="B599" s="10"/>
      <c r="C599" s="10"/>
      <c r="D599" s="10"/>
      <c r="E599" s="10"/>
      <c r="F599" s="10"/>
      <c r="G599" s="10"/>
      <c r="H599" s="199"/>
      <c r="I599" s="200"/>
      <c r="J599" s="201"/>
      <c r="K599" s="179"/>
      <c r="L599" s="10"/>
      <c r="M599" s="202"/>
      <c r="N599" s="203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</row>
    <row r="600">
      <c r="A600" s="10"/>
      <c r="B600" s="10"/>
      <c r="C600" s="10"/>
      <c r="D600" s="10"/>
      <c r="E600" s="10"/>
      <c r="F600" s="10"/>
      <c r="G600" s="10"/>
      <c r="H600" s="199"/>
      <c r="I600" s="200"/>
      <c r="J600" s="201"/>
      <c r="K600" s="179"/>
      <c r="L600" s="10"/>
      <c r="M600" s="202"/>
      <c r="N600" s="203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</row>
    <row r="601">
      <c r="A601" s="10"/>
      <c r="B601" s="10"/>
      <c r="C601" s="10"/>
      <c r="D601" s="10"/>
      <c r="E601" s="10"/>
      <c r="F601" s="10"/>
      <c r="G601" s="10"/>
      <c r="H601" s="199"/>
      <c r="I601" s="200"/>
      <c r="J601" s="201"/>
      <c r="K601" s="179"/>
      <c r="L601" s="10"/>
      <c r="M601" s="202"/>
      <c r="N601" s="203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</row>
    <row r="602">
      <c r="A602" s="10"/>
      <c r="B602" s="10"/>
      <c r="C602" s="10"/>
      <c r="D602" s="10"/>
      <c r="E602" s="10"/>
      <c r="F602" s="10"/>
      <c r="G602" s="10"/>
      <c r="H602" s="199"/>
      <c r="I602" s="200"/>
      <c r="J602" s="201"/>
      <c r="K602" s="179"/>
      <c r="L602" s="10"/>
      <c r="M602" s="202"/>
      <c r="N602" s="203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</row>
    <row r="603">
      <c r="A603" s="10"/>
      <c r="B603" s="10"/>
      <c r="C603" s="10"/>
      <c r="D603" s="10"/>
      <c r="E603" s="10"/>
      <c r="F603" s="10"/>
      <c r="G603" s="10"/>
      <c r="H603" s="199"/>
      <c r="I603" s="200"/>
      <c r="J603" s="201"/>
      <c r="K603" s="179"/>
      <c r="L603" s="10"/>
      <c r="M603" s="202"/>
      <c r="N603" s="203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</row>
    <row r="604">
      <c r="A604" s="10"/>
      <c r="B604" s="10"/>
      <c r="C604" s="10"/>
      <c r="D604" s="10"/>
      <c r="E604" s="10"/>
      <c r="F604" s="10"/>
      <c r="G604" s="10"/>
      <c r="H604" s="199"/>
      <c r="I604" s="200"/>
      <c r="J604" s="201"/>
      <c r="K604" s="179"/>
      <c r="L604" s="10"/>
      <c r="M604" s="202"/>
      <c r="N604" s="203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</row>
    <row r="605">
      <c r="A605" s="10"/>
      <c r="B605" s="10"/>
      <c r="C605" s="10"/>
      <c r="D605" s="10"/>
      <c r="E605" s="10"/>
      <c r="F605" s="10"/>
      <c r="G605" s="10"/>
      <c r="H605" s="199"/>
      <c r="I605" s="200"/>
      <c r="J605" s="201"/>
      <c r="K605" s="179"/>
      <c r="L605" s="10"/>
      <c r="M605" s="202"/>
      <c r="N605" s="203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</row>
    <row r="606">
      <c r="A606" s="10"/>
      <c r="B606" s="10"/>
      <c r="C606" s="10"/>
      <c r="D606" s="10"/>
      <c r="E606" s="10"/>
      <c r="F606" s="10"/>
      <c r="G606" s="10"/>
      <c r="H606" s="199"/>
      <c r="I606" s="200"/>
      <c r="J606" s="201"/>
      <c r="K606" s="179"/>
      <c r="L606" s="10"/>
      <c r="M606" s="202"/>
      <c r="N606" s="203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</row>
    <row r="607">
      <c r="A607" s="10"/>
      <c r="B607" s="10"/>
      <c r="C607" s="10"/>
      <c r="D607" s="10"/>
      <c r="E607" s="10"/>
      <c r="F607" s="10"/>
      <c r="G607" s="10"/>
      <c r="H607" s="199"/>
      <c r="I607" s="200"/>
      <c r="J607" s="201"/>
      <c r="K607" s="179"/>
      <c r="L607" s="10"/>
      <c r="M607" s="202"/>
      <c r="N607" s="203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</row>
    <row r="608">
      <c r="A608" s="10"/>
      <c r="B608" s="10"/>
      <c r="C608" s="10"/>
      <c r="D608" s="10"/>
      <c r="E608" s="10"/>
      <c r="F608" s="10"/>
      <c r="G608" s="10"/>
      <c r="H608" s="199"/>
      <c r="I608" s="200"/>
      <c r="J608" s="201"/>
      <c r="K608" s="179"/>
      <c r="L608" s="10"/>
      <c r="M608" s="202"/>
      <c r="N608" s="203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</row>
    <row r="609">
      <c r="A609" s="10"/>
      <c r="B609" s="10"/>
      <c r="C609" s="10"/>
      <c r="D609" s="10"/>
      <c r="E609" s="10"/>
      <c r="F609" s="10"/>
      <c r="G609" s="10"/>
      <c r="H609" s="199"/>
      <c r="I609" s="200"/>
      <c r="J609" s="201"/>
      <c r="K609" s="179"/>
      <c r="L609" s="10"/>
      <c r="M609" s="202"/>
      <c r="N609" s="203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</row>
    <row r="610">
      <c r="A610" s="10"/>
      <c r="B610" s="10"/>
      <c r="C610" s="10"/>
      <c r="D610" s="10"/>
      <c r="E610" s="10"/>
      <c r="F610" s="10"/>
      <c r="G610" s="10"/>
      <c r="H610" s="199"/>
      <c r="I610" s="200"/>
      <c r="J610" s="201"/>
      <c r="K610" s="179"/>
      <c r="L610" s="10"/>
      <c r="M610" s="202"/>
      <c r="N610" s="203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</row>
    <row r="611">
      <c r="A611" s="10"/>
      <c r="B611" s="10"/>
      <c r="C611" s="10"/>
      <c r="D611" s="10"/>
      <c r="E611" s="10"/>
      <c r="F611" s="10"/>
      <c r="G611" s="10"/>
      <c r="H611" s="199"/>
      <c r="I611" s="200"/>
      <c r="J611" s="201"/>
      <c r="K611" s="179"/>
      <c r="L611" s="10"/>
      <c r="M611" s="202"/>
      <c r="N611" s="203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</row>
    <row r="612">
      <c r="A612" s="10"/>
      <c r="B612" s="10"/>
      <c r="C612" s="10"/>
      <c r="D612" s="10"/>
      <c r="E612" s="10"/>
      <c r="F612" s="10"/>
      <c r="G612" s="10"/>
      <c r="H612" s="199"/>
      <c r="I612" s="200"/>
      <c r="J612" s="201"/>
      <c r="K612" s="179"/>
      <c r="L612" s="10"/>
      <c r="M612" s="202"/>
      <c r="N612" s="203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</row>
    <row r="613">
      <c r="A613" s="10"/>
      <c r="B613" s="10"/>
      <c r="C613" s="10"/>
      <c r="D613" s="10"/>
      <c r="E613" s="10"/>
      <c r="F613" s="10"/>
      <c r="G613" s="10"/>
      <c r="H613" s="199"/>
      <c r="I613" s="200"/>
      <c r="J613" s="201"/>
      <c r="K613" s="179"/>
      <c r="L613" s="10"/>
      <c r="M613" s="202"/>
      <c r="N613" s="203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</row>
    <row r="614">
      <c r="A614" s="10"/>
      <c r="B614" s="10"/>
      <c r="C614" s="10"/>
      <c r="D614" s="10"/>
      <c r="E614" s="10"/>
      <c r="F614" s="10"/>
      <c r="G614" s="10"/>
      <c r="H614" s="199"/>
      <c r="I614" s="200"/>
      <c r="J614" s="201"/>
      <c r="K614" s="179"/>
      <c r="L614" s="10"/>
      <c r="M614" s="202"/>
      <c r="N614" s="203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</row>
    <row r="615">
      <c r="A615" s="10"/>
      <c r="B615" s="10"/>
      <c r="C615" s="10"/>
      <c r="D615" s="10"/>
      <c r="E615" s="10"/>
      <c r="F615" s="10"/>
      <c r="G615" s="10"/>
      <c r="H615" s="199"/>
      <c r="I615" s="200"/>
      <c r="J615" s="201"/>
      <c r="K615" s="179"/>
      <c r="L615" s="10"/>
      <c r="M615" s="202"/>
      <c r="N615" s="203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</row>
    <row r="616">
      <c r="A616" s="10"/>
      <c r="B616" s="10"/>
      <c r="C616" s="10"/>
      <c r="D616" s="10"/>
      <c r="E616" s="10"/>
      <c r="F616" s="10"/>
      <c r="G616" s="10"/>
      <c r="H616" s="199"/>
      <c r="I616" s="200"/>
      <c r="J616" s="201"/>
      <c r="K616" s="179"/>
      <c r="L616" s="10"/>
      <c r="M616" s="202"/>
      <c r="N616" s="203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</row>
    <row r="617">
      <c r="A617" s="10"/>
      <c r="B617" s="10"/>
      <c r="C617" s="10"/>
      <c r="D617" s="10"/>
      <c r="E617" s="10"/>
      <c r="F617" s="10"/>
      <c r="G617" s="10"/>
      <c r="H617" s="199"/>
      <c r="I617" s="200"/>
      <c r="J617" s="201"/>
      <c r="K617" s="179"/>
      <c r="L617" s="10"/>
      <c r="M617" s="202"/>
      <c r="N617" s="203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</row>
    <row r="618">
      <c r="A618" s="10"/>
      <c r="B618" s="10"/>
      <c r="C618" s="10"/>
      <c r="D618" s="10"/>
      <c r="E618" s="10"/>
      <c r="F618" s="10"/>
      <c r="G618" s="10"/>
      <c r="H618" s="199"/>
      <c r="I618" s="200"/>
      <c r="J618" s="201"/>
      <c r="K618" s="179"/>
      <c r="L618" s="10"/>
      <c r="M618" s="202"/>
      <c r="N618" s="203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</row>
    <row r="619">
      <c r="A619" s="10"/>
      <c r="B619" s="10"/>
      <c r="C619" s="10"/>
      <c r="D619" s="10"/>
      <c r="E619" s="10"/>
      <c r="F619" s="10"/>
      <c r="G619" s="10"/>
      <c r="H619" s="199"/>
      <c r="I619" s="200"/>
      <c r="J619" s="201"/>
      <c r="K619" s="179"/>
      <c r="L619" s="10"/>
      <c r="M619" s="202"/>
      <c r="N619" s="203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</row>
    <row r="620">
      <c r="A620" s="10"/>
      <c r="B620" s="10"/>
      <c r="C620" s="10"/>
      <c r="D620" s="10"/>
      <c r="E620" s="10"/>
      <c r="F620" s="10"/>
      <c r="G620" s="10"/>
      <c r="H620" s="199"/>
      <c r="I620" s="200"/>
      <c r="J620" s="201"/>
      <c r="K620" s="179"/>
      <c r="L620" s="10"/>
      <c r="M620" s="202"/>
      <c r="N620" s="203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</row>
    <row r="621">
      <c r="A621" s="10"/>
      <c r="B621" s="10"/>
      <c r="C621" s="10"/>
      <c r="D621" s="10"/>
      <c r="E621" s="10"/>
      <c r="F621" s="10"/>
      <c r="G621" s="10"/>
      <c r="H621" s="199"/>
      <c r="I621" s="200"/>
      <c r="J621" s="201"/>
      <c r="K621" s="179"/>
      <c r="L621" s="10"/>
      <c r="M621" s="202"/>
      <c r="N621" s="203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</row>
    <row r="622">
      <c r="A622" s="10"/>
      <c r="B622" s="10"/>
      <c r="C622" s="10"/>
      <c r="D622" s="10"/>
      <c r="E622" s="10"/>
      <c r="F622" s="10"/>
      <c r="G622" s="10"/>
      <c r="H622" s="199"/>
      <c r="I622" s="200"/>
      <c r="J622" s="201"/>
      <c r="K622" s="179"/>
      <c r="L622" s="10"/>
      <c r="M622" s="202"/>
      <c r="N622" s="203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</row>
    <row r="623">
      <c r="A623" s="10"/>
      <c r="B623" s="10"/>
      <c r="C623" s="10"/>
      <c r="D623" s="10"/>
      <c r="E623" s="10"/>
      <c r="F623" s="10"/>
      <c r="G623" s="10"/>
      <c r="H623" s="199"/>
      <c r="I623" s="200"/>
      <c r="J623" s="201"/>
      <c r="K623" s="179"/>
      <c r="L623" s="10"/>
      <c r="M623" s="202"/>
      <c r="N623" s="203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</row>
    <row r="624">
      <c r="A624" s="10"/>
      <c r="B624" s="10"/>
      <c r="C624" s="10"/>
      <c r="D624" s="10"/>
      <c r="E624" s="10"/>
      <c r="F624" s="10"/>
      <c r="G624" s="10"/>
      <c r="H624" s="199"/>
      <c r="I624" s="200"/>
      <c r="J624" s="201"/>
      <c r="K624" s="179"/>
      <c r="L624" s="10"/>
      <c r="M624" s="202"/>
      <c r="N624" s="203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</row>
    <row r="625">
      <c r="A625" s="10"/>
      <c r="B625" s="10"/>
      <c r="C625" s="10"/>
      <c r="D625" s="10"/>
      <c r="E625" s="10"/>
      <c r="F625" s="10"/>
      <c r="G625" s="10"/>
      <c r="H625" s="199"/>
      <c r="I625" s="200"/>
      <c r="J625" s="201"/>
      <c r="K625" s="179"/>
      <c r="L625" s="10"/>
      <c r="M625" s="202"/>
      <c r="N625" s="203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</row>
    <row r="626">
      <c r="A626" s="10"/>
      <c r="B626" s="10"/>
      <c r="C626" s="10"/>
      <c r="D626" s="10"/>
      <c r="E626" s="10"/>
      <c r="F626" s="10"/>
      <c r="G626" s="10"/>
      <c r="H626" s="199"/>
      <c r="I626" s="200"/>
      <c r="J626" s="201"/>
      <c r="K626" s="179"/>
      <c r="L626" s="10"/>
      <c r="M626" s="202"/>
      <c r="N626" s="203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</row>
    <row r="627">
      <c r="A627" s="10"/>
      <c r="B627" s="10"/>
      <c r="C627" s="10"/>
      <c r="D627" s="10"/>
      <c r="E627" s="10"/>
      <c r="F627" s="10"/>
      <c r="G627" s="10"/>
      <c r="H627" s="199"/>
      <c r="I627" s="200"/>
      <c r="J627" s="201"/>
      <c r="K627" s="179"/>
      <c r="L627" s="10"/>
      <c r="M627" s="202"/>
      <c r="N627" s="203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</row>
    <row r="628">
      <c r="A628" s="10"/>
      <c r="B628" s="10"/>
      <c r="C628" s="10"/>
      <c r="D628" s="10"/>
      <c r="E628" s="10"/>
      <c r="F628" s="10"/>
      <c r="G628" s="10"/>
      <c r="H628" s="199"/>
      <c r="I628" s="200"/>
      <c r="J628" s="201"/>
      <c r="K628" s="179"/>
      <c r="L628" s="10"/>
      <c r="M628" s="202"/>
      <c r="N628" s="203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</row>
    <row r="629">
      <c r="A629" s="10"/>
      <c r="B629" s="10"/>
      <c r="C629" s="10"/>
      <c r="D629" s="10"/>
      <c r="E629" s="10"/>
      <c r="F629" s="10"/>
      <c r="G629" s="10"/>
      <c r="H629" s="199"/>
      <c r="I629" s="200"/>
      <c r="J629" s="201"/>
      <c r="K629" s="179"/>
      <c r="L629" s="10"/>
      <c r="M629" s="202"/>
      <c r="N629" s="203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</row>
    <row r="630">
      <c r="A630" s="10"/>
      <c r="B630" s="10"/>
      <c r="C630" s="10"/>
      <c r="D630" s="10"/>
      <c r="E630" s="10"/>
      <c r="F630" s="10"/>
      <c r="G630" s="10"/>
      <c r="H630" s="199"/>
      <c r="I630" s="200"/>
      <c r="J630" s="201"/>
      <c r="K630" s="179"/>
      <c r="L630" s="10"/>
      <c r="M630" s="202"/>
      <c r="N630" s="203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</row>
    <row r="631">
      <c r="A631" s="10"/>
      <c r="B631" s="10"/>
      <c r="C631" s="10"/>
      <c r="D631" s="10"/>
      <c r="E631" s="10"/>
      <c r="F631" s="10"/>
      <c r="G631" s="10"/>
      <c r="H631" s="199"/>
      <c r="I631" s="200"/>
      <c r="J631" s="201"/>
      <c r="K631" s="179"/>
      <c r="L631" s="10"/>
      <c r="M631" s="202"/>
      <c r="N631" s="203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</row>
    <row r="632">
      <c r="A632" s="10"/>
      <c r="B632" s="10"/>
      <c r="C632" s="10"/>
      <c r="D632" s="10"/>
      <c r="E632" s="10"/>
      <c r="F632" s="10"/>
      <c r="G632" s="10"/>
      <c r="H632" s="199"/>
      <c r="I632" s="200"/>
      <c r="J632" s="201"/>
      <c r="K632" s="179"/>
      <c r="L632" s="10"/>
      <c r="M632" s="202"/>
      <c r="N632" s="203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</row>
    <row r="633">
      <c r="A633" s="10"/>
      <c r="B633" s="10"/>
      <c r="C633" s="10"/>
      <c r="D633" s="10"/>
      <c r="E633" s="10"/>
      <c r="F633" s="10"/>
      <c r="G633" s="10"/>
      <c r="H633" s="199"/>
      <c r="I633" s="200"/>
      <c r="J633" s="201"/>
      <c r="K633" s="179"/>
      <c r="L633" s="10"/>
      <c r="M633" s="202"/>
      <c r="N633" s="203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</row>
    <row r="634">
      <c r="A634" s="10"/>
      <c r="B634" s="10"/>
      <c r="C634" s="10"/>
      <c r="D634" s="10"/>
      <c r="E634" s="10"/>
      <c r="F634" s="10"/>
      <c r="G634" s="10"/>
      <c r="H634" s="199"/>
      <c r="I634" s="200"/>
      <c r="J634" s="201"/>
      <c r="K634" s="179"/>
      <c r="L634" s="10"/>
      <c r="M634" s="202"/>
      <c r="N634" s="203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</row>
    <row r="635">
      <c r="A635" s="10"/>
      <c r="B635" s="10"/>
      <c r="C635" s="10"/>
      <c r="D635" s="10"/>
      <c r="E635" s="10"/>
      <c r="F635" s="10"/>
      <c r="G635" s="10"/>
      <c r="H635" s="199"/>
      <c r="I635" s="200"/>
      <c r="J635" s="201"/>
      <c r="K635" s="179"/>
      <c r="L635" s="10"/>
      <c r="M635" s="202"/>
      <c r="N635" s="203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</row>
    <row r="636">
      <c r="A636" s="10"/>
      <c r="B636" s="10"/>
      <c r="C636" s="10"/>
      <c r="D636" s="10"/>
      <c r="E636" s="10"/>
      <c r="F636" s="10"/>
      <c r="G636" s="10"/>
      <c r="H636" s="199"/>
      <c r="I636" s="200"/>
      <c r="J636" s="201"/>
      <c r="K636" s="179"/>
      <c r="L636" s="10"/>
      <c r="M636" s="202"/>
      <c r="N636" s="203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</row>
    <row r="637">
      <c r="A637" s="10"/>
      <c r="B637" s="10"/>
      <c r="C637" s="10"/>
      <c r="D637" s="10"/>
      <c r="E637" s="10"/>
      <c r="F637" s="10"/>
      <c r="G637" s="10"/>
      <c r="H637" s="199"/>
      <c r="I637" s="200"/>
      <c r="J637" s="201"/>
      <c r="K637" s="179"/>
      <c r="L637" s="10"/>
      <c r="M637" s="202"/>
      <c r="N637" s="203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</row>
    <row r="638">
      <c r="A638" s="10"/>
      <c r="B638" s="10"/>
      <c r="C638" s="10"/>
      <c r="D638" s="10"/>
      <c r="E638" s="10"/>
      <c r="F638" s="10"/>
      <c r="G638" s="10"/>
      <c r="H638" s="199"/>
      <c r="I638" s="200"/>
      <c r="J638" s="201"/>
      <c r="K638" s="179"/>
      <c r="L638" s="10"/>
      <c r="M638" s="202"/>
      <c r="N638" s="203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</row>
    <row r="639">
      <c r="A639" s="10"/>
      <c r="B639" s="10"/>
      <c r="C639" s="10"/>
      <c r="D639" s="10"/>
      <c r="E639" s="10"/>
      <c r="F639" s="10"/>
      <c r="G639" s="10"/>
      <c r="H639" s="199"/>
      <c r="I639" s="200"/>
      <c r="J639" s="201"/>
      <c r="K639" s="179"/>
      <c r="L639" s="10"/>
      <c r="M639" s="202"/>
      <c r="N639" s="203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</row>
    <row r="640">
      <c r="A640" s="10"/>
      <c r="B640" s="10"/>
      <c r="C640" s="10"/>
      <c r="D640" s="10"/>
      <c r="E640" s="10"/>
      <c r="F640" s="10"/>
      <c r="G640" s="10"/>
      <c r="H640" s="199"/>
      <c r="I640" s="200"/>
      <c r="J640" s="201"/>
      <c r="K640" s="179"/>
      <c r="L640" s="10"/>
      <c r="M640" s="202"/>
      <c r="N640" s="203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</row>
    <row r="641">
      <c r="A641" s="10"/>
      <c r="B641" s="10"/>
      <c r="C641" s="10"/>
      <c r="D641" s="10"/>
      <c r="E641" s="10"/>
      <c r="F641" s="10"/>
      <c r="G641" s="10"/>
      <c r="H641" s="199"/>
      <c r="I641" s="200"/>
      <c r="J641" s="201"/>
      <c r="K641" s="179"/>
      <c r="L641" s="10"/>
      <c r="M641" s="202"/>
      <c r="N641" s="203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</row>
    <row r="642">
      <c r="A642" s="10"/>
      <c r="B642" s="10"/>
      <c r="C642" s="10"/>
      <c r="D642" s="10"/>
      <c r="E642" s="10"/>
      <c r="F642" s="10"/>
      <c r="G642" s="10"/>
      <c r="H642" s="199"/>
      <c r="I642" s="200"/>
      <c r="J642" s="201"/>
      <c r="K642" s="179"/>
      <c r="L642" s="10"/>
      <c r="M642" s="202"/>
      <c r="N642" s="203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</row>
    <row r="643">
      <c r="A643" s="10"/>
      <c r="B643" s="10"/>
      <c r="C643" s="10"/>
      <c r="D643" s="10"/>
      <c r="E643" s="10"/>
      <c r="F643" s="10"/>
      <c r="G643" s="10"/>
      <c r="H643" s="199"/>
      <c r="I643" s="200"/>
      <c r="J643" s="201"/>
      <c r="K643" s="179"/>
      <c r="L643" s="10"/>
      <c r="M643" s="202"/>
      <c r="N643" s="203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</row>
    <row r="644">
      <c r="A644" s="10"/>
      <c r="B644" s="10"/>
      <c r="C644" s="10"/>
      <c r="D644" s="10"/>
      <c r="E644" s="10"/>
      <c r="F644" s="10"/>
      <c r="G644" s="10"/>
      <c r="H644" s="199"/>
      <c r="I644" s="200"/>
      <c r="J644" s="201"/>
      <c r="K644" s="179"/>
      <c r="L644" s="10"/>
      <c r="M644" s="202"/>
      <c r="N644" s="203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</row>
    <row r="645">
      <c r="A645" s="10"/>
      <c r="B645" s="10"/>
      <c r="C645" s="10"/>
      <c r="D645" s="10"/>
      <c r="E645" s="10"/>
      <c r="F645" s="10"/>
      <c r="G645" s="10"/>
      <c r="H645" s="199"/>
      <c r="I645" s="200"/>
      <c r="J645" s="201"/>
      <c r="K645" s="179"/>
      <c r="L645" s="10"/>
      <c r="M645" s="202"/>
      <c r="N645" s="203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</row>
    <row r="646">
      <c r="A646" s="10"/>
      <c r="B646" s="10"/>
      <c r="C646" s="10"/>
      <c r="D646" s="10"/>
      <c r="E646" s="10"/>
      <c r="F646" s="10"/>
      <c r="G646" s="10"/>
      <c r="H646" s="199"/>
      <c r="I646" s="200"/>
      <c r="J646" s="201"/>
      <c r="K646" s="179"/>
      <c r="L646" s="10"/>
      <c r="M646" s="202"/>
      <c r="N646" s="203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</row>
    <row r="647">
      <c r="A647" s="10"/>
      <c r="B647" s="10"/>
      <c r="C647" s="10"/>
      <c r="D647" s="10"/>
      <c r="E647" s="10"/>
      <c r="F647" s="10"/>
      <c r="G647" s="10"/>
      <c r="H647" s="199"/>
      <c r="I647" s="200"/>
      <c r="J647" s="201"/>
      <c r="K647" s="179"/>
      <c r="L647" s="10"/>
      <c r="M647" s="202"/>
      <c r="N647" s="203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</row>
    <row r="648">
      <c r="A648" s="10"/>
      <c r="B648" s="10"/>
      <c r="C648" s="10"/>
      <c r="D648" s="10"/>
      <c r="E648" s="10"/>
      <c r="F648" s="10"/>
      <c r="G648" s="10"/>
      <c r="H648" s="199"/>
      <c r="I648" s="200"/>
      <c r="J648" s="201"/>
      <c r="K648" s="179"/>
      <c r="L648" s="10"/>
      <c r="M648" s="202"/>
      <c r="N648" s="203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</row>
    <row r="649">
      <c r="A649" s="10"/>
      <c r="B649" s="10"/>
      <c r="C649" s="10"/>
      <c r="D649" s="10"/>
      <c r="E649" s="10"/>
      <c r="F649" s="10"/>
      <c r="G649" s="10"/>
      <c r="H649" s="199"/>
      <c r="I649" s="200"/>
      <c r="J649" s="201"/>
      <c r="K649" s="179"/>
      <c r="L649" s="10"/>
      <c r="M649" s="202"/>
      <c r="N649" s="203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</row>
    <row r="650">
      <c r="A650" s="10"/>
      <c r="B650" s="10"/>
      <c r="C650" s="10"/>
      <c r="D650" s="10"/>
      <c r="E650" s="10"/>
      <c r="F650" s="10"/>
      <c r="G650" s="10"/>
      <c r="H650" s="199"/>
      <c r="I650" s="200"/>
      <c r="J650" s="201"/>
      <c r="K650" s="179"/>
      <c r="L650" s="10"/>
      <c r="M650" s="202"/>
      <c r="N650" s="203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</row>
    <row r="651">
      <c r="A651" s="10"/>
      <c r="B651" s="10"/>
      <c r="C651" s="10"/>
      <c r="D651" s="10"/>
      <c r="E651" s="10"/>
      <c r="F651" s="10"/>
      <c r="G651" s="10"/>
      <c r="H651" s="199"/>
      <c r="I651" s="200"/>
      <c r="J651" s="201"/>
      <c r="K651" s="179"/>
      <c r="L651" s="10"/>
      <c r="M651" s="202"/>
      <c r="N651" s="203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</row>
    <row r="652">
      <c r="A652" s="10"/>
      <c r="B652" s="10"/>
      <c r="C652" s="10"/>
      <c r="D652" s="10"/>
      <c r="E652" s="10"/>
      <c r="F652" s="10"/>
      <c r="G652" s="10"/>
      <c r="H652" s="199"/>
      <c r="I652" s="200"/>
      <c r="J652" s="201"/>
      <c r="K652" s="179"/>
      <c r="L652" s="10"/>
      <c r="M652" s="202"/>
      <c r="N652" s="203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</row>
    <row r="653">
      <c r="A653" s="10"/>
      <c r="B653" s="10"/>
      <c r="C653" s="10"/>
      <c r="D653" s="10"/>
      <c r="E653" s="10"/>
      <c r="F653" s="10"/>
      <c r="G653" s="10"/>
      <c r="H653" s="199"/>
      <c r="I653" s="200"/>
      <c r="J653" s="201"/>
      <c r="K653" s="179"/>
      <c r="L653" s="10"/>
      <c r="M653" s="202"/>
      <c r="N653" s="203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</row>
    <row r="654">
      <c r="A654" s="10"/>
      <c r="B654" s="10"/>
      <c r="C654" s="10"/>
      <c r="D654" s="10"/>
      <c r="E654" s="10"/>
      <c r="F654" s="10"/>
      <c r="G654" s="10"/>
      <c r="H654" s="199"/>
      <c r="I654" s="200"/>
      <c r="J654" s="201"/>
      <c r="K654" s="179"/>
      <c r="L654" s="10"/>
      <c r="M654" s="202"/>
      <c r="N654" s="203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</row>
    <row r="655">
      <c r="A655" s="10"/>
      <c r="B655" s="10"/>
      <c r="C655" s="10"/>
      <c r="D655" s="10"/>
      <c r="E655" s="10"/>
      <c r="F655" s="10"/>
      <c r="G655" s="10"/>
      <c r="H655" s="199"/>
      <c r="I655" s="200"/>
      <c r="J655" s="201"/>
      <c r="K655" s="179"/>
      <c r="L655" s="10"/>
      <c r="M655" s="202"/>
      <c r="N655" s="203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</row>
    <row r="656">
      <c r="A656" s="10"/>
      <c r="B656" s="10"/>
      <c r="C656" s="10"/>
      <c r="D656" s="10"/>
      <c r="E656" s="10"/>
      <c r="F656" s="10"/>
      <c r="G656" s="10"/>
      <c r="H656" s="199"/>
      <c r="I656" s="200"/>
      <c r="J656" s="201"/>
      <c r="K656" s="179"/>
      <c r="L656" s="10"/>
      <c r="M656" s="202"/>
      <c r="N656" s="203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</row>
    <row r="657">
      <c r="A657" s="10"/>
      <c r="B657" s="10"/>
      <c r="C657" s="10"/>
      <c r="D657" s="10"/>
      <c r="E657" s="10"/>
      <c r="F657" s="10"/>
      <c r="G657" s="10"/>
      <c r="H657" s="199"/>
      <c r="I657" s="200"/>
      <c r="J657" s="201"/>
      <c r="K657" s="179"/>
      <c r="L657" s="10"/>
      <c r="M657" s="202"/>
      <c r="N657" s="203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</row>
    <row r="658">
      <c r="A658" s="10"/>
      <c r="B658" s="10"/>
      <c r="C658" s="10"/>
      <c r="D658" s="10"/>
      <c r="E658" s="10"/>
      <c r="F658" s="10"/>
      <c r="G658" s="10"/>
      <c r="H658" s="199"/>
      <c r="I658" s="200"/>
      <c r="J658" s="201"/>
      <c r="K658" s="179"/>
      <c r="L658" s="10"/>
      <c r="M658" s="202"/>
      <c r="N658" s="203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</row>
    <row r="659">
      <c r="A659" s="10"/>
      <c r="B659" s="10"/>
      <c r="C659" s="10"/>
      <c r="D659" s="10"/>
      <c r="E659" s="10"/>
      <c r="F659" s="10"/>
      <c r="G659" s="10"/>
      <c r="H659" s="199"/>
      <c r="I659" s="200"/>
      <c r="J659" s="201"/>
      <c r="K659" s="179"/>
      <c r="L659" s="10"/>
      <c r="M659" s="202"/>
      <c r="N659" s="203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</row>
    <row r="660">
      <c r="A660" s="10"/>
      <c r="B660" s="10"/>
      <c r="C660" s="10"/>
      <c r="D660" s="10"/>
      <c r="E660" s="10"/>
      <c r="F660" s="10"/>
      <c r="G660" s="10"/>
      <c r="H660" s="199"/>
      <c r="I660" s="200"/>
      <c r="J660" s="201"/>
      <c r="K660" s="179"/>
      <c r="L660" s="10"/>
      <c r="M660" s="202"/>
      <c r="N660" s="203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</row>
    <row r="661">
      <c r="A661" s="10"/>
      <c r="B661" s="10"/>
      <c r="C661" s="10"/>
      <c r="D661" s="10"/>
      <c r="E661" s="10"/>
      <c r="F661" s="10"/>
      <c r="G661" s="10"/>
      <c r="H661" s="199"/>
      <c r="I661" s="200"/>
      <c r="J661" s="201"/>
      <c r="K661" s="179"/>
      <c r="L661" s="10"/>
      <c r="M661" s="202"/>
      <c r="N661" s="203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</row>
    <row r="662">
      <c r="A662" s="10"/>
      <c r="B662" s="10"/>
      <c r="C662" s="10"/>
      <c r="D662" s="10"/>
      <c r="E662" s="10"/>
      <c r="F662" s="10"/>
      <c r="G662" s="10"/>
      <c r="H662" s="199"/>
      <c r="I662" s="200"/>
      <c r="J662" s="201"/>
      <c r="K662" s="179"/>
      <c r="L662" s="10"/>
      <c r="M662" s="202"/>
      <c r="N662" s="203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</row>
    <row r="663">
      <c r="A663" s="10"/>
      <c r="B663" s="10"/>
      <c r="C663" s="10"/>
      <c r="D663" s="10"/>
      <c r="E663" s="10"/>
      <c r="F663" s="10"/>
      <c r="G663" s="10"/>
      <c r="H663" s="199"/>
      <c r="I663" s="200"/>
      <c r="J663" s="201"/>
      <c r="K663" s="179"/>
      <c r="L663" s="10"/>
      <c r="M663" s="202"/>
      <c r="N663" s="203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</row>
    <row r="664">
      <c r="A664" s="10"/>
      <c r="B664" s="10"/>
      <c r="C664" s="10"/>
      <c r="D664" s="10"/>
      <c r="E664" s="10"/>
      <c r="F664" s="10"/>
      <c r="G664" s="10"/>
      <c r="H664" s="199"/>
      <c r="I664" s="200"/>
      <c r="J664" s="201"/>
      <c r="K664" s="179"/>
      <c r="L664" s="10"/>
      <c r="M664" s="202"/>
      <c r="N664" s="203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</row>
    <row r="665">
      <c r="A665" s="10"/>
      <c r="B665" s="10"/>
      <c r="C665" s="10"/>
      <c r="D665" s="10"/>
      <c r="E665" s="10"/>
      <c r="F665" s="10"/>
      <c r="G665" s="10"/>
      <c r="H665" s="199"/>
      <c r="I665" s="200"/>
      <c r="J665" s="201"/>
      <c r="K665" s="179"/>
      <c r="L665" s="10"/>
      <c r="M665" s="202"/>
      <c r="N665" s="203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</row>
    <row r="666">
      <c r="A666" s="10"/>
      <c r="B666" s="10"/>
      <c r="C666" s="10"/>
      <c r="D666" s="10"/>
      <c r="E666" s="10"/>
      <c r="F666" s="10"/>
      <c r="G666" s="10"/>
      <c r="H666" s="199"/>
      <c r="I666" s="200"/>
      <c r="J666" s="201"/>
      <c r="K666" s="179"/>
      <c r="L666" s="10"/>
      <c r="M666" s="202"/>
      <c r="N666" s="203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</row>
    <row r="667">
      <c r="A667" s="10"/>
      <c r="B667" s="10"/>
      <c r="C667" s="10"/>
      <c r="D667" s="10"/>
      <c r="E667" s="10"/>
      <c r="F667" s="10"/>
      <c r="G667" s="10"/>
      <c r="H667" s="199"/>
      <c r="I667" s="200"/>
      <c r="J667" s="201"/>
      <c r="K667" s="179"/>
      <c r="L667" s="10"/>
      <c r="M667" s="202"/>
      <c r="N667" s="203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</row>
    <row r="668">
      <c r="A668" s="10"/>
      <c r="B668" s="10"/>
      <c r="C668" s="10"/>
      <c r="D668" s="10"/>
      <c r="E668" s="10"/>
      <c r="F668" s="10"/>
      <c r="G668" s="10"/>
      <c r="H668" s="199"/>
      <c r="I668" s="200"/>
      <c r="J668" s="201"/>
      <c r="K668" s="179"/>
      <c r="L668" s="10"/>
      <c r="M668" s="202"/>
      <c r="N668" s="203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</row>
    <row r="669">
      <c r="A669" s="10"/>
      <c r="B669" s="10"/>
      <c r="C669" s="10"/>
      <c r="D669" s="10"/>
      <c r="E669" s="10"/>
      <c r="F669" s="10"/>
      <c r="G669" s="10"/>
      <c r="H669" s="199"/>
      <c r="I669" s="200"/>
      <c r="J669" s="201"/>
      <c r="K669" s="179"/>
      <c r="L669" s="10"/>
      <c r="M669" s="202"/>
      <c r="N669" s="203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</row>
    <row r="670">
      <c r="A670" s="10"/>
      <c r="B670" s="10"/>
      <c r="C670" s="10"/>
      <c r="D670" s="10"/>
      <c r="E670" s="10"/>
      <c r="F670" s="10"/>
      <c r="G670" s="10"/>
      <c r="H670" s="199"/>
      <c r="I670" s="200"/>
      <c r="J670" s="201"/>
      <c r="K670" s="179"/>
      <c r="L670" s="10"/>
      <c r="M670" s="202"/>
      <c r="N670" s="203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</row>
    <row r="671">
      <c r="A671" s="10"/>
      <c r="B671" s="10"/>
      <c r="C671" s="10"/>
      <c r="D671" s="10"/>
      <c r="E671" s="10"/>
      <c r="F671" s="10"/>
      <c r="G671" s="10"/>
      <c r="H671" s="199"/>
      <c r="I671" s="200"/>
      <c r="J671" s="201"/>
      <c r="K671" s="179"/>
      <c r="L671" s="10"/>
      <c r="M671" s="202"/>
      <c r="N671" s="203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</row>
    <row r="672">
      <c r="A672" s="10"/>
      <c r="B672" s="10"/>
      <c r="C672" s="10"/>
      <c r="D672" s="10"/>
      <c r="E672" s="10"/>
      <c r="F672" s="10"/>
      <c r="G672" s="10"/>
      <c r="H672" s="199"/>
      <c r="I672" s="200"/>
      <c r="J672" s="201"/>
      <c r="K672" s="179"/>
      <c r="L672" s="10"/>
      <c r="M672" s="202"/>
      <c r="N672" s="203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</row>
    <row r="673">
      <c r="A673" s="10"/>
      <c r="B673" s="10"/>
      <c r="C673" s="10"/>
      <c r="D673" s="10"/>
      <c r="E673" s="10"/>
      <c r="F673" s="10"/>
      <c r="G673" s="10"/>
      <c r="H673" s="199"/>
      <c r="I673" s="200"/>
      <c r="J673" s="201"/>
      <c r="K673" s="179"/>
      <c r="L673" s="10"/>
      <c r="M673" s="202"/>
      <c r="N673" s="203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</row>
    <row r="674">
      <c r="A674" s="10"/>
      <c r="B674" s="10"/>
      <c r="C674" s="10"/>
      <c r="D674" s="10"/>
      <c r="E674" s="10"/>
      <c r="F674" s="10"/>
      <c r="G674" s="10"/>
      <c r="H674" s="199"/>
      <c r="I674" s="200"/>
      <c r="J674" s="201"/>
      <c r="K674" s="179"/>
      <c r="L674" s="10"/>
      <c r="M674" s="202"/>
      <c r="N674" s="203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</row>
    <row r="675">
      <c r="A675" s="10"/>
      <c r="B675" s="10"/>
      <c r="C675" s="10"/>
      <c r="D675" s="10"/>
      <c r="E675" s="10"/>
      <c r="F675" s="10"/>
      <c r="G675" s="10"/>
      <c r="H675" s="199"/>
      <c r="I675" s="200"/>
      <c r="J675" s="201"/>
      <c r="K675" s="179"/>
      <c r="L675" s="10"/>
      <c r="M675" s="202"/>
      <c r="N675" s="203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</row>
    <row r="676">
      <c r="A676" s="10"/>
      <c r="B676" s="10"/>
      <c r="C676" s="10"/>
      <c r="D676" s="10"/>
      <c r="E676" s="10"/>
      <c r="F676" s="10"/>
      <c r="G676" s="10"/>
      <c r="H676" s="199"/>
      <c r="I676" s="200"/>
      <c r="J676" s="201"/>
      <c r="K676" s="179"/>
      <c r="L676" s="10"/>
      <c r="M676" s="202"/>
      <c r="N676" s="203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</row>
    <row r="677">
      <c r="A677" s="10"/>
      <c r="B677" s="10"/>
      <c r="C677" s="10"/>
      <c r="D677" s="10"/>
      <c r="E677" s="10"/>
      <c r="F677" s="10"/>
      <c r="G677" s="10"/>
      <c r="H677" s="199"/>
      <c r="I677" s="200"/>
      <c r="J677" s="201"/>
      <c r="K677" s="179"/>
      <c r="L677" s="10"/>
      <c r="M677" s="202"/>
      <c r="N677" s="203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</row>
    <row r="678">
      <c r="A678" s="10"/>
      <c r="B678" s="10"/>
      <c r="C678" s="10"/>
      <c r="D678" s="10"/>
      <c r="E678" s="10"/>
      <c r="F678" s="10"/>
      <c r="G678" s="10"/>
      <c r="H678" s="199"/>
      <c r="I678" s="200"/>
      <c r="J678" s="201"/>
      <c r="K678" s="179"/>
      <c r="L678" s="10"/>
      <c r="M678" s="202"/>
      <c r="N678" s="203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</row>
    <row r="679">
      <c r="A679" s="10"/>
      <c r="B679" s="10"/>
      <c r="C679" s="10"/>
      <c r="D679" s="10"/>
      <c r="E679" s="10"/>
      <c r="F679" s="10"/>
      <c r="G679" s="10"/>
      <c r="H679" s="199"/>
      <c r="I679" s="200"/>
      <c r="J679" s="201"/>
      <c r="K679" s="179"/>
      <c r="L679" s="10"/>
      <c r="M679" s="202"/>
      <c r="N679" s="203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</row>
    <row r="680">
      <c r="A680" s="10"/>
      <c r="B680" s="10"/>
      <c r="C680" s="10"/>
      <c r="D680" s="10"/>
      <c r="E680" s="10"/>
      <c r="F680" s="10"/>
      <c r="G680" s="10"/>
      <c r="H680" s="199"/>
      <c r="I680" s="200"/>
      <c r="J680" s="201"/>
      <c r="K680" s="179"/>
      <c r="L680" s="10"/>
      <c r="M680" s="202"/>
      <c r="N680" s="203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</row>
    <row r="681">
      <c r="A681" s="10"/>
      <c r="B681" s="10"/>
      <c r="C681" s="10"/>
      <c r="D681" s="10"/>
      <c r="E681" s="10"/>
      <c r="F681" s="10"/>
      <c r="G681" s="10"/>
      <c r="H681" s="199"/>
      <c r="I681" s="200"/>
      <c r="J681" s="201"/>
      <c r="K681" s="179"/>
      <c r="L681" s="10"/>
      <c r="M681" s="202"/>
      <c r="N681" s="203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</row>
    <row r="682">
      <c r="A682" s="10"/>
      <c r="B682" s="10"/>
      <c r="C682" s="10"/>
      <c r="D682" s="10"/>
      <c r="E682" s="10"/>
      <c r="F682" s="10"/>
      <c r="G682" s="10"/>
      <c r="H682" s="199"/>
      <c r="I682" s="200"/>
      <c r="J682" s="201"/>
      <c r="K682" s="179"/>
      <c r="L682" s="10"/>
      <c r="M682" s="202"/>
      <c r="N682" s="203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</row>
    <row r="683">
      <c r="A683" s="10"/>
      <c r="B683" s="10"/>
      <c r="C683" s="10"/>
      <c r="D683" s="10"/>
      <c r="E683" s="10"/>
      <c r="F683" s="10"/>
      <c r="G683" s="10"/>
      <c r="H683" s="199"/>
      <c r="I683" s="200"/>
      <c r="J683" s="201"/>
      <c r="K683" s="179"/>
      <c r="L683" s="10"/>
      <c r="M683" s="202"/>
      <c r="N683" s="203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</row>
    <row r="684">
      <c r="A684" s="10"/>
      <c r="B684" s="10"/>
      <c r="C684" s="10"/>
      <c r="D684" s="10"/>
      <c r="E684" s="10"/>
      <c r="F684" s="10"/>
      <c r="G684" s="10"/>
      <c r="H684" s="199"/>
      <c r="I684" s="200"/>
      <c r="J684" s="201"/>
      <c r="K684" s="179"/>
      <c r="L684" s="10"/>
      <c r="M684" s="202"/>
      <c r="N684" s="203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</row>
    <row r="685">
      <c r="A685" s="10"/>
      <c r="B685" s="10"/>
      <c r="C685" s="10"/>
      <c r="D685" s="10"/>
      <c r="E685" s="10"/>
      <c r="F685" s="10"/>
      <c r="G685" s="10"/>
      <c r="H685" s="199"/>
      <c r="I685" s="200"/>
      <c r="J685" s="201"/>
      <c r="K685" s="179"/>
      <c r="L685" s="10"/>
      <c r="M685" s="202"/>
      <c r="N685" s="203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</row>
    <row r="686">
      <c r="A686" s="10"/>
      <c r="B686" s="10"/>
      <c r="C686" s="10"/>
      <c r="D686" s="10"/>
      <c r="E686" s="10"/>
      <c r="F686" s="10"/>
      <c r="G686" s="10"/>
      <c r="H686" s="199"/>
      <c r="I686" s="200"/>
      <c r="J686" s="201"/>
      <c r="K686" s="179"/>
      <c r="L686" s="10"/>
      <c r="M686" s="202"/>
      <c r="N686" s="203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</row>
    <row r="687">
      <c r="A687" s="10"/>
      <c r="B687" s="10"/>
      <c r="C687" s="10"/>
      <c r="D687" s="10"/>
      <c r="E687" s="10"/>
      <c r="F687" s="10"/>
      <c r="G687" s="10"/>
      <c r="H687" s="199"/>
      <c r="I687" s="200"/>
      <c r="J687" s="201"/>
      <c r="K687" s="179"/>
      <c r="L687" s="10"/>
      <c r="M687" s="202"/>
      <c r="N687" s="203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</row>
    <row r="688">
      <c r="A688" s="10"/>
      <c r="B688" s="10"/>
      <c r="C688" s="10"/>
      <c r="D688" s="10"/>
      <c r="E688" s="10"/>
      <c r="F688" s="10"/>
      <c r="G688" s="10"/>
      <c r="H688" s="199"/>
      <c r="I688" s="200"/>
      <c r="J688" s="201"/>
      <c r="K688" s="179"/>
      <c r="L688" s="10"/>
      <c r="M688" s="202"/>
      <c r="N688" s="203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</row>
    <row r="689">
      <c r="A689" s="10"/>
      <c r="B689" s="10"/>
      <c r="C689" s="10"/>
      <c r="D689" s="10"/>
      <c r="E689" s="10"/>
      <c r="F689" s="10"/>
      <c r="G689" s="10"/>
      <c r="H689" s="199"/>
      <c r="I689" s="200"/>
      <c r="J689" s="201"/>
      <c r="K689" s="179"/>
      <c r="L689" s="10"/>
      <c r="M689" s="202"/>
      <c r="N689" s="203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</row>
    <row r="690">
      <c r="A690" s="10"/>
      <c r="B690" s="10"/>
      <c r="C690" s="10"/>
      <c r="D690" s="10"/>
      <c r="E690" s="10"/>
      <c r="F690" s="10"/>
      <c r="G690" s="10"/>
      <c r="H690" s="199"/>
      <c r="I690" s="200"/>
      <c r="J690" s="201"/>
      <c r="K690" s="179"/>
      <c r="L690" s="10"/>
      <c r="M690" s="202"/>
      <c r="N690" s="203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</row>
    <row r="691">
      <c r="A691" s="10"/>
      <c r="B691" s="10"/>
      <c r="C691" s="10"/>
      <c r="D691" s="10"/>
      <c r="E691" s="10"/>
      <c r="F691" s="10"/>
      <c r="G691" s="10"/>
      <c r="H691" s="199"/>
      <c r="I691" s="200"/>
      <c r="J691" s="201"/>
      <c r="K691" s="179"/>
      <c r="L691" s="10"/>
      <c r="M691" s="202"/>
      <c r="N691" s="203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</row>
    <row r="692">
      <c r="A692" s="10"/>
      <c r="B692" s="10"/>
      <c r="C692" s="10"/>
      <c r="D692" s="10"/>
      <c r="E692" s="10"/>
      <c r="F692" s="10"/>
      <c r="G692" s="10"/>
      <c r="H692" s="199"/>
      <c r="I692" s="200"/>
      <c r="J692" s="201"/>
      <c r="K692" s="179"/>
      <c r="L692" s="10"/>
      <c r="M692" s="202"/>
      <c r="N692" s="203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</row>
    <row r="693">
      <c r="A693" s="10"/>
      <c r="B693" s="10"/>
      <c r="C693" s="10"/>
      <c r="D693" s="10"/>
      <c r="E693" s="10"/>
      <c r="F693" s="10"/>
      <c r="G693" s="10"/>
      <c r="H693" s="199"/>
      <c r="I693" s="200"/>
      <c r="J693" s="201"/>
      <c r="K693" s="179"/>
      <c r="L693" s="10"/>
      <c r="M693" s="202"/>
      <c r="N693" s="203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</row>
    <row r="694">
      <c r="A694" s="10"/>
      <c r="B694" s="10"/>
      <c r="C694" s="10"/>
      <c r="D694" s="10"/>
      <c r="E694" s="10"/>
      <c r="F694" s="10"/>
      <c r="G694" s="10"/>
      <c r="H694" s="199"/>
      <c r="I694" s="200"/>
      <c r="J694" s="201"/>
      <c r="K694" s="179"/>
      <c r="L694" s="10"/>
      <c r="M694" s="202"/>
      <c r="N694" s="203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</row>
    <row r="695">
      <c r="A695" s="10"/>
      <c r="B695" s="10"/>
      <c r="C695" s="10"/>
      <c r="D695" s="10"/>
      <c r="E695" s="10"/>
      <c r="F695" s="10"/>
      <c r="G695" s="10"/>
      <c r="H695" s="199"/>
      <c r="I695" s="200"/>
      <c r="J695" s="201"/>
      <c r="K695" s="179"/>
      <c r="L695" s="10"/>
      <c r="M695" s="202"/>
      <c r="N695" s="203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</row>
    <row r="696">
      <c r="A696" s="10"/>
      <c r="B696" s="10"/>
      <c r="C696" s="10"/>
      <c r="D696" s="10"/>
      <c r="E696" s="10"/>
      <c r="F696" s="10"/>
      <c r="G696" s="10"/>
      <c r="H696" s="199"/>
      <c r="I696" s="200"/>
      <c r="J696" s="201"/>
      <c r="K696" s="179"/>
      <c r="L696" s="10"/>
      <c r="M696" s="202"/>
      <c r="N696" s="203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</row>
    <row r="697">
      <c r="A697" s="10"/>
      <c r="B697" s="10"/>
      <c r="C697" s="10"/>
      <c r="D697" s="10"/>
      <c r="E697" s="10"/>
      <c r="F697" s="10"/>
      <c r="G697" s="10"/>
      <c r="H697" s="199"/>
      <c r="I697" s="200"/>
      <c r="J697" s="201"/>
      <c r="K697" s="179"/>
      <c r="L697" s="10"/>
      <c r="M697" s="202"/>
      <c r="N697" s="203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</row>
    <row r="698">
      <c r="A698" s="10"/>
      <c r="B698" s="10"/>
      <c r="C698" s="10"/>
      <c r="D698" s="10"/>
      <c r="E698" s="10"/>
      <c r="F698" s="10"/>
      <c r="G698" s="10"/>
      <c r="H698" s="199"/>
      <c r="I698" s="200"/>
      <c r="J698" s="201"/>
      <c r="K698" s="179"/>
      <c r="L698" s="10"/>
      <c r="M698" s="202"/>
      <c r="N698" s="203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</row>
    <row r="699">
      <c r="A699" s="10"/>
      <c r="B699" s="10"/>
      <c r="C699" s="10"/>
      <c r="D699" s="10"/>
      <c r="E699" s="10"/>
      <c r="F699" s="10"/>
      <c r="G699" s="10"/>
      <c r="H699" s="199"/>
      <c r="I699" s="200"/>
      <c r="J699" s="201"/>
      <c r="K699" s="179"/>
      <c r="L699" s="10"/>
      <c r="M699" s="202"/>
      <c r="N699" s="203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</row>
    <row r="700">
      <c r="A700" s="10"/>
      <c r="B700" s="10"/>
      <c r="C700" s="10"/>
      <c r="D700" s="10"/>
      <c r="E700" s="10"/>
      <c r="F700" s="10"/>
      <c r="G700" s="10"/>
      <c r="H700" s="199"/>
      <c r="I700" s="200"/>
      <c r="J700" s="201"/>
      <c r="K700" s="179"/>
      <c r="L700" s="10"/>
      <c r="M700" s="202"/>
      <c r="N700" s="203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</row>
    <row r="701">
      <c r="A701" s="10"/>
      <c r="B701" s="10"/>
      <c r="C701" s="10"/>
      <c r="D701" s="10"/>
      <c r="E701" s="10"/>
      <c r="F701" s="10"/>
      <c r="G701" s="10"/>
      <c r="H701" s="199"/>
      <c r="I701" s="200"/>
      <c r="J701" s="201"/>
      <c r="K701" s="179"/>
      <c r="L701" s="10"/>
      <c r="M701" s="202"/>
      <c r="N701" s="203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</row>
    <row r="702">
      <c r="A702" s="10"/>
      <c r="B702" s="10"/>
      <c r="C702" s="10"/>
      <c r="D702" s="10"/>
      <c r="E702" s="10"/>
      <c r="F702" s="10"/>
      <c r="G702" s="10"/>
      <c r="H702" s="199"/>
      <c r="I702" s="200"/>
      <c r="J702" s="201"/>
      <c r="K702" s="179"/>
      <c r="L702" s="10"/>
      <c r="M702" s="202"/>
      <c r="N702" s="203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</row>
    <row r="703">
      <c r="A703" s="10"/>
      <c r="B703" s="10"/>
      <c r="C703" s="10"/>
      <c r="D703" s="10"/>
      <c r="E703" s="10"/>
      <c r="F703" s="10"/>
      <c r="G703" s="10"/>
      <c r="H703" s="199"/>
      <c r="I703" s="200"/>
      <c r="J703" s="201"/>
      <c r="K703" s="179"/>
      <c r="L703" s="10"/>
      <c r="M703" s="202"/>
      <c r="N703" s="203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</row>
    <row r="704">
      <c r="A704" s="10"/>
      <c r="B704" s="10"/>
      <c r="C704" s="10"/>
      <c r="D704" s="10"/>
      <c r="E704" s="10"/>
      <c r="F704" s="10"/>
      <c r="G704" s="10"/>
      <c r="H704" s="199"/>
      <c r="I704" s="200"/>
      <c r="J704" s="201"/>
      <c r="K704" s="179"/>
      <c r="L704" s="10"/>
      <c r="M704" s="202"/>
      <c r="N704" s="203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</row>
    <row r="705">
      <c r="A705" s="10"/>
      <c r="B705" s="10"/>
      <c r="C705" s="10"/>
      <c r="D705" s="10"/>
      <c r="E705" s="10"/>
      <c r="F705" s="10"/>
      <c r="G705" s="10"/>
      <c r="H705" s="199"/>
      <c r="I705" s="200"/>
      <c r="J705" s="201"/>
      <c r="K705" s="179"/>
      <c r="L705" s="10"/>
      <c r="M705" s="202"/>
      <c r="N705" s="203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</row>
    <row r="706">
      <c r="A706" s="10"/>
      <c r="B706" s="10"/>
      <c r="C706" s="10"/>
      <c r="D706" s="10"/>
      <c r="E706" s="10"/>
      <c r="F706" s="10"/>
      <c r="G706" s="10"/>
      <c r="H706" s="199"/>
      <c r="I706" s="200"/>
      <c r="J706" s="201"/>
      <c r="K706" s="179"/>
      <c r="L706" s="10"/>
      <c r="M706" s="202"/>
      <c r="N706" s="203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</row>
    <row r="707">
      <c r="A707" s="10"/>
      <c r="B707" s="10"/>
      <c r="C707" s="10"/>
      <c r="D707" s="10"/>
      <c r="E707" s="10"/>
      <c r="F707" s="10"/>
      <c r="G707" s="10"/>
      <c r="H707" s="199"/>
      <c r="I707" s="200"/>
      <c r="J707" s="201"/>
      <c r="K707" s="179"/>
      <c r="L707" s="10"/>
      <c r="M707" s="202"/>
      <c r="N707" s="203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</row>
    <row r="708">
      <c r="A708" s="10"/>
      <c r="B708" s="10"/>
      <c r="C708" s="10"/>
      <c r="D708" s="10"/>
      <c r="E708" s="10"/>
      <c r="F708" s="10"/>
      <c r="G708" s="10"/>
      <c r="H708" s="199"/>
      <c r="I708" s="200"/>
      <c r="J708" s="201"/>
      <c r="K708" s="179"/>
      <c r="L708" s="10"/>
      <c r="M708" s="202"/>
      <c r="N708" s="203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</row>
    <row r="709">
      <c r="A709" s="10"/>
      <c r="B709" s="10"/>
      <c r="C709" s="10"/>
      <c r="D709" s="10"/>
      <c r="E709" s="10"/>
      <c r="F709" s="10"/>
      <c r="G709" s="10"/>
      <c r="H709" s="199"/>
      <c r="I709" s="200"/>
      <c r="J709" s="201"/>
      <c r="K709" s="179"/>
      <c r="L709" s="10"/>
      <c r="M709" s="202"/>
      <c r="N709" s="203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</row>
    <row r="710">
      <c r="A710" s="10"/>
      <c r="B710" s="10"/>
      <c r="C710" s="10"/>
      <c r="D710" s="10"/>
      <c r="E710" s="10"/>
      <c r="F710" s="10"/>
      <c r="G710" s="10"/>
      <c r="H710" s="199"/>
      <c r="I710" s="200"/>
      <c r="J710" s="201"/>
      <c r="K710" s="179"/>
      <c r="L710" s="10"/>
      <c r="M710" s="202"/>
      <c r="N710" s="203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</row>
    <row r="711">
      <c r="A711" s="10"/>
      <c r="B711" s="10"/>
      <c r="C711" s="10"/>
      <c r="D711" s="10"/>
      <c r="E711" s="10"/>
      <c r="F711" s="10"/>
      <c r="G711" s="10"/>
      <c r="H711" s="199"/>
      <c r="I711" s="200"/>
      <c r="J711" s="201"/>
      <c r="K711" s="179"/>
      <c r="L711" s="10"/>
      <c r="M711" s="202"/>
      <c r="N711" s="203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</row>
    <row r="712">
      <c r="A712" s="10"/>
      <c r="B712" s="10"/>
      <c r="C712" s="10"/>
      <c r="D712" s="10"/>
      <c r="E712" s="10"/>
      <c r="F712" s="10"/>
      <c r="G712" s="10"/>
      <c r="H712" s="199"/>
      <c r="I712" s="200"/>
      <c r="J712" s="201"/>
      <c r="K712" s="179"/>
      <c r="L712" s="10"/>
      <c r="M712" s="202"/>
      <c r="N712" s="203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</row>
    <row r="713">
      <c r="A713" s="10"/>
      <c r="B713" s="10"/>
      <c r="C713" s="10"/>
      <c r="D713" s="10"/>
      <c r="E713" s="10"/>
      <c r="F713" s="10"/>
      <c r="G713" s="10"/>
      <c r="H713" s="199"/>
      <c r="I713" s="200"/>
      <c r="J713" s="201"/>
      <c r="K713" s="179"/>
      <c r="L713" s="10"/>
      <c r="M713" s="202"/>
      <c r="N713" s="203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</row>
    <row r="714">
      <c r="A714" s="10"/>
      <c r="B714" s="10"/>
      <c r="C714" s="10"/>
      <c r="D714" s="10"/>
      <c r="E714" s="10"/>
      <c r="F714" s="10"/>
      <c r="G714" s="10"/>
      <c r="H714" s="199"/>
      <c r="I714" s="200"/>
      <c r="J714" s="201"/>
      <c r="K714" s="179"/>
      <c r="L714" s="10"/>
      <c r="M714" s="202"/>
      <c r="N714" s="203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</row>
    <row r="715">
      <c r="A715" s="10"/>
      <c r="B715" s="10"/>
      <c r="C715" s="10"/>
      <c r="D715" s="10"/>
      <c r="E715" s="10"/>
      <c r="F715" s="10"/>
      <c r="G715" s="10"/>
      <c r="H715" s="199"/>
      <c r="I715" s="200"/>
      <c r="J715" s="201"/>
      <c r="K715" s="179"/>
      <c r="L715" s="10"/>
      <c r="M715" s="202"/>
      <c r="N715" s="203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</row>
    <row r="716">
      <c r="A716" s="10"/>
      <c r="B716" s="10"/>
      <c r="C716" s="10"/>
      <c r="D716" s="10"/>
      <c r="E716" s="10"/>
      <c r="F716" s="10"/>
      <c r="G716" s="10"/>
      <c r="H716" s="199"/>
      <c r="I716" s="200"/>
      <c r="J716" s="201"/>
      <c r="K716" s="179"/>
      <c r="L716" s="10"/>
      <c r="M716" s="202"/>
      <c r="N716" s="203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</row>
    <row r="717">
      <c r="A717" s="10"/>
      <c r="B717" s="10"/>
      <c r="C717" s="10"/>
      <c r="D717" s="10"/>
      <c r="E717" s="10"/>
      <c r="F717" s="10"/>
      <c r="G717" s="10"/>
      <c r="H717" s="199"/>
      <c r="I717" s="200"/>
      <c r="J717" s="201"/>
      <c r="K717" s="179"/>
      <c r="L717" s="10"/>
      <c r="M717" s="202"/>
      <c r="N717" s="203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</row>
    <row r="718">
      <c r="A718" s="10"/>
      <c r="B718" s="10"/>
      <c r="C718" s="10"/>
      <c r="D718" s="10"/>
      <c r="E718" s="10"/>
      <c r="F718" s="10"/>
      <c r="G718" s="10"/>
      <c r="H718" s="199"/>
      <c r="I718" s="200"/>
      <c r="J718" s="201"/>
      <c r="K718" s="179"/>
      <c r="L718" s="10"/>
      <c r="M718" s="202"/>
      <c r="N718" s="203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</row>
    <row r="719">
      <c r="A719" s="10"/>
      <c r="B719" s="10"/>
      <c r="C719" s="10"/>
      <c r="D719" s="10"/>
      <c r="E719" s="10"/>
      <c r="F719" s="10"/>
      <c r="G719" s="10"/>
      <c r="H719" s="199"/>
      <c r="I719" s="200"/>
      <c r="J719" s="201"/>
      <c r="K719" s="179"/>
      <c r="L719" s="10"/>
      <c r="M719" s="202"/>
      <c r="N719" s="203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</row>
    <row r="720">
      <c r="A720" s="10"/>
      <c r="B720" s="10"/>
      <c r="C720" s="10"/>
      <c r="D720" s="10"/>
      <c r="E720" s="10"/>
      <c r="F720" s="10"/>
      <c r="G720" s="10"/>
      <c r="H720" s="199"/>
      <c r="I720" s="200"/>
      <c r="J720" s="201"/>
      <c r="K720" s="179"/>
      <c r="L720" s="10"/>
      <c r="M720" s="202"/>
      <c r="N720" s="203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</row>
    <row r="721">
      <c r="A721" s="10"/>
      <c r="B721" s="10"/>
      <c r="C721" s="10"/>
      <c r="D721" s="10"/>
      <c r="E721" s="10"/>
      <c r="F721" s="10"/>
      <c r="G721" s="10"/>
      <c r="H721" s="199"/>
      <c r="I721" s="200"/>
      <c r="J721" s="201"/>
      <c r="K721" s="179"/>
      <c r="L721" s="10"/>
      <c r="M721" s="202"/>
      <c r="N721" s="203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</row>
    <row r="722">
      <c r="A722" s="10"/>
      <c r="B722" s="10"/>
      <c r="C722" s="10"/>
      <c r="D722" s="10"/>
      <c r="E722" s="10"/>
      <c r="F722" s="10"/>
      <c r="G722" s="10"/>
      <c r="H722" s="199"/>
      <c r="I722" s="200"/>
      <c r="J722" s="201"/>
      <c r="K722" s="179"/>
      <c r="L722" s="10"/>
      <c r="M722" s="202"/>
      <c r="N722" s="203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</row>
    <row r="723">
      <c r="A723" s="10"/>
      <c r="B723" s="10"/>
      <c r="C723" s="10"/>
      <c r="D723" s="10"/>
      <c r="E723" s="10"/>
      <c r="F723" s="10"/>
      <c r="G723" s="10"/>
      <c r="H723" s="199"/>
      <c r="I723" s="200"/>
      <c r="J723" s="201"/>
      <c r="K723" s="179"/>
      <c r="L723" s="10"/>
      <c r="M723" s="202"/>
      <c r="N723" s="203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</row>
    <row r="724">
      <c r="A724" s="10"/>
      <c r="B724" s="10"/>
      <c r="C724" s="10"/>
      <c r="D724" s="10"/>
      <c r="E724" s="10"/>
      <c r="F724" s="10"/>
      <c r="G724" s="10"/>
      <c r="H724" s="199"/>
      <c r="I724" s="200"/>
      <c r="J724" s="201"/>
      <c r="K724" s="179"/>
      <c r="L724" s="10"/>
      <c r="M724" s="202"/>
      <c r="N724" s="203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</row>
    <row r="725">
      <c r="A725" s="10"/>
      <c r="B725" s="10"/>
      <c r="C725" s="10"/>
      <c r="D725" s="10"/>
      <c r="E725" s="10"/>
      <c r="F725" s="10"/>
      <c r="G725" s="10"/>
      <c r="H725" s="199"/>
      <c r="I725" s="200"/>
      <c r="J725" s="201"/>
      <c r="K725" s="179"/>
      <c r="L725" s="10"/>
      <c r="M725" s="202"/>
      <c r="N725" s="203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</row>
    <row r="726">
      <c r="A726" s="10"/>
      <c r="B726" s="10"/>
      <c r="C726" s="10"/>
      <c r="D726" s="10"/>
      <c r="E726" s="10"/>
      <c r="F726" s="10"/>
      <c r="G726" s="10"/>
      <c r="H726" s="199"/>
      <c r="I726" s="200"/>
      <c r="J726" s="201"/>
      <c r="K726" s="179"/>
      <c r="L726" s="10"/>
      <c r="M726" s="202"/>
      <c r="N726" s="203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</row>
    <row r="727">
      <c r="A727" s="10"/>
      <c r="B727" s="10"/>
      <c r="C727" s="10"/>
      <c r="D727" s="10"/>
      <c r="E727" s="10"/>
      <c r="F727" s="10"/>
      <c r="G727" s="10"/>
      <c r="H727" s="199"/>
      <c r="I727" s="200"/>
      <c r="J727" s="201"/>
      <c r="K727" s="179"/>
      <c r="L727" s="10"/>
      <c r="M727" s="202"/>
      <c r="N727" s="203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</row>
    <row r="728">
      <c r="A728" s="10"/>
      <c r="B728" s="10"/>
      <c r="C728" s="10"/>
      <c r="D728" s="10"/>
      <c r="E728" s="10"/>
      <c r="F728" s="10"/>
      <c r="G728" s="10"/>
      <c r="H728" s="199"/>
      <c r="I728" s="200"/>
      <c r="J728" s="201"/>
      <c r="K728" s="179"/>
      <c r="L728" s="10"/>
      <c r="M728" s="202"/>
      <c r="N728" s="203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</row>
    <row r="729">
      <c r="A729" s="10"/>
      <c r="B729" s="10"/>
      <c r="C729" s="10"/>
      <c r="D729" s="10"/>
      <c r="E729" s="10"/>
      <c r="F729" s="10"/>
      <c r="G729" s="10"/>
      <c r="H729" s="199"/>
      <c r="I729" s="200"/>
      <c r="J729" s="201"/>
      <c r="K729" s="179"/>
      <c r="L729" s="10"/>
      <c r="M729" s="202"/>
      <c r="N729" s="203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</row>
    <row r="730">
      <c r="A730" s="10"/>
      <c r="B730" s="10"/>
      <c r="C730" s="10"/>
      <c r="D730" s="10"/>
      <c r="E730" s="10"/>
      <c r="F730" s="10"/>
      <c r="G730" s="10"/>
      <c r="H730" s="199"/>
      <c r="I730" s="200"/>
      <c r="J730" s="201"/>
      <c r="K730" s="179"/>
      <c r="L730" s="10"/>
      <c r="M730" s="202"/>
      <c r="N730" s="203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</row>
    <row r="731">
      <c r="A731" s="10"/>
      <c r="B731" s="10"/>
      <c r="C731" s="10"/>
      <c r="D731" s="10"/>
      <c r="E731" s="10"/>
      <c r="F731" s="10"/>
      <c r="G731" s="10"/>
      <c r="H731" s="199"/>
      <c r="I731" s="200"/>
      <c r="J731" s="201"/>
      <c r="K731" s="179"/>
      <c r="L731" s="10"/>
      <c r="M731" s="202"/>
      <c r="N731" s="203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</row>
    <row r="732">
      <c r="A732" s="10"/>
      <c r="B732" s="10"/>
      <c r="C732" s="10"/>
      <c r="D732" s="10"/>
      <c r="E732" s="10"/>
      <c r="F732" s="10"/>
      <c r="G732" s="10"/>
      <c r="H732" s="199"/>
      <c r="I732" s="200"/>
      <c r="J732" s="201"/>
      <c r="K732" s="179"/>
      <c r="L732" s="10"/>
      <c r="M732" s="202"/>
      <c r="N732" s="203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</row>
    <row r="733">
      <c r="A733" s="10"/>
      <c r="B733" s="10"/>
      <c r="C733" s="10"/>
      <c r="D733" s="10"/>
      <c r="E733" s="10"/>
      <c r="F733" s="10"/>
      <c r="G733" s="10"/>
      <c r="H733" s="199"/>
      <c r="I733" s="200"/>
      <c r="J733" s="201"/>
      <c r="K733" s="179"/>
      <c r="L733" s="10"/>
      <c r="M733" s="202"/>
      <c r="N733" s="203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</row>
    <row r="734">
      <c r="A734" s="10"/>
      <c r="B734" s="10"/>
      <c r="C734" s="10"/>
      <c r="D734" s="10"/>
      <c r="E734" s="10"/>
      <c r="F734" s="10"/>
      <c r="G734" s="10"/>
      <c r="H734" s="199"/>
      <c r="I734" s="200"/>
      <c r="J734" s="201"/>
      <c r="K734" s="179"/>
      <c r="L734" s="10"/>
      <c r="M734" s="202"/>
      <c r="N734" s="203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</row>
    <row r="735">
      <c r="A735" s="10"/>
      <c r="B735" s="10"/>
      <c r="C735" s="10"/>
      <c r="D735" s="10"/>
      <c r="E735" s="10"/>
      <c r="F735" s="10"/>
      <c r="G735" s="10"/>
      <c r="H735" s="199"/>
      <c r="I735" s="200"/>
      <c r="J735" s="201"/>
      <c r="K735" s="179"/>
      <c r="L735" s="10"/>
      <c r="M735" s="202"/>
      <c r="N735" s="203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</row>
    <row r="736">
      <c r="A736" s="10"/>
      <c r="B736" s="10"/>
      <c r="C736" s="10"/>
      <c r="D736" s="10"/>
      <c r="E736" s="10"/>
      <c r="F736" s="10"/>
      <c r="G736" s="10"/>
      <c r="H736" s="199"/>
      <c r="I736" s="200"/>
      <c r="J736" s="201"/>
      <c r="K736" s="179"/>
      <c r="L736" s="10"/>
      <c r="M736" s="202"/>
      <c r="N736" s="203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</row>
    <row r="737">
      <c r="A737" s="10"/>
      <c r="B737" s="10"/>
      <c r="C737" s="10"/>
      <c r="D737" s="10"/>
      <c r="E737" s="10"/>
      <c r="F737" s="10"/>
      <c r="G737" s="10"/>
      <c r="H737" s="199"/>
      <c r="I737" s="200"/>
      <c r="J737" s="201"/>
      <c r="K737" s="179"/>
      <c r="L737" s="10"/>
      <c r="M737" s="202"/>
      <c r="N737" s="203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</row>
    <row r="738">
      <c r="A738" s="10"/>
      <c r="B738" s="10"/>
      <c r="C738" s="10"/>
      <c r="D738" s="10"/>
      <c r="E738" s="10"/>
      <c r="F738" s="10"/>
      <c r="G738" s="10"/>
      <c r="H738" s="199"/>
      <c r="I738" s="200"/>
      <c r="J738" s="201"/>
      <c r="K738" s="179"/>
      <c r="L738" s="10"/>
      <c r="M738" s="202"/>
      <c r="N738" s="203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</row>
    <row r="739">
      <c r="A739" s="10"/>
      <c r="B739" s="10"/>
      <c r="C739" s="10"/>
      <c r="D739" s="10"/>
      <c r="E739" s="10"/>
      <c r="F739" s="10"/>
      <c r="G739" s="10"/>
      <c r="H739" s="199"/>
      <c r="I739" s="200"/>
      <c r="J739" s="201"/>
      <c r="K739" s="179"/>
      <c r="L739" s="10"/>
      <c r="M739" s="202"/>
      <c r="N739" s="203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</row>
    <row r="740">
      <c r="A740" s="10"/>
      <c r="B740" s="10"/>
      <c r="C740" s="10"/>
      <c r="D740" s="10"/>
      <c r="E740" s="10"/>
      <c r="F740" s="10"/>
      <c r="G740" s="10"/>
      <c r="H740" s="199"/>
      <c r="I740" s="200"/>
      <c r="J740" s="201"/>
      <c r="K740" s="179"/>
      <c r="L740" s="10"/>
      <c r="M740" s="202"/>
      <c r="N740" s="203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</row>
    <row r="741">
      <c r="A741" s="10"/>
      <c r="B741" s="10"/>
      <c r="C741" s="10"/>
      <c r="D741" s="10"/>
      <c r="E741" s="10"/>
      <c r="F741" s="10"/>
      <c r="G741" s="10"/>
      <c r="H741" s="199"/>
      <c r="I741" s="200"/>
      <c r="J741" s="201"/>
      <c r="K741" s="179"/>
      <c r="L741" s="10"/>
      <c r="M741" s="202"/>
      <c r="N741" s="203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</row>
    <row r="742">
      <c r="A742" s="10"/>
      <c r="B742" s="10"/>
      <c r="C742" s="10"/>
      <c r="D742" s="10"/>
      <c r="E742" s="10"/>
      <c r="F742" s="10"/>
      <c r="G742" s="10"/>
      <c r="H742" s="199"/>
      <c r="I742" s="200"/>
      <c r="J742" s="201"/>
      <c r="K742" s="179"/>
      <c r="L742" s="10"/>
      <c r="M742" s="202"/>
      <c r="N742" s="203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</row>
    <row r="743">
      <c r="A743" s="10"/>
      <c r="B743" s="10"/>
      <c r="C743" s="10"/>
      <c r="D743" s="10"/>
      <c r="E743" s="10"/>
      <c r="F743" s="10"/>
      <c r="G743" s="10"/>
      <c r="H743" s="199"/>
      <c r="I743" s="200"/>
      <c r="J743" s="201"/>
      <c r="K743" s="179"/>
      <c r="L743" s="10"/>
      <c r="M743" s="202"/>
      <c r="N743" s="203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</row>
    <row r="744">
      <c r="A744" s="10"/>
      <c r="B744" s="10"/>
      <c r="C744" s="10"/>
      <c r="D744" s="10"/>
      <c r="E744" s="10"/>
      <c r="F744" s="10"/>
      <c r="G744" s="10"/>
      <c r="H744" s="199"/>
      <c r="I744" s="200"/>
      <c r="J744" s="201"/>
      <c r="K744" s="179"/>
      <c r="L744" s="10"/>
      <c r="M744" s="202"/>
      <c r="N744" s="203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</row>
    <row r="745">
      <c r="A745" s="10"/>
      <c r="B745" s="10"/>
      <c r="C745" s="10"/>
      <c r="D745" s="10"/>
      <c r="E745" s="10"/>
      <c r="F745" s="10"/>
      <c r="G745" s="10"/>
      <c r="H745" s="199"/>
      <c r="I745" s="200"/>
      <c r="J745" s="201"/>
      <c r="K745" s="179"/>
      <c r="L745" s="10"/>
      <c r="M745" s="202"/>
      <c r="N745" s="203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</row>
    <row r="746">
      <c r="A746" s="10"/>
      <c r="B746" s="10"/>
      <c r="C746" s="10"/>
      <c r="D746" s="10"/>
      <c r="E746" s="10"/>
      <c r="F746" s="10"/>
      <c r="G746" s="10"/>
      <c r="H746" s="199"/>
      <c r="I746" s="200"/>
      <c r="J746" s="201"/>
      <c r="K746" s="179"/>
      <c r="L746" s="10"/>
      <c r="M746" s="202"/>
      <c r="N746" s="203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</row>
    <row r="747">
      <c r="A747" s="10"/>
      <c r="B747" s="10"/>
      <c r="C747" s="10"/>
      <c r="D747" s="10"/>
      <c r="E747" s="10"/>
      <c r="F747" s="10"/>
      <c r="G747" s="10"/>
      <c r="H747" s="199"/>
      <c r="I747" s="200"/>
      <c r="J747" s="201"/>
      <c r="K747" s="179"/>
      <c r="L747" s="10"/>
      <c r="M747" s="202"/>
      <c r="N747" s="203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</row>
    <row r="748">
      <c r="A748" s="10"/>
      <c r="B748" s="10"/>
      <c r="C748" s="10"/>
      <c r="D748" s="10"/>
      <c r="E748" s="10"/>
      <c r="F748" s="10"/>
      <c r="G748" s="10"/>
      <c r="H748" s="199"/>
      <c r="I748" s="200"/>
      <c r="J748" s="201"/>
      <c r="K748" s="179"/>
      <c r="L748" s="10"/>
      <c r="M748" s="202"/>
      <c r="N748" s="203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</row>
    <row r="749">
      <c r="A749" s="10"/>
      <c r="B749" s="10"/>
      <c r="C749" s="10"/>
      <c r="D749" s="10"/>
      <c r="E749" s="10"/>
      <c r="F749" s="10"/>
      <c r="G749" s="10"/>
      <c r="H749" s="199"/>
      <c r="I749" s="200"/>
      <c r="J749" s="201"/>
      <c r="K749" s="179"/>
      <c r="L749" s="10"/>
      <c r="M749" s="202"/>
      <c r="N749" s="203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</row>
    <row r="750">
      <c r="A750" s="10"/>
      <c r="B750" s="10"/>
      <c r="C750" s="10"/>
      <c r="D750" s="10"/>
      <c r="E750" s="10"/>
      <c r="F750" s="10"/>
      <c r="G750" s="10"/>
      <c r="H750" s="199"/>
      <c r="I750" s="200"/>
      <c r="J750" s="201"/>
      <c r="K750" s="179"/>
      <c r="L750" s="10"/>
      <c r="M750" s="202"/>
      <c r="N750" s="203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</row>
    <row r="751">
      <c r="A751" s="10"/>
      <c r="B751" s="10"/>
      <c r="C751" s="10"/>
      <c r="D751" s="10"/>
      <c r="E751" s="10"/>
      <c r="F751" s="10"/>
      <c r="G751" s="10"/>
      <c r="H751" s="199"/>
      <c r="I751" s="200"/>
      <c r="J751" s="201"/>
      <c r="K751" s="179"/>
      <c r="L751" s="10"/>
      <c r="M751" s="202"/>
      <c r="N751" s="203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</row>
    <row r="752">
      <c r="A752" s="10"/>
      <c r="B752" s="10"/>
      <c r="C752" s="10"/>
      <c r="D752" s="10"/>
      <c r="E752" s="10"/>
      <c r="F752" s="10"/>
      <c r="G752" s="10"/>
      <c r="H752" s="199"/>
      <c r="I752" s="200"/>
      <c r="J752" s="201"/>
      <c r="K752" s="179"/>
      <c r="L752" s="10"/>
      <c r="M752" s="202"/>
      <c r="N752" s="203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</row>
    <row r="753">
      <c r="A753" s="10"/>
      <c r="B753" s="10"/>
      <c r="C753" s="10"/>
      <c r="D753" s="10"/>
      <c r="E753" s="10"/>
      <c r="F753" s="10"/>
      <c r="G753" s="10"/>
      <c r="H753" s="199"/>
      <c r="I753" s="200"/>
      <c r="J753" s="201"/>
      <c r="K753" s="179"/>
      <c r="L753" s="10"/>
      <c r="M753" s="202"/>
      <c r="N753" s="203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</row>
    <row r="754">
      <c r="A754" s="10"/>
      <c r="B754" s="10"/>
      <c r="C754" s="10"/>
      <c r="D754" s="10"/>
      <c r="E754" s="10"/>
      <c r="F754" s="10"/>
      <c r="G754" s="10"/>
      <c r="H754" s="199"/>
      <c r="I754" s="200"/>
      <c r="J754" s="201"/>
      <c r="K754" s="179"/>
      <c r="L754" s="10"/>
      <c r="M754" s="202"/>
      <c r="N754" s="203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</row>
    <row r="755">
      <c r="A755" s="10"/>
      <c r="B755" s="10"/>
      <c r="C755" s="10"/>
      <c r="D755" s="10"/>
      <c r="E755" s="10"/>
      <c r="F755" s="10"/>
      <c r="G755" s="10"/>
      <c r="H755" s="199"/>
      <c r="I755" s="200"/>
      <c r="J755" s="201"/>
      <c r="K755" s="179"/>
      <c r="L755" s="10"/>
      <c r="M755" s="202"/>
      <c r="N755" s="203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</row>
    <row r="756">
      <c r="A756" s="10"/>
      <c r="B756" s="10"/>
      <c r="C756" s="10"/>
      <c r="D756" s="10"/>
      <c r="E756" s="10"/>
      <c r="F756" s="10"/>
      <c r="G756" s="10"/>
      <c r="H756" s="199"/>
      <c r="I756" s="200"/>
      <c r="J756" s="201"/>
      <c r="K756" s="179"/>
      <c r="L756" s="10"/>
      <c r="M756" s="202"/>
      <c r="N756" s="203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</row>
    <row r="757">
      <c r="A757" s="10"/>
      <c r="B757" s="10"/>
      <c r="C757" s="10"/>
      <c r="D757" s="10"/>
      <c r="E757" s="10"/>
      <c r="F757" s="10"/>
      <c r="G757" s="10"/>
      <c r="H757" s="199"/>
      <c r="I757" s="200"/>
      <c r="J757" s="201"/>
      <c r="K757" s="179"/>
      <c r="L757" s="10"/>
      <c r="M757" s="202"/>
      <c r="N757" s="203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</row>
    <row r="758">
      <c r="A758" s="10"/>
      <c r="B758" s="10"/>
      <c r="C758" s="10"/>
      <c r="D758" s="10"/>
      <c r="E758" s="10"/>
      <c r="F758" s="10"/>
      <c r="G758" s="10"/>
      <c r="H758" s="199"/>
      <c r="I758" s="200"/>
      <c r="J758" s="201"/>
      <c r="K758" s="179"/>
      <c r="L758" s="10"/>
      <c r="M758" s="202"/>
      <c r="N758" s="203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</row>
    <row r="759">
      <c r="A759" s="10"/>
      <c r="B759" s="10"/>
      <c r="C759" s="10"/>
      <c r="D759" s="10"/>
      <c r="E759" s="10"/>
      <c r="F759" s="10"/>
      <c r="G759" s="10"/>
      <c r="H759" s="199"/>
      <c r="I759" s="200"/>
      <c r="J759" s="201"/>
      <c r="K759" s="179"/>
      <c r="L759" s="10"/>
      <c r="M759" s="202"/>
      <c r="N759" s="203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</row>
    <row r="760">
      <c r="A760" s="10"/>
      <c r="B760" s="10"/>
      <c r="C760" s="10"/>
      <c r="D760" s="10"/>
      <c r="E760" s="10"/>
      <c r="F760" s="10"/>
      <c r="G760" s="10"/>
      <c r="H760" s="199"/>
      <c r="I760" s="200"/>
      <c r="J760" s="201"/>
      <c r="K760" s="179"/>
      <c r="L760" s="10"/>
      <c r="M760" s="202"/>
      <c r="N760" s="203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</row>
    <row r="761">
      <c r="A761" s="10"/>
      <c r="B761" s="10"/>
      <c r="C761" s="10"/>
      <c r="D761" s="10"/>
      <c r="E761" s="10"/>
      <c r="F761" s="10"/>
      <c r="G761" s="10"/>
      <c r="H761" s="199"/>
      <c r="I761" s="200"/>
      <c r="J761" s="201"/>
      <c r="K761" s="179"/>
      <c r="L761" s="10"/>
      <c r="M761" s="202"/>
      <c r="N761" s="203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</row>
    <row r="762">
      <c r="A762" s="10"/>
      <c r="B762" s="10"/>
      <c r="C762" s="10"/>
      <c r="D762" s="10"/>
      <c r="E762" s="10"/>
      <c r="F762" s="10"/>
      <c r="G762" s="10"/>
      <c r="H762" s="199"/>
      <c r="I762" s="200"/>
      <c r="J762" s="201"/>
      <c r="K762" s="179"/>
      <c r="L762" s="10"/>
      <c r="M762" s="202"/>
      <c r="N762" s="203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</row>
    <row r="763">
      <c r="A763" s="10"/>
      <c r="B763" s="10"/>
      <c r="C763" s="10"/>
      <c r="D763" s="10"/>
      <c r="E763" s="10"/>
      <c r="F763" s="10"/>
      <c r="G763" s="10"/>
      <c r="H763" s="199"/>
      <c r="I763" s="200"/>
      <c r="J763" s="201"/>
      <c r="K763" s="179"/>
      <c r="L763" s="10"/>
      <c r="M763" s="202"/>
      <c r="N763" s="203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</row>
    <row r="764">
      <c r="A764" s="10"/>
      <c r="B764" s="10"/>
      <c r="C764" s="10"/>
      <c r="D764" s="10"/>
      <c r="E764" s="10"/>
      <c r="F764" s="10"/>
      <c r="G764" s="10"/>
      <c r="H764" s="199"/>
      <c r="I764" s="200"/>
      <c r="J764" s="201"/>
      <c r="K764" s="179"/>
      <c r="L764" s="10"/>
      <c r="M764" s="202"/>
      <c r="N764" s="203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</row>
    <row r="765">
      <c r="A765" s="10"/>
      <c r="B765" s="10"/>
      <c r="C765" s="10"/>
      <c r="D765" s="10"/>
      <c r="E765" s="10"/>
      <c r="F765" s="10"/>
      <c r="G765" s="10"/>
      <c r="H765" s="199"/>
      <c r="I765" s="200"/>
      <c r="J765" s="201"/>
      <c r="K765" s="179"/>
      <c r="L765" s="10"/>
      <c r="M765" s="202"/>
      <c r="N765" s="203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</row>
    <row r="766">
      <c r="A766" s="10"/>
      <c r="B766" s="10"/>
      <c r="C766" s="10"/>
      <c r="D766" s="10"/>
      <c r="E766" s="10"/>
      <c r="F766" s="10"/>
      <c r="G766" s="10"/>
      <c r="H766" s="199"/>
      <c r="I766" s="200"/>
      <c r="J766" s="201"/>
      <c r="K766" s="179"/>
      <c r="L766" s="10"/>
      <c r="M766" s="202"/>
      <c r="N766" s="203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</row>
    <row r="767">
      <c r="A767" s="10"/>
      <c r="B767" s="10"/>
      <c r="C767" s="10"/>
      <c r="D767" s="10"/>
      <c r="E767" s="10"/>
      <c r="F767" s="10"/>
      <c r="G767" s="10"/>
      <c r="H767" s="199"/>
      <c r="I767" s="200"/>
      <c r="J767" s="201"/>
      <c r="K767" s="179"/>
      <c r="L767" s="10"/>
      <c r="M767" s="202"/>
      <c r="N767" s="203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</row>
    <row r="768">
      <c r="A768" s="10"/>
      <c r="B768" s="10"/>
      <c r="C768" s="10"/>
      <c r="D768" s="10"/>
      <c r="E768" s="10"/>
      <c r="F768" s="10"/>
      <c r="G768" s="10"/>
      <c r="H768" s="199"/>
      <c r="I768" s="200"/>
      <c r="J768" s="201"/>
      <c r="K768" s="179"/>
      <c r="L768" s="10"/>
      <c r="M768" s="202"/>
      <c r="N768" s="203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</row>
    <row r="769">
      <c r="A769" s="10"/>
      <c r="B769" s="10"/>
      <c r="C769" s="10"/>
      <c r="D769" s="10"/>
      <c r="E769" s="10"/>
      <c r="F769" s="10"/>
      <c r="G769" s="10"/>
      <c r="H769" s="199"/>
      <c r="I769" s="200"/>
      <c r="J769" s="201"/>
      <c r="K769" s="179"/>
      <c r="L769" s="10"/>
      <c r="M769" s="202"/>
      <c r="N769" s="203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</row>
    <row r="770">
      <c r="A770" s="10"/>
      <c r="B770" s="10"/>
      <c r="C770" s="10"/>
      <c r="D770" s="10"/>
      <c r="E770" s="10"/>
      <c r="F770" s="10"/>
      <c r="G770" s="10"/>
      <c r="H770" s="199"/>
      <c r="I770" s="200"/>
      <c r="J770" s="201"/>
      <c r="K770" s="179"/>
      <c r="L770" s="10"/>
      <c r="M770" s="202"/>
      <c r="N770" s="203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</row>
    <row r="771">
      <c r="A771" s="10"/>
      <c r="B771" s="10"/>
      <c r="C771" s="10"/>
      <c r="D771" s="10"/>
      <c r="E771" s="10"/>
      <c r="F771" s="10"/>
      <c r="G771" s="10"/>
      <c r="H771" s="199"/>
      <c r="I771" s="200"/>
      <c r="J771" s="201"/>
      <c r="K771" s="179"/>
      <c r="L771" s="10"/>
      <c r="M771" s="202"/>
      <c r="N771" s="203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</row>
    <row r="772">
      <c r="A772" s="10"/>
      <c r="B772" s="10"/>
      <c r="C772" s="10"/>
      <c r="D772" s="10"/>
      <c r="E772" s="10"/>
      <c r="F772" s="10"/>
      <c r="G772" s="10"/>
      <c r="H772" s="199"/>
      <c r="I772" s="200"/>
      <c r="J772" s="201"/>
      <c r="K772" s="179"/>
      <c r="L772" s="10"/>
      <c r="M772" s="202"/>
      <c r="N772" s="203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</row>
    <row r="773">
      <c r="A773" s="10"/>
      <c r="B773" s="10"/>
      <c r="C773" s="10"/>
      <c r="D773" s="10"/>
      <c r="E773" s="10"/>
      <c r="F773" s="10"/>
      <c r="G773" s="10"/>
      <c r="H773" s="199"/>
      <c r="I773" s="200"/>
      <c r="J773" s="201"/>
      <c r="K773" s="179"/>
      <c r="L773" s="10"/>
      <c r="M773" s="202"/>
      <c r="N773" s="203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</row>
    <row r="774">
      <c r="A774" s="10"/>
      <c r="B774" s="10"/>
      <c r="C774" s="10"/>
      <c r="D774" s="10"/>
      <c r="E774" s="10"/>
      <c r="F774" s="10"/>
      <c r="G774" s="10"/>
      <c r="H774" s="199"/>
      <c r="I774" s="200"/>
      <c r="J774" s="201"/>
      <c r="K774" s="179"/>
      <c r="L774" s="10"/>
      <c r="M774" s="202"/>
      <c r="N774" s="203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</row>
    <row r="775">
      <c r="A775" s="10"/>
      <c r="B775" s="10"/>
      <c r="C775" s="10"/>
      <c r="D775" s="10"/>
      <c r="E775" s="10"/>
      <c r="F775" s="10"/>
      <c r="G775" s="10"/>
      <c r="H775" s="199"/>
      <c r="I775" s="200"/>
      <c r="J775" s="201"/>
      <c r="K775" s="179"/>
      <c r="L775" s="10"/>
      <c r="M775" s="202"/>
      <c r="N775" s="203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</row>
    <row r="776">
      <c r="A776" s="10"/>
      <c r="B776" s="10"/>
      <c r="C776" s="10"/>
      <c r="D776" s="10"/>
      <c r="E776" s="10"/>
      <c r="F776" s="10"/>
      <c r="G776" s="10"/>
      <c r="H776" s="199"/>
      <c r="I776" s="200"/>
      <c r="J776" s="201"/>
      <c r="K776" s="179"/>
      <c r="L776" s="10"/>
      <c r="M776" s="202"/>
      <c r="N776" s="203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</row>
    <row r="777">
      <c r="A777" s="10"/>
      <c r="B777" s="10"/>
      <c r="C777" s="10"/>
      <c r="D777" s="10"/>
      <c r="E777" s="10"/>
      <c r="F777" s="10"/>
      <c r="G777" s="10"/>
      <c r="H777" s="199"/>
      <c r="I777" s="200"/>
      <c r="J777" s="201"/>
      <c r="K777" s="179"/>
      <c r="L777" s="10"/>
      <c r="M777" s="202"/>
      <c r="N777" s="203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</row>
    <row r="778">
      <c r="A778" s="10"/>
      <c r="B778" s="10"/>
      <c r="C778" s="10"/>
      <c r="D778" s="10"/>
      <c r="E778" s="10"/>
      <c r="F778" s="10"/>
      <c r="G778" s="10"/>
      <c r="H778" s="199"/>
      <c r="I778" s="200"/>
      <c r="J778" s="201"/>
      <c r="K778" s="179"/>
      <c r="L778" s="10"/>
      <c r="M778" s="202"/>
      <c r="N778" s="203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</row>
    <row r="779">
      <c r="A779" s="10"/>
      <c r="B779" s="10"/>
      <c r="C779" s="10"/>
      <c r="D779" s="10"/>
      <c r="E779" s="10"/>
      <c r="F779" s="10"/>
      <c r="G779" s="10"/>
      <c r="H779" s="199"/>
      <c r="I779" s="200"/>
      <c r="J779" s="201"/>
      <c r="K779" s="179"/>
      <c r="L779" s="10"/>
      <c r="M779" s="202"/>
      <c r="N779" s="203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</row>
    <row r="780">
      <c r="A780" s="10"/>
      <c r="B780" s="10"/>
      <c r="C780" s="10"/>
      <c r="D780" s="10"/>
      <c r="E780" s="10"/>
      <c r="F780" s="10"/>
      <c r="G780" s="10"/>
      <c r="H780" s="199"/>
      <c r="I780" s="200"/>
      <c r="J780" s="201"/>
      <c r="K780" s="179"/>
      <c r="L780" s="10"/>
      <c r="M780" s="202"/>
      <c r="N780" s="203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</row>
    <row r="781">
      <c r="A781" s="10"/>
      <c r="B781" s="10"/>
      <c r="C781" s="10"/>
      <c r="D781" s="10"/>
      <c r="E781" s="10"/>
      <c r="F781" s="10"/>
      <c r="G781" s="10"/>
      <c r="H781" s="199"/>
      <c r="I781" s="200"/>
      <c r="J781" s="201"/>
      <c r="K781" s="179"/>
      <c r="L781" s="10"/>
      <c r="M781" s="202"/>
      <c r="N781" s="203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</row>
    <row r="782">
      <c r="A782" s="10"/>
      <c r="B782" s="10"/>
      <c r="C782" s="10"/>
      <c r="D782" s="10"/>
      <c r="E782" s="10"/>
      <c r="F782" s="10"/>
      <c r="G782" s="10"/>
      <c r="H782" s="199"/>
      <c r="I782" s="200"/>
      <c r="J782" s="201"/>
      <c r="K782" s="179"/>
      <c r="L782" s="10"/>
      <c r="M782" s="202"/>
      <c r="N782" s="203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</row>
    <row r="783">
      <c r="A783" s="10"/>
      <c r="B783" s="10"/>
      <c r="C783" s="10"/>
      <c r="D783" s="10"/>
      <c r="E783" s="10"/>
      <c r="F783" s="10"/>
      <c r="G783" s="10"/>
      <c r="H783" s="199"/>
      <c r="I783" s="200"/>
      <c r="J783" s="201"/>
      <c r="K783" s="179"/>
      <c r="L783" s="10"/>
      <c r="M783" s="202"/>
      <c r="N783" s="203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</row>
    <row r="784">
      <c r="A784" s="10"/>
      <c r="B784" s="10"/>
      <c r="C784" s="10"/>
      <c r="D784" s="10"/>
      <c r="E784" s="10"/>
      <c r="F784" s="10"/>
      <c r="G784" s="10"/>
      <c r="H784" s="199"/>
      <c r="I784" s="200"/>
      <c r="J784" s="201"/>
      <c r="K784" s="179"/>
      <c r="L784" s="10"/>
      <c r="M784" s="202"/>
      <c r="N784" s="203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</row>
    <row r="785">
      <c r="A785" s="10"/>
      <c r="B785" s="10"/>
      <c r="C785" s="10"/>
      <c r="D785" s="10"/>
      <c r="E785" s="10"/>
      <c r="F785" s="10"/>
      <c r="G785" s="10"/>
      <c r="H785" s="199"/>
      <c r="I785" s="200"/>
      <c r="J785" s="201"/>
      <c r="K785" s="179"/>
      <c r="L785" s="10"/>
      <c r="M785" s="202"/>
      <c r="N785" s="203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</row>
    <row r="786">
      <c r="A786" s="10"/>
      <c r="B786" s="10"/>
      <c r="C786" s="10"/>
      <c r="D786" s="10"/>
      <c r="E786" s="10"/>
      <c r="F786" s="10"/>
      <c r="G786" s="10"/>
      <c r="H786" s="199"/>
      <c r="I786" s="200"/>
      <c r="J786" s="201"/>
      <c r="K786" s="179"/>
      <c r="L786" s="10"/>
      <c r="M786" s="202"/>
      <c r="N786" s="203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</row>
    <row r="787">
      <c r="A787" s="10"/>
      <c r="B787" s="10"/>
      <c r="C787" s="10"/>
      <c r="D787" s="10"/>
      <c r="E787" s="10"/>
      <c r="F787" s="10"/>
      <c r="G787" s="10"/>
      <c r="H787" s="199"/>
      <c r="I787" s="200"/>
      <c r="J787" s="201"/>
      <c r="K787" s="179"/>
      <c r="L787" s="10"/>
      <c r="M787" s="202"/>
      <c r="N787" s="203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</row>
    <row r="788">
      <c r="A788" s="10"/>
      <c r="B788" s="10"/>
      <c r="C788" s="10"/>
      <c r="D788" s="10"/>
      <c r="E788" s="10"/>
      <c r="F788" s="10"/>
      <c r="G788" s="10"/>
      <c r="H788" s="199"/>
      <c r="I788" s="200"/>
      <c r="J788" s="201"/>
      <c r="K788" s="179"/>
      <c r="L788" s="10"/>
      <c r="M788" s="202"/>
      <c r="N788" s="203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</row>
    <row r="789">
      <c r="A789" s="10"/>
      <c r="B789" s="10"/>
      <c r="C789" s="10"/>
      <c r="D789" s="10"/>
      <c r="E789" s="10"/>
      <c r="F789" s="10"/>
      <c r="G789" s="10"/>
      <c r="H789" s="199"/>
      <c r="I789" s="200"/>
      <c r="J789" s="201"/>
      <c r="K789" s="179"/>
      <c r="L789" s="10"/>
      <c r="M789" s="202"/>
      <c r="N789" s="203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</row>
    <row r="790">
      <c r="A790" s="10"/>
      <c r="B790" s="10"/>
      <c r="C790" s="10"/>
      <c r="D790" s="10"/>
      <c r="E790" s="10"/>
      <c r="F790" s="10"/>
      <c r="G790" s="10"/>
      <c r="H790" s="199"/>
      <c r="I790" s="200"/>
      <c r="J790" s="201"/>
      <c r="K790" s="179"/>
      <c r="L790" s="10"/>
      <c r="M790" s="202"/>
      <c r="N790" s="203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</row>
    <row r="791">
      <c r="A791" s="10"/>
      <c r="B791" s="10"/>
      <c r="C791" s="10"/>
      <c r="D791" s="10"/>
      <c r="E791" s="10"/>
      <c r="F791" s="10"/>
      <c r="G791" s="10"/>
      <c r="H791" s="199"/>
      <c r="I791" s="200"/>
      <c r="J791" s="201"/>
      <c r="K791" s="179"/>
      <c r="L791" s="10"/>
      <c r="M791" s="202"/>
      <c r="N791" s="203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</row>
    <row r="792">
      <c r="A792" s="10"/>
      <c r="B792" s="10"/>
      <c r="C792" s="10"/>
      <c r="D792" s="10"/>
      <c r="E792" s="10"/>
      <c r="F792" s="10"/>
      <c r="G792" s="10"/>
      <c r="H792" s="199"/>
      <c r="I792" s="200"/>
      <c r="J792" s="201"/>
      <c r="K792" s="179"/>
      <c r="L792" s="10"/>
      <c r="M792" s="202"/>
      <c r="N792" s="203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</row>
    <row r="793">
      <c r="A793" s="10"/>
      <c r="B793" s="10"/>
      <c r="C793" s="10"/>
      <c r="D793" s="10"/>
      <c r="E793" s="10"/>
      <c r="F793" s="10"/>
      <c r="G793" s="10"/>
      <c r="H793" s="199"/>
      <c r="I793" s="200"/>
      <c r="J793" s="201"/>
      <c r="K793" s="179"/>
      <c r="L793" s="10"/>
      <c r="M793" s="202"/>
      <c r="N793" s="203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</row>
    <row r="794">
      <c r="A794" s="10"/>
      <c r="B794" s="10"/>
      <c r="C794" s="10"/>
      <c r="D794" s="10"/>
      <c r="E794" s="10"/>
      <c r="F794" s="10"/>
      <c r="G794" s="10"/>
      <c r="H794" s="199"/>
      <c r="I794" s="200"/>
      <c r="J794" s="201"/>
      <c r="K794" s="179"/>
      <c r="L794" s="10"/>
      <c r="M794" s="202"/>
      <c r="N794" s="203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</row>
    <row r="795">
      <c r="A795" s="10"/>
      <c r="B795" s="10"/>
      <c r="C795" s="10"/>
      <c r="D795" s="10"/>
      <c r="E795" s="10"/>
      <c r="F795" s="10"/>
      <c r="G795" s="10"/>
      <c r="H795" s="199"/>
      <c r="I795" s="200"/>
      <c r="J795" s="201"/>
      <c r="K795" s="179"/>
      <c r="L795" s="10"/>
      <c r="M795" s="202"/>
      <c r="N795" s="203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</row>
    <row r="796">
      <c r="A796" s="10"/>
      <c r="B796" s="10"/>
      <c r="C796" s="10"/>
      <c r="D796" s="10"/>
      <c r="E796" s="10"/>
      <c r="F796" s="10"/>
      <c r="G796" s="10"/>
      <c r="H796" s="199"/>
      <c r="I796" s="200"/>
      <c r="J796" s="201"/>
      <c r="K796" s="179"/>
      <c r="L796" s="10"/>
      <c r="M796" s="202"/>
      <c r="N796" s="203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</row>
    <row r="797">
      <c r="A797" s="10"/>
      <c r="B797" s="10"/>
      <c r="C797" s="10"/>
      <c r="D797" s="10"/>
      <c r="E797" s="10"/>
      <c r="F797" s="10"/>
      <c r="G797" s="10"/>
      <c r="H797" s="199"/>
      <c r="I797" s="200"/>
      <c r="J797" s="201"/>
      <c r="K797" s="179"/>
      <c r="L797" s="10"/>
      <c r="M797" s="202"/>
      <c r="N797" s="203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</row>
    <row r="798">
      <c r="A798" s="10"/>
      <c r="B798" s="10"/>
      <c r="C798" s="10"/>
      <c r="D798" s="10"/>
      <c r="E798" s="10"/>
      <c r="F798" s="10"/>
      <c r="G798" s="10"/>
      <c r="H798" s="199"/>
      <c r="I798" s="200"/>
      <c r="J798" s="201"/>
      <c r="K798" s="179"/>
      <c r="L798" s="10"/>
      <c r="M798" s="202"/>
      <c r="N798" s="203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</row>
    <row r="799">
      <c r="A799" s="10"/>
      <c r="B799" s="10"/>
      <c r="C799" s="10"/>
      <c r="D799" s="10"/>
      <c r="E799" s="10"/>
      <c r="F799" s="10"/>
      <c r="G799" s="10"/>
      <c r="H799" s="199"/>
      <c r="I799" s="200"/>
      <c r="J799" s="201"/>
      <c r="K799" s="179"/>
      <c r="L799" s="10"/>
      <c r="M799" s="202"/>
      <c r="N799" s="203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</row>
    <row r="800">
      <c r="A800" s="10"/>
      <c r="B800" s="10"/>
      <c r="C800" s="10"/>
      <c r="D800" s="10"/>
      <c r="E800" s="10"/>
      <c r="F800" s="10"/>
      <c r="G800" s="10"/>
      <c r="H800" s="199"/>
      <c r="I800" s="200"/>
      <c r="J800" s="201"/>
      <c r="K800" s="179"/>
      <c r="L800" s="10"/>
      <c r="M800" s="202"/>
      <c r="N800" s="203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</row>
    <row r="801">
      <c r="A801" s="10"/>
      <c r="B801" s="10"/>
      <c r="C801" s="10"/>
      <c r="D801" s="10"/>
      <c r="E801" s="10"/>
      <c r="F801" s="10"/>
      <c r="G801" s="10"/>
      <c r="H801" s="199"/>
      <c r="I801" s="200"/>
      <c r="J801" s="201"/>
      <c r="K801" s="179"/>
      <c r="L801" s="10"/>
      <c r="M801" s="202"/>
      <c r="N801" s="203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</row>
    <row r="802">
      <c r="A802" s="10"/>
      <c r="B802" s="10"/>
      <c r="C802" s="10"/>
      <c r="D802" s="10"/>
      <c r="E802" s="10"/>
      <c r="F802" s="10"/>
      <c r="G802" s="10"/>
      <c r="H802" s="199"/>
      <c r="I802" s="200"/>
      <c r="J802" s="201"/>
      <c r="K802" s="179"/>
      <c r="L802" s="10"/>
      <c r="M802" s="202"/>
      <c r="N802" s="203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</row>
    <row r="803">
      <c r="A803" s="10"/>
      <c r="B803" s="10"/>
      <c r="C803" s="10"/>
      <c r="D803" s="10"/>
      <c r="E803" s="10"/>
      <c r="F803" s="10"/>
      <c r="G803" s="10"/>
      <c r="H803" s="199"/>
      <c r="I803" s="200"/>
      <c r="J803" s="201"/>
      <c r="K803" s="179"/>
      <c r="L803" s="10"/>
      <c r="M803" s="202"/>
      <c r="N803" s="203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</row>
    <row r="804">
      <c r="A804" s="10"/>
      <c r="B804" s="10"/>
      <c r="C804" s="10"/>
      <c r="D804" s="10"/>
      <c r="E804" s="10"/>
      <c r="F804" s="10"/>
      <c r="G804" s="10"/>
      <c r="H804" s="199"/>
      <c r="I804" s="200"/>
      <c r="J804" s="201"/>
      <c r="K804" s="179"/>
      <c r="L804" s="10"/>
      <c r="M804" s="202"/>
      <c r="N804" s="203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</row>
    <row r="805">
      <c r="A805" s="10"/>
      <c r="B805" s="10"/>
      <c r="C805" s="10"/>
      <c r="D805" s="10"/>
      <c r="E805" s="10"/>
      <c r="F805" s="10"/>
      <c r="G805" s="10"/>
      <c r="H805" s="199"/>
      <c r="I805" s="200"/>
      <c r="J805" s="201"/>
      <c r="K805" s="179"/>
      <c r="L805" s="10"/>
      <c r="M805" s="202"/>
      <c r="N805" s="203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</row>
    <row r="806">
      <c r="A806" s="10"/>
      <c r="B806" s="10"/>
      <c r="C806" s="10"/>
      <c r="D806" s="10"/>
      <c r="E806" s="10"/>
      <c r="F806" s="10"/>
      <c r="G806" s="10"/>
      <c r="H806" s="199"/>
      <c r="I806" s="200"/>
      <c r="J806" s="201"/>
      <c r="K806" s="179"/>
      <c r="L806" s="10"/>
      <c r="M806" s="202"/>
      <c r="N806" s="203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</row>
    <row r="807">
      <c r="A807" s="10"/>
      <c r="B807" s="10"/>
      <c r="C807" s="10"/>
      <c r="D807" s="10"/>
      <c r="E807" s="10"/>
      <c r="F807" s="10"/>
      <c r="G807" s="10"/>
      <c r="H807" s="199"/>
      <c r="I807" s="200"/>
      <c r="J807" s="201"/>
      <c r="K807" s="179"/>
      <c r="L807" s="10"/>
      <c r="M807" s="202"/>
      <c r="N807" s="203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</row>
    <row r="808">
      <c r="A808" s="10"/>
      <c r="B808" s="10"/>
      <c r="C808" s="10"/>
      <c r="D808" s="10"/>
      <c r="E808" s="10"/>
      <c r="F808" s="10"/>
      <c r="G808" s="10"/>
      <c r="H808" s="199"/>
      <c r="I808" s="200"/>
      <c r="J808" s="201"/>
      <c r="K808" s="179"/>
      <c r="L808" s="10"/>
      <c r="M808" s="202"/>
      <c r="N808" s="203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</row>
    <row r="809">
      <c r="A809" s="10"/>
      <c r="B809" s="10"/>
      <c r="C809" s="10"/>
      <c r="D809" s="10"/>
      <c r="E809" s="10"/>
      <c r="F809" s="10"/>
      <c r="G809" s="10"/>
      <c r="H809" s="199"/>
      <c r="I809" s="200"/>
      <c r="J809" s="201"/>
      <c r="K809" s="179"/>
      <c r="L809" s="10"/>
      <c r="M809" s="202"/>
      <c r="N809" s="203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</row>
    <row r="810">
      <c r="A810" s="10"/>
      <c r="B810" s="10"/>
      <c r="C810" s="10"/>
      <c r="D810" s="10"/>
      <c r="E810" s="10"/>
      <c r="F810" s="10"/>
      <c r="G810" s="10"/>
      <c r="H810" s="199"/>
      <c r="I810" s="200"/>
      <c r="J810" s="201"/>
      <c r="K810" s="179"/>
      <c r="L810" s="10"/>
      <c r="M810" s="202"/>
      <c r="N810" s="203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</row>
    <row r="811">
      <c r="A811" s="10"/>
      <c r="B811" s="10"/>
      <c r="C811" s="10"/>
      <c r="D811" s="10"/>
      <c r="E811" s="10"/>
      <c r="F811" s="10"/>
      <c r="G811" s="10"/>
      <c r="H811" s="199"/>
      <c r="I811" s="200"/>
      <c r="J811" s="201"/>
      <c r="K811" s="179"/>
      <c r="L811" s="10"/>
      <c r="M811" s="202"/>
      <c r="N811" s="203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</row>
    <row r="812">
      <c r="A812" s="10"/>
      <c r="B812" s="10"/>
      <c r="C812" s="10"/>
      <c r="D812" s="10"/>
      <c r="E812" s="10"/>
      <c r="F812" s="10"/>
      <c r="G812" s="10"/>
      <c r="H812" s="199"/>
      <c r="I812" s="200"/>
      <c r="J812" s="201"/>
      <c r="K812" s="179"/>
      <c r="L812" s="10"/>
      <c r="M812" s="202"/>
      <c r="N812" s="203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</row>
    <row r="813">
      <c r="A813" s="10"/>
      <c r="B813" s="10"/>
      <c r="C813" s="10"/>
      <c r="D813" s="10"/>
      <c r="E813" s="10"/>
      <c r="F813" s="10"/>
      <c r="G813" s="10"/>
      <c r="H813" s="199"/>
      <c r="I813" s="200"/>
      <c r="J813" s="201"/>
      <c r="K813" s="179"/>
      <c r="L813" s="10"/>
      <c r="M813" s="202"/>
      <c r="N813" s="203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</row>
    <row r="814">
      <c r="A814" s="10"/>
      <c r="B814" s="10"/>
      <c r="C814" s="10"/>
      <c r="D814" s="10"/>
      <c r="E814" s="10"/>
      <c r="F814" s="10"/>
      <c r="G814" s="10"/>
      <c r="H814" s="199"/>
      <c r="I814" s="200"/>
      <c r="J814" s="201"/>
      <c r="K814" s="179"/>
      <c r="L814" s="10"/>
      <c r="M814" s="202"/>
      <c r="N814" s="203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</row>
    <row r="815">
      <c r="A815" s="10"/>
      <c r="B815" s="10"/>
      <c r="C815" s="10"/>
      <c r="D815" s="10"/>
      <c r="E815" s="10"/>
      <c r="F815" s="10"/>
      <c r="G815" s="10"/>
      <c r="H815" s="199"/>
      <c r="I815" s="200"/>
      <c r="J815" s="201"/>
      <c r="K815" s="179"/>
      <c r="L815" s="10"/>
      <c r="M815" s="202"/>
      <c r="N815" s="203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</row>
    <row r="816">
      <c r="A816" s="10"/>
      <c r="B816" s="10"/>
      <c r="C816" s="10"/>
      <c r="D816" s="10"/>
      <c r="E816" s="10"/>
      <c r="F816" s="10"/>
      <c r="G816" s="10"/>
      <c r="H816" s="199"/>
      <c r="I816" s="200"/>
      <c r="J816" s="201"/>
      <c r="K816" s="179"/>
      <c r="L816" s="10"/>
      <c r="M816" s="202"/>
      <c r="N816" s="203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</row>
    <row r="817">
      <c r="A817" s="10"/>
      <c r="B817" s="10"/>
      <c r="C817" s="10"/>
      <c r="D817" s="10"/>
      <c r="E817" s="10"/>
      <c r="F817" s="10"/>
      <c r="G817" s="10"/>
      <c r="H817" s="199"/>
      <c r="I817" s="200"/>
      <c r="J817" s="201"/>
      <c r="K817" s="179"/>
      <c r="L817" s="10"/>
      <c r="M817" s="202"/>
      <c r="N817" s="203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</row>
    <row r="818">
      <c r="A818" s="10"/>
      <c r="B818" s="10"/>
      <c r="C818" s="10"/>
      <c r="D818" s="10"/>
      <c r="E818" s="10"/>
      <c r="F818" s="10"/>
      <c r="G818" s="10"/>
      <c r="H818" s="199"/>
      <c r="I818" s="200"/>
      <c r="J818" s="201"/>
      <c r="K818" s="179"/>
      <c r="L818" s="10"/>
      <c r="M818" s="202"/>
      <c r="N818" s="203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</row>
    <row r="819">
      <c r="A819" s="10"/>
      <c r="B819" s="10"/>
      <c r="C819" s="10"/>
      <c r="D819" s="10"/>
      <c r="E819" s="10"/>
      <c r="F819" s="10"/>
      <c r="G819" s="10"/>
      <c r="H819" s="199"/>
      <c r="I819" s="200"/>
      <c r="J819" s="201"/>
      <c r="K819" s="179"/>
      <c r="L819" s="10"/>
      <c r="M819" s="202"/>
      <c r="N819" s="203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</row>
    <row r="820">
      <c r="A820" s="10"/>
      <c r="B820" s="10"/>
      <c r="C820" s="10"/>
      <c r="D820" s="10"/>
      <c r="E820" s="10"/>
      <c r="F820" s="10"/>
      <c r="G820" s="10"/>
      <c r="H820" s="199"/>
      <c r="I820" s="200"/>
      <c r="J820" s="201"/>
      <c r="K820" s="179"/>
      <c r="L820" s="10"/>
      <c r="M820" s="202"/>
      <c r="N820" s="203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</row>
    <row r="821">
      <c r="A821" s="10"/>
      <c r="B821" s="10"/>
      <c r="C821" s="10"/>
      <c r="D821" s="10"/>
      <c r="E821" s="10"/>
      <c r="F821" s="10"/>
      <c r="G821" s="10"/>
      <c r="H821" s="199"/>
      <c r="I821" s="200"/>
      <c r="J821" s="201"/>
      <c r="K821" s="179"/>
      <c r="L821" s="10"/>
      <c r="M821" s="202"/>
      <c r="N821" s="203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</row>
    <row r="822">
      <c r="A822" s="10"/>
      <c r="B822" s="10"/>
      <c r="C822" s="10"/>
      <c r="D822" s="10"/>
      <c r="E822" s="10"/>
      <c r="F822" s="10"/>
      <c r="G822" s="10"/>
      <c r="H822" s="199"/>
      <c r="I822" s="200"/>
      <c r="J822" s="201"/>
      <c r="K822" s="179"/>
      <c r="L822" s="10"/>
      <c r="M822" s="202"/>
      <c r="N822" s="203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</row>
    <row r="823">
      <c r="A823" s="10"/>
      <c r="B823" s="10"/>
      <c r="C823" s="10"/>
      <c r="D823" s="10"/>
      <c r="E823" s="10"/>
      <c r="F823" s="10"/>
      <c r="G823" s="10"/>
      <c r="H823" s="199"/>
      <c r="I823" s="200"/>
      <c r="J823" s="201"/>
      <c r="K823" s="179"/>
      <c r="L823" s="10"/>
      <c r="M823" s="202"/>
      <c r="N823" s="203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</row>
    <row r="824">
      <c r="A824" s="10"/>
      <c r="B824" s="10"/>
      <c r="C824" s="10"/>
      <c r="D824" s="10"/>
      <c r="E824" s="10"/>
      <c r="F824" s="10"/>
      <c r="G824" s="10"/>
      <c r="H824" s="199"/>
      <c r="I824" s="200"/>
      <c r="J824" s="201"/>
      <c r="K824" s="179"/>
      <c r="L824" s="10"/>
      <c r="M824" s="202"/>
      <c r="N824" s="203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</row>
    <row r="825">
      <c r="A825" s="10"/>
      <c r="B825" s="10"/>
      <c r="C825" s="10"/>
      <c r="D825" s="10"/>
      <c r="E825" s="10"/>
      <c r="F825" s="10"/>
      <c r="G825" s="10"/>
      <c r="H825" s="199"/>
      <c r="I825" s="200"/>
      <c r="J825" s="201"/>
      <c r="K825" s="179"/>
      <c r="L825" s="10"/>
      <c r="M825" s="202"/>
      <c r="N825" s="203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</row>
    <row r="826">
      <c r="A826" s="10"/>
      <c r="B826" s="10"/>
      <c r="C826" s="10"/>
      <c r="D826" s="10"/>
      <c r="E826" s="10"/>
      <c r="F826" s="10"/>
      <c r="G826" s="10"/>
      <c r="H826" s="199"/>
      <c r="I826" s="200"/>
      <c r="J826" s="201"/>
      <c r="K826" s="179"/>
      <c r="L826" s="10"/>
      <c r="M826" s="202"/>
      <c r="N826" s="203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</row>
    <row r="827">
      <c r="A827" s="10"/>
      <c r="B827" s="10"/>
      <c r="C827" s="10"/>
      <c r="D827" s="10"/>
      <c r="E827" s="10"/>
      <c r="F827" s="10"/>
      <c r="G827" s="10"/>
      <c r="H827" s="199"/>
      <c r="I827" s="200"/>
      <c r="J827" s="201"/>
      <c r="K827" s="179"/>
      <c r="L827" s="10"/>
      <c r="M827" s="202"/>
      <c r="N827" s="203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</row>
    <row r="828">
      <c r="A828" s="10"/>
      <c r="B828" s="10"/>
      <c r="C828" s="10"/>
      <c r="D828" s="10"/>
      <c r="E828" s="10"/>
      <c r="F828" s="10"/>
      <c r="G828" s="10"/>
      <c r="H828" s="199"/>
      <c r="I828" s="200"/>
      <c r="J828" s="201"/>
      <c r="K828" s="179"/>
      <c r="L828" s="10"/>
      <c r="M828" s="202"/>
      <c r="N828" s="203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</row>
    <row r="829">
      <c r="A829" s="10"/>
      <c r="B829" s="10"/>
      <c r="C829" s="10"/>
      <c r="D829" s="10"/>
      <c r="E829" s="10"/>
      <c r="F829" s="10"/>
      <c r="G829" s="10"/>
      <c r="H829" s="199"/>
      <c r="I829" s="200"/>
      <c r="J829" s="201"/>
      <c r="K829" s="179"/>
      <c r="L829" s="10"/>
      <c r="M829" s="202"/>
      <c r="N829" s="203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</row>
    <row r="830">
      <c r="A830" s="10"/>
      <c r="B830" s="10"/>
      <c r="C830" s="10"/>
      <c r="D830" s="10"/>
      <c r="E830" s="10"/>
      <c r="F830" s="10"/>
      <c r="G830" s="10"/>
      <c r="H830" s="199"/>
      <c r="I830" s="200"/>
      <c r="J830" s="201"/>
      <c r="K830" s="179"/>
      <c r="L830" s="10"/>
      <c r="M830" s="202"/>
      <c r="N830" s="203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</row>
    <row r="831">
      <c r="A831" s="10"/>
      <c r="B831" s="10"/>
      <c r="C831" s="10"/>
      <c r="D831" s="10"/>
      <c r="E831" s="10"/>
      <c r="F831" s="10"/>
      <c r="G831" s="10"/>
      <c r="H831" s="199"/>
      <c r="I831" s="200"/>
      <c r="J831" s="201"/>
      <c r="K831" s="179"/>
      <c r="L831" s="10"/>
      <c r="M831" s="202"/>
      <c r="N831" s="203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</row>
    <row r="832">
      <c r="A832" s="10"/>
      <c r="B832" s="10"/>
      <c r="C832" s="10"/>
      <c r="D832" s="10"/>
      <c r="E832" s="10"/>
      <c r="F832" s="10"/>
      <c r="G832" s="10"/>
      <c r="H832" s="199"/>
      <c r="I832" s="200"/>
      <c r="J832" s="201"/>
      <c r="K832" s="179"/>
      <c r="L832" s="10"/>
      <c r="M832" s="202"/>
      <c r="N832" s="203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</row>
    <row r="833">
      <c r="A833" s="10"/>
      <c r="B833" s="10"/>
      <c r="C833" s="10"/>
      <c r="D833" s="10"/>
      <c r="E833" s="10"/>
      <c r="F833" s="10"/>
      <c r="G833" s="10"/>
      <c r="H833" s="199"/>
      <c r="I833" s="200"/>
      <c r="J833" s="201"/>
      <c r="K833" s="179"/>
      <c r="L833" s="10"/>
      <c r="M833" s="202"/>
      <c r="N833" s="203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</row>
    <row r="834">
      <c r="A834" s="10"/>
      <c r="B834" s="10"/>
      <c r="C834" s="10"/>
      <c r="D834" s="10"/>
      <c r="E834" s="10"/>
      <c r="F834" s="10"/>
      <c r="G834" s="10"/>
      <c r="H834" s="199"/>
      <c r="I834" s="200"/>
      <c r="J834" s="201"/>
      <c r="K834" s="179"/>
      <c r="L834" s="10"/>
      <c r="M834" s="202"/>
      <c r="N834" s="203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</row>
    <row r="835">
      <c r="A835" s="10"/>
      <c r="B835" s="10"/>
      <c r="C835" s="10"/>
      <c r="D835" s="10"/>
      <c r="E835" s="10"/>
      <c r="F835" s="10"/>
      <c r="G835" s="10"/>
      <c r="H835" s="199"/>
      <c r="I835" s="200"/>
      <c r="J835" s="201"/>
      <c r="K835" s="179"/>
      <c r="L835" s="10"/>
      <c r="M835" s="202"/>
      <c r="N835" s="203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</row>
    <row r="836">
      <c r="A836" s="10"/>
      <c r="B836" s="10"/>
      <c r="C836" s="10"/>
      <c r="D836" s="10"/>
      <c r="E836" s="10"/>
      <c r="F836" s="10"/>
      <c r="G836" s="10"/>
      <c r="H836" s="199"/>
      <c r="I836" s="200"/>
      <c r="J836" s="201"/>
      <c r="K836" s="179"/>
      <c r="L836" s="10"/>
      <c r="M836" s="202"/>
      <c r="N836" s="203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</row>
    <row r="837">
      <c r="A837" s="10"/>
      <c r="B837" s="10"/>
      <c r="C837" s="10"/>
      <c r="D837" s="10"/>
      <c r="E837" s="10"/>
      <c r="F837" s="10"/>
      <c r="G837" s="10"/>
      <c r="H837" s="199"/>
      <c r="I837" s="200"/>
      <c r="J837" s="201"/>
      <c r="K837" s="179"/>
      <c r="L837" s="10"/>
      <c r="M837" s="202"/>
      <c r="N837" s="203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</row>
    <row r="838">
      <c r="A838" s="10"/>
      <c r="B838" s="10"/>
      <c r="C838" s="10"/>
      <c r="D838" s="10"/>
      <c r="E838" s="10"/>
      <c r="F838" s="10"/>
      <c r="G838" s="10"/>
      <c r="H838" s="199"/>
      <c r="I838" s="200"/>
      <c r="J838" s="201"/>
      <c r="K838" s="179"/>
      <c r="L838" s="10"/>
      <c r="M838" s="202"/>
      <c r="N838" s="203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</row>
    <row r="839">
      <c r="A839" s="10"/>
      <c r="B839" s="10"/>
      <c r="C839" s="10"/>
      <c r="D839" s="10"/>
      <c r="E839" s="10"/>
      <c r="F839" s="10"/>
      <c r="G839" s="10"/>
      <c r="H839" s="199"/>
      <c r="I839" s="200"/>
      <c r="J839" s="201"/>
      <c r="K839" s="179"/>
      <c r="L839" s="10"/>
      <c r="M839" s="202"/>
      <c r="N839" s="203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</row>
    <row r="840">
      <c r="A840" s="10"/>
      <c r="B840" s="10"/>
      <c r="C840" s="10"/>
      <c r="D840" s="10"/>
      <c r="E840" s="10"/>
      <c r="F840" s="10"/>
      <c r="G840" s="10"/>
      <c r="H840" s="199"/>
      <c r="I840" s="200"/>
      <c r="J840" s="201"/>
      <c r="K840" s="179"/>
      <c r="L840" s="10"/>
      <c r="M840" s="202"/>
      <c r="N840" s="203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</row>
    <row r="841">
      <c r="A841" s="10"/>
      <c r="B841" s="10"/>
      <c r="C841" s="10"/>
      <c r="D841" s="10"/>
      <c r="E841" s="10"/>
      <c r="F841" s="10"/>
      <c r="G841" s="10"/>
      <c r="H841" s="199"/>
      <c r="I841" s="200"/>
      <c r="J841" s="201"/>
      <c r="K841" s="179"/>
      <c r="L841" s="10"/>
      <c r="M841" s="202"/>
      <c r="N841" s="203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</row>
    <row r="842">
      <c r="A842" s="10"/>
      <c r="B842" s="10"/>
      <c r="C842" s="10"/>
      <c r="D842" s="10"/>
      <c r="E842" s="10"/>
      <c r="F842" s="10"/>
      <c r="G842" s="10"/>
      <c r="H842" s="199"/>
      <c r="I842" s="200"/>
      <c r="J842" s="201"/>
      <c r="K842" s="179"/>
      <c r="L842" s="10"/>
      <c r="M842" s="202"/>
      <c r="N842" s="203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</row>
    <row r="843">
      <c r="A843" s="10"/>
      <c r="B843" s="10"/>
      <c r="C843" s="10"/>
      <c r="D843" s="10"/>
      <c r="E843" s="10"/>
      <c r="F843" s="10"/>
      <c r="G843" s="10"/>
      <c r="H843" s="199"/>
      <c r="I843" s="200"/>
      <c r="J843" s="201"/>
      <c r="K843" s="179"/>
      <c r="L843" s="10"/>
      <c r="M843" s="202"/>
      <c r="N843" s="203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</row>
    <row r="844">
      <c r="A844" s="10"/>
      <c r="B844" s="10"/>
      <c r="C844" s="10"/>
      <c r="D844" s="10"/>
      <c r="E844" s="10"/>
      <c r="F844" s="10"/>
      <c r="G844" s="10"/>
      <c r="H844" s="199"/>
      <c r="I844" s="200"/>
      <c r="J844" s="201"/>
      <c r="K844" s="179"/>
      <c r="L844" s="10"/>
      <c r="M844" s="202"/>
      <c r="N844" s="203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</row>
    <row r="845">
      <c r="A845" s="10"/>
      <c r="B845" s="10"/>
      <c r="C845" s="10"/>
      <c r="D845" s="10"/>
      <c r="E845" s="10"/>
      <c r="F845" s="10"/>
      <c r="G845" s="10"/>
      <c r="H845" s="199"/>
      <c r="I845" s="200"/>
      <c r="J845" s="201"/>
      <c r="K845" s="179"/>
      <c r="L845" s="10"/>
      <c r="M845" s="202"/>
      <c r="N845" s="203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</row>
    <row r="846">
      <c r="A846" s="10"/>
      <c r="B846" s="10"/>
      <c r="C846" s="10"/>
      <c r="D846" s="10"/>
      <c r="E846" s="10"/>
      <c r="F846" s="10"/>
      <c r="G846" s="10"/>
      <c r="H846" s="199"/>
      <c r="I846" s="200"/>
      <c r="J846" s="201"/>
      <c r="K846" s="179"/>
      <c r="L846" s="10"/>
      <c r="M846" s="202"/>
      <c r="N846" s="203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</row>
    <row r="847">
      <c r="A847" s="10"/>
      <c r="B847" s="10"/>
      <c r="C847" s="10"/>
      <c r="D847" s="10"/>
      <c r="E847" s="10"/>
      <c r="F847" s="10"/>
      <c r="G847" s="10"/>
      <c r="H847" s="199"/>
      <c r="I847" s="200"/>
      <c r="J847" s="201"/>
      <c r="K847" s="179"/>
      <c r="L847" s="10"/>
      <c r="M847" s="202"/>
      <c r="N847" s="203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</row>
    <row r="848">
      <c r="A848" s="10"/>
      <c r="B848" s="10"/>
      <c r="C848" s="10"/>
      <c r="D848" s="10"/>
      <c r="E848" s="10"/>
      <c r="F848" s="10"/>
      <c r="G848" s="10"/>
      <c r="H848" s="199"/>
      <c r="I848" s="200"/>
      <c r="J848" s="201"/>
      <c r="K848" s="179"/>
      <c r="L848" s="10"/>
      <c r="M848" s="202"/>
      <c r="N848" s="203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</row>
    <row r="849">
      <c r="A849" s="10"/>
      <c r="B849" s="10"/>
      <c r="C849" s="10"/>
      <c r="D849" s="10"/>
      <c r="E849" s="10"/>
      <c r="F849" s="10"/>
      <c r="G849" s="10"/>
      <c r="H849" s="199"/>
      <c r="I849" s="200"/>
      <c r="J849" s="201"/>
      <c r="K849" s="179"/>
      <c r="L849" s="10"/>
      <c r="M849" s="202"/>
      <c r="N849" s="203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</row>
    <row r="850">
      <c r="A850" s="10"/>
      <c r="B850" s="10"/>
      <c r="C850" s="10"/>
      <c r="D850" s="10"/>
      <c r="E850" s="10"/>
      <c r="F850" s="10"/>
      <c r="G850" s="10"/>
      <c r="H850" s="199"/>
      <c r="I850" s="200"/>
      <c r="J850" s="201"/>
      <c r="K850" s="179"/>
      <c r="L850" s="10"/>
      <c r="M850" s="202"/>
      <c r="N850" s="203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</row>
    <row r="851">
      <c r="A851" s="10"/>
      <c r="B851" s="10"/>
      <c r="C851" s="10"/>
      <c r="D851" s="10"/>
      <c r="E851" s="10"/>
      <c r="F851" s="10"/>
      <c r="G851" s="10"/>
      <c r="H851" s="199"/>
      <c r="I851" s="200"/>
      <c r="J851" s="201"/>
      <c r="K851" s="179"/>
      <c r="L851" s="10"/>
      <c r="M851" s="202"/>
      <c r="N851" s="203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</row>
    <row r="852">
      <c r="A852" s="10"/>
      <c r="B852" s="10"/>
      <c r="C852" s="10"/>
      <c r="D852" s="10"/>
      <c r="E852" s="10"/>
      <c r="F852" s="10"/>
      <c r="G852" s="10"/>
      <c r="H852" s="199"/>
      <c r="I852" s="200"/>
      <c r="J852" s="201"/>
      <c r="K852" s="179"/>
      <c r="L852" s="10"/>
      <c r="M852" s="202"/>
      <c r="N852" s="203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</row>
    <row r="853">
      <c r="A853" s="10"/>
      <c r="B853" s="10"/>
      <c r="C853" s="10"/>
      <c r="D853" s="10"/>
      <c r="E853" s="10"/>
      <c r="F853" s="10"/>
      <c r="G853" s="10"/>
      <c r="H853" s="199"/>
      <c r="I853" s="200"/>
      <c r="J853" s="201"/>
      <c r="K853" s="179"/>
      <c r="L853" s="10"/>
      <c r="M853" s="202"/>
      <c r="N853" s="203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</row>
    <row r="854">
      <c r="A854" s="10"/>
      <c r="B854" s="10"/>
      <c r="C854" s="10"/>
      <c r="D854" s="10"/>
      <c r="E854" s="10"/>
      <c r="F854" s="10"/>
      <c r="G854" s="10"/>
      <c r="H854" s="199"/>
      <c r="I854" s="200"/>
      <c r="J854" s="201"/>
      <c r="K854" s="179"/>
      <c r="L854" s="10"/>
      <c r="M854" s="202"/>
      <c r="N854" s="203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</row>
    <row r="855">
      <c r="A855" s="10"/>
      <c r="B855" s="10"/>
      <c r="C855" s="10"/>
      <c r="D855" s="10"/>
      <c r="E855" s="10"/>
      <c r="F855" s="10"/>
      <c r="G855" s="10"/>
      <c r="H855" s="199"/>
      <c r="I855" s="200"/>
      <c r="J855" s="201"/>
      <c r="K855" s="179"/>
      <c r="L855" s="10"/>
      <c r="M855" s="202"/>
      <c r="N855" s="203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</row>
    <row r="856">
      <c r="A856" s="10"/>
      <c r="B856" s="10"/>
      <c r="C856" s="10"/>
      <c r="D856" s="10"/>
      <c r="E856" s="10"/>
      <c r="F856" s="10"/>
      <c r="G856" s="10"/>
      <c r="H856" s="199"/>
      <c r="I856" s="200"/>
      <c r="J856" s="201"/>
      <c r="K856" s="179"/>
      <c r="L856" s="10"/>
      <c r="M856" s="202"/>
      <c r="N856" s="203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</row>
    <row r="857">
      <c r="A857" s="10"/>
      <c r="B857" s="10"/>
      <c r="C857" s="10"/>
      <c r="D857" s="10"/>
      <c r="E857" s="10"/>
      <c r="F857" s="10"/>
      <c r="G857" s="10"/>
      <c r="H857" s="199"/>
      <c r="I857" s="200"/>
      <c r="J857" s="201"/>
      <c r="K857" s="179"/>
      <c r="L857" s="10"/>
      <c r="M857" s="202"/>
      <c r="N857" s="203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</row>
    <row r="858">
      <c r="A858" s="10"/>
      <c r="B858" s="10"/>
      <c r="C858" s="10"/>
      <c r="D858" s="10"/>
      <c r="E858" s="10"/>
      <c r="F858" s="10"/>
      <c r="G858" s="10"/>
      <c r="H858" s="199"/>
      <c r="I858" s="200"/>
      <c r="J858" s="201"/>
      <c r="K858" s="179"/>
      <c r="L858" s="10"/>
      <c r="M858" s="202"/>
      <c r="N858" s="203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</row>
    <row r="859">
      <c r="A859" s="10"/>
      <c r="B859" s="10"/>
      <c r="C859" s="10"/>
      <c r="D859" s="10"/>
      <c r="E859" s="10"/>
      <c r="F859" s="10"/>
      <c r="G859" s="10"/>
      <c r="H859" s="199"/>
      <c r="I859" s="200"/>
      <c r="J859" s="201"/>
      <c r="K859" s="179"/>
      <c r="L859" s="10"/>
      <c r="M859" s="202"/>
      <c r="N859" s="203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</row>
    <row r="860">
      <c r="A860" s="10"/>
      <c r="B860" s="10"/>
      <c r="C860" s="10"/>
      <c r="D860" s="10"/>
      <c r="E860" s="10"/>
      <c r="F860" s="10"/>
      <c r="G860" s="10"/>
      <c r="H860" s="199"/>
      <c r="I860" s="200"/>
      <c r="J860" s="201"/>
      <c r="K860" s="179"/>
      <c r="L860" s="10"/>
      <c r="M860" s="202"/>
      <c r="N860" s="203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</row>
    <row r="861">
      <c r="A861" s="10"/>
      <c r="B861" s="10"/>
      <c r="C861" s="10"/>
      <c r="D861" s="10"/>
      <c r="E861" s="10"/>
      <c r="F861" s="10"/>
      <c r="G861" s="10"/>
      <c r="H861" s="199"/>
      <c r="I861" s="200"/>
      <c r="J861" s="201"/>
      <c r="K861" s="179"/>
      <c r="L861" s="10"/>
      <c r="M861" s="202"/>
      <c r="N861" s="203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</row>
    <row r="862">
      <c r="A862" s="10"/>
      <c r="B862" s="10"/>
      <c r="C862" s="10"/>
      <c r="D862" s="10"/>
      <c r="E862" s="10"/>
      <c r="F862" s="10"/>
      <c r="G862" s="10"/>
      <c r="H862" s="199"/>
      <c r="I862" s="200"/>
      <c r="J862" s="201"/>
      <c r="K862" s="179"/>
      <c r="L862" s="10"/>
      <c r="M862" s="202"/>
      <c r="N862" s="203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</row>
    <row r="863">
      <c r="A863" s="10"/>
      <c r="B863" s="10"/>
      <c r="C863" s="10"/>
      <c r="D863" s="10"/>
      <c r="E863" s="10"/>
      <c r="F863" s="10"/>
      <c r="G863" s="10"/>
      <c r="H863" s="199"/>
      <c r="I863" s="200"/>
      <c r="J863" s="201"/>
      <c r="K863" s="179"/>
      <c r="L863" s="10"/>
      <c r="M863" s="202"/>
      <c r="N863" s="203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</row>
    <row r="864">
      <c r="A864" s="10"/>
      <c r="B864" s="10"/>
      <c r="C864" s="10"/>
      <c r="D864" s="10"/>
      <c r="E864" s="10"/>
      <c r="F864" s="10"/>
      <c r="G864" s="10"/>
      <c r="H864" s="199"/>
      <c r="I864" s="200"/>
      <c r="J864" s="201"/>
      <c r="K864" s="179"/>
      <c r="L864" s="10"/>
      <c r="M864" s="202"/>
      <c r="N864" s="203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</row>
    <row r="865">
      <c r="A865" s="10"/>
      <c r="B865" s="10"/>
      <c r="C865" s="10"/>
      <c r="D865" s="10"/>
      <c r="E865" s="10"/>
      <c r="F865" s="10"/>
      <c r="G865" s="10"/>
      <c r="H865" s="199"/>
      <c r="I865" s="200"/>
      <c r="J865" s="201"/>
      <c r="K865" s="179"/>
      <c r="L865" s="10"/>
      <c r="M865" s="202"/>
      <c r="N865" s="203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</row>
    <row r="866">
      <c r="A866" s="10"/>
      <c r="B866" s="10"/>
      <c r="C866" s="10"/>
      <c r="D866" s="10"/>
      <c r="E866" s="10"/>
      <c r="F866" s="10"/>
      <c r="G866" s="10"/>
      <c r="H866" s="199"/>
      <c r="I866" s="200"/>
      <c r="J866" s="201"/>
      <c r="K866" s="179"/>
      <c r="L866" s="10"/>
      <c r="M866" s="202"/>
      <c r="N866" s="203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</row>
    <row r="867">
      <c r="A867" s="10"/>
      <c r="B867" s="10"/>
      <c r="C867" s="10"/>
      <c r="D867" s="10"/>
      <c r="E867" s="10"/>
      <c r="F867" s="10"/>
      <c r="G867" s="10"/>
      <c r="H867" s="199"/>
      <c r="I867" s="200"/>
      <c r="J867" s="201"/>
      <c r="K867" s="179"/>
      <c r="L867" s="10"/>
      <c r="M867" s="202"/>
      <c r="N867" s="203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</row>
    <row r="868">
      <c r="A868" s="10"/>
      <c r="B868" s="10"/>
      <c r="C868" s="10"/>
      <c r="D868" s="10"/>
      <c r="E868" s="10"/>
      <c r="F868" s="10"/>
      <c r="G868" s="10"/>
      <c r="H868" s="199"/>
      <c r="I868" s="200"/>
      <c r="J868" s="201"/>
      <c r="K868" s="179"/>
      <c r="L868" s="10"/>
      <c r="M868" s="202"/>
      <c r="N868" s="203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</row>
    <row r="869">
      <c r="A869" s="10"/>
      <c r="B869" s="10"/>
      <c r="C869" s="10"/>
      <c r="D869" s="10"/>
      <c r="E869" s="10"/>
      <c r="F869" s="10"/>
      <c r="G869" s="10"/>
      <c r="H869" s="199"/>
      <c r="I869" s="200"/>
      <c r="J869" s="201"/>
      <c r="K869" s="179"/>
      <c r="L869" s="10"/>
      <c r="M869" s="202"/>
      <c r="N869" s="203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</row>
    <row r="870">
      <c r="A870" s="10"/>
      <c r="B870" s="10"/>
      <c r="C870" s="10"/>
      <c r="D870" s="10"/>
      <c r="E870" s="10"/>
      <c r="F870" s="10"/>
      <c r="G870" s="10"/>
      <c r="H870" s="199"/>
      <c r="I870" s="200"/>
      <c r="J870" s="201"/>
      <c r="K870" s="179"/>
      <c r="L870" s="10"/>
      <c r="M870" s="202"/>
      <c r="N870" s="203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</row>
    <row r="871">
      <c r="A871" s="10"/>
      <c r="B871" s="10"/>
      <c r="C871" s="10"/>
      <c r="D871" s="10"/>
      <c r="E871" s="10"/>
      <c r="F871" s="10"/>
      <c r="G871" s="10"/>
      <c r="H871" s="199"/>
      <c r="I871" s="200"/>
      <c r="J871" s="201"/>
      <c r="K871" s="179"/>
      <c r="L871" s="10"/>
      <c r="M871" s="202"/>
      <c r="N871" s="203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</row>
    <row r="872">
      <c r="A872" s="10"/>
      <c r="B872" s="10"/>
      <c r="C872" s="10"/>
      <c r="D872" s="10"/>
      <c r="E872" s="10"/>
      <c r="F872" s="10"/>
      <c r="G872" s="10"/>
      <c r="H872" s="199"/>
      <c r="I872" s="200"/>
      <c r="J872" s="201"/>
      <c r="K872" s="179"/>
      <c r="L872" s="10"/>
      <c r="M872" s="202"/>
      <c r="N872" s="203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</row>
    <row r="873">
      <c r="A873" s="10"/>
      <c r="B873" s="10"/>
      <c r="C873" s="10"/>
      <c r="D873" s="10"/>
      <c r="E873" s="10"/>
      <c r="F873" s="10"/>
      <c r="G873" s="10"/>
      <c r="H873" s="199"/>
      <c r="I873" s="200"/>
      <c r="J873" s="201"/>
      <c r="K873" s="179"/>
      <c r="L873" s="10"/>
      <c r="M873" s="202"/>
      <c r="N873" s="203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</row>
    <row r="874">
      <c r="A874" s="10"/>
      <c r="B874" s="10"/>
      <c r="C874" s="10"/>
      <c r="D874" s="10"/>
      <c r="E874" s="10"/>
      <c r="F874" s="10"/>
      <c r="G874" s="10"/>
      <c r="H874" s="199"/>
      <c r="I874" s="200"/>
      <c r="J874" s="201"/>
      <c r="K874" s="179"/>
      <c r="L874" s="10"/>
      <c r="M874" s="202"/>
      <c r="N874" s="203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</row>
    <row r="875">
      <c r="A875" s="10"/>
      <c r="B875" s="10"/>
      <c r="C875" s="10"/>
      <c r="D875" s="10"/>
      <c r="E875" s="10"/>
      <c r="F875" s="10"/>
      <c r="G875" s="10"/>
      <c r="H875" s="199"/>
      <c r="I875" s="200"/>
      <c r="J875" s="201"/>
      <c r="K875" s="179"/>
      <c r="L875" s="10"/>
      <c r="M875" s="202"/>
      <c r="N875" s="203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</row>
    <row r="876">
      <c r="A876" s="10"/>
      <c r="B876" s="10"/>
      <c r="C876" s="10"/>
      <c r="D876" s="10"/>
      <c r="E876" s="10"/>
      <c r="F876" s="10"/>
      <c r="G876" s="10"/>
      <c r="H876" s="199"/>
      <c r="I876" s="200"/>
      <c r="J876" s="201"/>
      <c r="K876" s="179"/>
      <c r="L876" s="10"/>
      <c r="M876" s="202"/>
      <c r="N876" s="203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</row>
    <row r="877">
      <c r="A877" s="10"/>
      <c r="B877" s="10"/>
      <c r="C877" s="10"/>
      <c r="D877" s="10"/>
      <c r="E877" s="10"/>
      <c r="F877" s="10"/>
      <c r="G877" s="10"/>
      <c r="H877" s="199"/>
      <c r="I877" s="200"/>
      <c r="J877" s="201"/>
      <c r="K877" s="179"/>
      <c r="L877" s="10"/>
      <c r="M877" s="202"/>
      <c r="N877" s="203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</row>
    <row r="878">
      <c r="A878" s="10"/>
      <c r="B878" s="10"/>
      <c r="C878" s="10"/>
      <c r="D878" s="10"/>
      <c r="E878" s="10"/>
      <c r="F878" s="10"/>
      <c r="G878" s="10"/>
      <c r="H878" s="199"/>
      <c r="I878" s="200"/>
      <c r="J878" s="201"/>
      <c r="K878" s="179"/>
      <c r="L878" s="10"/>
      <c r="M878" s="202"/>
      <c r="N878" s="203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</row>
    <row r="879">
      <c r="A879" s="10"/>
      <c r="B879" s="10"/>
      <c r="C879" s="10"/>
      <c r="D879" s="10"/>
      <c r="E879" s="10"/>
      <c r="F879" s="10"/>
      <c r="G879" s="10"/>
      <c r="H879" s="199"/>
      <c r="I879" s="200"/>
      <c r="J879" s="201"/>
      <c r="K879" s="179"/>
      <c r="L879" s="10"/>
      <c r="M879" s="202"/>
      <c r="N879" s="203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</row>
    <row r="880">
      <c r="A880" s="10"/>
      <c r="B880" s="10"/>
      <c r="C880" s="10"/>
      <c r="D880" s="10"/>
      <c r="E880" s="10"/>
      <c r="F880" s="10"/>
      <c r="G880" s="10"/>
      <c r="H880" s="199"/>
      <c r="I880" s="200"/>
      <c r="J880" s="201"/>
      <c r="K880" s="179"/>
      <c r="L880" s="10"/>
      <c r="M880" s="202"/>
      <c r="N880" s="203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</row>
    <row r="881">
      <c r="A881" s="10"/>
      <c r="B881" s="10"/>
      <c r="C881" s="10"/>
      <c r="D881" s="10"/>
      <c r="E881" s="10"/>
      <c r="F881" s="10"/>
      <c r="G881" s="10"/>
      <c r="H881" s="199"/>
      <c r="I881" s="200"/>
      <c r="J881" s="201"/>
      <c r="K881" s="179"/>
      <c r="L881" s="10"/>
      <c r="M881" s="202"/>
      <c r="N881" s="203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</row>
    <row r="882">
      <c r="A882" s="10"/>
      <c r="B882" s="10"/>
      <c r="C882" s="10"/>
      <c r="D882" s="10"/>
      <c r="E882" s="10"/>
      <c r="F882" s="10"/>
      <c r="G882" s="10"/>
      <c r="H882" s="199"/>
      <c r="I882" s="200"/>
      <c r="J882" s="201"/>
      <c r="K882" s="179"/>
      <c r="L882" s="10"/>
      <c r="M882" s="202"/>
      <c r="N882" s="203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</row>
    <row r="883">
      <c r="A883" s="10"/>
      <c r="B883" s="10"/>
      <c r="C883" s="10"/>
      <c r="D883" s="10"/>
      <c r="E883" s="10"/>
      <c r="F883" s="10"/>
      <c r="G883" s="10"/>
      <c r="H883" s="199"/>
      <c r="I883" s="200"/>
      <c r="J883" s="201"/>
      <c r="K883" s="179"/>
      <c r="L883" s="10"/>
      <c r="M883" s="202"/>
      <c r="N883" s="203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</row>
    <row r="884">
      <c r="A884" s="10"/>
      <c r="B884" s="10"/>
      <c r="C884" s="10"/>
      <c r="D884" s="10"/>
      <c r="E884" s="10"/>
      <c r="F884" s="10"/>
      <c r="G884" s="10"/>
      <c r="H884" s="199"/>
      <c r="I884" s="200"/>
      <c r="J884" s="201"/>
      <c r="K884" s="179"/>
      <c r="L884" s="10"/>
      <c r="M884" s="202"/>
      <c r="N884" s="203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</row>
    <row r="885">
      <c r="A885" s="10"/>
      <c r="B885" s="10"/>
      <c r="C885" s="10"/>
      <c r="D885" s="10"/>
      <c r="E885" s="10"/>
      <c r="F885" s="10"/>
      <c r="G885" s="10"/>
      <c r="H885" s="199"/>
      <c r="I885" s="200"/>
      <c r="J885" s="201"/>
      <c r="K885" s="179"/>
      <c r="L885" s="10"/>
      <c r="M885" s="202"/>
      <c r="N885" s="203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</row>
    <row r="886">
      <c r="A886" s="10"/>
      <c r="B886" s="10"/>
      <c r="C886" s="10"/>
      <c r="D886" s="10"/>
      <c r="E886" s="10"/>
      <c r="F886" s="10"/>
      <c r="G886" s="10"/>
      <c r="H886" s="199"/>
      <c r="I886" s="200"/>
      <c r="J886" s="201"/>
      <c r="K886" s="179"/>
      <c r="L886" s="10"/>
      <c r="M886" s="202"/>
      <c r="N886" s="203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</row>
    <row r="887">
      <c r="A887" s="10"/>
      <c r="B887" s="10"/>
      <c r="C887" s="10"/>
      <c r="D887" s="10"/>
      <c r="E887" s="10"/>
      <c r="F887" s="10"/>
      <c r="G887" s="10"/>
      <c r="H887" s="199"/>
      <c r="I887" s="200"/>
      <c r="J887" s="201"/>
      <c r="K887" s="179"/>
      <c r="L887" s="10"/>
      <c r="M887" s="202"/>
      <c r="N887" s="203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</row>
    <row r="888">
      <c r="A888" s="10"/>
      <c r="B888" s="10"/>
      <c r="C888" s="10"/>
      <c r="D888" s="10"/>
      <c r="E888" s="10"/>
      <c r="F888" s="10"/>
      <c r="G888" s="10"/>
      <c r="H888" s="199"/>
      <c r="I888" s="200"/>
      <c r="J888" s="201"/>
      <c r="K888" s="179"/>
      <c r="L888" s="10"/>
      <c r="M888" s="202"/>
      <c r="N888" s="203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</row>
    <row r="889">
      <c r="A889" s="10"/>
      <c r="B889" s="10"/>
      <c r="C889" s="10"/>
      <c r="D889" s="10"/>
      <c r="E889" s="10"/>
      <c r="F889" s="10"/>
      <c r="G889" s="10"/>
      <c r="H889" s="199"/>
      <c r="I889" s="200"/>
      <c r="J889" s="201"/>
      <c r="K889" s="179"/>
      <c r="L889" s="10"/>
      <c r="M889" s="202"/>
      <c r="N889" s="203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</row>
    <row r="890">
      <c r="A890" s="10"/>
      <c r="B890" s="10"/>
      <c r="C890" s="10"/>
      <c r="D890" s="10"/>
      <c r="E890" s="10"/>
      <c r="F890" s="10"/>
      <c r="G890" s="10"/>
      <c r="H890" s="199"/>
      <c r="I890" s="200"/>
      <c r="J890" s="201"/>
      <c r="K890" s="179"/>
      <c r="L890" s="10"/>
      <c r="M890" s="202"/>
      <c r="N890" s="203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</row>
    <row r="891">
      <c r="A891" s="10"/>
      <c r="B891" s="10"/>
      <c r="C891" s="10"/>
      <c r="D891" s="10"/>
      <c r="E891" s="10"/>
      <c r="F891" s="10"/>
      <c r="G891" s="10"/>
      <c r="H891" s="199"/>
      <c r="I891" s="200"/>
      <c r="J891" s="201"/>
      <c r="K891" s="179"/>
      <c r="L891" s="10"/>
      <c r="M891" s="202"/>
      <c r="N891" s="203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</row>
    <row r="892">
      <c r="A892" s="10"/>
      <c r="B892" s="10"/>
      <c r="C892" s="10"/>
      <c r="D892" s="10"/>
      <c r="E892" s="10"/>
      <c r="F892" s="10"/>
      <c r="G892" s="10"/>
      <c r="H892" s="199"/>
      <c r="I892" s="200"/>
      <c r="J892" s="201"/>
      <c r="K892" s="179"/>
      <c r="L892" s="10"/>
      <c r="M892" s="202"/>
      <c r="N892" s="203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</row>
    <row r="893">
      <c r="A893" s="10"/>
      <c r="B893" s="10"/>
      <c r="C893" s="10"/>
      <c r="D893" s="10"/>
      <c r="E893" s="10"/>
      <c r="F893" s="10"/>
      <c r="G893" s="10"/>
      <c r="H893" s="199"/>
      <c r="I893" s="200"/>
      <c r="J893" s="201"/>
      <c r="K893" s="179"/>
      <c r="L893" s="10"/>
      <c r="M893" s="202"/>
      <c r="N893" s="203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</row>
    <row r="894">
      <c r="A894" s="10"/>
      <c r="B894" s="10"/>
      <c r="C894" s="10"/>
      <c r="D894" s="10"/>
      <c r="E894" s="10"/>
      <c r="F894" s="10"/>
      <c r="G894" s="10"/>
      <c r="H894" s="199"/>
      <c r="I894" s="200"/>
      <c r="J894" s="201"/>
      <c r="K894" s="179"/>
      <c r="L894" s="10"/>
      <c r="M894" s="202"/>
      <c r="N894" s="203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</row>
    <row r="895">
      <c r="A895" s="10"/>
      <c r="B895" s="10"/>
      <c r="C895" s="10"/>
      <c r="D895" s="10"/>
      <c r="E895" s="10"/>
      <c r="F895" s="10"/>
      <c r="G895" s="10"/>
      <c r="H895" s="199"/>
      <c r="I895" s="200"/>
      <c r="J895" s="201"/>
      <c r="K895" s="179"/>
      <c r="L895" s="10"/>
      <c r="M895" s="202"/>
      <c r="N895" s="203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</row>
    <row r="896">
      <c r="A896" s="10"/>
      <c r="B896" s="10"/>
      <c r="C896" s="10"/>
      <c r="D896" s="10"/>
      <c r="E896" s="10"/>
      <c r="F896" s="10"/>
      <c r="G896" s="10"/>
      <c r="H896" s="199"/>
      <c r="I896" s="200"/>
      <c r="J896" s="201"/>
      <c r="K896" s="179"/>
      <c r="L896" s="10"/>
      <c r="M896" s="202"/>
      <c r="N896" s="203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</row>
    <row r="897">
      <c r="A897" s="10"/>
      <c r="B897" s="10"/>
      <c r="C897" s="10"/>
      <c r="D897" s="10"/>
      <c r="E897" s="10"/>
      <c r="F897" s="10"/>
      <c r="G897" s="10"/>
      <c r="H897" s="199"/>
      <c r="I897" s="200"/>
      <c r="J897" s="201"/>
      <c r="K897" s="179"/>
      <c r="L897" s="10"/>
      <c r="M897" s="202"/>
      <c r="N897" s="203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</row>
    <row r="898">
      <c r="A898" s="10"/>
      <c r="B898" s="10"/>
      <c r="C898" s="10"/>
      <c r="D898" s="10"/>
      <c r="E898" s="10"/>
      <c r="F898" s="10"/>
      <c r="G898" s="10"/>
      <c r="H898" s="199"/>
      <c r="I898" s="200"/>
      <c r="J898" s="201"/>
      <c r="K898" s="179"/>
      <c r="L898" s="10"/>
      <c r="M898" s="202"/>
      <c r="N898" s="203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</row>
    <row r="899">
      <c r="A899" s="10"/>
      <c r="B899" s="10"/>
      <c r="C899" s="10"/>
      <c r="D899" s="10"/>
      <c r="E899" s="10"/>
      <c r="F899" s="10"/>
      <c r="G899" s="10"/>
      <c r="H899" s="199"/>
      <c r="I899" s="200"/>
      <c r="J899" s="201"/>
      <c r="K899" s="179"/>
      <c r="L899" s="10"/>
      <c r="M899" s="202"/>
      <c r="N899" s="203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</row>
    <row r="900">
      <c r="A900" s="10"/>
      <c r="B900" s="10"/>
      <c r="C900" s="10"/>
      <c r="D900" s="10"/>
      <c r="E900" s="10"/>
      <c r="F900" s="10"/>
      <c r="G900" s="10"/>
      <c r="H900" s="199"/>
      <c r="I900" s="200"/>
      <c r="J900" s="201"/>
      <c r="K900" s="179"/>
      <c r="L900" s="10"/>
      <c r="M900" s="202"/>
      <c r="N900" s="203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</row>
    <row r="901">
      <c r="A901" s="10"/>
      <c r="B901" s="10"/>
      <c r="C901" s="10"/>
      <c r="D901" s="10"/>
      <c r="E901" s="10"/>
      <c r="F901" s="10"/>
      <c r="G901" s="10"/>
      <c r="H901" s="199"/>
      <c r="I901" s="200"/>
      <c r="J901" s="201"/>
      <c r="K901" s="179"/>
      <c r="L901" s="10"/>
      <c r="M901" s="202"/>
      <c r="N901" s="203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</row>
    <row r="902">
      <c r="A902" s="10"/>
      <c r="B902" s="10"/>
      <c r="C902" s="10"/>
      <c r="D902" s="10"/>
      <c r="E902" s="10"/>
      <c r="F902" s="10"/>
      <c r="G902" s="10"/>
      <c r="H902" s="199"/>
      <c r="I902" s="200"/>
      <c r="J902" s="201"/>
      <c r="K902" s="179"/>
      <c r="L902" s="10"/>
      <c r="M902" s="202"/>
      <c r="N902" s="203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</row>
    <row r="903">
      <c r="A903" s="10"/>
      <c r="B903" s="10"/>
      <c r="C903" s="10"/>
      <c r="D903" s="10"/>
      <c r="E903" s="10"/>
      <c r="F903" s="10"/>
      <c r="G903" s="10"/>
      <c r="H903" s="199"/>
      <c r="I903" s="200"/>
      <c r="J903" s="201"/>
      <c r="K903" s="179"/>
      <c r="L903" s="10"/>
      <c r="M903" s="202"/>
      <c r="N903" s="203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</row>
    <row r="904">
      <c r="A904" s="10"/>
      <c r="B904" s="10"/>
      <c r="C904" s="10"/>
      <c r="D904" s="10"/>
      <c r="E904" s="10"/>
      <c r="F904" s="10"/>
      <c r="G904" s="10"/>
      <c r="H904" s="199"/>
      <c r="I904" s="200"/>
      <c r="J904" s="201"/>
      <c r="K904" s="179"/>
      <c r="L904" s="10"/>
      <c r="M904" s="202"/>
      <c r="N904" s="203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</row>
    <row r="905">
      <c r="A905" s="10"/>
      <c r="B905" s="10"/>
      <c r="C905" s="10"/>
      <c r="D905" s="10"/>
      <c r="E905" s="10"/>
      <c r="F905" s="10"/>
      <c r="G905" s="10"/>
      <c r="H905" s="199"/>
      <c r="I905" s="200"/>
      <c r="J905" s="201"/>
      <c r="K905" s="179"/>
      <c r="L905" s="10"/>
      <c r="M905" s="202"/>
      <c r="N905" s="203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</row>
    <row r="906">
      <c r="A906" s="10"/>
      <c r="B906" s="10"/>
      <c r="C906" s="10"/>
      <c r="D906" s="10"/>
      <c r="E906" s="10"/>
      <c r="F906" s="10"/>
      <c r="G906" s="10"/>
      <c r="H906" s="199"/>
      <c r="I906" s="200"/>
      <c r="J906" s="201"/>
      <c r="K906" s="179"/>
      <c r="L906" s="10"/>
      <c r="M906" s="202"/>
      <c r="N906" s="203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</row>
    <row r="907">
      <c r="A907" s="10"/>
      <c r="B907" s="10"/>
      <c r="C907" s="10"/>
      <c r="D907" s="10"/>
      <c r="E907" s="10"/>
      <c r="F907" s="10"/>
      <c r="G907" s="10"/>
      <c r="H907" s="199"/>
      <c r="I907" s="200"/>
      <c r="J907" s="201"/>
      <c r="K907" s="179"/>
      <c r="L907" s="10"/>
      <c r="M907" s="202"/>
      <c r="N907" s="203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</row>
    <row r="908">
      <c r="A908" s="10"/>
      <c r="B908" s="10"/>
      <c r="C908" s="10"/>
      <c r="D908" s="10"/>
      <c r="E908" s="10"/>
      <c r="F908" s="10"/>
      <c r="G908" s="10"/>
      <c r="H908" s="199"/>
      <c r="I908" s="200"/>
      <c r="J908" s="201"/>
      <c r="K908" s="179"/>
      <c r="L908" s="10"/>
      <c r="M908" s="202"/>
      <c r="N908" s="203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</row>
    <row r="909">
      <c r="A909" s="10"/>
      <c r="B909" s="10"/>
      <c r="C909" s="10"/>
      <c r="D909" s="10"/>
      <c r="E909" s="10"/>
      <c r="F909" s="10"/>
      <c r="G909" s="10"/>
      <c r="H909" s="199"/>
      <c r="I909" s="200"/>
      <c r="J909" s="201"/>
      <c r="K909" s="179"/>
      <c r="L909" s="10"/>
      <c r="M909" s="202"/>
      <c r="N909" s="203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</row>
    <row r="910">
      <c r="A910" s="10"/>
      <c r="B910" s="10"/>
      <c r="C910" s="10"/>
      <c r="D910" s="10"/>
      <c r="E910" s="10"/>
      <c r="F910" s="10"/>
      <c r="G910" s="10"/>
      <c r="H910" s="199"/>
      <c r="I910" s="200"/>
      <c r="J910" s="201"/>
      <c r="K910" s="179"/>
      <c r="L910" s="10"/>
      <c r="M910" s="202"/>
      <c r="N910" s="203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</row>
    <row r="911">
      <c r="A911" s="10"/>
      <c r="B911" s="10"/>
      <c r="C911" s="10"/>
      <c r="D911" s="10"/>
      <c r="E911" s="10"/>
      <c r="F911" s="10"/>
      <c r="G911" s="10"/>
      <c r="H911" s="199"/>
      <c r="I911" s="200"/>
      <c r="J911" s="201"/>
      <c r="K911" s="179"/>
      <c r="L911" s="10"/>
      <c r="M911" s="202"/>
      <c r="N911" s="203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</row>
    <row r="912">
      <c r="A912" s="10"/>
      <c r="B912" s="10"/>
      <c r="C912" s="10"/>
      <c r="D912" s="10"/>
      <c r="E912" s="10"/>
      <c r="F912" s="10"/>
      <c r="G912" s="10"/>
      <c r="H912" s="199"/>
      <c r="I912" s="200"/>
      <c r="J912" s="201"/>
      <c r="K912" s="179"/>
      <c r="L912" s="10"/>
      <c r="M912" s="202"/>
      <c r="N912" s="203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</row>
    <row r="913">
      <c r="A913" s="10"/>
      <c r="B913" s="10"/>
      <c r="C913" s="10"/>
      <c r="D913" s="10"/>
      <c r="E913" s="10"/>
      <c r="F913" s="10"/>
      <c r="G913" s="10"/>
      <c r="H913" s="199"/>
      <c r="I913" s="200"/>
      <c r="J913" s="201"/>
      <c r="K913" s="179"/>
      <c r="L913" s="10"/>
      <c r="M913" s="202"/>
      <c r="N913" s="203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</row>
    <row r="914">
      <c r="A914" s="10"/>
      <c r="B914" s="10"/>
      <c r="C914" s="10"/>
      <c r="D914" s="10"/>
      <c r="E914" s="10"/>
      <c r="F914" s="10"/>
      <c r="G914" s="10"/>
      <c r="H914" s="199"/>
      <c r="I914" s="200"/>
      <c r="J914" s="201"/>
      <c r="K914" s="179"/>
      <c r="L914" s="10"/>
      <c r="M914" s="202"/>
      <c r="N914" s="203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</row>
    <row r="915">
      <c r="A915" s="10"/>
      <c r="B915" s="10"/>
      <c r="C915" s="10"/>
      <c r="D915" s="10"/>
      <c r="E915" s="10"/>
      <c r="F915" s="10"/>
      <c r="G915" s="10"/>
      <c r="H915" s="199"/>
      <c r="I915" s="200"/>
      <c r="J915" s="201"/>
      <c r="K915" s="179"/>
      <c r="L915" s="10"/>
      <c r="M915" s="202"/>
      <c r="N915" s="203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</row>
    <row r="916">
      <c r="A916" s="10"/>
      <c r="B916" s="10"/>
      <c r="C916" s="10"/>
      <c r="D916" s="10"/>
      <c r="E916" s="10"/>
      <c r="F916" s="10"/>
      <c r="G916" s="10"/>
      <c r="H916" s="199"/>
      <c r="I916" s="200"/>
      <c r="J916" s="201"/>
      <c r="K916" s="179"/>
      <c r="L916" s="10"/>
      <c r="M916" s="202"/>
      <c r="N916" s="203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</row>
    <row r="917">
      <c r="A917" s="10"/>
      <c r="B917" s="10"/>
      <c r="C917" s="10"/>
      <c r="D917" s="10"/>
      <c r="E917" s="10"/>
      <c r="F917" s="10"/>
      <c r="G917" s="10"/>
      <c r="H917" s="199"/>
      <c r="I917" s="200"/>
      <c r="J917" s="201"/>
      <c r="K917" s="179"/>
      <c r="L917" s="10"/>
      <c r="M917" s="202"/>
      <c r="N917" s="203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</row>
    <row r="918">
      <c r="A918" s="10"/>
      <c r="B918" s="10"/>
      <c r="C918" s="10"/>
      <c r="D918" s="10"/>
      <c r="E918" s="10"/>
      <c r="F918" s="10"/>
      <c r="G918" s="10"/>
      <c r="H918" s="199"/>
      <c r="I918" s="200"/>
      <c r="J918" s="201"/>
      <c r="K918" s="179"/>
      <c r="L918" s="10"/>
      <c r="M918" s="202"/>
      <c r="N918" s="203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</row>
    <row r="919">
      <c r="A919" s="10"/>
      <c r="B919" s="10"/>
      <c r="C919" s="10"/>
      <c r="D919" s="10"/>
      <c r="E919" s="10"/>
      <c r="F919" s="10"/>
      <c r="G919" s="10"/>
      <c r="H919" s="199"/>
      <c r="I919" s="200"/>
      <c r="J919" s="201"/>
      <c r="K919" s="179"/>
      <c r="L919" s="10"/>
      <c r="M919" s="202"/>
      <c r="N919" s="203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</row>
    <row r="920">
      <c r="A920" s="10"/>
      <c r="B920" s="10"/>
      <c r="C920" s="10"/>
      <c r="D920" s="10"/>
      <c r="E920" s="10"/>
      <c r="F920" s="10"/>
      <c r="G920" s="10"/>
      <c r="H920" s="199"/>
      <c r="I920" s="200"/>
      <c r="J920" s="201"/>
      <c r="K920" s="179"/>
      <c r="L920" s="10"/>
      <c r="M920" s="202"/>
      <c r="N920" s="203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</row>
    <row r="921">
      <c r="A921" s="10"/>
      <c r="B921" s="10"/>
      <c r="C921" s="10"/>
      <c r="D921" s="10"/>
      <c r="E921" s="10"/>
      <c r="F921" s="10"/>
      <c r="G921" s="10"/>
      <c r="H921" s="199"/>
      <c r="I921" s="200"/>
      <c r="J921" s="201"/>
      <c r="K921" s="179"/>
      <c r="L921" s="10"/>
      <c r="M921" s="202"/>
      <c r="N921" s="203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</row>
    <row r="922">
      <c r="A922" s="10"/>
      <c r="B922" s="10"/>
      <c r="C922" s="10"/>
      <c r="D922" s="10"/>
      <c r="E922" s="10"/>
      <c r="F922" s="10"/>
      <c r="G922" s="10"/>
      <c r="H922" s="199"/>
      <c r="I922" s="200"/>
      <c r="J922" s="201"/>
      <c r="K922" s="179"/>
      <c r="L922" s="10"/>
      <c r="M922" s="202"/>
      <c r="N922" s="203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</row>
    <row r="923">
      <c r="A923" s="10"/>
      <c r="B923" s="10"/>
      <c r="C923" s="10"/>
      <c r="D923" s="10"/>
      <c r="E923" s="10"/>
      <c r="F923" s="10"/>
      <c r="G923" s="10"/>
      <c r="H923" s="199"/>
      <c r="I923" s="200"/>
      <c r="J923" s="201"/>
      <c r="K923" s="179"/>
      <c r="L923" s="10"/>
      <c r="M923" s="202"/>
      <c r="N923" s="203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</row>
    <row r="924">
      <c r="A924" s="10"/>
      <c r="B924" s="10"/>
      <c r="C924" s="10"/>
      <c r="D924" s="10"/>
      <c r="E924" s="10"/>
      <c r="F924" s="10"/>
      <c r="G924" s="10"/>
      <c r="H924" s="199"/>
      <c r="I924" s="200"/>
      <c r="J924" s="201"/>
      <c r="K924" s="179"/>
      <c r="L924" s="10"/>
      <c r="M924" s="202"/>
      <c r="N924" s="203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</row>
    <row r="925">
      <c r="A925" s="10"/>
      <c r="B925" s="10"/>
      <c r="C925" s="10"/>
      <c r="D925" s="10"/>
      <c r="E925" s="10"/>
      <c r="F925" s="10"/>
      <c r="G925" s="10"/>
      <c r="H925" s="199"/>
      <c r="I925" s="200"/>
      <c r="J925" s="201"/>
      <c r="K925" s="179"/>
      <c r="L925" s="10"/>
      <c r="M925" s="202"/>
      <c r="N925" s="203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</row>
    <row r="926">
      <c r="A926" s="10"/>
      <c r="B926" s="10"/>
      <c r="C926" s="10"/>
      <c r="D926" s="10"/>
      <c r="E926" s="10"/>
      <c r="F926" s="10"/>
      <c r="G926" s="10"/>
      <c r="H926" s="199"/>
      <c r="I926" s="200"/>
      <c r="J926" s="201"/>
      <c r="K926" s="179"/>
      <c r="L926" s="10"/>
      <c r="M926" s="202"/>
      <c r="N926" s="203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</row>
    <row r="927">
      <c r="A927" s="10"/>
      <c r="B927" s="10"/>
      <c r="C927" s="10"/>
      <c r="D927" s="10"/>
      <c r="E927" s="10"/>
      <c r="F927" s="10"/>
      <c r="G927" s="10"/>
      <c r="H927" s="199"/>
      <c r="I927" s="200"/>
      <c r="J927" s="201"/>
      <c r="K927" s="179"/>
      <c r="L927" s="10"/>
      <c r="M927" s="202"/>
      <c r="N927" s="203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</row>
    <row r="928">
      <c r="A928" s="10"/>
      <c r="B928" s="10"/>
      <c r="C928" s="10"/>
      <c r="D928" s="10"/>
      <c r="E928" s="10"/>
      <c r="F928" s="10"/>
      <c r="G928" s="10"/>
      <c r="H928" s="199"/>
      <c r="I928" s="200"/>
      <c r="J928" s="201"/>
      <c r="K928" s="179"/>
      <c r="L928" s="10"/>
      <c r="M928" s="202"/>
      <c r="N928" s="203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</row>
    <row r="929">
      <c r="A929" s="10"/>
      <c r="B929" s="10"/>
      <c r="C929" s="10"/>
      <c r="D929" s="10"/>
      <c r="E929" s="10"/>
      <c r="F929" s="10"/>
      <c r="G929" s="10"/>
      <c r="H929" s="199"/>
      <c r="I929" s="200"/>
      <c r="J929" s="201"/>
      <c r="K929" s="179"/>
      <c r="L929" s="10"/>
      <c r="M929" s="202"/>
      <c r="N929" s="203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</row>
    <row r="930">
      <c r="A930" s="10"/>
      <c r="B930" s="10"/>
      <c r="C930" s="10"/>
      <c r="D930" s="10"/>
      <c r="E930" s="10"/>
      <c r="F930" s="10"/>
      <c r="G930" s="10"/>
      <c r="H930" s="199"/>
      <c r="I930" s="200"/>
      <c r="J930" s="201"/>
      <c r="K930" s="179"/>
      <c r="L930" s="10"/>
      <c r="M930" s="202"/>
      <c r="N930" s="203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</row>
    <row r="931">
      <c r="A931" s="10"/>
      <c r="B931" s="10"/>
      <c r="C931" s="10"/>
      <c r="D931" s="10"/>
      <c r="E931" s="10"/>
      <c r="F931" s="10"/>
      <c r="G931" s="10"/>
      <c r="H931" s="199"/>
      <c r="I931" s="200"/>
      <c r="J931" s="201"/>
      <c r="K931" s="179"/>
      <c r="L931" s="10"/>
      <c r="M931" s="202"/>
      <c r="N931" s="203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</row>
    <row r="932">
      <c r="A932" s="10"/>
      <c r="B932" s="10"/>
      <c r="C932" s="10"/>
      <c r="D932" s="10"/>
      <c r="E932" s="10"/>
      <c r="F932" s="10"/>
      <c r="G932" s="10"/>
      <c r="H932" s="199"/>
      <c r="I932" s="200"/>
      <c r="J932" s="201"/>
      <c r="K932" s="179"/>
      <c r="L932" s="10"/>
      <c r="M932" s="202"/>
      <c r="N932" s="203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</row>
    <row r="933">
      <c r="A933" s="10"/>
      <c r="B933" s="10"/>
      <c r="C933" s="10"/>
      <c r="D933" s="10"/>
      <c r="E933" s="10"/>
      <c r="F933" s="10"/>
      <c r="G933" s="10"/>
      <c r="H933" s="199"/>
      <c r="I933" s="200"/>
      <c r="J933" s="201"/>
      <c r="K933" s="179"/>
      <c r="L933" s="10"/>
      <c r="M933" s="202"/>
      <c r="N933" s="203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</row>
    <row r="934">
      <c r="A934" s="10"/>
      <c r="B934" s="10"/>
      <c r="C934" s="10"/>
      <c r="D934" s="10"/>
      <c r="E934" s="10"/>
      <c r="F934" s="10"/>
      <c r="G934" s="10"/>
      <c r="H934" s="199"/>
      <c r="I934" s="200"/>
      <c r="J934" s="201"/>
      <c r="K934" s="179"/>
      <c r="L934" s="10"/>
      <c r="M934" s="202"/>
      <c r="N934" s="203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</row>
    <row r="935">
      <c r="A935" s="10"/>
      <c r="B935" s="10"/>
      <c r="C935" s="10"/>
      <c r="D935" s="10"/>
      <c r="E935" s="10"/>
      <c r="F935" s="10"/>
      <c r="G935" s="10"/>
      <c r="H935" s="199"/>
      <c r="I935" s="200"/>
      <c r="J935" s="201"/>
      <c r="K935" s="179"/>
      <c r="L935" s="10"/>
      <c r="M935" s="202"/>
      <c r="N935" s="203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</row>
    <row r="936">
      <c r="A936" s="10"/>
      <c r="B936" s="10"/>
      <c r="C936" s="10"/>
      <c r="D936" s="10"/>
      <c r="E936" s="10"/>
      <c r="F936" s="10"/>
      <c r="G936" s="10"/>
      <c r="H936" s="199"/>
      <c r="I936" s="200"/>
      <c r="J936" s="201"/>
      <c r="K936" s="179"/>
      <c r="L936" s="10"/>
      <c r="M936" s="202"/>
      <c r="N936" s="203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</row>
    <row r="937">
      <c r="A937" s="10"/>
      <c r="B937" s="10"/>
      <c r="C937" s="10"/>
      <c r="D937" s="10"/>
      <c r="E937" s="10"/>
      <c r="F937" s="10"/>
      <c r="G937" s="10"/>
      <c r="H937" s="199"/>
      <c r="I937" s="200"/>
      <c r="J937" s="201"/>
      <c r="K937" s="179"/>
      <c r="L937" s="10"/>
      <c r="M937" s="202"/>
      <c r="N937" s="203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</row>
    <row r="938">
      <c r="A938" s="10"/>
      <c r="B938" s="10"/>
      <c r="C938" s="10"/>
      <c r="D938" s="10"/>
      <c r="E938" s="10"/>
      <c r="F938" s="10"/>
      <c r="G938" s="10"/>
      <c r="H938" s="199"/>
      <c r="I938" s="200"/>
      <c r="J938" s="201"/>
      <c r="K938" s="179"/>
      <c r="L938" s="10"/>
      <c r="M938" s="202"/>
      <c r="N938" s="203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</row>
    <row r="939">
      <c r="A939" s="10"/>
      <c r="B939" s="10"/>
      <c r="C939" s="10"/>
      <c r="D939" s="10"/>
      <c r="E939" s="10"/>
      <c r="F939" s="10"/>
      <c r="G939" s="10"/>
      <c r="H939" s="199"/>
      <c r="I939" s="200"/>
      <c r="J939" s="201"/>
      <c r="K939" s="179"/>
      <c r="L939" s="10"/>
      <c r="M939" s="202"/>
      <c r="N939" s="203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</row>
    <row r="940">
      <c r="A940" s="10"/>
      <c r="B940" s="10"/>
      <c r="C940" s="10"/>
      <c r="D940" s="10"/>
      <c r="E940" s="10"/>
      <c r="F940" s="10"/>
      <c r="G940" s="10"/>
      <c r="H940" s="199"/>
      <c r="I940" s="200"/>
      <c r="J940" s="201"/>
      <c r="K940" s="179"/>
      <c r="L940" s="10"/>
      <c r="M940" s="202"/>
      <c r="N940" s="203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</row>
    <row r="941">
      <c r="A941" s="10"/>
      <c r="B941" s="10"/>
      <c r="C941" s="10"/>
      <c r="D941" s="10"/>
      <c r="E941" s="10"/>
      <c r="F941" s="10"/>
      <c r="G941" s="10"/>
      <c r="H941" s="199"/>
      <c r="I941" s="200"/>
      <c r="J941" s="201"/>
      <c r="K941" s="179"/>
      <c r="L941" s="10"/>
      <c r="M941" s="202"/>
      <c r="N941" s="203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</row>
    <row r="942">
      <c r="A942" s="10"/>
      <c r="B942" s="10"/>
      <c r="C942" s="10"/>
      <c r="D942" s="10"/>
      <c r="E942" s="10"/>
      <c r="F942" s="10"/>
      <c r="G942" s="10"/>
      <c r="H942" s="199"/>
      <c r="I942" s="200"/>
      <c r="J942" s="201"/>
      <c r="K942" s="179"/>
      <c r="L942" s="10"/>
      <c r="M942" s="202"/>
      <c r="N942" s="203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</row>
    <row r="943">
      <c r="A943" s="10"/>
      <c r="B943" s="10"/>
      <c r="C943" s="10"/>
      <c r="D943" s="10"/>
      <c r="E943" s="10"/>
      <c r="F943" s="10"/>
      <c r="G943" s="10"/>
      <c r="H943" s="199"/>
      <c r="I943" s="200"/>
      <c r="J943" s="201"/>
      <c r="K943" s="179"/>
      <c r="L943" s="10"/>
      <c r="M943" s="202"/>
      <c r="N943" s="203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</row>
    <row r="944">
      <c r="A944" s="10"/>
      <c r="B944" s="10"/>
      <c r="C944" s="10"/>
      <c r="D944" s="10"/>
      <c r="E944" s="10"/>
      <c r="F944" s="10"/>
      <c r="G944" s="10"/>
      <c r="H944" s="199"/>
      <c r="I944" s="200"/>
      <c r="J944" s="201"/>
      <c r="K944" s="179"/>
      <c r="L944" s="10"/>
      <c r="M944" s="202"/>
      <c r="N944" s="203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</row>
    <row r="945">
      <c r="A945" s="10"/>
      <c r="B945" s="10"/>
      <c r="C945" s="10"/>
      <c r="D945" s="10"/>
      <c r="E945" s="10"/>
      <c r="F945" s="10"/>
      <c r="G945" s="10"/>
      <c r="H945" s="199"/>
      <c r="I945" s="200"/>
      <c r="J945" s="201"/>
      <c r="K945" s="179"/>
      <c r="L945" s="10"/>
      <c r="M945" s="202"/>
      <c r="N945" s="203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</row>
    <row r="946">
      <c r="A946" s="10"/>
      <c r="B946" s="10"/>
      <c r="C946" s="10"/>
      <c r="D946" s="10"/>
      <c r="E946" s="10"/>
      <c r="F946" s="10"/>
      <c r="G946" s="10"/>
      <c r="H946" s="199"/>
      <c r="I946" s="200"/>
      <c r="J946" s="201"/>
      <c r="K946" s="179"/>
      <c r="L946" s="10"/>
      <c r="M946" s="202"/>
      <c r="N946" s="203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</row>
    <row r="947">
      <c r="A947" s="10"/>
      <c r="B947" s="10"/>
      <c r="C947" s="10"/>
      <c r="D947" s="10"/>
      <c r="E947" s="10"/>
      <c r="F947" s="10"/>
      <c r="G947" s="10"/>
      <c r="H947" s="199"/>
      <c r="I947" s="200"/>
      <c r="J947" s="201"/>
      <c r="K947" s="179"/>
      <c r="L947" s="10"/>
      <c r="M947" s="202"/>
      <c r="N947" s="203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</row>
    <row r="948">
      <c r="A948" s="10"/>
      <c r="B948" s="10"/>
      <c r="C948" s="10"/>
      <c r="D948" s="10"/>
      <c r="E948" s="10"/>
      <c r="F948" s="10"/>
      <c r="G948" s="10"/>
      <c r="H948" s="199"/>
      <c r="I948" s="200"/>
      <c r="J948" s="201"/>
      <c r="K948" s="179"/>
      <c r="L948" s="10"/>
      <c r="M948" s="202"/>
      <c r="N948" s="203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</row>
    <row r="949">
      <c r="A949" s="10"/>
      <c r="B949" s="10"/>
      <c r="C949" s="10"/>
      <c r="D949" s="10"/>
      <c r="E949" s="10"/>
      <c r="F949" s="10"/>
      <c r="G949" s="10"/>
      <c r="H949" s="199"/>
      <c r="I949" s="200"/>
      <c r="J949" s="201"/>
      <c r="K949" s="179"/>
      <c r="L949" s="10"/>
      <c r="M949" s="202"/>
      <c r="N949" s="203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</row>
    <row r="950">
      <c r="A950" s="10"/>
      <c r="B950" s="10"/>
      <c r="C950" s="10"/>
      <c r="D950" s="10"/>
      <c r="E950" s="10"/>
      <c r="F950" s="10"/>
      <c r="G950" s="10"/>
      <c r="H950" s="199"/>
      <c r="I950" s="200"/>
      <c r="J950" s="201"/>
      <c r="K950" s="179"/>
      <c r="L950" s="10"/>
      <c r="M950" s="202"/>
      <c r="N950" s="203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</row>
    <row r="951">
      <c r="A951" s="10"/>
      <c r="B951" s="10"/>
      <c r="C951" s="10"/>
      <c r="D951" s="10"/>
      <c r="E951" s="10"/>
      <c r="F951" s="10"/>
      <c r="G951" s="10"/>
      <c r="H951" s="199"/>
      <c r="I951" s="200"/>
      <c r="J951" s="201"/>
      <c r="K951" s="179"/>
      <c r="L951" s="10"/>
      <c r="M951" s="202"/>
      <c r="N951" s="203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</row>
    <row r="952">
      <c r="A952" s="10"/>
      <c r="B952" s="10"/>
      <c r="C952" s="10"/>
      <c r="D952" s="10"/>
      <c r="E952" s="10"/>
      <c r="F952" s="10"/>
      <c r="G952" s="10"/>
      <c r="H952" s="199"/>
      <c r="I952" s="200"/>
      <c r="J952" s="201"/>
      <c r="K952" s="179"/>
      <c r="L952" s="10"/>
      <c r="M952" s="202"/>
      <c r="N952" s="203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</row>
    <row r="953">
      <c r="A953" s="10"/>
      <c r="B953" s="10"/>
      <c r="C953" s="10"/>
      <c r="D953" s="10"/>
      <c r="E953" s="10"/>
      <c r="F953" s="10"/>
      <c r="G953" s="10"/>
      <c r="H953" s="199"/>
      <c r="I953" s="200"/>
      <c r="J953" s="201"/>
      <c r="K953" s="179"/>
      <c r="L953" s="10"/>
      <c r="M953" s="202"/>
      <c r="N953" s="203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</row>
    <row r="954">
      <c r="A954" s="10"/>
      <c r="B954" s="10"/>
      <c r="C954" s="10"/>
      <c r="D954" s="10"/>
      <c r="E954" s="10"/>
      <c r="F954" s="10"/>
      <c r="G954" s="10"/>
      <c r="H954" s="199"/>
      <c r="I954" s="200"/>
      <c r="J954" s="201"/>
      <c r="K954" s="179"/>
      <c r="L954" s="10"/>
      <c r="M954" s="202"/>
      <c r="N954" s="203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</row>
    <row r="955">
      <c r="A955" s="10"/>
      <c r="B955" s="10"/>
      <c r="C955" s="10"/>
      <c r="D955" s="10"/>
      <c r="E955" s="10"/>
      <c r="F955" s="10"/>
      <c r="G955" s="10"/>
      <c r="H955" s="199"/>
      <c r="I955" s="200"/>
      <c r="J955" s="201"/>
      <c r="K955" s="179"/>
      <c r="L955" s="10"/>
      <c r="M955" s="202"/>
      <c r="N955" s="203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</row>
    <row r="956">
      <c r="A956" s="10"/>
      <c r="B956" s="10"/>
      <c r="C956" s="10"/>
      <c r="D956" s="10"/>
      <c r="E956" s="10"/>
      <c r="F956" s="10"/>
      <c r="G956" s="10"/>
      <c r="H956" s="199"/>
      <c r="I956" s="200"/>
      <c r="J956" s="201"/>
      <c r="K956" s="179"/>
      <c r="L956" s="10"/>
      <c r="M956" s="202"/>
      <c r="N956" s="203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</row>
    <row r="957">
      <c r="A957" s="10"/>
      <c r="B957" s="10"/>
      <c r="C957" s="10"/>
      <c r="D957" s="10"/>
      <c r="E957" s="10"/>
      <c r="F957" s="10"/>
      <c r="G957" s="10"/>
      <c r="H957" s="199"/>
      <c r="I957" s="200"/>
      <c r="J957" s="201"/>
      <c r="K957" s="179"/>
      <c r="L957" s="10"/>
      <c r="M957" s="202"/>
      <c r="N957" s="203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</row>
    <row r="958">
      <c r="A958" s="10"/>
      <c r="B958" s="10"/>
      <c r="C958" s="10"/>
      <c r="D958" s="10"/>
      <c r="E958" s="10"/>
      <c r="F958" s="10"/>
      <c r="G958" s="10"/>
      <c r="H958" s="199"/>
      <c r="I958" s="200"/>
      <c r="J958" s="201"/>
      <c r="K958" s="179"/>
      <c r="L958" s="10"/>
      <c r="M958" s="202"/>
      <c r="N958" s="203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</row>
    <row r="959">
      <c r="A959" s="10"/>
      <c r="B959" s="10"/>
      <c r="C959" s="10"/>
      <c r="D959" s="10"/>
      <c r="E959" s="10"/>
      <c r="F959" s="10"/>
      <c r="G959" s="10"/>
      <c r="H959" s="199"/>
      <c r="I959" s="200"/>
      <c r="J959" s="201"/>
      <c r="K959" s="179"/>
      <c r="L959" s="10"/>
      <c r="M959" s="202"/>
      <c r="N959" s="203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</row>
    <row r="960">
      <c r="A960" s="10"/>
      <c r="B960" s="10"/>
      <c r="C960" s="10"/>
      <c r="D960" s="10"/>
      <c r="E960" s="10"/>
      <c r="F960" s="10"/>
      <c r="G960" s="10"/>
      <c r="H960" s="199"/>
      <c r="I960" s="200"/>
      <c r="J960" s="201"/>
      <c r="K960" s="179"/>
      <c r="L960" s="10"/>
      <c r="M960" s="202"/>
      <c r="N960" s="203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</row>
    <row r="961">
      <c r="A961" s="10"/>
      <c r="B961" s="10"/>
      <c r="C961" s="10"/>
      <c r="D961" s="10"/>
      <c r="E961" s="10"/>
      <c r="F961" s="10"/>
      <c r="G961" s="10"/>
      <c r="H961" s="199"/>
      <c r="I961" s="200"/>
      <c r="J961" s="201"/>
      <c r="K961" s="179"/>
      <c r="L961" s="10"/>
      <c r="M961" s="202"/>
      <c r="N961" s="203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</row>
    <row r="962">
      <c r="A962" s="10"/>
      <c r="B962" s="10"/>
      <c r="C962" s="10"/>
      <c r="D962" s="10"/>
      <c r="E962" s="10"/>
      <c r="F962" s="10"/>
      <c r="G962" s="10"/>
      <c r="H962" s="199"/>
      <c r="I962" s="200"/>
      <c r="J962" s="201"/>
      <c r="K962" s="179"/>
      <c r="L962" s="10"/>
      <c r="M962" s="202"/>
      <c r="N962" s="203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</row>
    <row r="963">
      <c r="A963" s="10"/>
      <c r="B963" s="10"/>
      <c r="C963" s="10"/>
      <c r="D963" s="10"/>
      <c r="E963" s="10"/>
      <c r="F963" s="10"/>
      <c r="G963" s="10"/>
      <c r="H963" s="199"/>
      <c r="I963" s="200"/>
      <c r="J963" s="201"/>
      <c r="K963" s="179"/>
      <c r="L963" s="10"/>
      <c r="M963" s="202"/>
      <c r="N963" s="203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</row>
    <row r="964">
      <c r="A964" s="10"/>
      <c r="B964" s="10"/>
      <c r="C964" s="10"/>
      <c r="D964" s="10"/>
      <c r="E964" s="10"/>
      <c r="F964" s="10"/>
      <c r="G964" s="10"/>
      <c r="H964" s="199"/>
      <c r="I964" s="200"/>
      <c r="J964" s="201"/>
      <c r="K964" s="179"/>
      <c r="L964" s="10"/>
      <c r="M964" s="202"/>
      <c r="N964" s="203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</row>
    <row r="965">
      <c r="A965" s="10"/>
      <c r="B965" s="10"/>
      <c r="C965" s="10"/>
      <c r="D965" s="10"/>
      <c r="E965" s="10"/>
      <c r="F965" s="10"/>
      <c r="G965" s="10"/>
      <c r="H965" s="199"/>
      <c r="I965" s="200"/>
      <c r="J965" s="201"/>
      <c r="K965" s="179"/>
      <c r="L965" s="10"/>
      <c r="M965" s="202"/>
      <c r="N965" s="203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</row>
    <row r="966">
      <c r="A966" s="10"/>
      <c r="B966" s="10"/>
      <c r="C966" s="10"/>
      <c r="D966" s="10"/>
      <c r="E966" s="10"/>
      <c r="F966" s="10"/>
      <c r="G966" s="10"/>
      <c r="H966" s="199"/>
      <c r="I966" s="200"/>
      <c r="J966" s="201"/>
      <c r="K966" s="179"/>
      <c r="L966" s="10"/>
      <c r="M966" s="202"/>
      <c r="N966" s="203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</row>
    <row r="967">
      <c r="A967" s="10"/>
      <c r="B967" s="10"/>
      <c r="C967" s="10"/>
      <c r="D967" s="10"/>
      <c r="E967" s="10"/>
      <c r="F967" s="10"/>
      <c r="G967" s="10"/>
      <c r="H967" s="199"/>
      <c r="I967" s="200"/>
      <c r="J967" s="201"/>
      <c r="K967" s="179"/>
      <c r="L967" s="10"/>
      <c r="M967" s="202"/>
      <c r="N967" s="203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</row>
    <row r="968">
      <c r="A968" s="10"/>
      <c r="B968" s="10"/>
      <c r="C968" s="10"/>
      <c r="D968" s="10"/>
      <c r="E968" s="10"/>
      <c r="F968" s="10"/>
      <c r="G968" s="10"/>
      <c r="H968" s="199"/>
      <c r="I968" s="200"/>
      <c r="J968" s="201"/>
      <c r="K968" s="179"/>
      <c r="L968" s="10"/>
      <c r="M968" s="202"/>
      <c r="N968" s="203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</row>
    <row r="969">
      <c r="A969" s="10"/>
      <c r="B969" s="10"/>
      <c r="C969" s="10"/>
      <c r="D969" s="10"/>
      <c r="E969" s="10"/>
      <c r="F969" s="10"/>
      <c r="G969" s="10"/>
      <c r="H969" s="199"/>
      <c r="I969" s="200"/>
      <c r="J969" s="201"/>
      <c r="K969" s="179"/>
      <c r="L969" s="10"/>
      <c r="M969" s="202"/>
      <c r="N969" s="203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</row>
    <row r="970">
      <c r="A970" s="10"/>
      <c r="B970" s="10"/>
      <c r="C970" s="10"/>
      <c r="D970" s="10"/>
      <c r="E970" s="10"/>
      <c r="F970" s="10"/>
      <c r="G970" s="10"/>
      <c r="H970" s="199"/>
      <c r="I970" s="200"/>
      <c r="J970" s="201"/>
      <c r="K970" s="179"/>
      <c r="L970" s="10"/>
      <c r="M970" s="202"/>
      <c r="N970" s="203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</row>
    <row r="971">
      <c r="A971" s="10"/>
      <c r="B971" s="10"/>
      <c r="C971" s="10"/>
      <c r="D971" s="10"/>
      <c r="E971" s="10"/>
      <c r="F971" s="10"/>
      <c r="G971" s="10"/>
      <c r="H971" s="199"/>
      <c r="I971" s="200"/>
      <c r="J971" s="201"/>
      <c r="K971" s="179"/>
      <c r="L971" s="10"/>
      <c r="M971" s="202"/>
      <c r="N971" s="203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</row>
    <row r="972">
      <c r="A972" s="10"/>
      <c r="B972" s="10"/>
      <c r="C972" s="10"/>
      <c r="D972" s="10"/>
      <c r="E972" s="10"/>
      <c r="F972" s="10"/>
      <c r="G972" s="10"/>
      <c r="H972" s="199"/>
      <c r="I972" s="200"/>
      <c r="J972" s="201"/>
      <c r="K972" s="179"/>
      <c r="L972" s="10"/>
      <c r="M972" s="202"/>
      <c r="N972" s="203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</row>
    <row r="973">
      <c r="A973" s="10"/>
      <c r="B973" s="10"/>
      <c r="C973" s="10"/>
      <c r="D973" s="10"/>
      <c r="E973" s="10"/>
      <c r="F973" s="10"/>
      <c r="G973" s="10"/>
      <c r="H973" s="199"/>
      <c r="I973" s="200"/>
      <c r="J973" s="201"/>
      <c r="K973" s="179"/>
      <c r="L973" s="10"/>
      <c r="M973" s="202"/>
      <c r="N973" s="203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</row>
    <row r="974">
      <c r="A974" s="10"/>
      <c r="B974" s="10"/>
      <c r="C974" s="10"/>
      <c r="D974" s="10"/>
      <c r="E974" s="10"/>
      <c r="F974" s="10"/>
      <c r="G974" s="10"/>
      <c r="H974" s="199"/>
      <c r="I974" s="200"/>
      <c r="J974" s="201"/>
      <c r="K974" s="179"/>
      <c r="L974" s="10"/>
      <c r="M974" s="202"/>
      <c r="N974" s="203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</row>
    <row r="975">
      <c r="A975" s="10"/>
      <c r="B975" s="10"/>
      <c r="C975" s="10"/>
      <c r="D975" s="10"/>
      <c r="E975" s="10"/>
      <c r="F975" s="10"/>
      <c r="G975" s="10"/>
      <c r="H975" s="199"/>
      <c r="I975" s="200"/>
      <c r="J975" s="201"/>
      <c r="K975" s="179"/>
      <c r="L975" s="10"/>
      <c r="M975" s="202"/>
      <c r="N975" s="203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</row>
    <row r="976">
      <c r="A976" s="10"/>
      <c r="B976" s="10"/>
      <c r="C976" s="10"/>
      <c r="D976" s="10"/>
      <c r="E976" s="10"/>
      <c r="F976" s="10"/>
      <c r="G976" s="10"/>
      <c r="H976" s="199"/>
      <c r="I976" s="200"/>
      <c r="J976" s="201"/>
      <c r="K976" s="179"/>
      <c r="L976" s="10"/>
      <c r="M976" s="202"/>
      <c r="N976" s="203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</row>
    <row r="977">
      <c r="A977" s="10"/>
      <c r="B977" s="10"/>
      <c r="C977" s="10"/>
      <c r="D977" s="10"/>
      <c r="E977" s="10"/>
      <c r="F977" s="10"/>
      <c r="G977" s="10"/>
      <c r="H977" s="199"/>
      <c r="I977" s="200"/>
      <c r="J977" s="201"/>
      <c r="K977" s="179"/>
      <c r="L977" s="10"/>
      <c r="M977" s="202"/>
      <c r="N977" s="203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</row>
    <row r="978">
      <c r="A978" s="10"/>
      <c r="B978" s="10"/>
      <c r="C978" s="10"/>
      <c r="D978" s="10"/>
      <c r="E978" s="10"/>
      <c r="F978" s="10"/>
      <c r="G978" s="10"/>
      <c r="H978" s="199"/>
      <c r="I978" s="200"/>
      <c r="J978" s="201"/>
      <c r="K978" s="179"/>
      <c r="L978" s="10"/>
      <c r="M978" s="202"/>
      <c r="N978" s="203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</row>
    <row r="979">
      <c r="A979" s="10"/>
      <c r="B979" s="10"/>
      <c r="C979" s="10"/>
      <c r="D979" s="10"/>
      <c r="E979" s="10"/>
      <c r="F979" s="10"/>
      <c r="G979" s="10"/>
      <c r="H979" s="199"/>
      <c r="I979" s="200"/>
      <c r="J979" s="201"/>
      <c r="K979" s="179"/>
      <c r="L979" s="10"/>
      <c r="M979" s="202"/>
      <c r="N979" s="203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</row>
    <row r="980">
      <c r="A980" s="10"/>
      <c r="B980" s="10"/>
      <c r="C980" s="10"/>
      <c r="D980" s="10"/>
      <c r="E980" s="10"/>
      <c r="F980" s="10"/>
      <c r="G980" s="10"/>
      <c r="H980" s="199"/>
      <c r="I980" s="200"/>
      <c r="J980" s="201"/>
      <c r="K980" s="179"/>
      <c r="L980" s="10"/>
      <c r="M980" s="202"/>
      <c r="N980" s="203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</row>
    <row r="981">
      <c r="A981" s="10"/>
      <c r="B981" s="10"/>
      <c r="C981" s="10"/>
      <c r="D981" s="10"/>
      <c r="E981" s="10"/>
      <c r="F981" s="10"/>
      <c r="G981" s="10"/>
      <c r="H981" s="199"/>
      <c r="I981" s="200"/>
      <c r="J981" s="201"/>
      <c r="K981" s="179"/>
      <c r="L981" s="10"/>
      <c r="M981" s="202"/>
      <c r="N981" s="203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</row>
    <row r="982">
      <c r="A982" s="10"/>
      <c r="B982" s="10"/>
      <c r="C982" s="10"/>
      <c r="D982" s="10"/>
      <c r="E982" s="10"/>
      <c r="F982" s="10"/>
      <c r="G982" s="10"/>
      <c r="H982" s="199"/>
      <c r="I982" s="200"/>
      <c r="J982" s="201"/>
      <c r="K982" s="179"/>
      <c r="L982" s="10"/>
      <c r="M982" s="202"/>
      <c r="N982" s="203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</row>
    <row r="983">
      <c r="A983" s="10"/>
      <c r="B983" s="10"/>
      <c r="C983" s="10"/>
      <c r="D983" s="10"/>
      <c r="E983" s="10"/>
      <c r="F983" s="10"/>
      <c r="G983" s="10"/>
      <c r="H983" s="199"/>
      <c r="I983" s="200"/>
      <c r="J983" s="201"/>
      <c r="K983" s="179"/>
      <c r="L983" s="10"/>
      <c r="M983" s="202"/>
      <c r="N983" s="203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</row>
    <row r="984">
      <c r="A984" s="10"/>
      <c r="B984" s="10"/>
      <c r="C984" s="10"/>
      <c r="D984" s="10"/>
      <c r="E984" s="10"/>
      <c r="F984" s="10"/>
      <c r="G984" s="10"/>
      <c r="H984" s="199"/>
      <c r="I984" s="200"/>
      <c r="J984" s="201"/>
      <c r="K984" s="179"/>
      <c r="L984" s="10"/>
      <c r="M984" s="202"/>
      <c r="N984" s="203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</row>
    <row r="985">
      <c r="A985" s="10"/>
      <c r="B985" s="10"/>
      <c r="C985" s="10"/>
      <c r="D985" s="10"/>
      <c r="E985" s="10"/>
      <c r="F985" s="10"/>
      <c r="G985" s="10"/>
      <c r="H985" s="199"/>
      <c r="I985" s="200"/>
      <c r="J985" s="201"/>
      <c r="K985" s="179"/>
      <c r="L985" s="10"/>
      <c r="M985" s="202"/>
      <c r="N985" s="203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</row>
    <row r="986">
      <c r="A986" s="10"/>
      <c r="B986" s="10"/>
      <c r="C986" s="10"/>
      <c r="D986" s="10"/>
      <c r="E986" s="10"/>
      <c r="F986" s="10"/>
      <c r="G986" s="10"/>
      <c r="H986" s="199"/>
      <c r="I986" s="200"/>
      <c r="J986" s="201"/>
      <c r="K986" s="179"/>
      <c r="L986" s="10"/>
      <c r="M986" s="202"/>
      <c r="N986" s="203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</row>
    <row r="987">
      <c r="A987" s="10"/>
      <c r="B987" s="10"/>
      <c r="C987" s="10"/>
      <c r="D987" s="10"/>
      <c r="E987" s="10"/>
      <c r="F987" s="10"/>
      <c r="G987" s="10"/>
      <c r="H987" s="199"/>
      <c r="I987" s="200"/>
      <c r="J987" s="201"/>
      <c r="K987" s="179"/>
      <c r="L987" s="10"/>
      <c r="M987" s="202"/>
      <c r="N987" s="203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</row>
    <row r="988">
      <c r="A988" s="10"/>
      <c r="B988" s="10"/>
      <c r="C988" s="10"/>
      <c r="D988" s="10"/>
      <c r="E988" s="10"/>
      <c r="F988" s="10"/>
      <c r="G988" s="10"/>
      <c r="H988" s="199"/>
      <c r="I988" s="200"/>
      <c r="J988" s="201"/>
      <c r="K988" s="179"/>
      <c r="L988" s="10"/>
      <c r="M988" s="202"/>
      <c r="N988" s="203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</row>
    <row r="989">
      <c r="A989" s="10"/>
      <c r="B989" s="10"/>
      <c r="C989" s="10"/>
      <c r="D989" s="10"/>
      <c r="E989" s="10"/>
      <c r="F989" s="10"/>
      <c r="G989" s="10"/>
      <c r="H989" s="199"/>
      <c r="I989" s="200"/>
      <c r="J989" s="201"/>
      <c r="K989" s="179"/>
      <c r="L989" s="10"/>
      <c r="M989" s="202"/>
      <c r="N989" s="203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</row>
    <row r="990">
      <c r="A990" s="10"/>
      <c r="B990" s="10"/>
      <c r="C990" s="10"/>
      <c r="D990" s="10"/>
      <c r="E990" s="10"/>
      <c r="F990" s="10"/>
      <c r="G990" s="10"/>
      <c r="H990" s="199"/>
      <c r="I990" s="200"/>
      <c r="J990" s="201"/>
      <c r="K990" s="179"/>
      <c r="L990" s="10"/>
      <c r="M990" s="202"/>
      <c r="N990" s="203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</row>
    <row r="991">
      <c r="A991" s="10"/>
      <c r="B991" s="10"/>
      <c r="C991" s="10"/>
      <c r="D991" s="10"/>
      <c r="E991" s="10"/>
      <c r="F991" s="10"/>
      <c r="G991" s="10"/>
      <c r="H991" s="199"/>
      <c r="I991" s="200"/>
      <c r="J991" s="201"/>
      <c r="K991" s="179"/>
      <c r="L991" s="10"/>
      <c r="M991" s="202"/>
      <c r="N991" s="203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</row>
    <row r="992">
      <c r="A992" s="10"/>
      <c r="B992" s="10"/>
      <c r="C992" s="10"/>
      <c r="D992" s="10"/>
      <c r="E992" s="10"/>
      <c r="F992" s="10"/>
      <c r="G992" s="10"/>
      <c r="H992" s="199"/>
      <c r="I992" s="200"/>
      <c r="J992" s="201"/>
      <c r="K992" s="179"/>
      <c r="L992" s="10"/>
      <c r="M992" s="202"/>
      <c r="N992" s="203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</row>
    <row r="993">
      <c r="A993" s="10"/>
      <c r="B993" s="10"/>
      <c r="C993" s="10"/>
      <c r="D993" s="10"/>
      <c r="E993" s="10"/>
      <c r="F993" s="10"/>
      <c r="G993" s="10"/>
      <c r="H993" s="199"/>
      <c r="I993" s="200"/>
      <c r="J993" s="201"/>
      <c r="K993" s="179"/>
      <c r="L993" s="10"/>
      <c r="M993" s="202"/>
      <c r="N993" s="203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</row>
    <row r="994">
      <c r="A994" s="10"/>
      <c r="B994" s="10"/>
      <c r="C994" s="10"/>
      <c r="D994" s="10"/>
      <c r="E994" s="10"/>
      <c r="F994" s="10"/>
      <c r="G994" s="10"/>
      <c r="H994" s="199"/>
      <c r="I994" s="200"/>
      <c r="J994" s="201"/>
      <c r="K994" s="179"/>
      <c r="L994" s="10"/>
      <c r="M994" s="202"/>
      <c r="N994" s="203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</row>
    <row r="995">
      <c r="A995" s="10"/>
      <c r="B995" s="10"/>
      <c r="C995" s="10"/>
      <c r="D995" s="10"/>
      <c r="E995" s="10"/>
      <c r="F995" s="10"/>
      <c r="G995" s="10"/>
      <c r="H995" s="199"/>
      <c r="I995" s="200"/>
      <c r="J995" s="201"/>
      <c r="K995" s="179"/>
      <c r="L995" s="10"/>
      <c r="M995" s="202"/>
      <c r="N995" s="203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</row>
    <row r="996">
      <c r="A996" s="10"/>
      <c r="B996" s="10"/>
      <c r="C996" s="10"/>
      <c r="D996" s="10"/>
      <c r="E996" s="10"/>
      <c r="F996" s="10"/>
      <c r="G996" s="10"/>
      <c r="H996" s="199"/>
      <c r="I996" s="200"/>
      <c r="J996" s="201"/>
      <c r="K996" s="179"/>
      <c r="L996" s="10"/>
      <c r="M996" s="202"/>
      <c r="N996" s="203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</row>
    <row r="997">
      <c r="A997" s="10"/>
      <c r="B997" s="10"/>
      <c r="C997" s="10"/>
      <c r="D997" s="10"/>
      <c r="E997" s="10"/>
      <c r="F997" s="10"/>
      <c r="G997" s="10"/>
      <c r="H997" s="199"/>
      <c r="I997" s="200"/>
      <c r="J997" s="201"/>
      <c r="K997" s="179"/>
      <c r="L997" s="10"/>
      <c r="M997" s="202"/>
      <c r="N997" s="203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</row>
    <row r="998">
      <c r="A998" s="10"/>
      <c r="B998" s="10"/>
      <c r="C998" s="10"/>
      <c r="D998" s="10"/>
      <c r="E998" s="10"/>
      <c r="F998" s="10"/>
      <c r="G998" s="10"/>
      <c r="H998" s="199"/>
      <c r="I998" s="200"/>
      <c r="J998" s="201"/>
      <c r="K998" s="179"/>
      <c r="L998" s="10"/>
      <c r="M998" s="202"/>
      <c r="N998" s="203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</row>
    <row r="999">
      <c r="A999" s="10"/>
      <c r="B999" s="10"/>
      <c r="C999" s="10"/>
      <c r="D999" s="10"/>
      <c r="E999" s="10"/>
      <c r="F999" s="10"/>
      <c r="G999" s="10"/>
      <c r="H999" s="199"/>
      <c r="I999" s="200"/>
      <c r="J999" s="201"/>
      <c r="K999" s="179"/>
      <c r="L999" s="10"/>
      <c r="M999" s="202"/>
      <c r="N999" s="203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</row>
    <row r="1000">
      <c r="A1000" s="10"/>
      <c r="B1000" s="10"/>
      <c r="C1000" s="10"/>
      <c r="D1000" s="10"/>
      <c r="E1000" s="10"/>
      <c r="F1000" s="10"/>
      <c r="G1000" s="10"/>
      <c r="H1000" s="199"/>
      <c r="I1000" s="200"/>
      <c r="J1000" s="201"/>
      <c r="K1000" s="179"/>
      <c r="L1000" s="10"/>
      <c r="M1000" s="202"/>
      <c r="N1000" s="203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</row>
    <row r="1001">
      <c r="A1001" s="10"/>
      <c r="B1001" s="10"/>
      <c r="C1001" s="10"/>
      <c r="D1001" s="10"/>
      <c r="E1001" s="10"/>
      <c r="F1001" s="10"/>
      <c r="G1001" s="10"/>
      <c r="H1001" s="199"/>
      <c r="I1001" s="200"/>
      <c r="J1001" s="201"/>
      <c r="K1001" s="179"/>
      <c r="L1001" s="10"/>
      <c r="M1001" s="202"/>
      <c r="N1001" s="203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</row>
    <row r="1002">
      <c r="A1002" s="10"/>
      <c r="B1002" s="10"/>
      <c r="C1002" s="10"/>
      <c r="D1002" s="10"/>
      <c r="E1002" s="10"/>
      <c r="F1002" s="10"/>
      <c r="G1002" s="10"/>
      <c r="H1002" s="199"/>
      <c r="I1002" s="200"/>
      <c r="J1002" s="201"/>
      <c r="K1002" s="179"/>
      <c r="L1002" s="10"/>
      <c r="M1002" s="202"/>
      <c r="N1002" s="203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</row>
    <row r="1003">
      <c r="A1003" s="10"/>
      <c r="B1003" s="10"/>
      <c r="C1003" s="10"/>
      <c r="D1003" s="10"/>
      <c r="E1003" s="10"/>
      <c r="F1003" s="10"/>
      <c r="G1003" s="10"/>
      <c r="H1003" s="199"/>
      <c r="I1003" s="200"/>
      <c r="J1003" s="201"/>
      <c r="K1003" s="179"/>
      <c r="L1003" s="10"/>
      <c r="M1003" s="202"/>
      <c r="N1003" s="203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</row>
    <row r="1004">
      <c r="A1004" s="10"/>
      <c r="B1004" s="10"/>
      <c r="C1004" s="10"/>
      <c r="D1004" s="10"/>
      <c r="E1004" s="10"/>
      <c r="F1004" s="10"/>
      <c r="G1004" s="10"/>
      <c r="H1004" s="199"/>
      <c r="I1004" s="200"/>
      <c r="J1004" s="201"/>
      <c r="K1004" s="179"/>
      <c r="L1004" s="10"/>
      <c r="M1004" s="202"/>
      <c r="N1004" s="203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</row>
    <row r="1005">
      <c r="A1005" s="10"/>
      <c r="B1005" s="10"/>
      <c r="C1005" s="10"/>
      <c r="D1005" s="10"/>
      <c r="E1005" s="10"/>
      <c r="F1005" s="10"/>
      <c r="G1005" s="10"/>
      <c r="H1005" s="199"/>
      <c r="I1005" s="200"/>
      <c r="J1005" s="201"/>
      <c r="K1005" s="179"/>
      <c r="L1005" s="10"/>
      <c r="M1005" s="202"/>
      <c r="N1005" s="203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</row>
    <row r="1006">
      <c r="A1006" s="10"/>
      <c r="B1006" s="10"/>
      <c r="C1006" s="10"/>
      <c r="D1006" s="10"/>
      <c r="E1006" s="10"/>
      <c r="F1006" s="10"/>
      <c r="G1006" s="10"/>
      <c r="H1006" s="199"/>
      <c r="I1006" s="200"/>
      <c r="J1006" s="201"/>
      <c r="K1006" s="179"/>
      <c r="L1006" s="10"/>
      <c r="M1006" s="202"/>
      <c r="N1006" s="203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</row>
    <row r="1007">
      <c r="A1007" s="10"/>
      <c r="B1007" s="10"/>
      <c r="C1007" s="10"/>
      <c r="D1007" s="10"/>
      <c r="E1007" s="10"/>
      <c r="F1007" s="10"/>
      <c r="G1007" s="10"/>
      <c r="H1007" s="199"/>
      <c r="I1007" s="200"/>
      <c r="J1007" s="201"/>
      <c r="K1007" s="179"/>
      <c r="L1007" s="10"/>
      <c r="M1007" s="202"/>
      <c r="N1007" s="203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</row>
    <row r="1008">
      <c r="A1008" s="10"/>
      <c r="B1008" s="10"/>
      <c r="C1008" s="10"/>
      <c r="D1008" s="10"/>
      <c r="E1008" s="10"/>
      <c r="F1008" s="10"/>
      <c r="G1008" s="10"/>
      <c r="H1008" s="199"/>
      <c r="I1008" s="200"/>
      <c r="J1008" s="201"/>
      <c r="K1008" s="179"/>
      <c r="L1008" s="10"/>
      <c r="M1008" s="202"/>
      <c r="N1008" s="203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</row>
    <row r="1009">
      <c r="A1009" s="10"/>
      <c r="B1009" s="10"/>
      <c r="C1009" s="10"/>
      <c r="D1009" s="10"/>
      <c r="E1009" s="10"/>
      <c r="F1009" s="10"/>
      <c r="G1009" s="10"/>
      <c r="H1009" s="199"/>
      <c r="I1009" s="200"/>
      <c r="J1009" s="201"/>
      <c r="K1009" s="179"/>
      <c r="L1009" s="10"/>
      <c r="M1009" s="202"/>
      <c r="N1009" s="203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</row>
    <row r="1010">
      <c r="A1010" s="10"/>
      <c r="B1010" s="10"/>
      <c r="C1010" s="10"/>
      <c r="D1010" s="10"/>
      <c r="E1010" s="10"/>
      <c r="F1010" s="10"/>
      <c r="G1010" s="10"/>
      <c r="H1010" s="199"/>
      <c r="I1010" s="200"/>
      <c r="J1010" s="201"/>
      <c r="K1010" s="179"/>
      <c r="L1010" s="10"/>
      <c r="M1010" s="202"/>
      <c r="N1010" s="203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</row>
    <row r="1011">
      <c r="A1011" s="10"/>
      <c r="B1011" s="10"/>
      <c r="C1011" s="10"/>
      <c r="D1011" s="10"/>
      <c r="E1011" s="10"/>
      <c r="F1011" s="10"/>
      <c r="G1011" s="10"/>
      <c r="H1011" s="199"/>
      <c r="I1011" s="200"/>
      <c r="J1011" s="201"/>
      <c r="K1011" s="179"/>
      <c r="L1011" s="10"/>
      <c r="M1011" s="202"/>
      <c r="N1011" s="203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</row>
    <row r="1012">
      <c r="A1012" s="10"/>
      <c r="B1012" s="10"/>
      <c r="C1012" s="10"/>
      <c r="D1012" s="10"/>
      <c r="E1012" s="10"/>
      <c r="F1012" s="10"/>
      <c r="G1012" s="10"/>
      <c r="H1012" s="199"/>
      <c r="I1012" s="200"/>
      <c r="J1012" s="201"/>
      <c r="K1012" s="179"/>
      <c r="L1012" s="10"/>
      <c r="M1012" s="202"/>
      <c r="N1012" s="203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</row>
    <row r="1013">
      <c r="A1013" s="10"/>
      <c r="B1013" s="10"/>
      <c r="C1013" s="10"/>
      <c r="D1013" s="10"/>
      <c r="E1013" s="10"/>
      <c r="F1013" s="10"/>
      <c r="G1013" s="10"/>
      <c r="H1013" s="199"/>
      <c r="I1013" s="200"/>
      <c r="J1013" s="201"/>
      <c r="K1013" s="179"/>
      <c r="L1013" s="10"/>
      <c r="M1013" s="202"/>
      <c r="N1013" s="203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</row>
    <row r="1014">
      <c r="A1014" s="10"/>
      <c r="B1014" s="10"/>
      <c r="C1014" s="10"/>
      <c r="D1014" s="10"/>
      <c r="E1014" s="10"/>
      <c r="F1014" s="10"/>
      <c r="G1014" s="10"/>
      <c r="H1014" s="199"/>
      <c r="I1014" s="200"/>
      <c r="J1014" s="201"/>
      <c r="K1014" s="179"/>
      <c r="L1014" s="10"/>
      <c r="M1014" s="202"/>
      <c r="N1014" s="203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</row>
    <row r="1015">
      <c r="A1015" s="10"/>
      <c r="B1015" s="10"/>
      <c r="C1015" s="10"/>
      <c r="D1015" s="10"/>
      <c r="E1015" s="10"/>
      <c r="F1015" s="10"/>
      <c r="G1015" s="10"/>
      <c r="H1015" s="199"/>
      <c r="I1015" s="200"/>
      <c r="J1015" s="201"/>
      <c r="K1015" s="179"/>
      <c r="L1015" s="10"/>
      <c r="M1015" s="202"/>
      <c r="N1015" s="203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</row>
    <row r="1016">
      <c r="A1016" s="10"/>
      <c r="B1016" s="10"/>
      <c r="C1016" s="10"/>
      <c r="D1016" s="10"/>
      <c r="E1016" s="10"/>
      <c r="F1016" s="10"/>
      <c r="G1016" s="10"/>
      <c r="H1016" s="199"/>
      <c r="I1016" s="200"/>
      <c r="J1016" s="201"/>
      <c r="K1016" s="179"/>
      <c r="L1016" s="10"/>
      <c r="M1016" s="202"/>
      <c r="N1016" s="203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</row>
    <row r="1017">
      <c r="A1017" s="10"/>
      <c r="B1017" s="10"/>
      <c r="C1017" s="10"/>
      <c r="D1017" s="10"/>
      <c r="E1017" s="10"/>
      <c r="F1017" s="10"/>
      <c r="G1017" s="10"/>
      <c r="H1017" s="199"/>
      <c r="I1017" s="200"/>
      <c r="J1017" s="201"/>
      <c r="K1017" s="179"/>
      <c r="L1017" s="10"/>
      <c r="M1017" s="202"/>
      <c r="N1017" s="203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</row>
    <row r="1018">
      <c r="A1018" s="10"/>
      <c r="B1018" s="10"/>
      <c r="C1018" s="10"/>
      <c r="D1018" s="10"/>
      <c r="E1018" s="10"/>
      <c r="F1018" s="10"/>
      <c r="G1018" s="10"/>
      <c r="H1018" s="199"/>
      <c r="I1018" s="200"/>
      <c r="J1018" s="201"/>
      <c r="K1018" s="179"/>
      <c r="L1018" s="10"/>
      <c r="M1018" s="202"/>
      <c r="N1018" s="203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</row>
    <row r="1019">
      <c r="A1019" s="10"/>
      <c r="B1019" s="10"/>
      <c r="C1019" s="10"/>
      <c r="D1019" s="10"/>
      <c r="E1019" s="10"/>
      <c r="F1019" s="10"/>
      <c r="G1019" s="10"/>
      <c r="H1019" s="199"/>
      <c r="I1019" s="200"/>
      <c r="J1019" s="201"/>
      <c r="K1019" s="179"/>
      <c r="L1019" s="10"/>
      <c r="M1019" s="202"/>
      <c r="N1019" s="203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</row>
    <row r="1020">
      <c r="A1020" s="10"/>
      <c r="B1020" s="10"/>
      <c r="C1020" s="10"/>
      <c r="D1020" s="10"/>
      <c r="E1020" s="10"/>
      <c r="F1020" s="10"/>
      <c r="G1020" s="10"/>
      <c r="H1020" s="199"/>
      <c r="I1020" s="200"/>
      <c r="J1020" s="201"/>
      <c r="K1020" s="179"/>
      <c r="L1020" s="10"/>
      <c r="M1020" s="202"/>
      <c r="N1020" s="203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</row>
    <row r="1021">
      <c r="A1021" s="10"/>
      <c r="B1021" s="10"/>
      <c r="C1021" s="10"/>
      <c r="D1021" s="10"/>
      <c r="E1021" s="10"/>
      <c r="F1021" s="10"/>
      <c r="G1021" s="10"/>
      <c r="H1021" s="199"/>
      <c r="I1021" s="200"/>
      <c r="J1021" s="201"/>
      <c r="K1021" s="179"/>
      <c r="L1021" s="10"/>
      <c r="M1021" s="202"/>
      <c r="N1021" s="203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</row>
    <row r="1022">
      <c r="A1022" s="10"/>
      <c r="B1022" s="10"/>
      <c r="C1022" s="10"/>
      <c r="D1022" s="10"/>
      <c r="E1022" s="10"/>
      <c r="F1022" s="10"/>
      <c r="G1022" s="10"/>
      <c r="H1022" s="199"/>
      <c r="I1022" s="200"/>
      <c r="J1022" s="201"/>
      <c r="K1022" s="179"/>
      <c r="L1022" s="10"/>
      <c r="M1022" s="202"/>
      <c r="N1022" s="203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</row>
    <row r="1023">
      <c r="A1023" s="10"/>
      <c r="B1023" s="10"/>
      <c r="C1023" s="10"/>
      <c r="D1023" s="10"/>
      <c r="E1023" s="10"/>
      <c r="F1023" s="10"/>
      <c r="G1023" s="10"/>
      <c r="H1023" s="199"/>
      <c r="I1023" s="200"/>
      <c r="J1023" s="201"/>
      <c r="K1023" s="179"/>
      <c r="L1023" s="10"/>
      <c r="M1023" s="202"/>
      <c r="N1023" s="203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</row>
    <row r="1024">
      <c r="A1024" s="10"/>
      <c r="B1024" s="10"/>
      <c r="C1024" s="10"/>
      <c r="D1024" s="10"/>
      <c r="E1024" s="10"/>
      <c r="F1024" s="10"/>
      <c r="G1024" s="10"/>
      <c r="H1024" s="199"/>
      <c r="I1024" s="200"/>
      <c r="J1024" s="201"/>
      <c r="K1024" s="179"/>
      <c r="L1024" s="10"/>
      <c r="M1024" s="202"/>
      <c r="N1024" s="203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</row>
    <row r="1025">
      <c r="A1025" s="10"/>
      <c r="B1025" s="10"/>
      <c r="C1025" s="10"/>
      <c r="D1025" s="10"/>
      <c r="E1025" s="10"/>
      <c r="F1025" s="10"/>
      <c r="G1025" s="10"/>
      <c r="H1025" s="199"/>
      <c r="I1025" s="200"/>
      <c r="J1025" s="201"/>
      <c r="K1025" s="179"/>
      <c r="L1025" s="10"/>
      <c r="M1025" s="202"/>
      <c r="N1025" s="203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</row>
    <row r="1026">
      <c r="A1026" s="10"/>
      <c r="B1026" s="10"/>
      <c r="C1026" s="10"/>
      <c r="D1026" s="10"/>
      <c r="E1026" s="10"/>
      <c r="F1026" s="10"/>
      <c r="G1026" s="10"/>
      <c r="H1026" s="199"/>
      <c r="I1026" s="200"/>
      <c r="J1026" s="201"/>
      <c r="K1026" s="179"/>
      <c r="L1026" s="10"/>
      <c r="M1026" s="202"/>
      <c r="N1026" s="203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</row>
    <row r="1027">
      <c r="A1027" s="10"/>
      <c r="B1027" s="10"/>
      <c r="C1027" s="10"/>
      <c r="D1027" s="10"/>
      <c r="E1027" s="10"/>
      <c r="F1027" s="10"/>
      <c r="G1027" s="10"/>
      <c r="H1027" s="199"/>
      <c r="I1027" s="200"/>
      <c r="J1027" s="201"/>
      <c r="K1027" s="179"/>
      <c r="L1027" s="10"/>
      <c r="M1027" s="202"/>
      <c r="N1027" s="203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</row>
    <row r="1028">
      <c r="A1028" s="10"/>
      <c r="B1028" s="10"/>
      <c r="C1028" s="10"/>
      <c r="D1028" s="10"/>
      <c r="E1028" s="10"/>
      <c r="F1028" s="10"/>
      <c r="G1028" s="10"/>
      <c r="H1028" s="199"/>
      <c r="I1028" s="200"/>
      <c r="J1028" s="201"/>
      <c r="K1028" s="179"/>
      <c r="L1028" s="10"/>
      <c r="M1028" s="202"/>
      <c r="N1028" s="203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</row>
    <row r="1029">
      <c r="A1029" s="10"/>
      <c r="B1029" s="10"/>
      <c r="C1029" s="10"/>
      <c r="D1029" s="10"/>
      <c r="E1029" s="10"/>
      <c r="F1029" s="10"/>
      <c r="G1029" s="10"/>
      <c r="H1029" s="199"/>
      <c r="I1029" s="200"/>
      <c r="J1029" s="201"/>
      <c r="K1029" s="179"/>
      <c r="L1029" s="10"/>
      <c r="M1029" s="202"/>
      <c r="N1029" s="203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</row>
    <row r="1030">
      <c r="A1030" s="10"/>
      <c r="B1030" s="10"/>
      <c r="C1030" s="10"/>
      <c r="D1030" s="10"/>
      <c r="E1030" s="10"/>
      <c r="F1030" s="10"/>
      <c r="G1030" s="10"/>
      <c r="H1030" s="199"/>
      <c r="I1030" s="200"/>
      <c r="J1030" s="201"/>
      <c r="K1030" s="179"/>
      <c r="L1030" s="10"/>
      <c r="M1030" s="202"/>
      <c r="N1030" s="203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</row>
    <row r="1031">
      <c r="A1031" s="10"/>
      <c r="B1031" s="10"/>
      <c r="C1031" s="10"/>
      <c r="D1031" s="10"/>
      <c r="E1031" s="10"/>
      <c r="F1031" s="10"/>
      <c r="G1031" s="10"/>
      <c r="H1031" s="199"/>
      <c r="I1031" s="200"/>
      <c r="J1031" s="201"/>
      <c r="K1031" s="179"/>
      <c r="L1031" s="10"/>
      <c r="M1031" s="202"/>
      <c r="N1031" s="203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</row>
    <row r="1032">
      <c r="A1032" s="10"/>
      <c r="B1032" s="10"/>
      <c r="C1032" s="10"/>
      <c r="D1032" s="10"/>
      <c r="E1032" s="10"/>
      <c r="F1032" s="10"/>
      <c r="G1032" s="10"/>
      <c r="H1032" s="199"/>
      <c r="I1032" s="200"/>
      <c r="J1032" s="201"/>
      <c r="K1032" s="179"/>
      <c r="L1032" s="10"/>
      <c r="M1032" s="202"/>
      <c r="N1032" s="203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</row>
    <row r="1033">
      <c r="A1033" s="10"/>
      <c r="B1033" s="10"/>
      <c r="C1033" s="10"/>
      <c r="D1033" s="10"/>
      <c r="E1033" s="10"/>
      <c r="F1033" s="10"/>
      <c r="G1033" s="10"/>
      <c r="H1033" s="199"/>
      <c r="I1033" s="200"/>
      <c r="J1033" s="201"/>
      <c r="K1033" s="179"/>
      <c r="L1033" s="10"/>
      <c r="M1033" s="202"/>
      <c r="N1033" s="203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</row>
    <row r="1034">
      <c r="A1034" s="10"/>
      <c r="B1034" s="10"/>
      <c r="C1034" s="10"/>
      <c r="D1034" s="10"/>
      <c r="E1034" s="10"/>
      <c r="F1034" s="10"/>
      <c r="G1034" s="10"/>
      <c r="H1034" s="199"/>
      <c r="I1034" s="200"/>
      <c r="J1034" s="201"/>
      <c r="K1034" s="179"/>
      <c r="L1034" s="10"/>
      <c r="M1034" s="202"/>
      <c r="N1034" s="203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</row>
    <row r="1035">
      <c r="A1035" s="10"/>
      <c r="B1035" s="10"/>
      <c r="C1035" s="10"/>
      <c r="D1035" s="10"/>
      <c r="E1035" s="10"/>
      <c r="F1035" s="10"/>
      <c r="G1035" s="10"/>
      <c r="H1035" s="199"/>
      <c r="I1035" s="200"/>
      <c r="J1035" s="201"/>
      <c r="K1035" s="179"/>
      <c r="L1035" s="10"/>
      <c r="M1035" s="202"/>
      <c r="N1035" s="203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</row>
    <row r="1036">
      <c r="A1036" s="10"/>
      <c r="B1036" s="10"/>
      <c r="C1036" s="10"/>
      <c r="D1036" s="10"/>
      <c r="E1036" s="10"/>
      <c r="F1036" s="10"/>
      <c r="G1036" s="10"/>
      <c r="H1036" s="199"/>
      <c r="I1036" s="200"/>
      <c r="J1036" s="201"/>
      <c r="K1036" s="179"/>
      <c r="L1036" s="10"/>
      <c r="M1036" s="202"/>
      <c r="N1036" s="203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</row>
    <row r="1037">
      <c r="A1037" s="10"/>
      <c r="B1037" s="10"/>
      <c r="C1037" s="10"/>
      <c r="D1037" s="10"/>
      <c r="E1037" s="10"/>
      <c r="F1037" s="10"/>
      <c r="G1037" s="10"/>
      <c r="H1037" s="199"/>
      <c r="I1037" s="200"/>
      <c r="J1037" s="201"/>
      <c r="K1037" s="179"/>
      <c r="L1037" s="10"/>
      <c r="M1037" s="202"/>
      <c r="N1037" s="203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</row>
    <row r="1038">
      <c r="A1038" s="10"/>
      <c r="B1038" s="10"/>
      <c r="C1038" s="10"/>
      <c r="D1038" s="10"/>
      <c r="E1038" s="10"/>
      <c r="F1038" s="10"/>
      <c r="G1038" s="10"/>
      <c r="H1038" s="199"/>
      <c r="I1038" s="200"/>
      <c r="J1038" s="201"/>
      <c r="K1038" s="179"/>
      <c r="L1038" s="10"/>
      <c r="M1038" s="202"/>
      <c r="N1038" s="203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</row>
    <row r="1039">
      <c r="A1039" s="10"/>
      <c r="B1039" s="10"/>
      <c r="C1039" s="10"/>
      <c r="D1039" s="10"/>
      <c r="E1039" s="10"/>
      <c r="F1039" s="10"/>
      <c r="G1039" s="10"/>
      <c r="H1039" s="199"/>
      <c r="I1039" s="200"/>
      <c r="J1039" s="201"/>
      <c r="K1039" s="179"/>
      <c r="L1039" s="10"/>
      <c r="M1039" s="202"/>
      <c r="N1039" s="203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</row>
    <row r="1040">
      <c r="A1040" s="10"/>
      <c r="B1040" s="10"/>
      <c r="C1040" s="10"/>
      <c r="D1040" s="10"/>
      <c r="E1040" s="10"/>
      <c r="F1040" s="10"/>
      <c r="G1040" s="10"/>
      <c r="H1040" s="199"/>
      <c r="I1040" s="200"/>
      <c r="J1040" s="201"/>
      <c r="K1040" s="179"/>
      <c r="L1040" s="10"/>
      <c r="M1040" s="202"/>
      <c r="N1040" s="203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</row>
    <row r="1041">
      <c r="A1041" s="10"/>
      <c r="B1041" s="10"/>
      <c r="C1041" s="10"/>
      <c r="D1041" s="10"/>
      <c r="E1041" s="10"/>
      <c r="F1041" s="10"/>
      <c r="G1041" s="10"/>
      <c r="H1041" s="199"/>
      <c r="I1041" s="200"/>
      <c r="J1041" s="201"/>
      <c r="K1041" s="179"/>
      <c r="L1041" s="10"/>
      <c r="M1041" s="202"/>
      <c r="N1041" s="203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</row>
    <row r="1042">
      <c r="A1042" s="10"/>
      <c r="B1042" s="10"/>
      <c r="C1042" s="10"/>
      <c r="D1042" s="10"/>
      <c r="E1042" s="10"/>
      <c r="F1042" s="10"/>
      <c r="G1042" s="10"/>
      <c r="H1042" s="199"/>
      <c r="I1042" s="200"/>
      <c r="J1042" s="201"/>
      <c r="K1042" s="179"/>
      <c r="L1042" s="10"/>
      <c r="M1042" s="202"/>
      <c r="N1042" s="203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</row>
    <row r="1043">
      <c r="A1043" s="10"/>
      <c r="B1043" s="10"/>
      <c r="C1043" s="10"/>
      <c r="D1043" s="10"/>
      <c r="E1043" s="10"/>
      <c r="F1043" s="10"/>
      <c r="G1043" s="10"/>
      <c r="H1043" s="199"/>
      <c r="I1043" s="200"/>
      <c r="J1043" s="201"/>
      <c r="K1043" s="179"/>
      <c r="L1043" s="10"/>
      <c r="M1043" s="202"/>
      <c r="N1043" s="203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</row>
    <row r="1044">
      <c r="A1044" s="10"/>
      <c r="B1044" s="10"/>
      <c r="C1044" s="10"/>
      <c r="D1044" s="10"/>
      <c r="E1044" s="10"/>
      <c r="F1044" s="10"/>
      <c r="G1044" s="10"/>
      <c r="H1044" s="199"/>
      <c r="I1044" s="200"/>
      <c r="J1044" s="201"/>
      <c r="K1044" s="179"/>
      <c r="L1044" s="10"/>
      <c r="M1044" s="202"/>
      <c r="N1044" s="203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</row>
    <row r="1045">
      <c r="A1045" s="10"/>
      <c r="B1045" s="10"/>
      <c r="C1045" s="10"/>
      <c r="D1045" s="10"/>
      <c r="E1045" s="10"/>
      <c r="F1045" s="10"/>
      <c r="G1045" s="10"/>
      <c r="H1045" s="199"/>
      <c r="I1045" s="200"/>
      <c r="J1045" s="201"/>
      <c r="K1045" s="179"/>
      <c r="L1045" s="10"/>
      <c r="M1045" s="202"/>
      <c r="N1045" s="203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</row>
    <row r="1046">
      <c r="A1046" s="10"/>
      <c r="B1046" s="10"/>
      <c r="C1046" s="10"/>
      <c r="D1046" s="10"/>
      <c r="E1046" s="10"/>
      <c r="F1046" s="10"/>
      <c r="G1046" s="10"/>
      <c r="H1046" s="199"/>
      <c r="I1046" s="200"/>
      <c r="J1046" s="201"/>
      <c r="K1046" s="179"/>
      <c r="L1046" s="10"/>
      <c r="M1046" s="202"/>
      <c r="N1046" s="203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</row>
    <row r="1047">
      <c r="A1047" s="10"/>
      <c r="B1047" s="10"/>
      <c r="C1047" s="10"/>
      <c r="D1047" s="10"/>
      <c r="E1047" s="10"/>
      <c r="F1047" s="10"/>
      <c r="G1047" s="10"/>
      <c r="H1047" s="199"/>
      <c r="I1047" s="200"/>
      <c r="J1047" s="201"/>
      <c r="K1047" s="179"/>
      <c r="L1047" s="10"/>
      <c r="M1047" s="202"/>
      <c r="N1047" s="203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</row>
    <row r="1048">
      <c r="A1048" s="10"/>
      <c r="B1048" s="10"/>
      <c r="C1048" s="10"/>
      <c r="D1048" s="10"/>
      <c r="E1048" s="10"/>
      <c r="F1048" s="10"/>
      <c r="G1048" s="10"/>
      <c r="H1048" s="199"/>
      <c r="I1048" s="200"/>
      <c r="J1048" s="201"/>
      <c r="K1048" s="179"/>
      <c r="L1048" s="10"/>
      <c r="M1048" s="202"/>
      <c r="N1048" s="203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</row>
    <row r="1049">
      <c r="A1049" s="10"/>
      <c r="B1049" s="10"/>
      <c r="C1049" s="10"/>
      <c r="D1049" s="10"/>
      <c r="E1049" s="10"/>
      <c r="F1049" s="10"/>
      <c r="G1049" s="10"/>
      <c r="H1049" s="199"/>
      <c r="I1049" s="200"/>
      <c r="J1049" s="201"/>
      <c r="K1049" s="179"/>
      <c r="L1049" s="10"/>
      <c r="M1049" s="202"/>
      <c r="N1049" s="203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</row>
    <row r="1050">
      <c r="A1050" s="10"/>
      <c r="B1050" s="10"/>
      <c r="C1050" s="10"/>
      <c r="D1050" s="10"/>
      <c r="E1050" s="10"/>
      <c r="F1050" s="10"/>
      <c r="G1050" s="10"/>
      <c r="H1050" s="199"/>
      <c r="I1050" s="200"/>
      <c r="J1050" s="201"/>
      <c r="K1050" s="179"/>
      <c r="L1050" s="10"/>
      <c r="M1050" s="202"/>
      <c r="N1050" s="203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</row>
    <row r="1051">
      <c r="A1051" s="10"/>
      <c r="B1051" s="10"/>
      <c r="C1051" s="10"/>
      <c r="D1051" s="10"/>
      <c r="E1051" s="10"/>
      <c r="F1051" s="10"/>
      <c r="G1051" s="10"/>
      <c r="H1051" s="199"/>
      <c r="I1051" s="200"/>
      <c r="J1051" s="201"/>
      <c r="K1051" s="179"/>
      <c r="L1051" s="10"/>
      <c r="M1051" s="202"/>
      <c r="N1051" s="203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</row>
    <row r="1052">
      <c r="A1052" s="10"/>
      <c r="B1052" s="10"/>
      <c r="C1052" s="10"/>
      <c r="D1052" s="10"/>
      <c r="E1052" s="10"/>
      <c r="F1052" s="10"/>
      <c r="G1052" s="10"/>
      <c r="H1052" s="199"/>
      <c r="I1052" s="200"/>
      <c r="J1052" s="201"/>
      <c r="K1052" s="179"/>
      <c r="L1052" s="10"/>
      <c r="M1052" s="202"/>
      <c r="N1052" s="203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</row>
    <row r="1053">
      <c r="A1053" s="10"/>
      <c r="B1053" s="10"/>
      <c r="C1053" s="10"/>
      <c r="D1053" s="10"/>
      <c r="E1053" s="10"/>
      <c r="F1053" s="10"/>
      <c r="G1053" s="10"/>
      <c r="H1053" s="199"/>
      <c r="I1053" s="200"/>
      <c r="J1053" s="201"/>
      <c r="K1053" s="179"/>
      <c r="L1053" s="10"/>
      <c r="M1053" s="202"/>
      <c r="N1053" s="203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</row>
    <row r="1054">
      <c r="A1054" s="10"/>
      <c r="B1054" s="10"/>
      <c r="C1054" s="10"/>
      <c r="D1054" s="10"/>
      <c r="E1054" s="10"/>
      <c r="F1054" s="10"/>
      <c r="G1054" s="10"/>
      <c r="H1054" s="199"/>
      <c r="I1054" s="200"/>
      <c r="J1054" s="201"/>
      <c r="K1054" s="179"/>
      <c r="L1054" s="10"/>
      <c r="M1054" s="202"/>
      <c r="N1054" s="203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</row>
    <row r="1055">
      <c r="A1055" s="10"/>
      <c r="B1055" s="10"/>
      <c r="C1055" s="10"/>
      <c r="D1055" s="10"/>
      <c r="E1055" s="10"/>
      <c r="F1055" s="10"/>
      <c r="G1055" s="10"/>
      <c r="H1055" s="199"/>
      <c r="I1055" s="200"/>
      <c r="J1055" s="201"/>
      <c r="K1055" s="179"/>
      <c r="L1055" s="10"/>
      <c r="M1055" s="202"/>
      <c r="N1055" s="203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</row>
    <row r="1056">
      <c r="A1056" s="10"/>
      <c r="B1056" s="10"/>
      <c r="C1056" s="10"/>
      <c r="D1056" s="10"/>
      <c r="E1056" s="10"/>
      <c r="F1056" s="10"/>
      <c r="G1056" s="10"/>
      <c r="H1056" s="199"/>
      <c r="I1056" s="200"/>
      <c r="J1056" s="201"/>
      <c r="K1056" s="179"/>
      <c r="L1056" s="10"/>
      <c r="M1056" s="202"/>
      <c r="N1056" s="203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</row>
    <row r="1057">
      <c r="A1057" s="10"/>
      <c r="B1057" s="10"/>
      <c r="C1057" s="10"/>
      <c r="D1057" s="10"/>
      <c r="E1057" s="10"/>
      <c r="F1057" s="10"/>
      <c r="G1057" s="10"/>
      <c r="H1057" s="199"/>
      <c r="I1057" s="200"/>
      <c r="J1057" s="201"/>
      <c r="K1057" s="179"/>
      <c r="L1057" s="10"/>
      <c r="M1057" s="202"/>
      <c r="N1057" s="203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</row>
    <row r="1058">
      <c r="A1058" s="10"/>
      <c r="B1058" s="10"/>
      <c r="C1058" s="10"/>
      <c r="D1058" s="10"/>
      <c r="E1058" s="10"/>
      <c r="F1058" s="10"/>
      <c r="G1058" s="10"/>
      <c r="H1058" s="199"/>
      <c r="I1058" s="200"/>
      <c r="J1058" s="201"/>
      <c r="K1058" s="179"/>
      <c r="L1058" s="10"/>
      <c r="M1058" s="202"/>
      <c r="N1058" s="203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</row>
    <row r="1059">
      <c r="A1059" s="10"/>
      <c r="B1059" s="10"/>
      <c r="C1059" s="10"/>
      <c r="D1059" s="10"/>
      <c r="E1059" s="10"/>
      <c r="F1059" s="10"/>
      <c r="G1059" s="10"/>
      <c r="H1059" s="199"/>
      <c r="I1059" s="200"/>
      <c r="J1059" s="201"/>
      <c r="K1059" s="179"/>
      <c r="L1059" s="10"/>
      <c r="M1059" s="202"/>
      <c r="N1059" s="203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</row>
    <row r="1060">
      <c r="A1060" s="10"/>
      <c r="B1060" s="10"/>
      <c r="C1060" s="10"/>
      <c r="D1060" s="10"/>
      <c r="E1060" s="10"/>
      <c r="F1060" s="10"/>
      <c r="G1060" s="10"/>
      <c r="H1060" s="199"/>
      <c r="I1060" s="200"/>
      <c r="J1060" s="201"/>
      <c r="K1060" s="179"/>
      <c r="L1060" s="10"/>
      <c r="M1060" s="202"/>
      <c r="N1060" s="203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</row>
    <row r="1061">
      <c r="A1061" s="10"/>
      <c r="B1061" s="10"/>
      <c r="C1061" s="10"/>
      <c r="D1061" s="10"/>
      <c r="E1061" s="10"/>
      <c r="F1061" s="10"/>
      <c r="G1061" s="10"/>
      <c r="H1061" s="199"/>
      <c r="I1061" s="200"/>
      <c r="J1061" s="201"/>
      <c r="K1061" s="179"/>
      <c r="L1061" s="10"/>
      <c r="M1061" s="202"/>
      <c r="N1061" s="203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</row>
    <row r="1062">
      <c r="A1062" s="10"/>
      <c r="B1062" s="10"/>
      <c r="C1062" s="10"/>
      <c r="D1062" s="10"/>
      <c r="E1062" s="10"/>
      <c r="F1062" s="10"/>
      <c r="G1062" s="10"/>
      <c r="H1062" s="199"/>
      <c r="I1062" s="200"/>
      <c r="J1062" s="201"/>
      <c r="K1062" s="179"/>
      <c r="L1062" s="10"/>
      <c r="M1062" s="202"/>
      <c r="N1062" s="203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</row>
    <row r="1063">
      <c r="A1063" s="10"/>
      <c r="B1063" s="10"/>
      <c r="C1063" s="10"/>
      <c r="D1063" s="10"/>
      <c r="E1063" s="10"/>
      <c r="F1063" s="10"/>
      <c r="G1063" s="10"/>
      <c r="H1063" s="199"/>
      <c r="I1063" s="200"/>
      <c r="J1063" s="201"/>
      <c r="K1063" s="179"/>
      <c r="L1063" s="10"/>
      <c r="M1063" s="202"/>
      <c r="N1063" s="203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</row>
    <row r="1064">
      <c r="A1064" s="10"/>
      <c r="B1064" s="10"/>
      <c r="C1064" s="10"/>
      <c r="D1064" s="10"/>
      <c r="E1064" s="10"/>
      <c r="F1064" s="10"/>
      <c r="G1064" s="10"/>
      <c r="H1064" s="199"/>
      <c r="I1064" s="200"/>
      <c r="J1064" s="201"/>
      <c r="K1064" s="179"/>
      <c r="L1064" s="10"/>
      <c r="M1064" s="202"/>
      <c r="N1064" s="203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</row>
    <row r="1065">
      <c r="A1065" s="10"/>
      <c r="B1065" s="10"/>
      <c r="C1065" s="10"/>
      <c r="D1065" s="10"/>
      <c r="E1065" s="10"/>
      <c r="F1065" s="10"/>
      <c r="G1065" s="10"/>
      <c r="H1065" s="199"/>
      <c r="I1065" s="200"/>
      <c r="J1065" s="201"/>
      <c r="K1065" s="179"/>
      <c r="L1065" s="10"/>
      <c r="M1065" s="202"/>
      <c r="N1065" s="203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</row>
    <row r="1066">
      <c r="A1066" s="10"/>
      <c r="B1066" s="10"/>
      <c r="C1066" s="10"/>
      <c r="D1066" s="10"/>
      <c r="E1066" s="10"/>
      <c r="F1066" s="10"/>
      <c r="G1066" s="10"/>
      <c r="H1066" s="199"/>
      <c r="I1066" s="200"/>
      <c r="J1066" s="201"/>
      <c r="K1066" s="179"/>
      <c r="L1066" s="10"/>
      <c r="M1066" s="202"/>
      <c r="N1066" s="203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</row>
    <row r="1067">
      <c r="A1067" s="10"/>
      <c r="B1067" s="10"/>
      <c r="C1067" s="10"/>
      <c r="D1067" s="10"/>
      <c r="E1067" s="10"/>
      <c r="F1067" s="10"/>
      <c r="G1067" s="10"/>
      <c r="H1067" s="199"/>
      <c r="I1067" s="200"/>
      <c r="J1067" s="201"/>
      <c r="K1067" s="179"/>
      <c r="L1067" s="10"/>
      <c r="M1067" s="202"/>
      <c r="N1067" s="203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</row>
    <row r="1068">
      <c r="A1068" s="10"/>
      <c r="B1068" s="10"/>
      <c r="C1068" s="10"/>
      <c r="D1068" s="10"/>
      <c r="E1068" s="10"/>
      <c r="F1068" s="10"/>
      <c r="G1068" s="10"/>
      <c r="H1068" s="199"/>
      <c r="I1068" s="200"/>
      <c r="J1068" s="201"/>
      <c r="K1068" s="179"/>
      <c r="L1068" s="10"/>
      <c r="M1068" s="202"/>
      <c r="N1068" s="203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</row>
    <row r="1069">
      <c r="A1069" s="10"/>
      <c r="B1069" s="10"/>
      <c r="C1069" s="10"/>
      <c r="D1069" s="10"/>
      <c r="E1069" s="10"/>
      <c r="F1069" s="10"/>
      <c r="G1069" s="10"/>
      <c r="H1069" s="199"/>
      <c r="I1069" s="200"/>
      <c r="J1069" s="201"/>
      <c r="K1069" s="179"/>
      <c r="L1069" s="10"/>
      <c r="M1069" s="202"/>
      <c r="N1069" s="203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</row>
    <row r="1070">
      <c r="A1070" s="10"/>
      <c r="B1070" s="10"/>
      <c r="C1070" s="10"/>
      <c r="D1070" s="10"/>
      <c r="E1070" s="10"/>
      <c r="F1070" s="10"/>
      <c r="G1070" s="10"/>
      <c r="H1070" s="199"/>
      <c r="I1070" s="200"/>
      <c r="J1070" s="201"/>
      <c r="K1070" s="179"/>
      <c r="L1070" s="10"/>
      <c r="M1070" s="202"/>
      <c r="N1070" s="203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</row>
    <row r="1071">
      <c r="A1071" s="10"/>
      <c r="B1071" s="10"/>
      <c r="C1071" s="10"/>
      <c r="D1071" s="10"/>
      <c r="E1071" s="10"/>
      <c r="F1071" s="10"/>
      <c r="G1071" s="10"/>
      <c r="H1071" s="199"/>
      <c r="I1071" s="200"/>
      <c r="J1071" s="201"/>
      <c r="K1071" s="179"/>
      <c r="L1071" s="10"/>
      <c r="M1071" s="202"/>
      <c r="N1071" s="203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</row>
    <row r="1072">
      <c r="A1072" s="10"/>
      <c r="B1072" s="10"/>
      <c r="C1072" s="10"/>
      <c r="D1072" s="10"/>
      <c r="E1072" s="10"/>
      <c r="F1072" s="10"/>
      <c r="G1072" s="10"/>
      <c r="H1072" s="199"/>
      <c r="I1072" s="200"/>
      <c r="J1072" s="201"/>
      <c r="K1072" s="179"/>
      <c r="L1072" s="10"/>
      <c r="M1072" s="202"/>
      <c r="N1072" s="203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</row>
    <row r="1073">
      <c r="A1073" s="10"/>
      <c r="B1073" s="10"/>
      <c r="C1073" s="10"/>
      <c r="D1073" s="10"/>
      <c r="E1073" s="10"/>
      <c r="F1073" s="10"/>
      <c r="G1073" s="10"/>
      <c r="H1073" s="199"/>
      <c r="I1073" s="200"/>
      <c r="J1073" s="201"/>
      <c r="K1073" s="179"/>
      <c r="L1073" s="10"/>
      <c r="M1073" s="202"/>
      <c r="N1073" s="203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</row>
    <row r="1074">
      <c r="A1074" s="10"/>
      <c r="B1074" s="10"/>
      <c r="C1074" s="10"/>
      <c r="D1074" s="10"/>
      <c r="E1074" s="10"/>
      <c r="F1074" s="10"/>
      <c r="G1074" s="10"/>
      <c r="H1074" s="199"/>
      <c r="I1074" s="200"/>
      <c r="J1074" s="201"/>
      <c r="K1074" s="179"/>
      <c r="L1074" s="10"/>
      <c r="M1074" s="202"/>
      <c r="N1074" s="203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</row>
    <row r="1075">
      <c r="A1075" s="10"/>
      <c r="B1075" s="10"/>
      <c r="C1075" s="10"/>
      <c r="D1075" s="10"/>
      <c r="E1075" s="10"/>
      <c r="F1075" s="10"/>
      <c r="G1075" s="10"/>
      <c r="H1075" s="199"/>
      <c r="I1075" s="200"/>
      <c r="J1075" s="201"/>
      <c r="K1075" s="179"/>
      <c r="L1075" s="10"/>
      <c r="M1075" s="202"/>
      <c r="N1075" s="203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</row>
    <row r="1076">
      <c r="A1076" s="10"/>
      <c r="B1076" s="10"/>
      <c r="C1076" s="10"/>
      <c r="D1076" s="10"/>
      <c r="E1076" s="10"/>
      <c r="F1076" s="10"/>
      <c r="G1076" s="10"/>
      <c r="H1076" s="199"/>
      <c r="I1076" s="200"/>
      <c r="J1076" s="201"/>
      <c r="K1076" s="179"/>
      <c r="L1076" s="10"/>
      <c r="M1076" s="202"/>
      <c r="N1076" s="203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</row>
    <row r="1077">
      <c r="A1077" s="10"/>
      <c r="B1077" s="10"/>
      <c r="C1077" s="10"/>
      <c r="D1077" s="10"/>
      <c r="E1077" s="10"/>
      <c r="F1077" s="10"/>
      <c r="G1077" s="10"/>
      <c r="H1077" s="199"/>
      <c r="I1077" s="200"/>
      <c r="J1077" s="201"/>
      <c r="K1077" s="179"/>
      <c r="L1077" s="10"/>
      <c r="M1077" s="202"/>
      <c r="N1077" s="203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</row>
    <row r="1078">
      <c r="A1078" s="10"/>
      <c r="B1078" s="10"/>
      <c r="C1078" s="10"/>
      <c r="D1078" s="10"/>
      <c r="E1078" s="10"/>
      <c r="F1078" s="10"/>
      <c r="G1078" s="10"/>
      <c r="H1078" s="199"/>
      <c r="I1078" s="200"/>
      <c r="J1078" s="201"/>
      <c r="K1078" s="179"/>
      <c r="L1078" s="10"/>
      <c r="M1078" s="202"/>
      <c r="N1078" s="203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</row>
    <row r="1079">
      <c r="A1079" s="10"/>
      <c r="B1079" s="10"/>
      <c r="C1079" s="10"/>
      <c r="D1079" s="10"/>
      <c r="E1079" s="10"/>
      <c r="F1079" s="10"/>
      <c r="G1079" s="10"/>
      <c r="H1079" s="199"/>
      <c r="I1079" s="200"/>
      <c r="J1079" s="201"/>
      <c r="K1079" s="179"/>
      <c r="L1079" s="10"/>
      <c r="M1079" s="202"/>
      <c r="N1079" s="203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</row>
    <row r="1080">
      <c r="A1080" s="10"/>
      <c r="B1080" s="10"/>
      <c r="C1080" s="10"/>
      <c r="D1080" s="10"/>
      <c r="E1080" s="10"/>
      <c r="F1080" s="10"/>
      <c r="G1080" s="10"/>
      <c r="H1080" s="199"/>
      <c r="I1080" s="200"/>
      <c r="J1080" s="201"/>
      <c r="K1080" s="179"/>
      <c r="L1080" s="10"/>
      <c r="M1080" s="202"/>
      <c r="N1080" s="203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</row>
    <row r="1081">
      <c r="A1081" s="10"/>
      <c r="B1081" s="10"/>
      <c r="C1081" s="10"/>
      <c r="D1081" s="10"/>
      <c r="E1081" s="10"/>
      <c r="F1081" s="10"/>
      <c r="G1081" s="10"/>
      <c r="H1081" s="199"/>
      <c r="I1081" s="200"/>
      <c r="J1081" s="201"/>
      <c r="K1081" s="179"/>
      <c r="L1081" s="10"/>
      <c r="M1081" s="202"/>
      <c r="N1081" s="203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</row>
    <row r="1082">
      <c r="A1082" s="10"/>
      <c r="B1082" s="10"/>
      <c r="C1082" s="10"/>
      <c r="D1082" s="10"/>
      <c r="E1082" s="10"/>
      <c r="F1082" s="10"/>
      <c r="G1082" s="10"/>
      <c r="H1082" s="199"/>
      <c r="I1082" s="200"/>
      <c r="J1082" s="201"/>
      <c r="K1082" s="179"/>
      <c r="L1082" s="10"/>
      <c r="M1082" s="202"/>
      <c r="N1082" s="203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</row>
    <row r="1083">
      <c r="A1083" s="10"/>
      <c r="B1083" s="10"/>
      <c r="C1083" s="10"/>
      <c r="D1083" s="10"/>
      <c r="E1083" s="10"/>
      <c r="F1083" s="10"/>
      <c r="G1083" s="10"/>
      <c r="H1083" s="199"/>
      <c r="I1083" s="200"/>
      <c r="J1083" s="201"/>
      <c r="K1083" s="179"/>
      <c r="L1083" s="10"/>
      <c r="M1083" s="202"/>
      <c r="N1083" s="203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</row>
    <row r="1084">
      <c r="A1084" s="10"/>
      <c r="B1084" s="10"/>
      <c r="C1084" s="10"/>
      <c r="D1084" s="10"/>
      <c r="E1084" s="10"/>
      <c r="F1084" s="10"/>
      <c r="G1084" s="10"/>
      <c r="H1084" s="199"/>
      <c r="I1084" s="200"/>
      <c r="J1084" s="201"/>
      <c r="K1084" s="179"/>
      <c r="L1084" s="10"/>
      <c r="M1084" s="202"/>
      <c r="N1084" s="203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</row>
    <row r="1085">
      <c r="A1085" s="10"/>
      <c r="B1085" s="10"/>
      <c r="C1085" s="10"/>
      <c r="D1085" s="10"/>
      <c r="E1085" s="10"/>
      <c r="F1085" s="10"/>
      <c r="G1085" s="10"/>
      <c r="H1085" s="199"/>
      <c r="I1085" s="200"/>
      <c r="J1085" s="201"/>
      <c r="K1085" s="179"/>
      <c r="L1085" s="10"/>
      <c r="M1085" s="202"/>
      <c r="N1085" s="203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</row>
    <row r="1086">
      <c r="A1086" s="10"/>
      <c r="B1086" s="10"/>
      <c r="C1086" s="10"/>
      <c r="D1086" s="10"/>
      <c r="E1086" s="10"/>
      <c r="F1086" s="10"/>
      <c r="G1086" s="10"/>
      <c r="H1086" s="199"/>
      <c r="I1086" s="200"/>
      <c r="J1086" s="201"/>
      <c r="K1086" s="179"/>
      <c r="L1086" s="10"/>
      <c r="M1086" s="202"/>
      <c r="N1086" s="203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</row>
    <row r="1087">
      <c r="A1087" s="10"/>
      <c r="B1087" s="10"/>
      <c r="C1087" s="10"/>
      <c r="D1087" s="10"/>
      <c r="E1087" s="10"/>
      <c r="F1087" s="10"/>
      <c r="G1087" s="10"/>
      <c r="H1087" s="199"/>
      <c r="I1087" s="200"/>
      <c r="J1087" s="201"/>
      <c r="K1087" s="179"/>
      <c r="L1087" s="10"/>
      <c r="M1087" s="202"/>
      <c r="N1087" s="203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</row>
    <row r="1088">
      <c r="A1088" s="10"/>
      <c r="B1088" s="10"/>
      <c r="C1088" s="10"/>
      <c r="D1088" s="10"/>
      <c r="E1088" s="10"/>
      <c r="F1088" s="10"/>
      <c r="G1088" s="10"/>
      <c r="H1088" s="199"/>
      <c r="I1088" s="200"/>
      <c r="J1088" s="201"/>
      <c r="K1088" s="179"/>
      <c r="L1088" s="10"/>
      <c r="M1088" s="202"/>
      <c r="N1088" s="203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</row>
    <row r="1089">
      <c r="A1089" s="10"/>
      <c r="B1089" s="10"/>
      <c r="C1089" s="10"/>
      <c r="D1089" s="10"/>
      <c r="E1089" s="10"/>
      <c r="F1089" s="10"/>
      <c r="G1089" s="10"/>
      <c r="H1089" s="199"/>
      <c r="I1089" s="200"/>
      <c r="J1089" s="201"/>
      <c r="K1089" s="179"/>
      <c r="L1089" s="10"/>
      <c r="M1089" s="202"/>
      <c r="N1089" s="203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</row>
    <row r="1090">
      <c r="A1090" s="10"/>
      <c r="B1090" s="10"/>
      <c r="C1090" s="10"/>
      <c r="D1090" s="10"/>
      <c r="E1090" s="10"/>
      <c r="F1090" s="10"/>
      <c r="G1090" s="10"/>
      <c r="H1090" s="199"/>
      <c r="I1090" s="200"/>
      <c r="J1090" s="201"/>
      <c r="K1090" s="179"/>
      <c r="L1090" s="10"/>
      <c r="M1090" s="202"/>
      <c r="N1090" s="203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</row>
    <row r="1091">
      <c r="A1091" s="10"/>
      <c r="B1091" s="10"/>
      <c r="C1091" s="10"/>
      <c r="D1091" s="10"/>
      <c r="E1091" s="10"/>
      <c r="F1091" s="10"/>
      <c r="G1091" s="10"/>
      <c r="H1091" s="199"/>
      <c r="I1091" s="200"/>
      <c r="J1091" s="201"/>
      <c r="K1091" s="179"/>
      <c r="L1091" s="10"/>
      <c r="M1091" s="202"/>
      <c r="N1091" s="203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</row>
    <row r="1092">
      <c r="A1092" s="10"/>
      <c r="B1092" s="10"/>
      <c r="C1092" s="10"/>
      <c r="D1092" s="10"/>
      <c r="E1092" s="10"/>
      <c r="F1092" s="10"/>
      <c r="G1092" s="10"/>
      <c r="H1092" s="199"/>
      <c r="I1092" s="200"/>
      <c r="J1092" s="201"/>
      <c r="K1092" s="179"/>
      <c r="L1092" s="10"/>
      <c r="M1092" s="202"/>
      <c r="N1092" s="203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</row>
    <row r="1093">
      <c r="A1093" s="10"/>
      <c r="B1093" s="10"/>
      <c r="C1093" s="10"/>
      <c r="D1093" s="10"/>
      <c r="E1093" s="10"/>
      <c r="F1093" s="10"/>
      <c r="G1093" s="10"/>
      <c r="H1093" s="199"/>
      <c r="I1093" s="200"/>
      <c r="J1093" s="201"/>
      <c r="K1093" s="179"/>
      <c r="L1093" s="10"/>
      <c r="M1093" s="202"/>
      <c r="N1093" s="203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</row>
    <row r="1094">
      <c r="A1094" s="10"/>
      <c r="B1094" s="10"/>
      <c r="C1094" s="10"/>
      <c r="D1094" s="10"/>
      <c r="E1094" s="10"/>
      <c r="F1094" s="10"/>
      <c r="G1094" s="10"/>
      <c r="H1094" s="199"/>
      <c r="I1094" s="200"/>
      <c r="J1094" s="201"/>
      <c r="K1094" s="179"/>
      <c r="L1094" s="10"/>
      <c r="M1094" s="202"/>
      <c r="N1094" s="203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</row>
    <row r="1095">
      <c r="A1095" s="10"/>
      <c r="B1095" s="10"/>
      <c r="C1095" s="10"/>
      <c r="D1095" s="10"/>
      <c r="E1095" s="10"/>
      <c r="F1095" s="10"/>
      <c r="G1095" s="10"/>
      <c r="H1095" s="199"/>
      <c r="I1095" s="200"/>
      <c r="J1095" s="201"/>
      <c r="K1095" s="179"/>
      <c r="L1095" s="10"/>
      <c r="M1095" s="202"/>
      <c r="N1095" s="203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</row>
    <row r="1096">
      <c r="A1096" s="10"/>
      <c r="B1096" s="10"/>
      <c r="C1096" s="10"/>
      <c r="D1096" s="10"/>
      <c r="E1096" s="10"/>
      <c r="F1096" s="10"/>
      <c r="G1096" s="10"/>
      <c r="H1096" s="199"/>
      <c r="I1096" s="200"/>
      <c r="J1096" s="201"/>
      <c r="K1096" s="179"/>
      <c r="L1096" s="10"/>
      <c r="M1096" s="202"/>
      <c r="N1096" s="203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</row>
    <row r="1097">
      <c r="A1097" s="10"/>
      <c r="B1097" s="10"/>
      <c r="C1097" s="10"/>
      <c r="D1097" s="10"/>
      <c r="E1097" s="10"/>
      <c r="F1097" s="10"/>
      <c r="G1097" s="10"/>
      <c r="H1097" s="199"/>
      <c r="I1097" s="200"/>
      <c r="J1097" s="201"/>
      <c r="K1097" s="179"/>
      <c r="L1097" s="10"/>
      <c r="M1097" s="202"/>
      <c r="N1097" s="203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</row>
    <row r="1098">
      <c r="A1098" s="10"/>
      <c r="B1098" s="10"/>
      <c r="C1098" s="10"/>
      <c r="D1098" s="10"/>
      <c r="E1098" s="10"/>
      <c r="F1098" s="10"/>
      <c r="G1098" s="10"/>
      <c r="H1098" s="199"/>
      <c r="I1098" s="200"/>
      <c r="J1098" s="201"/>
      <c r="K1098" s="179"/>
      <c r="L1098" s="10"/>
      <c r="M1098" s="202"/>
      <c r="N1098" s="203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</row>
    <row r="1099">
      <c r="A1099" s="10"/>
      <c r="B1099" s="10"/>
      <c r="C1099" s="10"/>
      <c r="D1099" s="10"/>
      <c r="E1099" s="10"/>
      <c r="F1099" s="10"/>
      <c r="G1099" s="10"/>
      <c r="H1099" s="199"/>
      <c r="I1099" s="200"/>
      <c r="J1099" s="201"/>
      <c r="K1099" s="179"/>
      <c r="L1099" s="10"/>
      <c r="M1099" s="202"/>
      <c r="N1099" s="203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</row>
    <row r="1100">
      <c r="A1100" s="10"/>
      <c r="B1100" s="10"/>
      <c r="C1100" s="10"/>
      <c r="D1100" s="10"/>
      <c r="E1100" s="10"/>
      <c r="F1100" s="10"/>
      <c r="G1100" s="10"/>
      <c r="H1100" s="199"/>
      <c r="I1100" s="200"/>
      <c r="J1100" s="201"/>
      <c r="K1100" s="179"/>
      <c r="L1100" s="10"/>
      <c r="M1100" s="202"/>
      <c r="N1100" s="203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</row>
    <row r="1101">
      <c r="A1101" s="10"/>
      <c r="B1101" s="10"/>
      <c r="C1101" s="10"/>
      <c r="D1101" s="10"/>
      <c r="E1101" s="10"/>
      <c r="F1101" s="10"/>
      <c r="G1101" s="10"/>
      <c r="H1101" s="199"/>
      <c r="I1101" s="200"/>
      <c r="J1101" s="201"/>
      <c r="K1101" s="179"/>
      <c r="L1101" s="10"/>
      <c r="M1101" s="202"/>
      <c r="N1101" s="203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</row>
    <row r="1102">
      <c r="A1102" s="10"/>
      <c r="B1102" s="10"/>
      <c r="C1102" s="10"/>
      <c r="D1102" s="10"/>
      <c r="E1102" s="10"/>
      <c r="F1102" s="10"/>
      <c r="G1102" s="10"/>
      <c r="H1102" s="199"/>
      <c r="I1102" s="200"/>
      <c r="J1102" s="201"/>
      <c r="K1102" s="179"/>
      <c r="L1102" s="10"/>
      <c r="M1102" s="202"/>
      <c r="N1102" s="203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</row>
    <row r="1103">
      <c r="A1103" s="10"/>
      <c r="B1103" s="10"/>
      <c r="C1103" s="10"/>
      <c r="D1103" s="10"/>
      <c r="E1103" s="10"/>
      <c r="F1103" s="10"/>
      <c r="G1103" s="10"/>
      <c r="H1103" s="199"/>
      <c r="I1103" s="200"/>
      <c r="J1103" s="201"/>
      <c r="K1103" s="179"/>
      <c r="L1103" s="10"/>
      <c r="M1103" s="202"/>
      <c r="N1103" s="203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</row>
    <row r="1104">
      <c r="A1104" s="10"/>
      <c r="B1104" s="10"/>
      <c r="C1104" s="10"/>
      <c r="D1104" s="10"/>
      <c r="E1104" s="10"/>
      <c r="F1104" s="10"/>
      <c r="G1104" s="10"/>
      <c r="H1104" s="199"/>
      <c r="I1104" s="200"/>
      <c r="J1104" s="201"/>
      <c r="K1104" s="179"/>
      <c r="L1104" s="10"/>
      <c r="M1104" s="202"/>
      <c r="N1104" s="203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</row>
    <row r="1105">
      <c r="A1105" s="10"/>
      <c r="B1105" s="10"/>
      <c r="C1105" s="10"/>
      <c r="D1105" s="10"/>
      <c r="E1105" s="10"/>
      <c r="F1105" s="10"/>
      <c r="G1105" s="10"/>
      <c r="H1105" s="199"/>
      <c r="I1105" s="200"/>
      <c r="J1105" s="201"/>
      <c r="K1105" s="179"/>
      <c r="L1105" s="10"/>
      <c r="M1105" s="202"/>
      <c r="N1105" s="203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</row>
    <row r="1106">
      <c r="A1106" s="10"/>
      <c r="B1106" s="10"/>
      <c r="C1106" s="10"/>
      <c r="D1106" s="10"/>
      <c r="E1106" s="10"/>
      <c r="F1106" s="10"/>
      <c r="G1106" s="10"/>
      <c r="H1106" s="199"/>
      <c r="I1106" s="200"/>
      <c r="J1106" s="201"/>
      <c r="K1106" s="179"/>
      <c r="L1106" s="10"/>
      <c r="M1106" s="202"/>
      <c r="N1106" s="203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</row>
    <row r="1107">
      <c r="A1107" s="10"/>
      <c r="B1107" s="10"/>
      <c r="C1107" s="10"/>
      <c r="D1107" s="10"/>
      <c r="E1107" s="10"/>
      <c r="F1107" s="10"/>
      <c r="G1107" s="10"/>
      <c r="H1107" s="199"/>
      <c r="I1107" s="200"/>
      <c r="J1107" s="201"/>
      <c r="K1107" s="179"/>
      <c r="L1107" s="10"/>
      <c r="M1107" s="202"/>
      <c r="N1107" s="203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</row>
    <row r="1108">
      <c r="A1108" s="10"/>
      <c r="B1108" s="10"/>
      <c r="C1108" s="10"/>
      <c r="D1108" s="10"/>
      <c r="E1108" s="10"/>
      <c r="F1108" s="10"/>
      <c r="G1108" s="10"/>
      <c r="H1108" s="199"/>
      <c r="I1108" s="200"/>
      <c r="J1108" s="201"/>
      <c r="K1108" s="179"/>
      <c r="L1108" s="10"/>
      <c r="M1108" s="202"/>
      <c r="N1108" s="203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</row>
    <row r="1109">
      <c r="A1109" s="10"/>
      <c r="B1109" s="10"/>
      <c r="C1109" s="10"/>
      <c r="D1109" s="10"/>
      <c r="E1109" s="10"/>
      <c r="F1109" s="10"/>
      <c r="G1109" s="10"/>
      <c r="H1109" s="199"/>
      <c r="I1109" s="200"/>
      <c r="J1109" s="201"/>
      <c r="K1109" s="179"/>
      <c r="L1109" s="10"/>
      <c r="M1109" s="202"/>
      <c r="N1109" s="203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</row>
    <row r="1110">
      <c r="A1110" s="10"/>
      <c r="B1110" s="10"/>
      <c r="C1110" s="10"/>
      <c r="D1110" s="10"/>
      <c r="E1110" s="10"/>
      <c r="F1110" s="10"/>
      <c r="G1110" s="10"/>
      <c r="H1110" s="199"/>
      <c r="I1110" s="200"/>
      <c r="J1110" s="201"/>
      <c r="K1110" s="179"/>
      <c r="L1110" s="10"/>
      <c r="M1110" s="202"/>
      <c r="N1110" s="203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</row>
    <row r="1111">
      <c r="A1111" s="10"/>
      <c r="B1111" s="10"/>
      <c r="C1111" s="10"/>
      <c r="D1111" s="10"/>
      <c r="E1111" s="10"/>
      <c r="F1111" s="10"/>
      <c r="G1111" s="10"/>
      <c r="H1111" s="199"/>
      <c r="I1111" s="200"/>
      <c r="J1111" s="201"/>
      <c r="K1111" s="179"/>
      <c r="L1111" s="10"/>
      <c r="M1111" s="202"/>
      <c r="N1111" s="203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</row>
    <row r="1112">
      <c r="A1112" s="10"/>
      <c r="B1112" s="10"/>
      <c r="C1112" s="10"/>
      <c r="D1112" s="10"/>
      <c r="E1112" s="10"/>
      <c r="F1112" s="10"/>
      <c r="G1112" s="10"/>
      <c r="H1112" s="199"/>
      <c r="I1112" s="200"/>
      <c r="J1112" s="201"/>
      <c r="K1112" s="179"/>
      <c r="L1112" s="10"/>
      <c r="M1112" s="202"/>
      <c r="N1112" s="203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</row>
    <row r="1113">
      <c r="A1113" s="10"/>
      <c r="B1113" s="10"/>
      <c r="C1113" s="10"/>
      <c r="D1113" s="10"/>
      <c r="E1113" s="10"/>
      <c r="F1113" s="10"/>
      <c r="G1113" s="10"/>
      <c r="H1113" s="199"/>
      <c r="I1113" s="200"/>
      <c r="J1113" s="201"/>
      <c r="K1113" s="179"/>
      <c r="L1113" s="10"/>
      <c r="M1113" s="202"/>
      <c r="N1113" s="203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</row>
    <row r="1114">
      <c r="A1114" s="10"/>
      <c r="B1114" s="10"/>
      <c r="C1114" s="10"/>
      <c r="D1114" s="10"/>
      <c r="E1114" s="10"/>
      <c r="F1114" s="10"/>
      <c r="G1114" s="10"/>
      <c r="H1114" s="199"/>
      <c r="I1114" s="200"/>
      <c r="J1114" s="201"/>
      <c r="K1114" s="179"/>
      <c r="L1114" s="10"/>
      <c r="M1114" s="202"/>
      <c r="N1114" s="203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</row>
    <row r="1115">
      <c r="A1115" s="10"/>
      <c r="B1115" s="10"/>
      <c r="C1115" s="10"/>
      <c r="D1115" s="10"/>
      <c r="E1115" s="10"/>
      <c r="F1115" s="10"/>
      <c r="G1115" s="10"/>
      <c r="H1115" s="199"/>
      <c r="I1115" s="200"/>
      <c r="J1115" s="201"/>
      <c r="K1115" s="179"/>
      <c r="L1115" s="10"/>
      <c r="M1115" s="202"/>
      <c r="N1115" s="203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</row>
    <row r="1116">
      <c r="A1116" s="10"/>
      <c r="B1116" s="10"/>
      <c r="C1116" s="10"/>
      <c r="D1116" s="10"/>
      <c r="E1116" s="10"/>
      <c r="F1116" s="10"/>
      <c r="G1116" s="10"/>
      <c r="H1116" s="199"/>
      <c r="I1116" s="200"/>
      <c r="J1116" s="201"/>
      <c r="K1116" s="179"/>
      <c r="L1116" s="10"/>
      <c r="M1116" s="202"/>
      <c r="N1116" s="203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</row>
    <row r="1117">
      <c r="A1117" s="10"/>
      <c r="B1117" s="10"/>
      <c r="C1117" s="10"/>
      <c r="D1117" s="10"/>
      <c r="E1117" s="10"/>
      <c r="F1117" s="10"/>
      <c r="G1117" s="10"/>
      <c r="H1117" s="199"/>
      <c r="I1117" s="200"/>
      <c r="J1117" s="201"/>
      <c r="K1117" s="179"/>
      <c r="L1117" s="10"/>
      <c r="M1117" s="202"/>
      <c r="N1117" s="203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</row>
    <row r="1118">
      <c r="A1118" s="10"/>
      <c r="B1118" s="10"/>
      <c r="C1118" s="10"/>
      <c r="D1118" s="10"/>
      <c r="E1118" s="10"/>
      <c r="F1118" s="10"/>
      <c r="G1118" s="10"/>
      <c r="H1118" s="199"/>
      <c r="I1118" s="200"/>
      <c r="J1118" s="201"/>
      <c r="K1118" s="179"/>
      <c r="L1118" s="10"/>
      <c r="M1118" s="202"/>
      <c r="N1118" s="203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</row>
    <row r="1119">
      <c r="A1119" s="10"/>
      <c r="B1119" s="10"/>
      <c r="C1119" s="10"/>
      <c r="D1119" s="10"/>
      <c r="E1119" s="10"/>
      <c r="F1119" s="10"/>
      <c r="G1119" s="10"/>
      <c r="H1119" s="199"/>
      <c r="I1119" s="200"/>
      <c r="J1119" s="201"/>
      <c r="K1119" s="179"/>
      <c r="L1119" s="10"/>
      <c r="M1119" s="202"/>
      <c r="N1119" s="203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</row>
    <row r="1120">
      <c r="A1120" s="10"/>
      <c r="B1120" s="10"/>
      <c r="C1120" s="10"/>
      <c r="D1120" s="10"/>
      <c r="E1120" s="10"/>
      <c r="F1120" s="10"/>
      <c r="G1120" s="10"/>
      <c r="H1120" s="199"/>
      <c r="I1120" s="200"/>
      <c r="J1120" s="201"/>
      <c r="K1120" s="179"/>
      <c r="L1120" s="10"/>
      <c r="M1120" s="202"/>
      <c r="N1120" s="203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</row>
    <row r="1121">
      <c r="A1121" s="10"/>
      <c r="B1121" s="10"/>
      <c r="C1121" s="10"/>
      <c r="D1121" s="10"/>
      <c r="E1121" s="10"/>
      <c r="F1121" s="10"/>
      <c r="G1121" s="10"/>
      <c r="H1121" s="199"/>
      <c r="I1121" s="200"/>
      <c r="J1121" s="201"/>
      <c r="K1121" s="179"/>
      <c r="L1121" s="10"/>
      <c r="M1121" s="202"/>
      <c r="N1121" s="203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</row>
    <row r="1122">
      <c r="A1122" s="10"/>
      <c r="B1122" s="10"/>
      <c r="C1122" s="10"/>
      <c r="D1122" s="10"/>
      <c r="E1122" s="10"/>
      <c r="F1122" s="10"/>
      <c r="G1122" s="10"/>
      <c r="H1122" s="199"/>
      <c r="I1122" s="200"/>
      <c r="J1122" s="201"/>
      <c r="K1122" s="179"/>
      <c r="L1122" s="10"/>
      <c r="M1122" s="202"/>
      <c r="N1122" s="203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</row>
    <row r="1123">
      <c r="A1123" s="10"/>
      <c r="B1123" s="10"/>
      <c r="C1123" s="10"/>
      <c r="D1123" s="10"/>
      <c r="E1123" s="10"/>
      <c r="F1123" s="10"/>
      <c r="G1123" s="10"/>
      <c r="H1123" s="199"/>
      <c r="I1123" s="200"/>
      <c r="J1123" s="201"/>
      <c r="K1123" s="179"/>
      <c r="L1123" s="10"/>
      <c r="M1123" s="202"/>
      <c r="N1123" s="203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</row>
    <row r="1124">
      <c r="A1124" s="10"/>
      <c r="B1124" s="10"/>
      <c r="C1124" s="10"/>
      <c r="D1124" s="10"/>
      <c r="E1124" s="10"/>
      <c r="F1124" s="10"/>
      <c r="G1124" s="10"/>
      <c r="H1124" s="199"/>
      <c r="I1124" s="200"/>
      <c r="J1124" s="201"/>
      <c r="K1124" s="179"/>
      <c r="L1124" s="10"/>
      <c r="M1124" s="202"/>
      <c r="N1124" s="203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</row>
    <row r="1125">
      <c r="A1125" s="10"/>
      <c r="B1125" s="10"/>
      <c r="C1125" s="10"/>
      <c r="D1125" s="10"/>
      <c r="E1125" s="10"/>
      <c r="F1125" s="10"/>
      <c r="G1125" s="10"/>
      <c r="H1125" s="199"/>
      <c r="I1125" s="200"/>
      <c r="J1125" s="201"/>
      <c r="K1125" s="179"/>
      <c r="L1125" s="10"/>
      <c r="M1125" s="202"/>
      <c r="N1125" s="203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</row>
    <row r="1126">
      <c r="A1126" s="10"/>
      <c r="B1126" s="10"/>
      <c r="C1126" s="10"/>
      <c r="D1126" s="10"/>
      <c r="E1126" s="10"/>
      <c r="F1126" s="10"/>
      <c r="G1126" s="10"/>
      <c r="H1126" s="199"/>
      <c r="I1126" s="200"/>
      <c r="J1126" s="201"/>
      <c r="K1126" s="179"/>
      <c r="L1126" s="10"/>
      <c r="M1126" s="202"/>
      <c r="N1126" s="203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</row>
    <row r="1127">
      <c r="A1127" s="10"/>
      <c r="B1127" s="10"/>
      <c r="C1127" s="10"/>
      <c r="D1127" s="10"/>
      <c r="E1127" s="10"/>
      <c r="F1127" s="10"/>
      <c r="G1127" s="10"/>
      <c r="H1127" s="199"/>
      <c r="I1127" s="200"/>
      <c r="J1127" s="201"/>
      <c r="K1127" s="179"/>
      <c r="L1127" s="10"/>
      <c r="M1127" s="202"/>
      <c r="N1127" s="203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</row>
    <row r="1128">
      <c r="A1128" s="10"/>
      <c r="B1128" s="10"/>
      <c r="C1128" s="10"/>
      <c r="D1128" s="10"/>
      <c r="E1128" s="10"/>
      <c r="F1128" s="10"/>
      <c r="G1128" s="10"/>
      <c r="H1128" s="199"/>
      <c r="I1128" s="200"/>
      <c r="J1128" s="201"/>
      <c r="K1128" s="179"/>
      <c r="L1128" s="10"/>
      <c r="M1128" s="202"/>
      <c r="N1128" s="203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</row>
    <row r="1129">
      <c r="A1129" s="10"/>
      <c r="B1129" s="10"/>
      <c r="C1129" s="10"/>
      <c r="D1129" s="10"/>
      <c r="E1129" s="10"/>
      <c r="F1129" s="10"/>
      <c r="G1129" s="10"/>
      <c r="H1129" s="199"/>
      <c r="I1129" s="200"/>
      <c r="J1129" s="201"/>
      <c r="K1129" s="179"/>
      <c r="L1129" s="10"/>
      <c r="M1129" s="202"/>
      <c r="N1129" s="203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</row>
    <row r="1130">
      <c r="A1130" s="10"/>
      <c r="B1130" s="10"/>
      <c r="C1130" s="10"/>
      <c r="D1130" s="10"/>
      <c r="E1130" s="10"/>
      <c r="F1130" s="10"/>
      <c r="G1130" s="10"/>
      <c r="H1130" s="199"/>
      <c r="I1130" s="200"/>
      <c r="J1130" s="201"/>
      <c r="K1130" s="179"/>
      <c r="L1130" s="10"/>
      <c r="M1130" s="202"/>
      <c r="N1130" s="203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</row>
    <row r="1131">
      <c r="A1131" s="10"/>
      <c r="B1131" s="10"/>
      <c r="C1131" s="10"/>
      <c r="D1131" s="10"/>
      <c r="E1131" s="10"/>
      <c r="F1131" s="10"/>
      <c r="G1131" s="10"/>
      <c r="H1131" s="199"/>
      <c r="I1131" s="200"/>
      <c r="J1131" s="201"/>
      <c r="K1131" s="179"/>
      <c r="L1131" s="10"/>
      <c r="M1131" s="202"/>
      <c r="N1131" s="203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</row>
    <row r="1132">
      <c r="A1132" s="10"/>
      <c r="B1132" s="10"/>
      <c r="C1132" s="10"/>
      <c r="D1132" s="10"/>
      <c r="E1132" s="10"/>
      <c r="F1132" s="10"/>
      <c r="G1132" s="10"/>
      <c r="H1132" s="199"/>
      <c r="I1132" s="200"/>
      <c r="J1132" s="201"/>
      <c r="K1132" s="179"/>
      <c r="L1132" s="10"/>
      <c r="M1132" s="202"/>
      <c r="N1132" s="203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</row>
    <row r="1133">
      <c r="A1133" s="10"/>
      <c r="B1133" s="10"/>
      <c r="C1133" s="10"/>
      <c r="D1133" s="10"/>
      <c r="E1133" s="10"/>
      <c r="F1133" s="10"/>
      <c r="G1133" s="10"/>
      <c r="H1133" s="199"/>
      <c r="I1133" s="200"/>
      <c r="J1133" s="201"/>
      <c r="K1133" s="179"/>
      <c r="L1133" s="10"/>
      <c r="M1133" s="202"/>
      <c r="N1133" s="203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</row>
    <row r="1134">
      <c r="A1134" s="10"/>
      <c r="B1134" s="10"/>
      <c r="C1134" s="10"/>
      <c r="D1134" s="10"/>
      <c r="E1134" s="10"/>
      <c r="F1134" s="10"/>
      <c r="G1134" s="10"/>
      <c r="H1134" s="199"/>
      <c r="I1134" s="200"/>
      <c r="J1134" s="201"/>
      <c r="K1134" s="179"/>
      <c r="L1134" s="10"/>
      <c r="M1134" s="202"/>
      <c r="N1134" s="203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</row>
    <row r="1135">
      <c r="A1135" s="10"/>
      <c r="B1135" s="10"/>
      <c r="C1135" s="10"/>
      <c r="D1135" s="10"/>
      <c r="E1135" s="10"/>
      <c r="F1135" s="10"/>
      <c r="G1135" s="10"/>
      <c r="H1135" s="199"/>
      <c r="I1135" s="200"/>
      <c r="J1135" s="201"/>
      <c r="K1135" s="179"/>
      <c r="L1135" s="10"/>
      <c r="M1135" s="202"/>
      <c r="N1135" s="203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</row>
    <row r="1136">
      <c r="A1136" s="10"/>
      <c r="B1136" s="10"/>
      <c r="C1136" s="10"/>
      <c r="D1136" s="10"/>
      <c r="E1136" s="10"/>
      <c r="F1136" s="10"/>
      <c r="G1136" s="10"/>
      <c r="H1136" s="199"/>
      <c r="I1136" s="200"/>
      <c r="J1136" s="201"/>
      <c r="K1136" s="179"/>
      <c r="L1136" s="10"/>
      <c r="M1136" s="202"/>
      <c r="N1136" s="203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</row>
    <row r="1137">
      <c r="A1137" s="10"/>
      <c r="B1137" s="10"/>
      <c r="C1137" s="10"/>
      <c r="D1137" s="10"/>
      <c r="E1137" s="10"/>
      <c r="F1137" s="10"/>
      <c r="G1137" s="10"/>
      <c r="H1137" s="199"/>
      <c r="I1137" s="200"/>
      <c r="J1137" s="201"/>
      <c r="K1137" s="179"/>
      <c r="L1137" s="10"/>
      <c r="M1137" s="202"/>
      <c r="N1137" s="203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</row>
    <row r="1138">
      <c r="A1138" s="10"/>
      <c r="B1138" s="10"/>
      <c r="C1138" s="10"/>
      <c r="D1138" s="10"/>
      <c r="E1138" s="10"/>
      <c r="F1138" s="10"/>
      <c r="G1138" s="10"/>
      <c r="H1138" s="199"/>
      <c r="I1138" s="200"/>
      <c r="J1138" s="201"/>
      <c r="K1138" s="179"/>
      <c r="L1138" s="10"/>
      <c r="M1138" s="202"/>
      <c r="N1138" s="203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</row>
    <row r="1139">
      <c r="A1139" s="10"/>
      <c r="B1139" s="10"/>
      <c r="C1139" s="10"/>
      <c r="D1139" s="10"/>
      <c r="E1139" s="10"/>
      <c r="F1139" s="10"/>
      <c r="G1139" s="10"/>
      <c r="H1139" s="199"/>
      <c r="I1139" s="200"/>
      <c r="J1139" s="201"/>
      <c r="K1139" s="179"/>
      <c r="L1139" s="10"/>
      <c r="M1139" s="202"/>
      <c r="N1139" s="203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</row>
    <row r="1140">
      <c r="A1140" s="10"/>
      <c r="B1140" s="10"/>
      <c r="C1140" s="10"/>
      <c r="D1140" s="10"/>
      <c r="E1140" s="10"/>
      <c r="F1140" s="10"/>
      <c r="G1140" s="10"/>
      <c r="H1140" s="199"/>
      <c r="I1140" s="200"/>
      <c r="J1140" s="201"/>
      <c r="K1140" s="179"/>
      <c r="L1140" s="10"/>
      <c r="M1140" s="202"/>
      <c r="N1140" s="203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</row>
    <row r="1141">
      <c r="A1141" s="10"/>
      <c r="B1141" s="10"/>
      <c r="C1141" s="10"/>
      <c r="D1141" s="10"/>
      <c r="E1141" s="10"/>
      <c r="F1141" s="10"/>
      <c r="G1141" s="10"/>
      <c r="H1141" s="199"/>
      <c r="I1141" s="200"/>
      <c r="J1141" s="201"/>
      <c r="K1141" s="179"/>
      <c r="L1141" s="10"/>
      <c r="M1141" s="202"/>
      <c r="N1141" s="203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</row>
    <row r="1142">
      <c r="A1142" s="10"/>
      <c r="B1142" s="10"/>
      <c r="C1142" s="10"/>
      <c r="D1142" s="10"/>
      <c r="E1142" s="10"/>
      <c r="F1142" s="10"/>
      <c r="G1142" s="10"/>
      <c r="H1142" s="199"/>
      <c r="I1142" s="200"/>
      <c r="J1142" s="201"/>
      <c r="K1142" s="179"/>
      <c r="L1142" s="10"/>
      <c r="M1142" s="202"/>
      <c r="N1142" s="203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</row>
  </sheetData>
  <mergeCells count="9">
    <mergeCell ref="N221:N223"/>
    <mergeCell ref="O221:O223"/>
    <mergeCell ref="I178:O178"/>
    <mergeCell ref="H221:H223"/>
    <mergeCell ref="I221:I223"/>
    <mergeCell ref="J221:J223"/>
    <mergeCell ref="K221:K223"/>
    <mergeCell ref="L221:L223"/>
    <mergeCell ref="M221:M223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19" t="s">
        <v>738</v>
      </c>
      <c r="B1" s="4"/>
      <c r="C1" s="4"/>
      <c r="D1" s="4"/>
      <c r="E1" s="4"/>
      <c r="F1" s="5"/>
    </row>
    <row r="2">
      <c r="A2" s="120" t="s">
        <v>326</v>
      </c>
      <c r="B2" s="121" t="s">
        <v>2</v>
      </c>
      <c r="C2" s="122" t="s">
        <v>4</v>
      </c>
      <c r="D2" s="123" t="s">
        <v>43</v>
      </c>
      <c r="E2" s="124" t="s">
        <v>14</v>
      </c>
      <c r="F2" s="125" t="s">
        <v>7</v>
      </c>
      <c r="G2" s="18"/>
    </row>
    <row r="3">
      <c r="A3" s="126" t="s">
        <v>11</v>
      </c>
      <c r="B3" s="6">
        <f>SUMIFS($F$26:$F1517,$C$26:$C1517,"食物",$H$26:$H1517,"1")</f>
        <v>372.3364162</v>
      </c>
      <c r="C3" s="6">
        <f>SUMIFS($F$26:$F1517,$C$26:$C1517,"食物",$I$26:$I1517,"1")</f>
        <v>376.9064162</v>
      </c>
      <c r="D3" s="6">
        <f>SUMIFS($F$26:$F1517,$C$26:$C1517,"食物",$J$26:$J1517,"1")</f>
        <v>314.2297495</v>
      </c>
      <c r="E3" s="6">
        <f>SUMIFS($F$26:$F1517,$C$26:$C1517,"食物",$K$26:$K1517,"1")</f>
        <v>354.9171305</v>
      </c>
      <c r="F3" s="127">
        <f>SUMIFS($F$26:$F1517,$C$26:$C1517,"食物",$N$26:$N1517,"1")</f>
        <v>338.2846305</v>
      </c>
    </row>
    <row r="4">
      <c r="A4" s="126" t="s">
        <v>19</v>
      </c>
      <c r="B4" s="6">
        <f>SUMIFS($F$26:$F1517,$C$26:$C1517,"飲品",$H$26:$H1517,"1")</f>
        <v>3.25214</v>
      </c>
      <c r="C4" s="6">
        <f>SUMIFS($F$26:$F1517,$C$26:$C1517,"飲品",$I$26:$I1517,"1")</f>
        <v>3.25214</v>
      </c>
      <c r="D4" s="6">
        <f>SUMIFS($F$26:$F1517,$C$26:$C1517,"飲品",$J$26:$J1517,"1")</f>
        <v>3.25214</v>
      </c>
      <c r="E4" s="6">
        <f>SUMIFS($F$26:$F1517,$C$26:$C1517,"飲品",$K$26:$K1517,"1")</f>
        <v>3.25214</v>
      </c>
      <c r="F4" s="127">
        <f>SUMIFS($F$26:$F1517,$C$26:$C1517,"飲品",$N$26:$N1517,"1")</f>
        <v>3.25214</v>
      </c>
    </row>
    <row r="5">
      <c r="A5" s="126" t="s">
        <v>21</v>
      </c>
      <c r="B5" s="6">
        <f>SUMIFS($F$26:$F1517,$C$26:$C1517,"衣物",$H$26:$H1517,"1")</f>
        <v>0</v>
      </c>
      <c r="C5" s="6">
        <f>SUMIFS($F$26:$F1517,$C$26:$C1517,"衣物",$I$26:$I1517,"1")</f>
        <v>0</v>
      </c>
      <c r="D5" s="6">
        <f>SUMIFS($F$26:$F1517,$C$26:$C1517,"衣物",$J$26:$J1517,"1")</f>
        <v>0</v>
      </c>
      <c r="E5" s="6">
        <f>SUMIFS($F$26:$F1517,$C$26:$C1517,"衣物",$K$26:$K1517,"1")</f>
        <v>0</v>
      </c>
      <c r="F5" s="127">
        <f>SUMIFS($F$26:$F1517,$C$26:$C1517,"衣物",$N$26:$N1517,"1")</f>
        <v>0</v>
      </c>
    </row>
    <row r="6">
      <c r="A6" s="126" t="s">
        <v>327</v>
      </c>
      <c r="B6" s="6">
        <f>SUMIFS($F$26:$F1517,$C$26:$C1517,"居家",$H$26:$H1517,"1")+T55</f>
        <v>831.1817</v>
      </c>
      <c r="C6" s="6">
        <f>SUMIFS($F$26:$F1517,$C$26:$C1517,"居家",$I$26:$I1517,"1")+T55</f>
        <v>831.1817</v>
      </c>
      <c r="D6" s="6">
        <f>SUMIFS($F$26:$F1517,$C$26:$C1517,"居家",$J$26:$J1517,"1")+T55</f>
        <v>831.1817</v>
      </c>
      <c r="E6" s="6">
        <f>SUMIFS($F$26:$F1517,$C$26:$C1517,"居家",$K$26:$K1517,"1")+T55</f>
        <v>831.1817</v>
      </c>
      <c r="F6" s="127">
        <f>SUMIFS($F$26:$F1517,$C$26:$C1517,"居家",$N$26:$N1517,"1")+T55</f>
        <v>831.1817</v>
      </c>
    </row>
    <row r="7">
      <c r="A7" s="126" t="s">
        <v>25</v>
      </c>
      <c r="B7" s="6">
        <f>SUMIFS($F$26:$F1517,$C$26:$C1517,"電子產品",$H$26:$H1517,"1")</f>
        <v>0</v>
      </c>
      <c r="C7" s="6">
        <f>SUMIFS($F$26:$F1517,$C$26:$C1517,"電子產品",$I$26:$I1517,"1")</f>
        <v>0</v>
      </c>
      <c r="D7" s="6">
        <f>SUMIFS($F$26:$F1517,$C$26:$C1517,"電子產品",$J$26:$J1517,"1")</f>
        <v>0</v>
      </c>
      <c r="E7" s="6">
        <f>SUMIFS($F$26:$F1517,$C$26:$C1517,"電子產品",$K$26:$K1517,"1")</f>
        <v>0</v>
      </c>
      <c r="F7" s="127">
        <f>SUMIFS($F$26:$F1517,$C$26:$C1517,"電子產品",$N$26:$N1517,"1")</f>
        <v>0</v>
      </c>
    </row>
    <row r="8">
      <c r="A8" s="126" t="s">
        <v>27</v>
      </c>
      <c r="B8" s="6">
        <f>SUMIFS($F$26:$F1517,$C$26:$C1517,"娛樂",$H$26:$H1517,"1")</f>
        <v>11.30333333</v>
      </c>
      <c r="C8" s="6">
        <f>SUMIFS($F$26:$F1517,$C$26:$C1517,"娛樂",$I$26:$I1517,"1")</f>
        <v>11.30333333</v>
      </c>
      <c r="D8" s="6">
        <f>SUMIFS($F$26:$F1517,$C$26:$C1517,"娛樂",$J$26:$J1517,"1")</f>
        <v>11.30333333</v>
      </c>
      <c r="E8" s="6">
        <f>SUMIFS($F$26:$F1517,$C$26:$C1517,"娛樂",$K$26:$K1517,"1")</f>
        <v>11.30333333</v>
      </c>
      <c r="F8" s="127">
        <f>SUMIFS($F$26:$F1517,$C$26:$C1517,"娛樂",$N$26:$N1517,"1")</f>
        <v>11.30333333</v>
      </c>
    </row>
    <row r="9">
      <c r="A9" s="126" t="s">
        <v>29</v>
      </c>
      <c r="B9" s="6">
        <f>SUMIFS($F$26:$F1517,$C$26:$C1517,"交通",$H$26:$H1517,"1")</f>
        <v>36.87771429</v>
      </c>
      <c r="C9" s="6">
        <f>SUMIFS($F$26:$F1517,$C$26:$C1517,"交通",$I$26:$I1517,"1")</f>
        <v>36.87771429</v>
      </c>
      <c r="D9" s="6">
        <f>SUMIFS($F$26:$F1517,$C$26:$C1517,"交通",$J$26:$J1517,"1")</f>
        <v>33.87771429</v>
      </c>
      <c r="E9" s="6">
        <f>SUMIFS($F$26:$F1517,$C$26:$C1517,"交通",$K$26:$K1517,"1")</f>
        <v>36.87771429</v>
      </c>
      <c r="F9" s="127">
        <f>SUMIFS($F$26:$F1517,$C$26:$C1517,"交通",$N$26:$N1517,"1")</f>
        <v>34.62771429</v>
      </c>
    </row>
    <row r="10">
      <c r="A10" s="126" t="s">
        <v>31</v>
      </c>
      <c r="B10" s="6">
        <f>SUMIFS($F$26:$F1517,$C$26:$C1517,"醫藥",$H$26:$H1517,"1")</f>
        <v>67.7887</v>
      </c>
      <c r="C10" s="6">
        <f>SUMIFS($F$26:$F1517,$C$26:$C1517,"醫藥",$I$26:$I1517,"1")</f>
        <v>0</v>
      </c>
      <c r="D10" s="6">
        <f>SUMIFS($F$26:$F1517,$C$26:$C1517,"醫藥",$J$26:$J1517,"1")</f>
        <v>0</v>
      </c>
      <c r="E10" s="6">
        <f>SUMIFS($F$26:$F1517,$C$26:$C1517,"醫藥",$K$26:$K1517,"1")</f>
        <v>0</v>
      </c>
      <c r="F10" s="127">
        <f>SUMIFS($F$26:$F1517,$C$26:$C1517,"醫藥",$N$26:$N1517,"1")</f>
        <v>0</v>
      </c>
    </row>
    <row r="11">
      <c r="A11" s="128" t="s">
        <v>33</v>
      </c>
      <c r="B11" s="129">
        <f>SUMIFS($F$26:$F1517,$C$26:$C1517,"其他",$H$26:$H1517,"1")</f>
        <v>0</v>
      </c>
      <c r="C11" s="129">
        <f>SUMIFS($F$26:$F1517,$C$26:$C1517,"其他",$I$26:$I1517,"1")</f>
        <v>0</v>
      </c>
      <c r="D11" s="129">
        <f>SUMIFS($F$26:$F1517,$C$26:$C1517,"其他",$J$26:$J1517,"1")</f>
        <v>0</v>
      </c>
      <c r="E11" s="129">
        <f>SUMIFS($F$26:$F1517,$C$26:$C1517,"其他",$K$26:$K1517,"1")</f>
        <v>0</v>
      </c>
      <c r="F11" s="130">
        <f>SUMIFS($F$26:$F1517,$C$26:$C1517,"其他",$N$26:$N1517,"1")</f>
        <v>0</v>
      </c>
    </row>
    <row r="12">
      <c r="A12" s="131" t="s">
        <v>328</v>
      </c>
      <c r="B12" s="6">
        <f t="shared" ref="B12:F12" si="1">SUM(B2:B11)</f>
        <v>1322.740004</v>
      </c>
      <c r="C12" s="6">
        <f t="shared" si="1"/>
        <v>1259.521304</v>
      </c>
      <c r="D12" s="6">
        <f t="shared" si="1"/>
        <v>1193.844637</v>
      </c>
      <c r="E12" s="6">
        <f t="shared" si="1"/>
        <v>1237.532018</v>
      </c>
      <c r="F12" s="6">
        <f t="shared" si="1"/>
        <v>1218.649518</v>
      </c>
    </row>
    <row r="25">
      <c r="A25" s="132" t="str">
        <f>IFERROR(__xludf.DUMMYFUNCTION("IMPORTRANGE(""https://docs.google.com/spreadsheets/d/1dZpkWD3REnvVALQwbfOZZpKYnujFN1S_8pHjXVTirOc/edit#gid=474332512"", ""Daily Expense_Jan!A12:N"")
"),"Date")</f>
        <v>Date</v>
      </c>
      <c r="B25" s="132" t="str">
        <f>IFERROR(__xludf.DUMMYFUNCTION("""COMPUTED_VALUE"""),"Item")</f>
        <v>Item</v>
      </c>
      <c r="C25" s="132" t="str">
        <f>IFERROR(__xludf.DUMMYFUNCTION("""COMPUTED_VALUE"""),"Type")</f>
        <v>Type</v>
      </c>
      <c r="D25" s="132" t="str">
        <f>IFERROR(__xludf.DUMMYFUNCTION("""COMPUTED_VALUE"""),"Price")</f>
        <v>Price</v>
      </c>
      <c r="E25" s="132" t="str">
        <f>IFERROR(__xludf.DUMMYFUNCTION("""COMPUTED_VALUE"""),"Paid by")</f>
        <v>Paid by</v>
      </c>
      <c r="F25" s="132" t="str">
        <f>IFERROR(__xludf.DUMMYFUNCTION("""COMPUTED_VALUE"""),"For Record 請勿清除")</f>
        <v>For Record 請勿清除</v>
      </c>
      <c r="G25" s="132" t="str">
        <f>IFERROR(__xludf.DUMMYFUNCTION("""COMPUTED_VALUE"""),"Average 清算後可清除")</f>
        <v>Average 清算後可清除</v>
      </c>
      <c r="H25" s="132" t="str">
        <f>IFERROR(__xludf.DUMMYFUNCTION("""COMPUTED_VALUE"""),"Timothy")</f>
        <v>Timothy</v>
      </c>
      <c r="I25" s="132" t="str">
        <f>IFERROR(__xludf.DUMMYFUNCTION("""COMPUTED_VALUE"""),"Rachel")</f>
        <v>Rachel</v>
      </c>
      <c r="J25" s="132" t="str">
        <f>IFERROR(__xludf.DUMMYFUNCTION("""COMPUTED_VALUE"""),"Bryan")</f>
        <v>Bryan</v>
      </c>
      <c r="K25" s="132" t="str">
        <f>IFERROR(__xludf.DUMMYFUNCTION("""COMPUTED_VALUE"""),"Pigskin")</f>
        <v>Pigskin</v>
      </c>
      <c r="L25" s="132" t="str">
        <f>IFERROR(__xludf.DUMMYFUNCTION("""COMPUTED_VALUE"""),"Angel")</f>
        <v>Angel</v>
      </c>
      <c r="M25" s="132" t="str">
        <f>IFERROR(__xludf.DUMMYFUNCTION("""COMPUTED_VALUE"""),"Ivan")</f>
        <v>Ivan</v>
      </c>
      <c r="N25" s="132" t="str">
        <f>IFERROR(__xludf.DUMMYFUNCTION("""COMPUTED_VALUE"""),"Esther")</f>
        <v>Esther</v>
      </c>
      <c r="O25" s="132"/>
      <c r="P25" s="132"/>
      <c r="Q25" s="132" t="str">
        <f>IFERROR(__xludf.DUMMYFUNCTION("IMPORTRANGE(""https://docs.google.com/spreadsheets/d/1dZpkWD3REnvVALQwbfOZZpKYnujFN1S_8pHjXVTirOc/edit#gid=1388060777"", ""Monthly Constant Expense!A:I"")"),"Month")</f>
        <v>Month</v>
      </c>
      <c r="R25" s="132" t="str">
        <f>IFERROR(__xludf.DUMMYFUNCTION("""COMPUTED_VALUE"""),"Item")</f>
        <v>Item</v>
      </c>
      <c r="S25" s="132" t="str">
        <f>IFERROR(__xludf.DUMMYFUNCTION("""COMPUTED_VALUE"""),"Total Price")</f>
        <v>Total Price</v>
      </c>
      <c r="T25" s="132" t="str">
        <f>IFERROR(__xludf.DUMMYFUNCTION("""COMPUTED_VALUE"""),"Per person")</f>
        <v>Per person</v>
      </c>
      <c r="U25" s="132" t="str">
        <f>IFERROR(__xludf.DUMMYFUNCTION("""COMPUTED_VALUE"""),"Timothy")</f>
        <v>Timothy</v>
      </c>
      <c r="V25" s="132" t="str">
        <f>IFERROR(__xludf.DUMMYFUNCTION("""COMPUTED_VALUE"""),"Rachel")</f>
        <v>Rachel</v>
      </c>
      <c r="W25" s="132" t="str">
        <f>IFERROR(__xludf.DUMMYFUNCTION("""COMPUTED_VALUE"""),"Bryan")</f>
        <v>Bryan</v>
      </c>
      <c r="X25" s="132" t="str">
        <f>IFERROR(__xludf.DUMMYFUNCTION("""COMPUTED_VALUE"""),"Pigskin")</f>
        <v>Pigskin</v>
      </c>
      <c r="Y25" s="132" t="str">
        <f>IFERROR(__xludf.DUMMYFUNCTION("""COMPUTED_VALUE"""),"Apple")</f>
        <v>Apple</v>
      </c>
      <c r="Z25" s="132"/>
    </row>
    <row r="26">
      <c r="A26" s="136">
        <f>IFERROR(__xludf.DUMMYFUNCTION("""COMPUTED_VALUE"""),45293.0)</f>
        <v>45293</v>
      </c>
      <c r="B26" s="132" t="str">
        <f>IFERROR(__xludf.DUMMYFUNCTION("""COMPUTED_VALUE"""),"Foody Dinner")</f>
        <v>Foody Dinner</v>
      </c>
      <c r="C26" s="132" t="str">
        <f>IFERROR(__xludf.DUMMYFUNCTION("""COMPUTED_VALUE"""),"食物")</f>
        <v>食物</v>
      </c>
      <c r="D26" s="132">
        <f>IFERROR(__xludf.DUMMYFUNCTION("""COMPUTED_VALUE"""),56.15)</f>
        <v>56.15</v>
      </c>
      <c r="E26" s="132" t="str">
        <f>IFERROR(__xludf.DUMMYFUNCTION("""COMPUTED_VALUE"""),"BL")</f>
        <v>BL</v>
      </c>
      <c r="F26" s="132">
        <f>IFERROR(__xludf.DUMMYFUNCTION("""COMPUTED_VALUE"""),11.23)</f>
        <v>11.23</v>
      </c>
      <c r="G26" s="132">
        <f>IFERROR(__xludf.DUMMYFUNCTION("""COMPUTED_VALUE"""),11.23)</f>
        <v>11.23</v>
      </c>
      <c r="H26" s="132">
        <f>IFERROR(__xludf.DUMMYFUNCTION("""COMPUTED_VALUE"""),1.0)</f>
        <v>1</v>
      </c>
      <c r="I26" s="132">
        <f>IFERROR(__xludf.DUMMYFUNCTION("""COMPUTED_VALUE"""),1.0)</f>
        <v>1</v>
      </c>
      <c r="J26" s="132">
        <f>IFERROR(__xludf.DUMMYFUNCTION("""COMPUTED_VALUE"""),1.0)</f>
        <v>1</v>
      </c>
      <c r="K26" s="132">
        <f>IFERROR(__xludf.DUMMYFUNCTION("""COMPUTED_VALUE"""),1.0)</f>
        <v>1</v>
      </c>
      <c r="L26" s="132"/>
      <c r="M26" s="132"/>
      <c r="N26" s="132">
        <f>IFERROR(__xludf.DUMMYFUNCTION("""COMPUTED_VALUE"""),1.0)</f>
        <v>1</v>
      </c>
      <c r="O26" s="132"/>
      <c r="P26" s="132"/>
      <c r="Q26" s="134">
        <f>IFERROR(__xludf.DUMMYFUNCTION("""COMPUTED_VALUE"""),45200.0)</f>
        <v>45200</v>
      </c>
      <c r="R26" s="132" t="str">
        <f>IFERROR(__xludf.DUMMYFUNCTION("""COMPUTED_VALUE"""),"2 months rent")</f>
        <v>2 months rent</v>
      </c>
      <c r="S26" s="132">
        <f>IFERROR(__xludf.DUMMYFUNCTION("""COMPUTED_VALUE"""),7200.0)</f>
        <v>7200</v>
      </c>
      <c r="T26" s="132">
        <f>IFERROR(__xludf.DUMMYFUNCTION("""COMPUTED_VALUE"""),1440.0)</f>
        <v>1440</v>
      </c>
      <c r="U26" s="132" t="str">
        <f>IFERROR(__xludf.DUMMYFUNCTION("""COMPUTED_VALUE"""),"Paid")</f>
        <v>Paid</v>
      </c>
      <c r="V26" s="132" t="str">
        <f>IFERROR(__xludf.DUMMYFUNCTION("""COMPUTED_VALUE"""),"Paid")</f>
        <v>Paid</v>
      </c>
      <c r="W26" s="132" t="str">
        <f>IFERROR(__xludf.DUMMYFUNCTION("""COMPUTED_VALUE"""),"Paid")</f>
        <v>Paid</v>
      </c>
      <c r="X26" s="132" t="str">
        <f>IFERROR(__xludf.DUMMYFUNCTION("""COMPUTED_VALUE"""),"Paid")</f>
        <v>Paid</v>
      </c>
      <c r="Y26" s="132" t="str">
        <f>IFERROR(__xludf.DUMMYFUNCTION("""COMPUTED_VALUE"""),"Paid")</f>
        <v>Paid</v>
      </c>
      <c r="Z26" s="132"/>
    </row>
    <row r="27">
      <c r="A27" s="136">
        <f>IFERROR(__xludf.DUMMYFUNCTION("""COMPUTED_VALUE"""),45311.0)</f>
        <v>45311</v>
      </c>
      <c r="B27" s="132" t="str">
        <f>IFERROR(__xludf.DUMMYFUNCTION("""COMPUTED_VALUE"""),"Gloves")</f>
        <v>Gloves</v>
      </c>
      <c r="C27" s="132" t="str">
        <f>IFERROR(__xludf.DUMMYFUNCTION("""COMPUTED_VALUE"""),"居家")</f>
        <v>居家</v>
      </c>
      <c r="D27" s="132">
        <f>IFERROR(__xludf.DUMMYFUNCTION("""COMPUTED_VALUE"""),3.11)</f>
        <v>3.11</v>
      </c>
      <c r="E27" s="132" t="str">
        <f>IFERROR(__xludf.DUMMYFUNCTION("""COMPUTED_VALUE"""),"BL")</f>
        <v>BL</v>
      </c>
      <c r="F27" s="132">
        <f>IFERROR(__xludf.DUMMYFUNCTION("""COMPUTED_VALUE"""),0.622)</f>
        <v>0.622</v>
      </c>
      <c r="G27" s="132">
        <f>IFERROR(__xludf.DUMMYFUNCTION("""COMPUTED_VALUE"""),0.622)</f>
        <v>0.622</v>
      </c>
      <c r="H27" s="132">
        <f>IFERROR(__xludf.DUMMYFUNCTION("""COMPUTED_VALUE"""),1.0)</f>
        <v>1</v>
      </c>
      <c r="I27" s="132">
        <f>IFERROR(__xludf.DUMMYFUNCTION("""COMPUTED_VALUE"""),1.0)</f>
        <v>1</v>
      </c>
      <c r="J27" s="132">
        <f>IFERROR(__xludf.DUMMYFUNCTION("""COMPUTED_VALUE"""),1.0)</f>
        <v>1</v>
      </c>
      <c r="K27" s="132">
        <f>IFERROR(__xludf.DUMMYFUNCTION("""COMPUTED_VALUE"""),1.0)</f>
        <v>1</v>
      </c>
      <c r="L27" s="132"/>
      <c r="M27" s="132"/>
      <c r="N27" s="132">
        <f>IFERROR(__xludf.DUMMYFUNCTION("""COMPUTED_VALUE"""),1.0)</f>
        <v>1</v>
      </c>
      <c r="O27" s="132"/>
      <c r="P27" s="132"/>
      <c r="Q27" s="132"/>
      <c r="R27" s="132" t="str">
        <f>IFERROR(__xludf.DUMMYFUNCTION("""COMPUTED_VALUE"""),"Housing Insurance")</f>
        <v>Housing Insurance</v>
      </c>
      <c r="S27" s="132">
        <f>IFERROR(__xludf.DUMMYFUNCTION("""COMPUTED_VALUE"""),676.3)</f>
        <v>676.3</v>
      </c>
      <c r="T27" s="132">
        <f>IFERROR(__xludf.DUMMYFUNCTION("""COMPUTED_VALUE"""),135.26)</f>
        <v>135.26</v>
      </c>
      <c r="U27" s="132" t="str">
        <f>IFERROR(__xludf.DUMMYFUNCTION("""COMPUTED_VALUE"""),"Paid")</f>
        <v>Paid</v>
      </c>
      <c r="V27" s="132" t="str">
        <f>IFERROR(__xludf.DUMMYFUNCTION("""COMPUTED_VALUE"""),"Paid")</f>
        <v>Paid</v>
      </c>
      <c r="W27" s="132" t="str">
        <f>IFERROR(__xludf.DUMMYFUNCTION("""COMPUTED_VALUE"""),"Paid")</f>
        <v>Paid</v>
      </c>
      <c r="X27" s="132" t="str">
        <f>IFERROR(__xludf.DUMMYFUNCTION("""COMPUTED_VALUE"""),"Paid")</f>
        <v>Paid</v>
      </c>
      <c r="Y27" s="132"/>
      <c r="Z27" s="132"/>
    </row>
    <row r="28">
      <c r="A28" s="136">
        <f>IFERROR(__xludf.DUMMYFUNCTION("""COMPUTED_VALUE"""),45298.0)</f>
        <v>45298</v>
      </c>
      <c r="B28" s="132" t="str">
        <f>IFERROR(__xludf.DUMMYFUNCTION("""COMPUTED_VALUE"""),"洗衣籃")</f>
        <v>洗衣籃</v>
      </c>
      <c r="C28" s="132" t="str">
        <f>IFERROR(__xludf.DUMMYFUNCTION("""COMPUTED_VALUE"""),"居家")</f>
        <v>居家</v>
      </c>
      <c r="D28" s="132">
        <f>IFERROR(__xludf.DUMMYFUNCTION("""COMPUTED_VALUE"""),19.2)</f>
        <v>19.2</v>
      </c>
      <c r="E28" s="132" t="str">
        <f>IFERROR(__xludf.DUMMYFUNCTION("""COMPUTED_VALUE"""),"BL")</f>
        <v>BL</v>
      </c>
      <c r="F28" s="132">
        <f>IFERROR(__xludf.DUMMYFUNCTION("""COMPUTED_VALUE"""),3.84)</f>
        <v>3.84</v>
      </c>
      <c r="G28" s="132">
        <f>IFERROR(__xludf.DUMMYFUNCTION("""COMPUTED_VALUE"""),3.84)</f>
        <v>3.84</v>
      </c>
      <c r="H28" s="132">
        <f>IFERROR(__xludf.DUMMYFUNCTION("""COMPUTED_VALUE"""),1.0)</f>
        <v>1</v>
      </c>
      <c r="I28" s="132">
        <f>IFERROR(__xludf.DUMMYFUNCTION("""COMPUTED_VALUE"""),1.0)</f>
        <v>1</v>
      </c>
      <c r="J28" s="132">
        <f>IFERROR(__xludf.DUMMYFUNCTION("""COMPUTED_VALUE"""),1.0)</f>
        <v>1</v>
      </c>
      <c r="K28" s="132">
        <f>IFERROR(__xludf.DUMMYFUNCTION("""COMPUTED_VALUE"""),1.0)</f>
        <v>1</v>
      </c>
      <c r="L28" s="132"/>
      <c r="M28" s="132"/>
      <c r="N28" s="132">
        <f>IFERROR(__xludf.DUMMYFUNCTION("""COMPUTED_VALUE"""),1.0)</f>
        <v>1</v>
      </c>
      <c r="O28" s="132"/>
      <c r="P28" s="132"/>
      <c r="Q28" s="132"/>
      <c r="R28" s="132" t="str">
        <f>IFERROR(__xludf.DUMMYFUNCTION("""COMPUTED_VALUE"""),"Rent (up-front)")</f>
        <v>Rent (up-front)</v>
      </c>
      <c r="S28" s="132">
        <f>IFERROR(__xludf.DUMMYFUNCTION("""COMPUTED_VALUE"""),14400.0)</f>
        <v>14400</v>
      </c>
      <c r="T28" s="132">
        <f>IFERROR(__xludf.DUMMYFUNCTION("""COMPUTED_VALUE"""),2880.0)</f>
        <v>2880</v>
      </c>
      <c r="U28" s="132" t="str">
        <f>IFERROR(__xludf.DUMMYFUNCTION("""COMPUTED_VALUE"""),"Paid")</f>
        <v>Paid</v>
      </c>
      <c r="V28" s="132" t="str">
        <f>IFERROR(__xludf.DUMMYFUNCTION("""COMPUTED_VALUE"""),"Paid")</f>
        <v>Paid</v>
      </c>
      <c r="W28" s="132" t="str">
        <f>IFERROR(__xludf.DUMMYFUNCTION("""COMPUTED_VALUE"""),"Paid")</f>
        <v>Paid</v>
      </c>
      <c r="X28" s="132" t="str">
        <f>IFERROR(__xludf.DUMMYFUNCTION("""COMPUTED_VALUE"""),"Paid")</f>
        <v>Paid</v>
      </c>
      <c r="Y28" s="132" t="str">
        <f>IFERROR(__xludf.DUMMYFUNCTION("""COMPUTED_VALUE"""),"Paid")</f>
        <v>Paid</v>
      </c>
      <c r="Z28" s="132"/>
    </row>
    <row r="29">
      <c r="A29" s="136">
        <f>IFERROR(__xludf.DUMMYFUNCTION("""COMPUTED_VALUE"""),45299.0)</f>
        <v>45299</v>
      </c>
      <c r="B29" s="132" t="str">
        <f>IFERROR(__xludf.DUMMYFUNCTION("""COMPUTED_VALUE"""),"Curry Dinner")</f>
        <v>Curry Dinner</v>
      </c>
      <c r="C29" s="132" t="str">
        <f>IFERROR(__xludf.DUMMYFUNCTION("""COMPUTED_VALUE"""),"食物")</f>
        <v>食物</v>
      </c>
      <c r="D29" s="132">
        <f>IFERROR(__xludf.DUMMYFUNCTION("""COMPUTED_VALUE"""),158.0)</f>
        <v>158</v>
      </c>
      <c r="E29" s="132" t="str">
        <f>IFERROR(__xludf.DUMMYFUNCTION("""COMPUTED_VALUE"""),"BL")</f>
        <v>BL</v>
      </c>
      <c r="F29" s="132">
        <f>IFERROR(__xludf.DUMMYFUNCTION("""COMPUTED_VALUE"""),22.571428571428573)</f>
        <v>22.57142857</v>
      </c>
      <c r="G29" s="132">
        <f>IFERROR(__xludf.DUMMYFUNCTION("""COMPUTED_VALUE"""),22.571428571428573)</f>
        <v>22.57142857</v>
      </c>
      <c r="H29" s="132">
        <f>IFERROR(__xludf.DUMMYFUNCTION("""COMPUTED_VALUE"""),1.0)</f>
        <v>1</v>
      </c>
      <c r="I29" s="132">
        <f>IFERROR(__xludf.DUMMYFUNCTION("""COMPUTED_VALUE"""),1.0)</f>
        <v>1</v>
      </c>
      <c r="J29" s="132">
        <f>IFERROR(__xludf.DUMMYFUNCTION("""COMPUTED_VALUE"""),1.0)</f>
        <v>1</v>
      </c>
      <c r="K29" s="132">
        <f>IFERROR(__xludf.DUMMYFUNCTION("""COMPUTED_VALUE"""),1.0)</f>
        <v>1</v>
      </c>
      <c r="L29" s="132">
        <f>IFERROR(__xludf.DUMMYFUNCTION("""COMPUTED_VALUE"""),1.0)</f>
        <v>1</v>
      </c>
      <c r="M29" s="132">
        <f>IFERROR(__xludf.DUMMYFUNCTION("""COMPUTED_VALUE"""),1.0)</f>
        <v>1</v>
      </c>
      <c r="N29" s="132">
        <f>IFERROR(__xludf.DUMMYFUNCTION("""COMPUTED_VALUE"""),1.0)</f>
        <v>1</v>
      </c>
      <c r="O29" s="132"/>
      <c r="P29" s="132"/>
      <c r="Q29" s="132"/>
      <c r="R29" s="132" t="str">
        <f>IFERROR(__xludf.DUMMYFUNCTION("""COMPUTED_VALUE"""),"Key Deposit")</f>
        <v>Key Deposit</v>
      </c>
      <c r="S29" s="132">
        <f>IFERROR(__xludf.DUMMYFUNCTION("""COMPUTED_VALUE"""),200.0)</f>
        <v>200</v>
      </c>
      <c r="T29" s="132">
        <f>IFERROR(__xludf.DUMMYFUNCTION("""COMPUTED_VALUE"""),40.0)</f>
        <v>40</v>
      </c>
      <c r="U29" s="132" t="str">
        <f>IFERROR(__xludf.DUMMYFUNCTION("""COMPUTED_VALUE"""),"Paid")</f>
        <v>Paid</v>
      </c>
      <c r="V29" s="132" t="str">
        <f>IFERROR(__xludf.DUMMYFUNCTION("""COMPUTED_VALUE"""),"Paid")</f>
        <v>Paid</v>
      </c>
      <c r="W29" s="132" t="str">
        <f>IFERROR(__xludf.DUMMYFUNCTION("""COMPUTED_VALUE"""),"Paid")</f>
        <v>Paid</v>
      </c>
      <c r="X29" s="132" t="str">
        <f>IFERROR(__xludf.DUMMYFUNCTION("""COMPUTED_VALUE"""),"Paid")</f>
        <v>Paid</v>
      </c>
      <c r="Y29" s="132" t="str">
        <f>IFERROR(__xludf.DUMMYFUNCTION("""COMPUTED_VALUE"""),"Paid")</f>
        <v>Paid</v>
      </c>
      <c r="Z29" s="132"/>
    </row>
    <row r="30">
      <c r="A30" s="136">
        <f>IFERROR(__xludf.DUMMYFUNCTION("""COMPUTED_VALUE"""),45302.0)</f>
        <v>45302</v>
      </c>
      <c r="B30" s="132" t="str">
        <f>IFERROR(__xludf.DUMMYFUNCTION("""COMPUTED_VALUE"""),"Foody")</f>
        <v>Foody</v>
      </c>
      <c r="C30" s="132" t="str">
        <f>IFERROR(__xludf.DUMMYFUNCTION("""COMPUTED_VALUE"""),"食物")</f>
        <v>食物</v>
      </c>
      <c r="D30" s="132">
        <f>IFERROR(__xludf.DUMMYFUNCTION("""COMPUTED_VALUE"""),62.97)</f>
        <v>62.97</v>
      </c>
      <c r="E30" s="132" t="str">
        <f>IFERROR(__xludf.DUMMYFUNCTION("""COMPUTED_VALUE"""),"Esther")</f>
        <v>Esther</v>
      </c>
      <c r="F30" s="132">
        <f>IFERROR(__xludf.DUMMYFUNCTION("""COMPUTED_VALUE"""),12.594)</f>
        <v>12.594</v>
      </c>
      <c r="G30" s="132">
        <f>IFERROR(__xludf.DUMMYFUNCTION("""COMPUTED_VALUE"""),12.594)</f>
        <v>12.594</v>
      </c>
      <c r="H30" s="132">
        <f>IFERROR(__xludf.DUMMYFUNCTION("""COMPUTED_VALUE"""),1.0)</f>
        <v>1</v>
      </c>
      <c r="I30" s="132">
        <f>IFERROR(__xludf.DUMMYFUNCTION("""COMPUTED_VALUE"""),1.0)</f>
        <v>1</v>
      </c>
      <c r="J30" s="132">
        <f>IFERROR(__xludf.DUMMYFUNCTION("""COMPUTED_VALUE"""),1.0)</f>
        <v>1</v>
      </c>
      <c r="K30" s="132">
        <f>IFERROR(__xludf.DUMMYFUNCTION("""COMPUTED_VALUE"""),1.0)</f>
        <v>1</v>
      </c>
      <c r="L30" s="132"/>
      <c r="M30" s="132"/>
      <c r="N30" s="132">
        <f>IFERROR(__xludf.DUMMYFUNCTION("""COMPUTED_VALUE"""),1.0)</f>
        <v>1</v>
      </c>
      <c r="O30" s="132"/>
      <c r="P30" s="132"/>
      <c r="Q30" s="132"/>
      <c r="R30" s="132" t="str">
        <f>IFERROR(__xludf.DUMMYFUNCTION("""COMPUTED_VALUE"""),"Furniture Deposit")</f>
        <v>Furniture Deposit</v>
      </c>
      <c r="S30" s="132">
        <f>IFERROR(__xludf.DUMMYFUNCTION("""COMPUTED_VALUE"""),800.0)</f>
        <v>800</v>
      </c>
      <c r="T30" s="132">
        <f>IFERROR(__xludf.DUMMYFUNCTION("""COMPUTED_VALUE"""),160.0)</f>
        <v>160</v>
      </c>
      <c r="U30" s="132" t="str">
        <f>IFERROR(__xludf.DUMMYFUNCTION("""COMPUTED_VALUE"""),"Paid")</f>
        <v>Paid</v>
      </c>
      <c r="V30" s="132" t="str">
        <f>IFERROR(__xludf.DUMMYFUNCTION("""COMPUTED_VALUE"""),"Paid")</f>
        <v>Paid</v>
      </c>
      <c r="W30" s="132" t="str">
        <f>IFERROR(__xludf.DUMMYFUNCTION("""COMPUTED_VALUE"""),"Paid")</f>
        <v>Paid</v>
      </c>
      <c r="X30" s="132" t="str">
        <f>IFERROR(__xludf.DUMMYFUNCTION("""COMPUTED_VALUE"""),"Paid")</f>
        <v>Paid</v>
      </c>
      <c r="Y30" s="132" t="str">
        <f>IFERROR(__xludf.DUMMYFUNCTION("""COMPUTED_VALUE"""),"Paid")</f>
        <v>Paid</v>
      </c>
      <c r="Z30" s="132"/>
    </row>
    <row r="31">
      <c r="A31" s="136">
        <f>IFERROR(__xludf.DUMMYFUNCTION("""COMPUTED_VALUE"""),45304.0)</f>
        <v>45304</v>
      </c>
      <c r="B31" s="132" t="str">
        <f>IFERROR(__xludf.DUMMYFUNCTION("""COMPUTED_VALUE"""),"Foody")</f>
        <v>Foody</v>
      </c>
      <c r="C31" s="132" t="str">
        <f>IFERROR(__xludf.DUMMYFUNCTION("""COMPUTED_VALUE"""),"食物")</f>
        <v>食物</v>
      </c>
      <c r="D31" s="132">
        <f>IFERROR(__xludf.DUMMYFUNCTION("""COMPUTED_VALUE"""),68.16)</f>
        <v>68.16</v>
      </c>
      <c r="E31" s="132" t="str">
        <f>IFERROR(__xludf.DUMMYFUNCTION("""COMPUTED_VALUE"""),"Esther")</f>
        <v>Esther</v>
      </c>
      <c r="F31" s="132">
        <f>IFERROR(__xludf.DUMMYFUNCTION("""COMPUTED_VALUE"""),13.632)</f>
        <v>13.632</v>
      </c>
      <c r="G31" s="132">
        <f>IFERROR(__xludf.DUMMYFUNCTION("""COMPUTED_VALUE"""),13.632)</f>
        <v>13.632</v>
      </c>
      <c r="H31" s="132">
        <f>IFERROR(__xludf.DUMMYFUNCTION("""COMPUTED_VALUE"""),1.0)</f>
        <v>1</v>
      </c>
      <c r="I31" s="132">
        <f>IFERROR(__xludf.DUMMYFUNCTION("""COMPUTED_VALUE"""),1.0)</f>
        <v>1</v>
      </c>
      <c r="J31" s="132">
        <f>IFERROR(__xludf.DUMMYFUNCTION("""COMPUTED_VALUE"""),1.0)</f>
        <v>1</v>
      </c>
      <c r="K31" s="132">
        <f>IFERROR(__xludf.DUMMYFUNCTION("""COMPUTED_VALUE"""),1.0)</f>
        <v>1</v>
      </c>
      <c r="L31" s="132"/>
      <c r="M31" s="132"/>
      <c r="N31" s="132">
        <f>IFERROR(__xludf.DUMMYFUNCTION("""COMPUTED_VALUE"""),1.0)</f>
        <v>1</v>
      </c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>
      <c r="A32" s="136">
        <f>IFERROR(__xludf.DUMMYFUNCTION("""COMPUTED_VALUE"""),45304.0)</f>
        <v>45304</v>
      </c>
      <c r="B32" s="132" t="str">
        <f>IFERROR(__xludf.DUMMYFUNCTION("""COMPUTED_VALUE"""),"Popeyes")</f>
        <v>Popeyes</v>
      </c>
      <c r="C32" s="132" t="str">
        <f>IFERROR(__xludf.DUMMYFUNCTION("""COMPUTED_VALUE"""),"食物")</f>
        <v>食物</v>
      </c>
      <c r="D32" s="132">
        <f>IFERROR(__xludf.DUMMYFUNCTION("""COMPUTED_VALUE"""),9.59)</f>
        <v>9.59</v>
      </c>
      <c r="E32" s="132" t="str">
        <f>IFERROR(__xludf.DUMMYFUNCTION("""COMPUTED_VALUE"""),"Esther")</f>
        <v>Esther</v>
      </c>
      <c r="F32" s="132">
        <f>IFERROR(__xludf.DUMMYFUNCTION("""COMPUTED_VALUE"""),4.795)</f>
        <v>4.795</v>
      </c>
      <c r="G32" s="132">
        <f>IFERROR(__xludf.DUMMYFUNCTION("""COMPUTED_VALUE"""),4.795)</f>
        <v>4.795</v>
      </c>
      <c r="H32" s="132"/>
      <c r="I32" s="132"/>
      <c r="J32" s="132"/>
      <c r="K32" s="132">
        <f>IFERROR(__xludf.DUMMYFUNCTION("""COMPUTED_VALUE"""),1.0)</f>
        <v>1</v>
      </c>
      <c r="L32" s="132"/>
      <c r="M32" s="132"/>
      <c r="N32" s="132">
        <f>IFERROR(__xludf.DUMMYFUNCTION("""COMPUTED_VALUE"""),1.0)</f>
        <v>1</v>
      </c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>
      <c r="A33" s="136">
        <f>IFERROR(__xludf.DUMMYFUNCTION("""COMPUTED_VALUE"""),45307.0)</f>
        <v>45307</v>
      </c>
      <c r="B33" s="132" t="str">
        <f>IFERROR(__xludf.DUMMYFUNCTION("""COMPUTED_VALUE"""),"Dinner")</f>
        <v>Dinner</v>
      </c>
      <c r="C33" s="132" t="str">
        <f>IFERROR(__xludf.DUMMYFUNCTION("""COMPUTED_VALUE"""),"食物")</f>
        <v>食物</v>
      </c>
      <c r="D33" s="132">
        <f>IFERROR(__xludf.DUMMYFUNCTION("""COMPUTED_VALUE"""),10.65)</f>
        <v>10.65</v>
      </c>
      <c r="E33" s="132" t="str">
        <f>IFERROR(__xludf.DUMMYFUNCTION("""COMPUTED_VALUE"""),"Esther")</f>
        <v>Esther</v>
      </c>
      <c r="F33" s="132">
        <f>IFERROR(__xludf.DUMMYFUNCTION("""COMPUTED_VALUE"""),2.13)</f>
        <v>2.13</v>
      </c>
      <c r="G33" s="132">
        <f>IFERROR(__xludf.DUMMYFUNCTION("""COMPUTED_VALUE"""),2.13)</f>
        <v>2.13</v>
      </c>
      <c r="H33" s="132">
        <f>IFERROR(__xludf.DUMMYFUNCTION("""COMPUTED_VALUE"""),1.0)</f>
        <v>1</v>
      </c>
      <c r="I33" s="132">
        <f>IFERROR(__xludf.DUMMYFUNCTION("""COMPUTED_VALUE"""),1.0)</f>
        <v>1</v>
      </c>
      <c r="J33" s="132">
        <f>IFERROR(__xludf.DUMMYFUNCTION("""COMPUTED_VALUE"""),1.0)</f>
        <v>1</v>
      </c>
      <c r="K33" s="132">
        <f>IFERROR(__xludf.DUMMYFUNCTION("""COMPUTED_VALUE"""),1.0)</f>
        <v>1</v>
      </c>
      <c r="L33" s="132"/>
      <c r="M33" s="132"/>
      <c r="N33" s="132">
        <f>IFERROR(__xludf.DUMMYFUNCTION("""COMPUTED_VALUE"""),1.0)</f>
        <v>1</v>
      </c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>
      <c r="A34" s="136">
        <f>IFERROR(__xludf.DUMMYFUNCTION("""COMPUTED_VALUE"""),45307.0)</f>
        <v>45307</v>
      </c>
      <c r="B34" s="132" t="str">
        <f>IFERROR(__xludf.DUMMYFUNCTION("""COMPUTED_VALUE"""),"Foody Dinner")</f>
        <v>Foody Dinner</v>
      </c>
      <c r="C34" s="132" t="str">
        <f>IFERROR(__xludf.DUMMYFUNCTION("""COMPUTED_VALUE"""),"食物")</f>
        <v>食物</v>
      </c>
      <c r="D34" s="132">
        <f>IFERROR(__xludf.DUMMYFUNCTION("""COMPUTED_VALUE"""),10.65)</f>
        <v>10.65</v>
      </c>
      <c r="E34" s="132" t="str">
        <f>IFERROR(__xludf.DUMMYFUNCTION("""COMPUTED_VALUE"""),"Esther")</f>
        <v>Esther</v>
      </c>
      <c r="F34" s="132">
        <f>IFERROR(__xludf.DUMMYFUNCTION("""COMPUTED_VALUE"""),2.13)</f>
        <v>2.13</v>
      </c>
      <c r="G34" s="132">
        <f>IFERROR(__xludf.DUMMYFUNCTION("""COMPUTED_VALUE"""),2.13)</f>
        <v>2.13</v>
      </c>
      <c r="H34" s="132">
        <f>IFERROR(__xludf.DUMMYFUNCTION("""COMPUTED_VALUE"""),1.0)</f>
        <v>1</v>
      </c>
      <c r="I34" s="132">
        <f>IFERROR(__xludf.DUMMYFUNCTION("""COMPUTED_VALUE"""),1.0)</f>
        <v>1</v>
      </c>
      <c r="J34" s="132">
        <f>IFERROR(__xludf.DUMMYFUNCTION("""COMPUTED_VALUE"""),1.0)</f>
        <v>1</v>
      </c>
      <c r="K34" s="132">
        <f>IFERROR(__xludf.DUMMYFUNCTION("""COMPUTED_VALUE"""),1.0)</f>
        <v>1</v>
      </c>
      <c r="L34" s="132"/>
      <c r="M34" s="132"/>
      <c r="N34" s="132">
        <f>IFERROR(__xludf.DUMMYFUNCTION("""COMPUTED_VALUE"""),1.0)</f>
        <v>1</v>
      </c>
      <c r="O34" s="132"/>
      <c r="P34" s="132"/>
      <c r="Q34" s="132"/>
      <c r="R34" s="132"/>
      <c r="S34" s="132">
        <f>IFERROR(__xludf.DUMMYFUNCTION("""COMPUTED_VALUE"""),23276.3)</f>
        <v>23276.3</v>
      </c>
      <c r="T34" s="132">
        <f>IFERROR(__xludf.DUMMYFUNCTION("""COMPUTED_VALUE"""),4655.26)</f>
        <v>4655.26</v>
      </c>
      <c r="U34" s="132"/>
      <c r="V34" s="132"/>
      <c r="W34" s="132"/>
      <c r="X34" s="132"/>
      <c r="Y34" s="132"/>
      <c r="Z34" s="132"/>
    </row>
    <row r="35">
      <c r="A35" s="136">
        <f>IFERROR(__xludf.DUMMYFUNCTION("""COMPUTED_VALUE"""),45299.0)</f>
        <v>45299</v>
      </c>
      <c r="B35" s="132" t="str">
        <f>IFERROR(__xludf.DUMMYFUNCTION("""COMPUTED_VALUE"""),"Rent car and lyft")</f>
        <v>Rent car and lyft</v>
      </c>
      <c r="C35" s="132" t="str">
        <f>IFERROR(__xludf.DUMMYFUNCTION("""COMPUTED_VALUE"""),"交通")</f>
        <v>交通</v>
      </c>
      <c r="D35" s="132">
        <f>IFERROR(__xludf.DUMMYFUNCTION("""COMPUTED_VALUE"""),187.57)</f>
        <v>187.57</v>
      </c>
      <c r="E35" s="132" t="str">
        <f>IFERROR(__xludf.DUMMYFUNCTION("""COMPUTED_VALUE"""),"Ivan")</f>
        <v>Ivan</v>
      </c>
      <c r="F35" s="132">
        <f>IFERROR(__xludf.DUMMYFUNCTION("""COMPUTED_VALUE"""),26.795714285714286)</f>
        <v>26.79571429</v>
      </c>
      <c r="G35" s="132">
        <f>IFERROR(__xludf.DUMMYFUNCTION("""COMPUTED_VALUE"""),26.795714285714286)</f>
        <v>26.79571429</v>
      </c>
      <c r="H35" s="132">
        <f>IFERROR(__xludf.DUMMYFUNCTION("""COMPUTED_VALUE"""),1.0)</f>
        <v>1</v>
      </c>
      <c r="I35" s="132">
        <f>IFERROR(__xludf.DUMMYFUNCTION("""COMPUTED_VALUE"""),1.0)</f>
        <v>1</v>
      </c>
      <c r="J35" s="132">
        <f>IFERROR(__xludf.DUMMYFUNCTION("""COMPUTED_VALUE"""),1.0)</f>
        <v>1</v>
      </c>
      <c r="K35" s="132">
        <f>IFERROR(__xludf.DUMMYFUNCTION("""COMPUTED_VALUE"""),1.0)</f>
        <v>1</v>
      </c>
      <c r="L35" s="132">
        <f>IFERROR(__xludf.DUMMYFUNCTION("""COMPUTED_VALUE"""),1.0)</f>
        <v>1</v>
      </c>
      <c r="M35" s="132">
        <f>IFERROR(__xludf.DUMMYFUNCTION("""COMPUTED_VALUE"""),1.0)</f>
        <v>1</v>
      </c>
      <c r="N35" s="132">
        <f>IFERROR(__xludf.DUMMYFUNCTION("""COMPUTED_VALUE"""),1.0)</f>
        <v>1</v>
      </c>
      <c r="O35" s="132"/>
      <c r="P35" s="132"/>
      <c r="Q35" s="134"/>
      <c r="R35" s="132"/>
      <c r="S35" s="132"/>
      <c r="T35" s="132"/>
      <c r="U35" s="132"/>
      <c r="V35" s="132"/>
      <c r="W35" s="132"/>
      <c r="X35" s="132"/>
      <c r="Y35" s="132"/>
      <c r="Z35" s="132"/>
    </row>
    <row r="36">
      <c r="A36" s="235">
        <f>IFERROR(__xludf.DUMMYFUNCTION("""COMPUTED_VALUE"""),45292.0)</f>
        <v>45292</v>
      </c>
      <c r="B36" s="132" t="str">
        <f>IFERROR(__xludf.DUMMYFUNCTION("""COMPUTED_VALUE"""),"Bo Jai Fan")</f>
        <v>Bo Jai Fan</v>
      </c>
      <c r="C36" s="132" t="str">
        <f>IFERROR(__xludf.DUMMYFUNCTION("""COMPUTED_VALUE"""),"食物")</f>
        <v>食物</v>
      </c>
      <c r="D36" s="132">
        <f>IFERROR(__xludf.DUMMYFUNCTION("""COMPUTED_VALUE"""),73.3935)</f>
        <v>73.3935</v>
      </c>
      <c r="E36" s="132" t="str">
        <f>IFERROR(__xludf.DUMMYFUNCTION("""COMPUTED_VALUE"""),"Pigskin")</f>
        <v>Pigskin</v>
      </c>
      <c r="F36" s="132">
        <f>IFERROR(__xludf.DUMMYFUNCTION("""COMPUTED_VALUE"""),14.678700000000001)</f>
        <v>14.6787</v>
      </c>
      <c r="G36" s="132">
        <f>IFERROR(__xludf.DUMMYFUNCTION("""COMPUTED_VALUE"""),14.678700000000001)</f>
        <v>14.6787</v>
      </c>
      <c r="H36" s="132">
        <f>IFERROR(__xludf.DUMMYFUNCTION("""COMPUTED_VALUE"""),1.0)</f>
        <v>1</v>
      </c>
      <c r="I36" s="132">
        <f>IFERROR(__xludf.DUMMYFUNCTION("""COMPUTED_VALUE"""),1.0)</f>
        <v>1</v>
      </c>
      <c r="J36" s="132">
        <f>IFERROR(__xludf.DUMMYFUNCTION("""COMPUTED_VALUE"""),1.0)</f>
        <v>1</v>
      </c>
      <c r="K36" s="132">
        <f>IFERROR(__xludf.DUMMYFUNCTION("""COMPUTED_VALUE"""),1.0)</f>
        <v>1</v>
      </c>
      <c r="L36" s="132"/>
      <c r="M36" s="132">
        <f>IFERROR(__xludf.DUMMYFUNCTION("""COMPUTED_VALUE"""),1.0)</f>
        <v>1</v>
      </c>
      <c r="N36" s="132"/>
      <c r="O36" s="132"/>
      <c r="P36" s="132"/>
      <c r="Q36" s="134">
        <f>IFERROR(__xludf.DUMMYFUNCTION("""COMPUTED_VALUE"""),45231.0)</f>
        <v>45231</v>
      </c>
      <c r="R36" s="132" t="str">
        <f>IFERROR(__xludf.DUMMYFUNCTION("""COMPUTED_VALUE"""),"Rent")</f>
        <v>Rent</v>
      </c>
      <c r="S36" s="132">
        <f>IFERROR(__xludf.DUMMYFUNCTION("""COMPUTED_VALUE"""),3600.0)</f>
        <v>3600</v>
      </c>
      <c r="T36" s="132">
        <f>IFERROR(__xludf.DUMMYFUNCTION("""COMPUTED_VALUE"""),720.0)</f>
        <v>720</v>
      </c>
      <c r="U36" s="132" t="str">
        <f>IFERROR(__xludf.DUMMYFUNCTION("""COMPUTED_VALUE"""),"Paid")</f>
        <v>Paid</v>
      </c>
      <c r="V36" s="132" t="str">
        <f>IFERROR(__xludf.DUMMYFUNCTION("""COMPUTED_VALUE"""),"Paid")</f>
        <v>Paid</v>
      </c>
      <c r="W36" s="132" t="str">
        <f>IFERROR(__xludf.DUMMYFUNCTION("""COMPUTED_VALUE"""),"Paid")</f>
        <v>Paid</v>
      </c>
      <c r="X36" s="132" t="str">
        <f>IFERROR(__xludf.DUMMYFUNCTION("""COMPUTED_VALUE"""),"Paid")</f>
        <v>Paid</v>
      </c>
      <c r="Y36" s="132" t="str">
        <f>IFERROR(__xludf.DUMMYFUNCTION("""COMPUTED_VALUE"""),"Paid")</f>
        <v>Paid</v>
      </c>
      <c r="Z36" s="132"/>
    </row>
    <row r="37">
      <c r="A37" s="235">
        <f>IFERROR(__xludf.DUMMYFUNCTION("""COMPUTED_VALUE"""),45292.0)</f>
        <v>45292</v>
      </c>
      <c r="B37" s="132" t="str">
        <f>IFERROR(__xludf.DUMMYFUNCTION("""COMPUTED_VALUE"""),"Bo Jai Fan")</f>
        <v>Bo Jai Fan</v>
      </c>
      <c r="C37" s="132" t="str">
        <f>IFERROR(__xludf.DUMMYFUNCTION("""COMPUTED_VALUE"""),"食物")</f>
        <v>食物</v>
      </c>
      <c r="D37" s="132">
        <f>IFERROR(__xludf.DUMMYFUNCTION("""COMPUTED_VALUE"""),15.808699999999998)</f>
        <v>15.8087</v>
      </c>
      <c r="E37" s="132" t="str">
        <f>IFERROR(__xludf.DUMMYFUNCTION("""COMPUTED_VALUE"""),"Pigskin")</f>
        <v>Pigskin</v>
      </c>
      <c r="F37" s="132">
        <f>IFERROR(__xludf.DUMMYFUNCTION("""COMPUTED_VALUE"""),15.808699999999998)</f>
        <v>15.8087</v>
      </c>
      <c r="G37" s="132">
        <f>IFERROR(__xludf.DUMMYFUNCTION("""COMPUTED_VALUE"""),15.808699999999998)</f>
        <v>15.8087</v>
      </c>
      <c r="H37" s="132"/>
      <c r="I37" s="132"/>
      <c r="J37" s="132"/>
      <c r="K37" s="132"/>
      <c r="L37" s="132"/>
      <c r="M37" s="132"/>
      <c r="N37" s="132">
        <f>IFERROR(__xludf.DUMMYFUNCTION("""COMPUTED_VALUE"""),1.0)</f>
        <v>1</v>
      </c>
      <c r="O37" s="132"/>
      <c r="P37" s="132"/>
      <c r="Q37" s="132"/>
      <c r="R37" s="132" t="str">
        <f>IFERROR(__xludf.DUMMYFUNCTION("""COMPUTED_VALUE"""),"Water")</f>
        <v>Water</v>
      </c>
      <c r="S37" s="132"/>
      <c r="T37" s="132"/>
      <c r="U37" s="132"/>
      <c r="V37" s="132"/>
      <c r="W37" s="132"/>
      <c r="X37" s="132"/>
      <c r="Y37" s="132"/>
      <c r="Z37" s="132"/>
    </row>
    <row r="38">
      <c r="A38" s="136">
        <f>IFERROR(__xludf.DUMMYFUNCTION("""COMPUTED_VALUE"""),45297.0)</f>
        <v>45297</v>
      </c>
      <c r="B38" s="132" t="str">
        <f>IFERROR(__xludf.DUMMYFUNCTION("""COMPUTED_VALUE"""),"Foody Dinner")</f>
        <v>Foody Dinner</v>
      </c>
      <c r="C38" s="132" t="str">
        <f>IFERROR(__xludf.DUMMYFUNCTION("""COMPUTED_VALUE"""),"食物")</f>
        <v>食物</v>
      </c>
      <c r="D38" s="132">
        <f>IFERROR(__xludf.DUMMYFUNCTION("""COMPUTED_VALUE"""),7.1)</f>
        <v>7.1</v>
      </c>
      <c r="E38" s="132" t="str">
        <f>IFERROR(__xludf.DUMMYFUNCTION("""COMPUTED_VALUE"""),"Pigskin")</f>
        <v>Pigskin</v>
      </c>
      <c r="F38" s="132">
        <f>IFERROR(__xludf.DUMMYFUNCTION("""COMPUTED_VALUE"""),1.775)</f>
        <v>1.775</v>
      </c>
      <c r="G38" s="132">
        <f>IFERROR(__xludf.DUMMYFUNCTION("""COMPUTED_VALUE"""),1.775)</f>
        <v>1.775</v>
      </c>
      <c r="H38" s="132">
        <f>IFERROR(__xludf.DUMMYFUNCTION("""COMPUTED_VALUE"""),1.0)</f>
        <v>1</v>
      </c>
      <c r="I38" s="132">
        <f>IFERROR(__xludf.DUMMYFUNCTION("""COMPUTED_VALUE"""),1.0)</f>
        <v>1</v>
      </c>
      <c r="J38" s="132">
        <f>IFERROR(__xludf.DUMMYFUNCTION("""COMPUTED_VALUE"""),1.0)</f>
        <v>1</v>
      </c>
      <c r="K38" s="132">
        <f>IFERROR(__xludf.DUMMYFUNCTION("""COMPUTED_VALUE"""),1.0)</f>
        <v>1</v>
      </c>
      <c r="L38" s="132"/>
      <c r="M38" s="132"/>
      <c r="N38" s="132"/>
      <c r="O38" s="132"/>
      <c r="P38" s="132"/>
      <c r="Q38" s="132"/>
      <c r="R38" s="132" t="str">
        <f>IFERROR(__xludf.DUMMYFUNCTION("""COMPUTED_VALUE"""),"Heat (19/10-16/11)")</f>
        <v>Heat (19/10-16/11)</v>
      </c>
      <c r="S38" s="132">
        <f>IFERROR(__xludf.DUMMYFUNCTION("""COMPUTED_VALUE"""),136.95000000000002)</f>
        <v>136.95</v>
      </c>
      <c r="T38" s="132"/>
      <c r="U38" s="132">
        <f>IFERROR(__xludf.DUMMYFUNCTION("""COMPUTED_VALUE"""),40.53)</f>
        <v>40.53</v>
      </c>
      <c r="V38" s="132">
        <f>IFERROR(__xludf.DUMMYFUNCTION("""COMPUTED_VALUE"""),40.53)</f>
        <v>40.53</v>
      </c>
      <c r="W38" s="132">
        <f>IFERROR(__xludf.DUMMYFUNCTION("""COMPUTED_VALUE"""),25.15)</f>
        <v>25.15</v>
      </c>
      <c r="X38" s="132">
        <f>IFERROR(__xludf.DUMMYFUNCTION("""COMPUTED_VALUE"""),25.15)</f>
        <v>25.15</v>
      </c>
      <c r="Y38" s="132">
        <f>IFERROR(__xludf.DUMMYFUNCTION("""COMPUTED_VALUE"""),5.59)</f>
        <v>5.59</v>
      </c>
      <c r="Z38" s="132"/>
    </row>
    <row r="39">
      <c r="A39" s="136">
        <f>IFERROR(__xludf.DUMMYFUNCTION("""COMPUTED_VALUE"""),45296.0)</f>
        <v>45296</v>
      </c>
      <c r="B39" s="132" t="str">
        <f>IFERROR(__xludf.DUMMYFUNCTION("""COMPUTED_VALUE"""),"TNT DINNER")</f>
        <v>TNT DINNER</v>
      </c>
      <c r="C39" s="132" t="str">
        <f>IFERROR(__xludf.DUMMYFUNCTION("""COMPUTED_VALUE"""),"食物")</f>
        <v>食物</v>
      </c>
      <c r="D39" s="132">
        <f>IFERROR(__xludf.DUMMYFUNCTION("""COMPUTED_VALUE"""),15.93)</f>
        <v>15.93</v>
      </c>
      <c r="E39" s="132" t="str">
        <f>IFERROR(__xludf.DUMMYFUNCTION("""COMPUTED_VALUE"""),"Pigskin")</f>
        <v>Pigskin</v>
      </c>
      <c r="F39" s="132">
        <f>IFERROR(__xludf.DUMMYFUNCTION("""COMPUTED_VALUE"""),3.186)</f>
        <v>3.186</v>
      </c>
      <c r="G39" s="132">
        <f>IFERROR(__xludf.DUMMYFUNCTION("""COMPUTED_VALUE"""),3.186)</f>
        <v>3.186</v>
      </c>
      <c r="H39" s="132">
        <f>IFERROR(__xludf.DUMMYFUNCTION("""COMPUTED_VALUE"""),1.0)</f>
        <v>1</v>
      </c>
      <c r="I39" s="132">
        <f>IFERROR(__xludf.DUMMYFUNCTION("""COMPUTED_VALUE"""),1.0)</f>
        <v>1</v>
      </c>
      <c r="J39" s="132">
        <f>IFERROR(__xludf.DUMMYFUNCTION("""COMPUTED_VALUE"""),1.0)</f>
        <v>1</v>
      </c>
      <c r="K39" s="132">
        <f>IFERROR(__xludf.DUMMYFUNCTION("""COMPUTED_VALUE"""),1.0)</f>
        <v>1</v>
      </c>
      <c r="L39" s="132"/>
      <c r="M39" s="132"/>
      <c r="N39" s="132">
        <f>IFERROR(__xludf.DUMMYFUNCTION("""COMPUTED_VALUE"""),1.0)</f>
        <v>1</v>
      </c>
      <c r="O39" s="132"/>
      <c r="P39" s="132"/>
      <c r="Q39" s="132"/>
      <c r="R39" s="132" t="str">
        <f>IFERROR(__xludf.DUMMYFUNCTION("""COMPUTED_VALUE"""),"Electricity")</f>
        <v>Electricity</v>
      </c>
      <c r="S39" s="132"/>
      <c r="T39" s="132"/>
      <c r="U39" s="132" t="str">
        <f>IFERROR(__xludf.DUMMYFUNCTION("""COMPUTED_VALUE"""),"Paid")</f>
        <v>Paid</v>
      </c>
      <c r="V39" s="132" t="str">
        <f>IFERROR(__xludf.DUMMYFUNCTION("""COMPUTED_VALUE"""),"Paid")</f>
        <v>Paid</v>
      </c>
      <c r="W39" s="132" t="str">
        <f>IFERROR(__xludf.DUMMYFUNCTION("""COMPUTED_VALUE"""),"Paid")</f>
        <v>Paid</v>
      </c>
      <c r="X39" s="132" t="str">
        <f>IFERROR(__xludf.DUMMYFUNCTION("""COMPUTED_VALUE"""),"Paid")</f>
        <v>Paid</v>
      </c>
      <c r="Y39" s="132" t="str">
        <f>IFERROR(__xludf.DUMMYFUNCTION("""COMPUTED_VALUE"""),"Paid")</f>
        <v>Paid</v>
      </c>
      <c r="Z39" s="132"/>
    </row>
    <row r="40">
      <c r="A40" s="136">
        <f>IFERROR(__xludf.DUMMYFUNCTION("""COMPUTED_VALUE"""),45296.0)</f>
        <v>45296</v>
      </c>
      <c r="B40" s="132" t="str">
        <f>IFERROR(__xludf.DUMMYFUNCTION("""COMPUTED_VALUE"""),"Indomie, corn, mushroom soup")</f>
        <v>Indomie, corn, mushroom soup</v>
      </c>
      <c r="C40" s="132" t="str">
        <f>IFERROR(__xludf.DUMMYFUNCTION("""COMPUTED_VALUE"""),"食物")</f>
        <v>食物</v>
      </c>
      <c r="D40" s="132">
        <f>IFERROR(__xludf.DUMMYFUNCTION("""COMPUTED_VALUE"""),14.43)</f>
        <v>14.43</v>
      </c>
      <c r="E40" s="132" t="str">
        <f>IFERROR(__xludf.DUMMYFUNCTION("""COMPUTED_VALUE"""),"Pigskin")</f>
        <v>Pigskin</v>
      </c>
      <c r="F40" s="132">
        <f>IFERROR(__xludf.DUMMYFUNCTION("""COMPUTED_VALUE"""),2.886)</f>
        <v>2.886</v>
      </c>
      <c r="G40" s="132">
        <f>IFERROR(__xludf.DUMMYFUNCTION("""COMPUTED_VALUE"""),2.886)</f>
        <v>2.886</v>
      </c>
      <c r="H40" s="132">
        <f>IFERROR(__xludf.DUMMYFUNCTION("""COMPUTED_VALUE"""),1.0)</f>
        <v>1</v>
      </c>
      <c r="I40" s="132">
        <f>IFERROR(__xludf.DUMMYFUNCTION("""COMPUTED_VALUE"""),1.0)</f>
        <v>1</v>
      </c>
      <c r="J40" s="132">
        <f>IFERROR(__xludf.DUMMYFUNCTION("""COMPUTED_VALUE"""),1.0)</f>
        <v>1</v>
      </c>
      <c r="K40" s="132">
        <f>IFERROR(__xludf.DUMMYFUNCTION("""COMPUTED_VALUE"""),1.0)</f>
        <v>1</v>
      </c>
      <c r="L40" s="132"/>
      <c r="M40" s="132"/>
      <c r="N40" s="132">
        <f>IFERROR(__xludf.DUMMYFUNCTION("""COMPUTED_VALUE"""),1.0)</f>
        <v>1</v>
      </c>
      <c r="O40" s="132"/>
      <c r="P40" s="132"/>
      <c r="Q40" s="132"/>
      <c r="R40" s="132" t="str">
        <f>IFERROR(__xludf.DUMMYFUNCTION("""COMPUTED_VALUE"""),"Internet")</f>
        <v>Internet</v>
      </c>
      <c r="S40" s="132">
        <f>IFERROR(__xludf.DUMMYFUNCTION("""COMPUTED_VALUE"""),56.5)</f>
        <v>56.5</v>
      </c>
      <c r="T40" s="132"/>
      <c r="U40" s="132" t="str">
        <f>IFERROR(__xludf.DUMMYFUNCTION("""COMPUTED_VALUE"""),"Paid")</f>
        <v>Paid</v>
      </c>
      <c r="V40" s="132" t="str">
        <f>IFERROR(__xludf.DUMMYFUNCTION("""COMPUTED_VALUE"""),"Paid")</f>
        <v>Paid</v>
      </c>
      <c r="W40" s="132" t="str">
        <f>IFERROR(__xludf.DUMMYFUNCTION("""COMPUTED_VALUE"""),"Paid")</f>
        <v>Paid</v>
      </c>
      <c r="X40" s="132" t="str">
        <f>IFERROR(__xludf.DUMMYFUNCTION("""COMPUTED_VALUE"""),"Paid")</f>
        <v>Paid</v>
      </c>
      <c r="Y40" s="132" t="str">
        <f>IFERROR(__xludf.DUMMYFUNCTION("""COMPUTED_VALUE"""),"Paid")</f>
        <v>Paid</v>
      </c>
      <c r="Z40" s="132"/>
    </row>
    <row r="41">
      <c r="A41" s="136">
        <f>IFERROR(__xludf.DUMMYFUNCTION("""COMPUTED_VALUE"""),45301.0)</f>
        <v>45301</v>
      </c>
      <c r="B41" s="132" t="str">
        <f>IFERROR(__xludf.DUMMYFUNCTION("""COMPUTED_VALUE"""),"Rice, indomie, banana")</f>
        <v>Rice, indomie, banana</v>
      </c>
      <c r="C41" s="132" t="str">
        <f>IFERROR(__xludf.DUMMYFUNCTION("""COMPUTED_VALUE"""),"食物")</f>
        <v>食物</v>
      </c>
      <c r="D41" s="132">
        <f>IFERROR(__xludf.DUMMYFUNCTION("""COMPUTED_VALUE"""),29.04)</f>
        <v>29.04</v>
      </c>
      <c r="E41" s="132" t="str">
        <f>IFERROR(__xludf.DUMMYFUNCTION("""COMPUTED_VALUE"""),"Pigskin")</f>
        <v>Pigskin</v>
      </c>
      <c r="F41" s="132">
        <f>IFERROR(__xludf.DUMMYFUNCTION("""COMPUTED_VALUE"""),5.808)</f>
        <v>5.808</v>
      </c>
      <c r="G41" s="132">
        <f>IFERROR(__xludf.DUMMYFUNCTION("""COMPUTED_VALUE"""),5.808)</f>
        <v>5.808</v>
      </c>
      <c r="H41" s="132">
        <f>IFERROR(__xludf.DUMMYFUNCTION("""COMPUTED_VALUE"""),1.0)</f>
        <v>1</v>
      </c>
      <c r="I41" s="132">
        <f>IFERROR(__xludf.DUMMYFUNCTION("""COMPUTED_VALUE"""),1.0)</f>
        <v>1</v>
      </c>
      <c r="J41" s="132">
        <f>IFERROR(__xludf.DUMMYFUNCTION("""COMPUTED_VALUE"""),1.0)</f>
        <v>1</v>
      </c>
      <c r="K41" s="132">
        <f>IFERROR(__xludf.DUMMYFUNCTION("""COMPUTED_VALUE"""),1.0)</f>
        <v>1</v>
      </c>
      <c r="L41" s="132"/>
      <c r="M41" s="132"/>
      <c r="N41" s="132">
        <f>IFERROR(__xludf.DUMMYFUNCTION("""COMPUTED_VALUE"""),1.0)</f>
        <v>1</v>
      </c>
      <c r="O41" s="132"/>
      <c r="P41" s="132"/>
      <c r="Q41" s="132"/>
      <c r="R41" s="132"/>
      <c r="S41" s="132">
        <f>IFERROR(__xludf.DUMMYFUNCTION("""COMPUTED_VALUE"""),3793.45)</f>
        <v>3793.45</v>
      </c>
      <c r="T41" s="132">
        <f>IFERROR(__xludf.DUMMYFUNCTION("""COMPUTED_VALUE"""),720.0)</f>
        <v>720</v>
      </c>
      <c r="U41" s="132"/>
      <c r="V41" s="132"/>
      <c r="W41" s="132"/>
      <c r="X41" s="132"/>
      <c r="Y41" s="132"/>
      <c r="Z41" s="132"/>
    </row>
    <row r="42">
      <c r="A42" s="136">
        <f>IFERROR(__xludf.DUMMYFUNCTION("""COMPUTED_VALUE"""),45295.0)</f>
        <v>45295</v>
      </c>
      <c r="B42" s="132" t="str">
        <f>IFERROR(__xludf.DUMMYFUNCTION("""COMPUTED_VALUE"""),"Banana")</f>
        <v>Banana</v>
      </c>
      <c r="C42" s="132" t="str">
        <f>IFERROR(__xludf.DUMMYFUNCTION("""COMPUTED_VALUE"""),"食物")</f>
        <v>食物</v>
      </c>
      <c r="D42" s="132">
        <f>IFERROR(__xludf.DUMMYFUNCTION("""COMPUTED_VALUE"""),1.88)</f>
        <v>1.88</v>
      </c>
      <c r="E42" s="132" t="str">
        <f>IFERROR(__xludf.DUMMYFUNCTION("""COMPUTED_VALUE"""),"Pigskin")</f>
        <v>Pigskin</v>
      </c>
      <c r="F42" s="132">
        <f>IFERROR(__xludf.DUMMYFUNCTION("""COMPUTED_VALUE"""),0.26857142857142857)</f>
        <v>0.2685714286</v>
      </c>
      <c r="G42" s="132">
        <f>IFERROR(__xludf.DUMMYFUNCTION("""COMPUTED_VALUE"""),0.26857142857142857)</f>
        <v>0.2685714286</v>
      </c>
      <c r="H42" s="132">
        <f>IFERROR(__xludf.DUMMYFUNCTION("""COMPUTED_VALUE"""),1.0)</f>
        <v>1</v>
      </c>
      <c r="I42" s="132">
        <f>IFERROR(__xludf.DUMMYFUNCTION("""COMPUTED_VALUE"""),1.0)</f>
        <v>1</v>
      </c>
      <c r="J42" s="132">
        <f>IFERROR(__xludf.DUMMYFUNCTION("""COMPUTED_VALUE"""),1.0)</f>
        <v>1</v>
      </c>
      <c r="K42" s="132">
        <f>IFERROR(__xludf.DUMMYFUNCTION("""COMPUTED_VALUE"""),1.0)</f>
        <v>1</v>
      </c>
      <c r="L42" s="132">
        <f>IFERROR(__xludf.DUMMYFUNCTION("""COMPUTED_VALUE"""),1.0)</f>
        <v>1</v>
      </c>
      <c r="M42" s="132">
        <f>IFERROR(__xludf.DUMMYFUNCTION("""COMPUTED_VALUE"""),1.0)</f>
        <v>1</v>
      </c>
      <c r="N42" s="132">
        <f>IFERROR(__xludf.DUMMYFUNCTION("""COMPUTED_VALUE"""),1.0)</f>
        <v>1</v>
      </c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3">
        <f>IFERROR(__xludf.DUMMYFUNCTION("""COMPUTED_VALUE"""),45300.0)</f>
        <v>45300</v>
      </c>
      <c r="B43" s="132" t="str">
        <f>IFERROR(__xludf.DUMMYFUNCTION("""COMPUTED_VALUE"""),"TNT DINNER")</f>
        <v>TNT DINNER</v>
      </c>
      <c r="C43" s="132" t="str">
        <f>IFERROR(__xludf.DUMMYFUNCTION("""COMPUTED_VALUE"""),"食物")</f>
        <v>食物</v>
      </c>
      <c r="D43" s="132">
        <f>IFERROR(__xludf.DUMMYFUNCTION("""COMPUTED_VALUE"""),57.84)</f>
        <v>57.84</v>
      </c>
      <c r="E43" s="132" t="str">
        <f>IFERROR(__xludf.DUMMYFUNCTION("""COMPUTED_VALUE"""),"Pigskin")</f>
        <v>Pigskin</v>
      </c>
      <c r="F43" s="132">
        <f>IFERROR(__xludf.DUMMYFUNCTION("""COMPUTED_VALUE"""),11.568000000000001)</f>
        <v>11.568</v>
      </c>
      <c r="G43" s="132">
        <f>IFERROR(__xludf.DUMMYFUNCTION("""COMPUTED_VALUE"""),11.568000000000001)</f>
        <v>11.568</v>
      </c>
      <c r="H43" s="132">
        <f>IFERROR(__xludf.DUMMYFUNCTION("""COMPUTED_VALUE"""),1.0)</f>
        <v>1</v>
      </c>
      <c r="I43" s="132">
        <f>IFERROR(__xludf.DUMMYFUNCTION("""COMPUTED_VALUE"""),1.0)</f>
        <v>1</v>
      </c>
      <c r="J43" s="132">
        <f>IFERROR(__xludf.DUMMYFUNCTION("""COMPUTED_VALUE"""),1.0)</f>
        <v>1</v>
      </c>
      <c r="K43" s="132">
        <f>IFERROR(__xludf.DUMMYFUNCTION("""COMPUTED_VALUE"""),1.0)</f>
        <v>1</v>
      </c>
      <c r="L43" s="132"/>
      <c r="M43" s="132"/>
      <c r="N43" s="132">
        <f>IFERROR(__xludf.DUMMYFUNCTION("""COMPUTED_VALUE"""),1.0)</f>
        <v>1</v>
      </c>
      <c r="O43" s="132"/>
      <c r="P43" s="132"/>
      <c r="Q43" s="134">
        <f>IFERROR(__xludf.DUMMYFUNCTION("""COMPUTED_VALUE"""),45261.0)</f>
        <v>45261</v>
      </c>
      <c r="R43" s="132" t="str">
        <f>IFERROR(__xludf.DUMMYFUNCTION("""COMPUTED_VALUE"""),"Rent")</f>
        <v>Rent</v>
      </c>
      <c r="S43" s="132">
        <f>IFERROR(__xludf.DUMMYFUNCTION("""COMPUTED_VALUE"""),3600.0)</f>
        <v>3600</v>
      </c>
      <c r="T43" s="132">
        <f>IFERROR(__xludf.DUMMYFUNCTION("""COMPUTED_VALUE"""),720.0)</f>
        <v>720</v>
      </c>
      <c r="U43" s="132" t="str">
        <f>IFERROR(__xludf.DUMMYFUNCTION("""COMPUTED_VALUE"""),"Paid")</f>
        <v>Paid</v>
      </c>
      <c r="V43" s="132" t="str">
        <f>IFERROR(__xludf.DUMMYFUNCTION("""COMPUTED_VALUE"""),"Paid")</f>
        <v>Paid</v>
      </c>
      <c r="W43" s="132" t="str">
        <f>IFERROR(__xludf.DUMMYFUNCTION("""COMPUTED_VALUE"""),"Paid")</f>
        <v>Paid</v>
      </c>
      <c r="X43" s="132" t="str">
        <f>IFERROR(__xludf.DUMMYFUNCTION("""COMPUTED_VALUE"""),"Paid")</f>
        <v>Paid</v>
      </c>
      <c r="Y43" s="132" t="str">
        <f>IFERROR(__xludf.DUMMYFUNCTION("""COMPUTED_VALUE"""),"Paid")</f>
        <v>Paid</v>
      </c>
      <c r="Z43" s="132"/>
    </row>
    <row r="44">
      <c r="A44" s="136">
        <f>IFERROR(__xludf.DUMMYFUNCTION("""COMPUTED_VALUE"""),45298.0)</f>
        <v>45298</v>
      </c>
      <c r="B44" s="132" t="str">
        <f>IFERROR(__xludf.DUMMYFUNCTION("""COMPUTED_VALUE"""),"uber")</f>
        <v>uber</v>
      </c>
      <c r="C44" s="132" t="str">
        <f>IFERROR(__xludf.DUMMYFUNCTION("""COMPUTED_VALUE"""),"交通")</f>
        <v>交通</v>
      </c>
      <c r="D44" s="132">
        <f>IFERROR(__xludf.DUMMYFUNCTION("""COMPUTED_VALUE"""),24.16)</f>
        <v>24.16</v>
      </c>
      <c r="E44" s="132" t="str">
        <f>IFERROR(__xludf.DUMMYFUNCTION("""COMPUTED_VALUE"""),"Pigskin")</f>
        <v>Pigskin</v>
      </c>
      <c r="F44" s="132">
        <f>IFERROR(__xludf.DUMMYFUNCTION("""COMPUTED_VALUE"""),4.832)</f>
        <v>4.832</v>
      </c>
      <c r="G44" s="132">
        <f>IFERROR(__xludf.DUMMYFUNCTION("""COMPUTED_VALUE"""),4.832)</f>
        <v>4.832</v>
      </c>
      <c r="H44" s="132">
        <f>IFERROR(__xludf.DUMMYFUNCTION("""COMPUTED_VALUE"""),1.0)</f>
        <v>1</v>
      </c>
      <c r="I44" s="132">
        <f>IFERROR(__xludf.DUMMYFUNCTION("""COMPUTED_VALUE"""),1.0)</f>
        <v>1</v>
      </c>
      <c r="J44" s="132">
        <f>IFERROR(__xludf.DUMMYFUNCTION("""COMPUTED_VALUE"""),1.0)</f>
        <v>1</v>
      </c>
      <c r="K44" s="132">
        <f>IFERROR(__xludf.DUMMYFUNCTION("""COMPUTED_VALUE"""),1.0)</f>
        <v>1</v>
      </c>
      <c r="L44" s="132"/>
      <c r="M44" s="132"/>
      <c r="N44" s="132">
        <f>IFERROR(__xludf.DUMMYFUNCTION("""COMPUTED_VALUE"""),1.0)</f>
        <v>1</v>
      </c>
      <c r="O44" s="132"/>
      <c r="P44" s="132"/>
      <c r="Q44" s="132"/>
      <c r="R44" s="132" t="str">
        <f>IFERROR(__xludf.DUMMYFUNCTION("""COMPUTED_VALUE"""),"Water")</f>
        <v>Water</v>
      </c>
      <c r="S44" s="132">
        <f>IFERROR(__xludf.DUMMYFUNCTION("""COMPUTED_VALUE"""),284.24)</f>
        <v>284.24</v>
      </c>
      <c r="T44" s="132">
        <f>IFERROR(__xludf.DUMMYFUNCTION("""COMPUTED_VALUE"""),56.848)</f>
        <v>56.848</v>
      </c>
      <c r="U44" s="132" t="str">
        <f>IFERROR(__xludf.DUMMYFUNCTION("""COMPUTED_VALUE"""),"Paid")</f>
        <v>Paid</v>
      </c>
      <c r="V44" s="132" t="str">
        <f>IFERROR(__xludf.DUMMYFUNCTION("""COMPUTED_VALUE"""),"Paid")</f>
        <v>Paid</v>
      </c>
      <c r="W44" s="132" t="str">
        <f>IFERROR(__xludf.DUMMYFUNCTION("""COMPUTED_VALUE"""),"Paid")</f>
        <v>Paid</v>
      </c>
      <c r="X44" s="132" t="str">
        <f>IFERROR(__xludf.DUMMYFUNCTION("""COMPUTED_VALUE"""),"Paid")</f>
        <v>Paid</v>
      </c>
      <c r="Y44" s="132" t="str">
        <f>IFERROR(__xludf.DUMMYFUNCTION("""COMPUTED_VALUE"""),"Paid")</f>
        <v>Paid</v>
      </c>
      <c r="Z44" s="132"/>
    </row>
    <row r="45">
      <c r="A45" s="136">
        <f>IFERROR(__xludf.DUMMYFUNCTION("""COMPUTED_VALUE"""),45303.0)</f>
        <v>45303</v>
      </c>
      <c r="B45" s="132" t="str">
        <f>IFERROR(__xludf.DUMMYFUNCTION("""COMPUTED_VALUE"""),"Foody Dinner")</f>
        <v>Foody Dinner</v>
      </c>
      <c r="C45" s="132" t="str">
        <f>IFERROR(__xludf.DUMMYFUNCTION("""COMPUTED_VALUE"""),"食物")</f>
        <v>食物</v>
      </c>
      <c r="D45" s="132">
        <f>IFERROR(__xludf.DUMMYFUNCTION("""COMPUTED_VALUE"""),53.33)</f>
        <v>53.33</v>
      </c>
      <c r="E45" s="132" t="str">
        <f>IFERROR(__xludf.DUMMYFUNCTION("""COMPUTED_VALUE"""),"Pigskin")</f>
        <v>Pigskin</v>
      </c>
      <c r="F45" s="132">
        <f>IFERROR(__xludf.DUMMYFUNCTION("""COMPUTED_VALUE"""),10.666)</f>
        <v>10.666</v>
      </c>
      <c r="G45" s="132">
        <f>IFERROR(__xludf.DUMMYFUNCTION("""COMPUTED_VALUE"""),10.666)</f>
        <v>10.666</v>
      </c>
      <c r="H45" s="132">
        <f>IFERROR(__xludf.DUMMYFUNCTION("""COMPUTED_VALUE"""),1.0)</f>
        <v>1</v>
      </c>
      <c r="I45" s="132">
        <f>IFERROR(__xludf.DUMMYFUNCTION("""COMPUTED_VALUE"""),1.0)</f>
        <v>1</v>
      </c>
      <c r="J45" s="132">
        <f>IFERROR(__xludf.DUMMYFUNCTION("""COMPUTED_VALUE"""),1.0)</f>
        <v>1</v>
      </c>
      <c r="K45" s="132">
        <f>IFERROR(__xludf.DUMMYFUNCTION("""COMPUTED_VALUE"""),1.0)</f>
        <v>1</v>
      </c>
      <c r="L45" s="132"/>
      <c r="M45" s="132"/>
      <c r="N45" s="132">
        <f>IFERROR(__xludf.DUMMYFUNCTION("""COMPUTED_VALUE"""),1.0)</f>
        <v>1</v>
      </c>
      <c r="O45" s="132"/>
      <c r="P45" s="132"/>
      <c r="Q45" s="132"/>
      <c r="R45" s="132" t="str">
        <f>IFERROR(__xludf.DUMMYFUNCTION("""COMPUTED_VALUE"""),"Heat(17/11-14/12)")</f>
        <v>Heat(17/11-14/12)</v>
      </c>
      <c r="S45" s="132">
        <f>IFERROR(__xludf.DUMMYFUNCTION("""COMPUTED_VALUE"""),149.7)</f>
        <v>149.7</v>
      </c>
      <c r="T45" s="132">
        <f>IFERROR(__xludf.DUMMYFUNCTION("""COMPUTED_VALUE"""),29.939999999999998)</f>
        <v>29.94</v>
      </c>
      <c r="U45" s="132" t="str">
        <f>IFERROR(__xludf.DUMMYFUNCTION("""COMPUTED_VALUE"""),"Paid")</f>
        <v>Paid</v>
      </c>
      <c r="V45" s="132" t="str">
        <f>IFERROR(__xludf.DUMMYFUNCTION("""COMPUTED_VALUE"""),"Paid")</f>
        <v>Paid</v>
      </c>
      <c r="W45" s="132" t="str">
        <f>IFERROR(__xludf.DUMMYFUNCTION("""COMPUTED_VALUE"""),"Paid")</f>
        <v>Paid</v>
      </c>
      <c r="X45" s="132" t="str">
        <f>IFERROR(__xludf.DUMMYFUNCTION("""COMPUTED_VALUE"""),"Paid")</f>
        <v>Paid</v>
      </c>
      <c r="Y45" s="132" t="str">
        <f>IFERROR(__xludf.DUMMYFUNCTION("""COMPUTED_VALUE"""),"Paid")</f>
        <v>Paid</v>
      </c>
      <c r="Z45" s="132"/>
    </row>
    <row r="46">
      <c r="A46" s="136">
        <f>IFERROR(__xludf.DUMMYFUNCTION("""COMPUTED_VALUE"""),45307.0)</f>
        <v>45307</v>
      </c>
      <c r="B46" s="132" t="str">
        <f>IFERROR(__xludf.DUMMYFUNCTION("""COMPUTED_VALUE"""),"Metro cleaning stuff")</f>
        <v>Metro cleaning stuff</v>
      </c>
      <c r="C46" s="132" t="str">
        <f>IFERROR(__xludf.DUMMYFUNCTION("""COMPUTED_VALUE"""),"居家")</f>
        <v>居家</v>
      </c>
      <c r="D46" s="132">
        <f>IFERROR(__xludf.DUMMYFUNCTION("""COMPUTED_VALUE"""),21.47)</f>
        <v>21.47</v>
      </c>
      <c r="E46" s="132" t="str">
        <f>IFERROR(__xludf.DUMMYFUNCTION("""COMPUTED_VALUE"""),"Pigskin")</f>
        <v>Pigskin</v>
      </c>
      <c r="F46" s="132">
        <f>IFERROR(__xludf.DUMMYFUNCTION("""COMPUTED_VALUE"""),4.294)</f>
        <v>4.294</v>
      </c>
      <c r="G46" s="132">
        <f>IFERROR(__xludf.DUMMYFUNCTION("""COMPUTED_VALUE"""),4.294)</f>
        <v>4.294</v>
      </c>
      <c r="H46" s="132">
        <f>IFERROR(__xludf.DUMMYFUNCTION("""COMPUTED_VALUE"""),1.0)</f>
        <v>1</v>
      </c>
      <c r="I46" s="132">
        <f>IFERROR(__xludf.DUMMYFUNCTION("""COMPUTED_VALUE"""),1.0)</f>
        <v>1</v>
      </c>
      <c r="J46" s="132">
        <f>IFERROR(__xludf.DUMMYFUNCTION("""COMPUTED_VALUE"""),1.0)</f>
        <v>1</v>
      </c>
      <c r="K46" s="132">
        <f>IFERROR(__xludf.DUMMYFUNCTION("""COMPUTED_VALUE"""),1.0)</f>
        <v>1</v>
      </c>
      <c r="L46" s="132"/>
      <c r="M46" s="132"/>
      <c r="N46" s="132">
        <f>IFERROR(__xludf.DUMMYFUNCTION("""COMPUTED_VALUE"""),1.0)</f>
        <v>1</v>
      </c>
      <c r="O46" s="132"/>
      <c r="P46" s="132"/>
      <c r="Q46" s="132"/>
      <c r="R46" s="132" t="str">
        <f>IFERROR(__xludf.DUMMYFUNCTION("""COMPUTED_VALUE"""),"Electricity")</f>
        <v>Electricity</v>
      </c>
      <c r="S46" s="132">
        <f>IFERROR(__xludf.DUMMYFUNCTION("""COMPUTED_VALUE"""),107.46)</f>
        <v>107.46</v>
      </c>
      <c r="T46" s="132">
        <f>IFERROR(__xludf.DUMMYFUNCTION("""COMPUTED_VALUE"""),21.491999999999997)</f>
        <v>21.492</v>
      </c>
      <c r="U46" s="132" t="str">
        <f>IFERROR(__xludf.DUMMYFUNCTION("""COMPUTED_VALUE"""),"Paid")</f>
        <v>Paid</v>
      </c>
      <c r="V46" s="132" t="str">
        <f>IFERROR(__xludf.DUMMYFUNCTION("""COMPUTED_VALUE"""),"Paid")</f>
        <v>Paid</v>
      </c>
      <c r="W46" s="132" t="str">
        <f>IFERROR(__xludf.DUMMYFUNCTION("""COMPUTED_VALUE"""),"Paid")</f>
        <v>Paid</v>
      </c>
      <c r="X46" s="132" t="str">
        <f>IFERROR(__xludf.DUMMYFUNCTION("""COMPUTED_VALUE"""),"Paid")</f>
        <v>Paid</v>
      </c>
      <c r="Y46" s="132" t="str">
        <f>IFERROR(__xludf.DUMMYFUNCTION("""COMPUTED_VALUE"""),"Paid")</f>
        <v>Paid</v>
      </c>
      <c r="Z46" s="132"/>
    </row>
    <row r="47">
      <c r="A47" s="136">
        <f>IFERROR(__xludf.DUMMYFUNCTION("""COMPUTED_VALUE"""),45307.0)</f>
        <v>45307</v>
      </c>
      <c r="B47" s="132" t="str">
        <f>IFERROR(__xludf.DUMMYFUNCTION("""COMPUTED_VALUE"""),"Metro Pork")</f>
        <v>Metro Pork</v>
      </c>
      <c r="C47" s="132" t="str">
        <f>IFERROR(__xludf.DUMMYFUNCTION("""COMPUTED_VALUE"""),"食物")</f>
        <v>食物</v>
      </c>
      <c r="D47" s="132">
        <f>IFERROR(__xludf.DUMMYFUNCTION("""COMPUTED_VALUE"""),8.99)</f>
        <v>8.99</v>
      </c>
      <c r="E47" s="132" t="str">
        <f>IFERROR(__xludf.DUMMYFUNCTION("""COMPUTED_VALUE"""),"Pigskin")</f>
        <v>Pigskin</v>
      </c>
      <c r="F47" s="132">
        <f>IFERROR(__xludf.DUMMYFUNCTION("""COMPUTED_VALUE"""),1.798)</f>
        <v>1.798</v>
      </c>
      <c r="G47" s="132">
        <f>IFERROR(__xludf.DUMMYFUNCTION("""COMPUTED_VALUE"""),1.798)</f>
        <v>1.798</v>
      </c>
      <c r="H47" s="132">
        <f>IFERROR(__xludf.DUMMYFUNCTION("""COMPUTED_VALUE"""),1.0)</f>
        <v>1</v>
      </c>
      <c r="I47" s="132">
        <f>IFERROR(__xludf.DUMMYFUNCTION("""COMPUTED_VALUE"""),1.0)</f>
        <v>1</v>
      </c>
      <c r="J47" s="132">
        <f>IFERROR(__xludf.DUMMYFUNCTION("""COMPUTED_VALUE"""),1.0)</f>
        <v>1</v>
      </c>
      <c r="K47" s="132">
        <f>IFERROR(__xludf.DUMMYFUNCTION("""COMPUTED_VALUE"""),1.0)</f>
        <v>1</v>
      </c>
      <c r="L47" s="132"/>
      <c r="M47" s="132"/>
      <c r="N47" s="132">
        <f>IFERROR(__xludf.DUMMYFUNCTION("""COMPUTED_VALUE"""),1.0)</f>
        <v>1</v>
      </c>
      <c r="O47" s="132"/>
      <c r="P47" s="132"/>
      <c r="Q47" s="132"/>
      <c r="R47" s="132" t="str">
        <f>IFERROR(__xludf.DUMMYFUNCTION("""COMPUTED_VALUE"""),"Internet")</f>
        <v>Internet</v>
      </c>
      <c r="S47" s="132">
        <f>IFERROR(__xludf.DUMMYFUNCTION("""COMPUTED_VALUE"""),56.5)</f>
        <v>56.5</v>
      </c>
      <c r="T47" s="132">
        <f>IFERROR(__xludf.DUMMYFUNCTION("""COMPUTED_VALUE"""),11.3)</f>
        <v>11.3</v>
      </c>
      <c r="U47" s="132" t="str">
        <f>IFERROR(__xludf.DUMMYFUNCTION("""COMPUTED_VALUE"""),"Paid")</f>
        <v>Paid</v>
      </c>
      <c r="V47" s="132" t="str">
        <f>IFERROR(__xludf.DUMMYFUNCTION("""COMPUTED_VALUE"""),"Paid")</f>
        <v>Paid</v>
      </c>
      <c r="W47" s="132" t="str">
        <f>IFERROR(__xludf.DUMMYFUNCTION("""COMPUTED_VALUE"""),"Paid")</f>
        <v>Paid</v>
      </c>
      <c r="X47" s="132" t="str">
        <f>IFERROR(__xludf.DUMMYFUNCTION("""COMPUTED_VALUE"""),"Paid")</f>
        <v>Paid</v>
      </c>
      <c r="Y47" s="132" t="str">
        <f>IFERROR(__xludf.DUMMYFUNCTION("""COMPUTED_VALUE"""),"Paid")</f>
        <v>Paid</v>
      </c>
      <c r="Z47" s="132"/>
    </row>
    <row r="48">
      <c r="A48" s="136">
        <f>IFERROR(__xludf.DUMMYFUNCTION("""COMPUTED_VALUE"""),45317.0)</f>
        <v>45317</v>
      </c>
      <c r="B48" s="132" t="str">
        <f>IFERROR(__xludf.DUMMYFUNCTION("""COMPUTED_VALUE"""),"Spinach")</f>
        <v>Spinach</v>
      </c>
      <c r="C48" s="132" t="str">
        <f>IFERROR(__xludf.DUMMYFUNCTION("""COMPUTED_VALUE"""),"食物")</f>
        <v>食物</v>
      </c>
      <c r="D48" s="132">
        <f>IFERROR(__xludf.DUMMYFUNCTION("""COMPUTED_VALUE"""),2.51)</f>
        <v>2.51</v>
      </c>
      <c r="E48" s="132" t="str">
        <f>IFERROR(__xludf.DUMMYFUNCTION("""COMPUTED_VALUE"""),"Pigskin")</f>
        <v>Pigskin</v>
      </c>
      <c r="F48" s="132">
        <f>IFERROR(__xludf.DUMMYFUNCTION("""COMPUTED_VALUE"""),0.502)</f>
        <v>0.502</v>
      </c>
      <c r="G48" s="132">
        <f>IFERROR(__xludf.DUMMYFUNCTION("""COMPUTED_VALUE"""),0.502)</f>
        <v>0.502</v>
      </c>
      <c r="H48" s="132">
        <f>IFERROR(__xludf.DUMMYFUNCTION("""COMPUTED_VALUE"""),1.0)</f>
        <v>1</v>
      </c>
      <c r="I48" s="132">
        <f>IFERROR(__xludf.DUMMYFUNCTION("""COMPUTED_VALUE"""),1.0)</f>
        <v>1</v>
      </c>
      <c r="J48" s="132">
        <f>IFERROR(__xludf.DUMMYFUNCTION("""COMPUTED_VALUE"""),1.0)</f>
        <v>1</v>
      </c>
      <c r="K48" s="132">
        <f>IFERROR(__xludf.DUMMYFUNCTION("""COMPUTED_VALUE"""),1.0)</f>
        <v>1</v>
      </c>
      <c r="L48" s="132"/>
      <c r="M48" s="132"/>
      <c r="N48" s="132">
        <f>IFERROR(__xludf.DUMMYFUNCTION("""COMPUTED_VALUE"""),1.0)</f>
        <v>1</v>
      </c>
      <c r="O48" s="132"/>
      <c r="P48" s="132"/>
      <c r="Q48" s="132"/>
      <c r="R48" s="132"/>
      <c r="S48" s="132">
        <f>IFERROR(__xludf.DUMMYFUNCTION("""COMPUTED_VALUE"""),4197.9)</f>
        <v>4197.9</v>
      </c>
      <c r="T48" s="132">
        <f>IFERROR(__xludf.DUMMYFUNCTION("""COMPUTED_VALUE"""),839.5799999999999)</f>
        <v>839.58</v>
      </c>
      <c r="U48" s="132"/>
      <c r="V48" s="132"/>
      <c r="W48" s="132"/>
      <c r="X48" s="132"/>
      <c r="Y48" s="132"/>
      <c r="Z48" s="132"/>
    </row>
    <row r="49">
      <c r="A49" s="136">
        <f>IFERROR(__xludf.DUMMYFUNCTION("""COMPUTED_VALUE"""),45317.0)</f>
        <v>45317</v>
      </c>
      <c r="B49" s="132" t="str">
        <f>IFERROR(__xludf.DUMMYFUNCTION("""COMPUTED_VALUE"""),"salmon")</f>
        <v>salmon</v>
      </c>
      <c r="C49" s="132" t="str">
        <f>IFERROR(__xludf.DUMMYFUNCTION("""COMPUTED_VALUE"""),"食物")</f>
        <v>食物</v>
      </c>
      <c r="D49" s="132">
        <f>IFERROR(__xludf.DUMMYFUNCTION("""COMPUTED_VALUE"""),12.84)</f>
        <v>12.84</v>
      </c>
      <c r="E49" s="132" t="str">
        <f>IFERROR(__xludf.DUMMYFUNCTION("""COMPUTED_VALUE"""),"Pigskin")</f>
        <v>Pigskin</v>
      </c>
      <c r="F49" s="132">
        <f>IFERROR(__xludf.DUMMYFUNCTION("""COMPUTED_VALUE"""),2.568)</f>
        <v>2.568</v>
      </c>
      <c r="G49" s="132">
        <f>IFERROR(__xludf.DUMMYFUNCTION("""COMPUTED_VALUE"""),2.568)</f>
        <v>2.568</v>
      </c>
      <c r="H49" s="132">
        <f>IFERROR(__xludf.DUMMYFUNCTION("""COMPUTED_VALUE"""),1.0)</f>
        <v>1</v>
      </c>
      <c r="I49" s="132">
        <f>IFERROR(__xludf.DUMMYFUNCTION("""COMPUTED_VALUE"""),1.0)</f>
        <v>1</v>
      </c>
      <c r="J49" s="132">
        <f>IFERROR(__xludf.DUMMYFUNCTION("""COMPUTED_VALUE"""),1.0)</f>
        <v>1</v>
      </c>
      <c r="K49" s="132">
        <f>IFERROR(__xludf.DUMMYFUNCTION("""COMPUTED_VALUE"""),1.0)</f>
        <v>1</v>
      </c>
      <c r="L49" s="132"/>
      <c r="M49" s="132"/>
      <c r="N49" s="132">
        <f>IFERROR(__xludf.DUMMYFUNCTION("""COMPUTED_VALUE"""),1.0)</f>
        <v>1</v>
      </c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>
      <c r="A50" s="136">
        <f>IFERROR(__xludf.DUMMYFUNCTION("""COMPUTED_VALUE"""),45315.0)</f>
        <v>45315</v>
      </c>
      <c r="B50" s="132" t="str">
        <f>IFERROR(__xludf.DUMMYFUNCTION("""COMPUTED_VALUE"""),"TNt Joke")</f>
        <v>TNt Joke</v>
      </c>
      <c r="C50" s="132" t="str">
        <f>IFERROR(__xludf.DUMMYFUNCTION("""COMPUTED_VALUE"""),"食物")</f>
        <v>食物</v>
      </c>
      <c r="D50" s="132">
        <f>IFERROR(__xludf.DUMMYFUNCTION("""COMPUTED_VALUE"""),57.15)</f>
        <v>57.15</v>
      </c>
      <c r="E50" s="132" t="str">
        <f>IFERROR(__xludf.DUMMYFUNCTION("""COMPUTED_VALUE"""),"Pigskin")</f>
        <v>Pigskin</v>
      </c>
      <c r="F50" s="132">
        <f>IFERROR(__xludf.DUMMYFUNCTION("""COMPUTED_VALUE"""),11.43)</f>
        <v>11.43</v>
      </c>
      <c r="G50" s="132">
        <f>IFERROR(__xludf.DUMMYFUNCTION("""COMPUTED_VALUE"""),11.43)</f>
        <v>11.43</v>
      </c>
      <c r="H50" s="132">
        <f>IFERROR(__xludf.DUMMYFUNCTION("""COMPUTED_VALUE"""),1.0)</f>
        <v>1</v>
      </c>
      <c r="I50" s="132">
        <f>IFERROR(__xludf.DUMMYFUNCTION("""COMPUTED_VALUE"""),1.0)</f>
        <v>1</v>
      </c>
      <c r="J50" s="132">
        <f>IFERROR(__xludf.DUMMYFUNCTION("""COMPUTED_VALUE"""),1.0)</f>
        <v>1</v>
      </c>
      <c r="K50" s="132">
        <f>IFERROR(__xludf.DUMMYFUNCTION("""COMPUTED_VALUE"""),1.0)</f>
        <v>1</v>
      </c>
      <c r="L50" s="132"/>
      <c r="M50" s="132"/>
      <c r="N50" s="132">
        <f>IFERROR(__xludf.DUMMYFUNCTION("""COMPUTED_VALUE"""),1.0)</f>
        <v>1</v>
      </c>
      <c r="O50" s="132"/>
      <c r="P50" s="132"/>
      <c r="Q50" s="134">
        <f>IFERROR(__xludf.DUMMYFUNCTION("""COMPUTED_VALUE"""),45292.0)</f>
        <v>45292</v>
      </c>
      <c r="R50" s="132" t="str">
        <f>IFERROR(__xludf.DUMMYFUNCTION("""COMPUTED_VALUE"""),"Rent")</f>
        <v>Rent</v>
      </c>
      <c r="S50" s="132">
        <f>IFERROR(__xludf.DUMMYFUNCTION("""COMPUTED_VALUE"""),3600.0)</f>
        <v>3600</v>
      </c>
      <c r="T50" s="132">
        <f>IFERROR(__xludf.DUMMYFUNCTION("""COMPUTED_VALUE"""),720.0)</f>
        <v>720</v>
      </c>
      <c r="U50" s="132" t="str">
        <f>IFERROR(__xludf.DUMMYFUNCTION("""COMPUTED_VALUE"""),"Paid")</f>
        <v>Paid</v>
      </c>
      <c r="V50" s="132" t="str">
        <f>IFERROR(__xludf.DUMMYFUNCTION("""COMPUTED_VALUE"""),"Paid")</f>
        <v>Paid</v>
      </c>
      <c r="W50" s="132" t="str">
        <f>IFERROR(__xludf.DUMMYFUNCTION("""COMPUTED_VALUE"""),"Paid")</f>
        <v>Paid</v>
      </c>
      <c r="X50" s="132" t="str">
        <f>IFERROR(__xludf.DUMMYFUNCTION("""COMPUTED_VALUE"""),"Paid")</f>
        <v>Paid</v>
      </c>
      <c r="Y50" s="132" t="str">
        <f>IFERROR(__xludf.DUMMYFUNCTION("""COMPUTED_VALUE"""),"Paid")</f>
        <v>Paid</v>
      </c>
      <c r="Z50" s="132"/>
    </row>
    <row r="51">
      <c r="A51" s="133">
        <f>IFERROR(__xludf.DUMMYFUNCTION("""COMPUTED_VALUE"""),45308.0)</f>
        <v>45308</v>
      </c>
      <c r="B51" s="132" t="str">
        <f>IFERROR(__xludf.DUMMYFUNCTION("""COMPUTED_VALUE"""),"Foody Dinner")</f>
        <v>Foody Dinner</v>
      </c>
      <c r="C51" s="132" t="str">
        <f>IFERROR(__xludf.DUMMYFUNCTION("""COMPUTED_VALUE"""),"食物")</f>
        <v>食物</v>
      </c>
      <c r="D51" s="132">
        <f>IFERROR(__xludf.DUMMYFUNCTION("""COMPUTED_VALUE"""),36.04)</f>
        <v>36.04</v>
      </c>
      <c r="E51" s="132" t="str">
        <f>IFERROR(__xludf.DUMMYFUNCTION("""COMPUTED_VALUE"""),"Pigskin")</f>
        <v>Pigskin</v>
      </c>
      <c r="F51" s="132">
        <f>IFERROR(__xludf.DUMMYFUNCTION("""COMPUTED_VALUE"""),7.208)</f>
        <v>7.208</v>
      </c>
      <c r="G51" s="132">
        <f>IFERROR(__xludf.DUMMYFUNCTION("""COMPUTED_VALUE"""),7.208)</f>
        <v>7.208</v>
      </c>
      <c r="H51" s="132">
        <f>IFERROR(__xludf.DUMMYFUNCTION("""COMPUTED_VALUE"""),1.0)</f>
        <v>1</v>
      </c>
      <c r="I51" s="132">
        <f>IFERROR(__xludf.DUMMYFUNCTION("""COMPUTED_VALUE"""),1.0)</f>
        <v>1</v>
      </c>
      <c r="J51" s="132">
        <f>IFERROR(__xludf.DUMMYFUNCTION("""COMPUTED_VALUE"""),1.0)</f>
        <v>1</v>
      </c>
      <c r="K51" s="132">
        <f>IFERROR(__xludf.DUMMYFUNCTION("""COMPUTED_VALUE"""),1.0)</f>
        <v>1</v>
      </c>
      <c r="L51" s="132"/>
      <c r="M51" s="132"/>
      <c r="N51" s="132">
        <f>IFERROR(__xludf.DUMMYFUNCTION("""COMPUTED_VALUE"""),1.0)</f>
        <v>1</v>
      </c>
      <c r="O51" s="132"/>
      <c r="P51" s="132"/>
      <c r="Q51" s="132"/>
      <c r="R51" s="132" t="str">
        <f>IFERROR(__xludf.DUMMYFUNCTION("""COMPUTED_VALUE"""),"Water")</f>
        <v>Water</v>
      </c>
      <c r="S51" s="132"/>
      <c r="T51" s="132"/>
      <c r="U51" s="132"/>
      <c r="V51" s="132"/>
      <c r="W51" s="132"/>
      <c r="X51" s="132"/>
      <c r="Y51" s="132"/>
      <c r="Z51" s="132"/>
    </row>
    <row r="52">
      <c r="A52" s="136">
        <f>IFERROR(__xludf.DUMMYFUNCTION("""COMPUTED_VALUE"""),45309.0)</f>
        <v>45309</v>
      </c>
      <c r="B52" s="132" t="str">
        <f>IFERROR(__xludf.DUMMYFUNCTION("""COMPUTED_VALUE"""),"Food basic")</f>
        <v>Food basic</v>
      </c>
      <c r="C52" s="132" t="str">
        <f>IFERROR(__xludf.DUMMYFUNCTION("""COMPUTED_VALUE"""),"食物")</f>
        <v>食物</v>
      </c>
      <c r="D52" s="132">
        <f>IFERROR(__xludf.DUMMYFUNCTION("""COMPUTED_VALUE"""),11.46)</f>
        <v>11.46</v>
      </c>
      <c r="E52" s="132" t="str">
        <f>IFERROR(__xludf.DUMMYFUNCTION("""COMPUTED_VALUE"""),"Pigskin")</f>
        <v>Pigskin</v>
      </c>
      <c r="F52" s="132">
        <f>IFERROR(__xludf.DUMMYFUNCTION("""COMPUTED_VALUE"""),2.2920000000000003)</f>
        <v>2.292</v>
      </c>
      <c r="G52" s="132">
        <f>IFERROR(__xludf.DUMMYFUNCTION("""COMPUTED_VALUE"""),2.2920000000000003)</f>
        <v>2.292</v>
      </c>
      <c r="H52" s="132">
        <f>IFERROR(__xludf.DUMMYFUNCTION("""COMPUTED_VALUE"""),1.0)</f>
        <v>1</v>
      </c>
      <c r="I52" s="132">
        <f>IFERROR(__xludf.DUMMYFUNCTION("""COMPUTED_VALUE"""),1.0)</f>
        <v>1</v>
      </c>
      <c r="J52" s="132">
        <f>IFERROR(__xludf.DUMMYFUNCTION("""COMPUTED_VALUE"""),1.0)</f>
        <v>1</v>
      </c>
      <c r="K52" s="132">
        <f>IFERROR(__xludf.DUMMYFUNCTION("""COMPUTED_VALUE"""),1.0)</f>
        <v>1</v>
      </c>
      <c r="L52" s="132"/>
      <c r="M52" s="132"/>
      <c r="N52" s="132">
        <f>IFERROR(__xludf.DUMMYFUNCTION("""COMPUTED_VALUE"""),1.0)</f>
        <v>1</v>
      </c>
      <c r="O52" s="132"/>
      <c r="P52" s="132"/>
      <c r="Q52" s="132"/>
      <c r="R52" s="132" t="str">
        <f>IFERROR(__xludf.DUMMYFUNCTION("""COMPUTED_VALUE"""),"Heat")</f>
        <v>Heat</v>
      </c>
      <c r="S52" s="132">
        <f>IFERROR(__xludf.DUMMYFUNCTION("""COMPUTED_VALUE"""),210.09)</f>
        <v>210.09</v>
      </c>
      <c r="T52" s="132">
        <f>IFERROR(__xludf.DUMMYFUNCTION("""COMPUTED_VALUE"""),42.018)</f>
        <v>42.018</v>
      </c>
      <c r="U52" s="132" t="str">
        <f>IFERROR(__xludf.DUMMYFUNCTION("""COMPUTED_VALUE"""),"Paid")</f>
        <v>Paid</v>
      </c>
      <c r="V52" s="132" t="str">
        <f>IFERROR(__xludf.DUMMYFUNCTION("""COMPUTED_VALUE"""),"Paid")</f>
        <v>Paid</v>
      </c>
      <c r="W52" s="132" t="str">
        <f>IFERROR(__xludf.DUMMYFUNCTION("""COMPUTED_VALUE"""),"Paid")</f>
        <v>Paid</v>
      </c>
      <c r="X52" s="132" t="str">
        <f>IFERROR(__xludf.DUMMYFUNCTION("""COMPUTED_VALUE"""),"Paid")</f>
        <v>Paid</v>
      </c>
      <c r="Y52" s="132" t="str">
        <f>IFERROR(__xludf.DUMMYFUNCTION("""COMPUTED_VALUE"""),"Paid")</f>
        <v>Paid</v>
      </c>
      <c r="Z52" s="132"/>
    </row>
    <row r="53">
      <c r="A53" s="136">
        <f>IFERROR(__xludf.DUMMYFUNCTION("""COMPUTED_VALUE"""),45309.0)</f>
        <v>45309</v>
      </c>
      <c r="B53" s="132" t="str">
        <f>IFERROR(__xludf.DUMMYFUNCTION("""COMPUTED_VALUE"""),"Aluminum foil")</f>
        <v>Aluminum foil</v>
      </c>
      <c r="C53" s="132" t="str">
        <f>IFERROR(__xludf.DUMMYFUNCTION("""COMPUTED_VALUE"""),"居家")</f>
        <v>居家</v>
      </c>
      <c r="D53" s="132">
        <f>IFERROR(__xludf.DUMMYFUNCTION("""COMPUTED_VALUE"""),4.5087)</f>
        <v>4.5087</v>
      </c>
      <c r="E53" s="132" t="str">
        <f>IFERROR(__xludf.DUMMYFUNCTION("""COMPUTED_VALUE"""),"Pigskin")</f>
        <v>Pigskin</v>
      </c>
      <c r="F53" s="132">
        <f>IFERROR(__xludf.DUMMYFUNCTION("""COMPUTED_VALUE"""),0.90174)</f>
        <v>0.90174</v>
      </c>
      <c r="G53" s="132">
        <f>IFERROR(__xludf.DUMMYFUNCTION("""COMPUTED_VALUE"""),0.90174)</f>
        <v>0.90174</v>
      </c>
      <c r="H53" s="132">
        <f>IFERROR(__xludf.DUMMYFUNCTION("""COMPUTED_VALUE"""),1.0)</f>
        <v>1</v>
      </c>
      <c r="I53" s="132">
        <f>IFERROR(__xludf.DUMMYFUNCTION("""COMPUTED_VALUE"""),1.0)</f>
        <v>1</v>
      </c>
      <c r="J53" s="132">
        <f>IFERROR(__xludf.DUMMYFUNCTION("""COMPUTED_VALUE"""),1.0)</f>
        <v>1</v>
      </c>
      <c r="K53" s="132">
        <f>IFERROR(__xludf.DUMMYFUNCTION("""COMPUTED_VALUE"""),1.0)</f>
        <v>1</v>
      </c>
      <c r="L53" s="132"/>
      <c r="M53" s="132"/>
      <c r="N53" s="132">
        <f>IFERROR(__xludf.DUMMYFUNCTION("""COMPUTED_VALUE"""),1.0)</f>
        <v>1</v>
      </c>
      <c r="O53" s="132"/>
      <c r="P53" s="132"/>
      <c r="Q53" s="132"/>
      <c r="R53" s="132" t="str">
        <f>IFERROR(__xludf.DUMMYFUNCTION("""COMPUTED_VALUE"""),"Electricity")</f>
        <v>Electricity</v>
      </c>
      <c r="S53" s="132">
        <f>IFERROR(__xludf.DUMMYFUNCTION("""COMPUTED_VALUE"""),111.7)</f>
        <v>111.7</v>
      </c>
      <c r="T53" s="132">
        <f>IFERROR(__xludf.DUMMYFUNCTION("""COMPUTED_VALUE"""),22.34)</f>
        <v>22.34</v>
      </c>
      <c r="U53" s="132" t="str">
        <f>IFERROR(__xludf.DUMMYFUNCTION("""COMPUTED_VALUE"""),"Paid")</f>
        <v>Paid</v>
      </c>
      <c r="V53" s="132" t="str">
        <f>IFERROR(__xludf.DUMMYFUNCTION("""COMPUTED_VALUE"""),"Paid")</f>
        <v>Paid</v>
      </c>
      <c r="W53" s="132" t="str">
        <f>IFERROR(__xludf.DUMMYFUNCTION("""COMPUTED_VALUE"""),"Paid")</f>
        <v>Paid</v>
      </c>
      <c r="X53" s="132" t="str">
        <f>IFERROR(__xludf.DUMMYFUNCTION("""COMPUTED_VALUE"""),"Paid")</f>
        <v>Paid</v>
      </c>
      <c r="Y53" s="132" t="str">
        <f>IFERROR(__xludf.DUMMYFUNCTION("""COMPUTED_VALUE"""),"Paid")</f>
        <v>Paid</v>
      </c>
      <c r="Z53" s="132"/>
    </row>
    <row r="54">
      <c r="A54" s="136">
        <f>IFERROR(__xludf.DUMMYFUNCTION("""COMPUTED_VALUE"""),45310.0)</f>
        <v>45310</v>
      </c>
      <c r="B54" s="132" t="str">
        <f>IFERROR(__xludf.DUMMYFUNCTION("""COMPUTED_VALUE"""),"Dinner")</f>
        <v>Dinner</v>
      </c>
      <c r="C54" s="132" t="str">
        <f>IFERROR(__xludf.DUMMYFUNCTION("""COMPUTED_VALUE"""),"食物")</f>
        <v>食物</v>
      </c>
      <c r="D54" s="132">
        <f>IFERROR(__xludf.DUMMYFUNCTION("""COMPUTED_VALUE"""),24.86)</f>
        <v>24.86</v>
      </c>
      <c r="E54" s="132" t="str">
        <f>IFERROR(__xludf.DUMMYFUNCTION("""COMPUTED_VALUE"""),"Pigskin")</f>
        <v>Pigskin</v>
      </c>
      <c r="F54" s="132">
        <f>IFERROR(__xludf.DUMMYFUNCTION("""COMPUTED_VALUE"""),6.215)</f>
        <v>6.215</v>
      </c>
      <c r="G54" s="132">
        <f>IFERROR(__xludf.DUMMYFUNCTION("""COMPUTED_VALUE"""),6.215)</f>
        <v>6.215</v>
      </c>
      <c r="H54" s="132">
        <f>IFERROR(__xludf.DUMMYFUNCTION("""COMPUTED_VALUE"""),1.0)</f>
        <v>1</v>
      </c>
      <c r="I54" s="132">
        <f>IFERROR(__xludf.DUMMYFUNCTION("""COMPUTED_VALUE"""),1.0)</f>
        <v>1</v>
      </c>
      <c r="J54" s="132">
        <f>IFERROR(__xludf.DUMMYFUNCTION("""COMPUTED_VALUE"""),1.0)</f>
        <v>1</v>
      </c>
      <c r="K54" s="132">
        <f>IFERROR(__xludf.DUMMYFUNCTION("""COMPUTED_VALUE"""),1.0)</f>
        <v>1</v>
      </c>
      <c r="L54" s="132"/>
      <c r="M54" s="132"/>
      <c r="N54" s="132"/>
      <c r="O54" s="132"/>
      <c r="P54" s="132"/>
      <c r="Q54" s="132"/>
      <c r="R54" s="132" t="str">
        <f>IFERROR(__xludf.DUMMYFUNCTION("""COMPUTED_VALUE"""),"Internet")</f>
        <v>Internet</v>
      </c>
      <c r="S54" s="132">
        <f>IFERROR(__xludf.DUMMYFUNCTION("""COMPUTED_VALUE"""),56.5)</f>
        <v>56.5</v>
      </c>
      <c r="T54" s="132">
        <f>IFERROR(__xludf.DUMMYFUNCTION("""COMPUTED_VALUE"""),11.3)</f>
        <v>11.3</v>
      </c>
      <c r="U54" s="132" t="str">
        <f>IFERROR(__xludf.DUMMYFUNCTION("""COMPUTED_VALUE"""),"Paid")</f>
        <v>Paid</v>
      </c>
      <c r="V54" s="132" t="str">
        <f>IFERROR(__xludf.DUMMYFUNCTION("""COMPUTED_VALUE"""),"Paid")</f>
        <v>Paid</v>
      </c>
      <c r="W54" s="132" t="str">
        <f>IFERROR(__xludf.DUMMYFUNCTION("""COMPUTED_VALUE"""),"Paid")</f>
        <v>Paid</v>
      </c>
      <c r="X54" s="132" t="str">
        <f>IFERROR(__xludf.DUMMYFUNCTION("""COMPUTED_VALUE"""),"Paid")</f>
        <v>Paid</v>
      </c>
      <c r="Y54" s="132" t="str">
        <f>IFERROR(__xludf.DUMMYFUNCTION("""COMPUTED_VALUE"""),"Paid")</f>
        <v>Paid</v>
      </c>
      <c r="Z54" s="132"/>
    </row>
    <row r="55">
      <c r="A55" s="136">
        <f>IFERROR(__xludf.DUMMYFUNCTION("""COMPUTED_VALUE"""),45310.0)</f>
        <v>45310</v>
      </c>
      <c r="B55" s="132" t="str">
        <f>IFERROR(__xludf.DUMMYFUNCTION("""COMPUTED_VALUE"""),"Dinner")</f>
        <v>Dinner</v>
      </c>
      <c r="C55" s="132" t="str">
        <f>IFERROR(__xludf.DUMMYFUNCTION("""COMPUTED_VALUE"""),"食物")</f>
        <v>食物</v>
      </c>
      <c r="D55" s="132">
        <f>IFERROR(__xludf.DUMMYFUNCTION("""COMPUTED_VALUE"""),29.869999999999997)</f>
        <v>29.87</v>
      </c>
      <c r="E55" s="132" t="str">
        <f>IFERROR(__xludf.DUMMYFUNCTION("""COMPUTED_VALUE"""),"Pigskin")</f>
        <v>Pigskin</v>
      </c>
      <c r="F55" s="132">
        <f>IFERROR(__xludf.DUMMYFUNCTION("""COMPUTED_VALUE"""),5.973999999999999)</f>
        <v>5.974</v>
      </c>
      <c r="G55" s="132">
        <f>IFERROR(__xludf.DUMMYFUNCTION("""COMPUTED_VALUE"""),5.973999999999999)</f>
        <v>5.974</v>
      </c>
      <c r="H55" s="132">
        <f>IFERROR(__xludf.DUMMYFUNCTION("""COMPUTED_VALUE"""),1.0)</f>
        <v>1</v>
      </c>
      <c r="I55" s="132">
        <f>IFERROR(__xludf.DUMMYFUNCTION("""COMPUTED_VALUE"""),1.0)</f>
        <v>1</v>
      </c>
      <c r="J55" s="132">
        <f>IFERROR(__xludf.DUMMYFUNCTION("""COMPUTED_VALUE"""),1.0)</f>
        <v>1</v>
      </c>
      <c r="K55" s="132">
        <f>IFERROR(__xludf.DUMMYFUNCTION("""COMPUTED_VALUE"""),1.0)</f>
        <v>1</v>
      </c>
      <c r="L55" s="132"/>
      <c r="M55" s="132"/>
      <c r="N55" s="132">
        <f>IFERROR(__xludf.DUMMYFUNCTION("""COMPUTED_VALUE"""),1.0)</f>
        <v>1</v>
      </c>
      <c r="O55" s="132"/>
      <c r="P55" s="132"/>
      <c r="Q55" s="132"/>
      <c r="R55" s="132"/>
      <c r="S55" s="132">
        <f>IFERROR(__xludf.DUMMYFUNCTION("""COMPUTED_VALUE"""),3978.29)</f>
        <v>3978.29</v>
      </c>
      <c r="T55" s="132">
        <f>IFERROR(__xludf.DUMMYFUNCTION("""COMPUTED_VALUE"""),795.658)</f>
        <v>795.658</v>
      </c>
      <c r="U55" s="132"/>
      <c r="V55" s="132"/>
      <c r="W55" s="132"/>
      <c r="X55" s="132"/>
      <c r="Y55" s="132"/>
      <c r="Z55" s="132"/>
    </row>
    <row r="56">
      <c r="A56" s="136">
        <f>IFERROR(__xludf.DUMMYFUNCTION("""COMPUTED_VALUE"""),45316.0)</f>
        <v>45316</v>
      </c>
      <c r="B56" s="132" t="str">
        <f>IFERROR(__xludf.DUMMYFUNCTION("""COMPUTED_VALUE"""),"Grocery")</f>
        <v>Grocery</v>
      </c>
      <c r="C56" s="132" t="str">
        <f>IFERROR(__xludf.DUMMYFUNCTION("""COMPUTED_VALUE"""),"食物")</f>
        <v>食物</v>
      </c>
      <c r="D56" s="132">
        <f>IFERROR(__xludf.DUMMYFUNCTION("""COMPUTED_VALUE"""),17.16)</f>
        <v>17.16</v>
      </c>
      <c r="E56" s="132" t="str">
        <f>IFERROR(__xludf.DUMMYFUNCTION("""COMPUTED_VALUE"""),"Pigskin")</f>
        <v>Pigskin</v>
      </c>
      <c r="F56" s="132">
        <f>IFERROR(__xludf.DUMMYFUNCTION("""COMPUTED_VALUE"""),3.432)</f>
        <v>3.432</v>
      </c>
      <c r="G56" s="132">
        <f>IFERROR(__xludf.DUMMYFUNCTION("""COMPUTED_VALUE"""),3.432)</f>
        <v>3.432</v>
      </c>
      <c r="H56" s="132">
        <f>IFERROR(__xludf.DUMMYFUNCTION("""COMPUTED_VALUE"""),1.0)</f>
        <v>1</v>
      </c>
      <c r="I56" s="132">
        <f>IFERROR(__xludf.DUMMYFUNCTION("""COMPUTED_VALUE"""),1.0)</f>
        <v>1</v>
      </c>
      <c r="J56" s="132">
        <f>IFERROR(__xludf.DUMMYFUNCTION("""COMPUTED_VALUE"""),1.0)</f>
        <v>1</v>
      </c>
      <c r="K56" s="132">
        <f>IFERROR(__xludf.DUMMYFUNCTION("""COMPUTED_VALUE"""),1.0)</f>
        <v>1</v>
      </c>
      <c r="L56" s="132"/>
      <c r="M56" s="132"/>
      <c r="N56" s="132">
        <f>IFERROR(__xludf.DUMMYFUNCTION("""COMPUTED_VALUE"""),1.0)</f>
        <v>1</v>
      </c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6">
        <f>IFERROR(__xludf.DUMMYFUNCTION("""COMPUTED_VALUE"""),45316.0)</f>
        <v>45316</v>
      </c>
      <c r="B57" s="132" t="str">
        <f>IFERROR(__xludf.DUMMYFUNCTION("""COMPUTED_VALUE"""),"Dinner")</f>
        <v>Dinner</v>
      </c>
      <c r="C57" s="132" t="str">
        <f>IFERROR(__xludf.DUMMYFUNCTION("""COMPUTED_VALUE"""),"食物")</f>
        <v>食物</v>
      </c>
      <c r="D57" s="132">
        <f>IFERROR(__xludf.DUMMYFUNCTION("""COMPUTED_VALUE"""),1.77)</f>
        <v>1.77</v>
      </c>
      <c r="E57" s="132" t="str">
        <f>IFERROR(__xludf.DUMMYFUNCTION("""COMPUTED_VALUE"""),"Pigskin")</f>
        <v>Pigskin</v>
      </c>
      <c r="F57" s="132">
        <f>IFERROR(__xludf.DUMMYFUNCTION("""COMPUTED_VALUE"""),0.4425)</f>
        <v>0.4425</v>
      </c>
      <c r="G57" s="132">
        <f>IFERROR(__xludf.DUMMYFUNCTION("""COMPUTED_VALUE"""),0.4425)</f>
        <v>0.4425</v>
      </c>
      <c r="H57" s="132">
        <f>IFERROR(__xludf.DUMMYFUNCTION("""COMPUTED_VALUE"""),1.0)</f>
        <v>1</v>
      </c>
      <c r="I57" s="132">
        <f>IFERROR(__xludf.DUMMYFUNCTION("""COMPUTED_VALUE"""),1.0)</f>
        <v>1</v>
      </c>
      <c r="J57" s="132">
        <f>IFERROR(__xludf.DUMMYFUNCTION("""COMPUTED_VALUE"""),1.0)</f>
        <v>1</v>
      </c>
      <c r="K57" s="132">
        <f>IFERROR(__xludf.DUMMYFUNCTION("""COMPUTED_VALUE"""),1.0)</f>
        <v>1</v>
      </c>
      <c r="L57" s="132"/>
      <c r="M57" s="132"/>
      <c r="N57" s="132"/>
      <c r="O57" s="132"/>
      <c r="P57" s="132"/>
      <c r="Q57" s="134">
        <f>IFERROR(__xludf.DUMMYFUNCTION("""COMPUTED_VALUE"""),45323.0)</f>
        <v>45323</v>
      </c>
      <c r="R57" s="132" t="str">
        <f>IFERROR(__xludf.DUMMYFUNCTION("""COMPUTED_VALUE"""),"Rent")</f>
        <v>Rent</v>
      </c>
      <c r="S57" s="132">
        <f>IFERROR(__xludf.DUMMYFUNCTION("""COMPUTED_VALUE"""),3600.0)</f>
        <v>3600</v>
      </c>
      <c r="T57" s="132">
        <f>IFERROR(__xludf.DUMMYFUNCTION("""COMPUTED_VALUE"""),720.0)</f>
        <v>720</v>
      </c>
      <c r="U57" s="132" t="str">
        <f>IFERROR(__xludf.DUMMYFUNCTION("""COMPUTED_VALUE"""),"Paid")</f>
        <v>Paid</v>
      </c>
      <c r="V57" s="132" t="str">
        <f>IFERROR(__xludf.DUMMYFUNCTION("""COMPUTED_VALUE"""),"Paid")</f>
        <v>Paid</v>
      </c>
      <c r="W57" s="132" t="str">
        <f>IFERROR(__xludf.DUMMYFUNCTION("""COMPUTED_VALUE"""),"Paid")</f>
        <v>Paid</v>
      </c>
      <c r="X57" s="132" t="str">
        <f>IFERROR(__xludf.DUMMYFUNCTION("""COMPUTED_VALUE"""),"Paid")</f>
        <v>Paid</v>
      </c>
      <c r="Y57" s="132" t="str">
        <f>IFERROR(__xludf.DUMMYFUNCTION("""COMPUTED_VALUE"""),"Paid")</f>
        <v>Paid</v>
      </c>
      <c r="Z57" s="132"/>
    </row>
    <row r="58">
      <c r="A58" s="136">
        <f>IFERROR(__xludf.DUMMYFUNCTION("""COMPUTED_VALUE"""),45316.0)</f>
        <v>45316</v>
      </c>
      <c r="B58" s="132" t="str">
        <f>IFERROR(__xludf.DUMMYFUNCTION("""COMPUTED_VALUE"""),"Dinner")</f>
        <v>Dinner</v>
      </c>
      <c r="C58" s="132" t="str">
        <f>IFERROR(__xludf.DUMMYFUNCTION("""COMPUTED_VALUE"""),"食物")</f>
        <v>食物</v>
      </c>
      <c r="D58" s="132">
        <f>IFERROR(__xludf.DUMMYFUNCTION("""COMPUTED_VALUE"""),8.39)</f>
        <v>8.39</v>
      </c>
      <c r="E58" s="132" t="str">
        <f>IFERROR(__xludf.DUMMYFUNCTION("""COMPUTED_VALUE"""),"Pigskin")</f>
        <v>Pigskin</v>
      </c>
      <c r="F58" s="132">
        <f>IFERROR(__xludf.DUMMYFUNCTION("""COMPUTED_VALUE"""),1.6780000000000002)</f>
        <v>1.678</v>
      </c>
      <c r="G58" s="132">
        <f>IFERROR(__xludf.DUMMYFUNCTION("""COMPUTED_VALUE"""),1.6780000000000002)</f>
        <v>1.678</v>
      </c>
      <c r="H58" s="132">
        <f>IFERROR(__xludf.DUMMYFUNCTION("""COMPUTED_VALUE"""),1.0)</f>
        <v>1</v>
      </c>
      <c r="I58" s="132">
        <f>IFERROR(__xludf.DUMMYFUNCTION("""COMPUTED_VALUE"""),1.0)</f>
        <v>1</v>
      </c>
      <c r="J58" s="132">
        <f>IFERROR(__xludf.DUMMYFUNCTION("""COMPUTED_VALUE"""),1.0)</f>
        <v>1</v>
      </c>
      <c r="K58" s="132">
        <f>IFERROR(__xludf.DUMMYFUNCTION("""COMPUTED_VALUE"""),1.0)</f>
        <v>1</v>
      </c>
      <c r="L58" s="132"/>
      <c r="M58" s="132">
        <f>IFERROR(__xludf.DUMMYFUNCTION("""COMPUTED_VALUE"""),1.0)</f>
        <v>1</v>
      </c>
      <c r="N58" s="132"/>
      <c r="O58" s="132"/>
      <c r="P58" s="132"/>
      <c r="Q58" s="132"/>
      <c r="R58" s="132" t="str">
        <f>IFERROR(__xludf.DUMMYFUNCTION("""COMPUTED_VALUE"""),"Water")</f>
        <v>Water</v>
      </c>
      <c r="S58" s="132"/>
      <c r="T58" s="132"/>
      <c r="U58" s="132"/>
      <c r="V58" s="132"/>
      <c r="W58" s="132"/>
      <c r="X58" s="132"/>
      <c r="Y58" s="132"/>
      <c r="Z58" s="132"/>
    </row>
    <row r="59">
      <c r="A59" s="136">
        <f>IFERROR(__xludf.DUMMYFUNCTION("""COMPUTED_VALUE"""),45298.0)</f>
        <v>45298</v>
      </c>
      <c r="B59" s="132" t="str">
        <f>IFERROR(__xludf.DUMMYFUNCTION("""COMPUTED_VALUE"""),"零食")</f>
        <v>零食</v>
      </c>
      <c r="C59" s="132" t="str">
        <f>IFERROR(__xludf.DUMMYFUNCTION("""COMPUTED_VALUE"""),"食物")</f>
        <v>食物</v>
      </c>
      <c r="D59" s="132">
        <f>IFERROR(__xludf.DUMMYFUNCTION("""COMPUTED_VALUE"""),49.35)</f>
        <v>49.35</v>
      </c>
      <c r="E59" s="132" t="str">
        <f>IFERROR(__xludf.DUMMYFUNCTION("""COMPUTED_VALUE"""),"Pigskin")</f>
        <v>Pigskin</v>
      </c>
      <c r="F59" s="132">
        <f>IFERROR(__xludf.DUMMYFUNCTION("""COMPUTED_VALUE"""),7.05)</f>
        <v>7.05</v>
      </c>
      <c r="G59" s="132">
        <f>IFERROR(__xludf.DUMMYFUNCTION("""COMPUTED_VALUE"""),7.05)</f>
        <v>7.05</v>
      </c>
      <c r="H59" s="132">
        <f>IFERROR(__xludf.DUMMYFUNCTION("""COMPUTED_VALUE"""),1.0)</f>
        <v>1</v>
      </c>
      <c r="I59" s="132">
        <f>IFERROR(__xludf.DUMMYFUNCTION("""COMPUTED_VALUE"""),1.0)</f>
        <v>1</v>
      </c>
      <c r="J59" s="132">
        <f>IFERROR(__xludf.DUMMYFUNCTION("""COMPUTED_VALUE"""),1.0)</f>
        <v>1</v>
      </c>
      <c r="K59" s="132">
        <f>IFERROR(__xludf.DUMMYFUNCTION("""COMPUTED_VALUE"""),1.0)</f>
        <v>1</v>
      </c>
      <c r="L59" s="132">
        <f>IFERROR(__xludf.DUMMYFUNCTION("""COMPUTED_VALUE"""),1.0)</f>
        <v>1</v>
      </c>
      <c r="M59" s="132">
        <f>IFERROR(__xludf.DUMMYFUNCTION("""COMPUTED_VALUE"""),1.0)</f>
        <v>1</v>
      </c>
      <c r="N59" s="132">
        <f>IFERROR(__xludf.DUMMYFUNCTION("""COMPUTED_VALUE"""),1.0)</f>
        <v>1</v>
      </c>
      <c r="O59" s="132"/>
      <c r="P59" s="132"/>
      <c r="Q59" s="132"/>
      <c r="R59" s="132" t="str">
        <f>IFERROR(__xludf.DUMMYFUNCTION("""COMPUTED_VALUE"""),"Heat")</f>
        <v>Heat</v>
      </c>
      <c r="S59" s="132">
        <f>IFERROR(__xludf.DUMMYFUNCTION("""COMPUTED_VALUE"""),198.76)</f>
        <v>198.76</v>
      </c>
      <c r="T59" s="135">
        <f>IFERROR(__xludf.DUMMYFUNCTION("""COMPUTED_VALUE"""),33.126666666666665)</f>
        <v>33.12666667</v>
      </c>
      <c r="U59" s="132" t="str">
        <f>IFERROR(__xludf.DUMMYFUNCTION("""COMPUTED_VALUE"""),"Paid")</f>
        <v>Paid</v>
      </c>
      <c r="V59" s="132" t="str">
        <f>IFERROR(__xludf.DUMMYFUNCTION("""COMPUTED_VALUE"""),"Paid")</f>
        <v>Paid</v>
      </c>
      <c r="W59" s="132" t="str">
        <f>IFERROR(__xludf.DUMMYFUNCTION("""COMPUTED_VALUE"""),"Paid")</f>
        <v>Paid</v>
      </c>
      <c r="X59" s="132" t="str">
        <f>IFERROR(__xludf.DUMMYFUNCTION("""COMPUTED_VALUE"""),"Paid")</f>
        <v>Paid</v>
      </c>
      <c r="Y59" s="132" t="str">
        <f>IFERROR(__xludf.DUMMYFUNCTION("""COMPUTED_VALUE"""),"Paid")</f>
        <v>Paid</v>
      </c>
      <c r="Z59" s="132"/>
    </row>
    <row r="60">
      <c r="A60" s="136">
        <f>IFERROR(__xludf.DUMMYFUNCTION("""COMPUTED_VALUE"""),45311.0)</f>
        <v>45311</v>
      </c>
      <c r="B60" s="132" t="str">
        <f>IFERROR(__xludf.DUMMYFUNCTION("""COMPUTED_VALUE"""),"Hotpot")</f>
        <v>Hotpot</v>
      </c>
      <c r="C60" s="132" t="str">
        <f>IFERROR(__xludf.DUMMYFUNCTION("""COMPUTED_VALUE"""),"食物")</f>
        <v>食物</v>
      </c>
      <c r="D60" s="132">
        <f>IFERROR(__xludf.DUMMYFUNCTION("""COMPUTED_VALUE"""),16.06)</f>
        <v>16.06</v>
      </c>
      <c r="E60" s="132" t="str">
        <f>IFERROR(__xludf.DUMMYFUNCTION("""COMPUTED_VALUE"""),"Pigskin")</f>
        <v>Pigskin</v>
      </c>
      <c r="F60" s="132">
        <f>IFERROR(__xludf.DUMMYFUNCTION("""COMPUTED_VALUE"""),2.294285714285714)</f>
        <v>2.294285714</v>
      </c>
      <c r="G60" s="132">
        <f>IFERROR(__xludf.DUMMYFUNCTION("""COMPUTED_VALUE"""),2.294285714285714)</f>
        <v>2.294285714</v>
      </c>
      <c r="H60" s="132">
        <f>IFERROR(__xludf.DUMMYFUNCTION("""COMPUTED_VALUE"""),1.0)</f>
        <v>1</v>
      </c>
      <c r="I60" s="132">
        <f>IFERROR(__xludf.DUMMYFUNCTION("""COMPUTED_VALUE"""),1.0)</f>
        <v>1</v>
      </c>
      <c r="J60" s="132">
        <f>IFERROR(__xludf.DUMMYFUNCTION("""COMPUTED_VALUE"""),1.0)</f>
        <v>1</v>
      </c>
      <c r="K60" s="132">
        <f>IFERROR(__xludf.DUMMYFUNCTION("""COMPUTED_VALUE"""),2.0)</f>
        <v>2</v>
      </c>
      <c r="L60" s="132">
        <f>IFERROR(__xludf.DUMMYFUNCTION("""COMPUTED_VALUE"""),1.0)</f>
        <v>1</v>
      </c>
      <c r="M60" s="132">
        <f>IFERROR(__xludf.DUMMYFUNCTION("""COMPUTED_VALUE"""),1.0)</f>
        <v>1</v>
      </c>
      <c r="N60" s="132"/>
      <c r="O60" s="132"/>
      <c r="P60" s="132"/>
      <c r="Q60" s="132"/>
      <c r="R60" s="132" t="str">
        <f>IFERROR(__xludf.DUMMYFUNCTION("""COMPUTED_VALUE"""),"Electricity")</f>
        <v>Electricity</v>
      </c>
      <c r="S60" s="132">
        <f>IFERROR(__xludf.DUMMYFUNCTION("""COMPUTED_VALUE"""),117.83)</f>
        <v>117.83</v>
      </c>
      <c r="T60" s="135">
        <f>IFERROR(__xludf.DUMMYFUNCTION("""COMPUTED_VALUE"""),19.638333333333332)</f>
        <v>19.63833333</v>
      </c>
      <c r="U60" s="132" t="str">
        <f>IFERROR(__xludf.DUMMYFUNCTION("""COMPUTED_VALUE"""),"Paid")</f>
        <v>Paid</v>
      </c>
      <c r="V60" s="132" t="str">
        <f>IFERROR(__xludf.DUMMYFUNCTION("""COMPUTED_VALUE"""),"Paid")</f>
        <v>Paid</v>
      </c>
      <c r="W60" s="132" t="str">
        <f>IFERROR(__xludf.DUMMYFUNCTION("""COMPUTED_VALUE"""),"Paid")</f>
        <v>Paid</v>
      </c>
      <c r="X60" s="132" t="str">
        <f>IFERROR(__xludf.DUMMYFUNCTION("""COMPUTED_VALUE"""),"Paid")</f>
        <v>Paid</v>
      </c>
      <c r="Y60" s="132" t="str">
        <f>IFERROR(__xludf.DUMMYFUNCTION("""COMPUTED_VALUE"""),"Paid")</f>
        <v>Paid</v>
      </c>
      <c r="Z60" s="132"/>
    </row>
    <row r="61">
      <c r="A61" s="136">
        <f>IFERROR(__xludf.DUMMYFUNCTION("""COMPUTED_VALUE"""),45311.0)</f>
        <v>45311</v>
      </c>
      <c r="B61" s="132" t="str">
        <f>IFERROR(__xludf.DUMMYFUNCTION("""COMPUTED_VALUE"""),"Hotpot")</f>
        <v>Hotpot</v>
      </c>
      <c r="C61" s="132" t="str">
        <f>IFERROR(__xludf.DUMMYFUNCTION("""COMPUTED_VALUE"""),"食物")</f>
        <v>食物</v>
      </c>
      <c r="D61" s="132">
        <f>IFERROR(__xludf.DUMMYFUNCTION("""COMPUTED_VALUE"""),91.27)</f>
        <v>91.27</v>
      </c>
      <c r="E61" s="132" t="str">
        <f>IFERROR(__xludf.DUMMYFUNCTION("""COMPUTED_VALUE"""),"Pigskin")</f>
        <v>Pigskin</v>
      </c>
      <c r="F61" s="132">
        <f>IFERROR(__xludf.DUMMYFUNCTION("""COMPUTED_VALUE"""),13.038571428571428)</f>
        <v>13.03857143</v>
      </c>
      <c r="G61" s="132">
        <f>IFERROR(__xludf.DUMMYFUNCTION("""COMPUTED_VALUE"""),13.038571428571428)</f>
        <v>13.03857143</v>
      </c>
      <c r="H61" s="132">
        <f>IFERROR(__xludf.DUMMYFUNCTION("""COMPUTED_VALUE"""),1.0)</f>
        <v>1</v>
      </c>
      <c r="I61" s="132">
        <f>IFERROR(__xludf.DUMMYFUNCTION("""COMPUTED_VALUE"""),1.0)</f>
        <v>1</v>
      </c>
      <c r="J61" s="132">
        <f>IFERROR(__xludf.DUMMYFUNCTION("""COMPUTED_VALUE"""),1.0)</f>
        <v>1</v>
      </c>
      <c r="K61" s="132">
        <f>IFERROR(__xludf.DUMMYFUNCTION("""COMPUTED_VALUE"""),2.0)</f>
        <v>2</v>
      </c>
      <c r="L61" s="132">
        <f>IFERROR(__xludf.DUMMYFUNCTION("""COMPUTED_VALUE"""),1.0)</f>
        <v>1</v>
      </c>
      <c r="M61" s="132">
        <f>IFERROR(__xludf.DUMMYFUNCTION("""COMPUTED_VALUE"""),1.0)</f>
        <v>1</v>
      </c>
      <c r="N61" s="132"/>
      <c r="O61" s="132"/>
      <c r="P61" s="132"/>
      <c r="Q61" s="132"/>
      <c r="R61" s="132" t="str">
        <f>IFERROR(__xludf.DUMMYFUNCTION("""COMPUTED_VALUE"""),"Internet")</f>
        <v>Internet</v>
      </c>
      <c r="S61" s="132">
        <f>IFERROR(__xludf.DUMMYFUNCTION("""COMPUTED_VALUE"""),56.5)</f>
        <v>56.5</v>
      </c>
      <c r="T61" s="135">
        <f>IFERROR(__xludf.DUMMYFUNCTION("""COMPUTED_VALUE"""),9.416666666666666)</f>
        <v>9.416666667</v>
      </c>
      <c r="U61" s="132" t="str">
        <f>IFERROR(__xludf.DUMMYFUNCTION("""COMPUTED_VALUE"""),"Paid")</f>
        <v>Paid</v>
      </c>
      <c r="V61" s="132" t="str">
        <f>IFERROR(__xludf.DUMMYFUNCTION("""COMPUTED_VALUE"""),"Paid")</f>
        <v>Paid</v>
      </c>
      <c r="W61" s="132" t="str">
        <f>IFERROR(__xludf.DUMMYFUNCTION("""COMPUTED_VALUE"""),"Paid")</f>
        <v>Paid</v>
      </c>
      <c r="X61" s="132" t="str">
        <f>IFERROR(__xludf.DUMMYFUNCTION("""COMPUTED_VALUE"""),"Paid")</f>
        <v>Paid</v>
      </c>
      <c r="Y61" s="132" t="str">
        <f>IFERROR(__xludf.DUMMYFUNCTION("""COMPUTED_VALUE"""),"Paid")</f>
        <v>Paid</v>
      </c>
      <c r="Z61" s="132"/>
    </row>
    <row r="62">
      <c r="A62" s="133">
        <f>IFERROR(__xludf.DUMMYFUNCTION("""COMPUTED_VALUE"""),45311.0)</f>
        <v>45311</v>
      </c>
      <c r="B62" s="132" t="str">
        <f>IFERROR(__xludf.DUMMYFUNCTION("""COMPUTED_VALUE"""),"Hotpot")</f>
        <v>Hotpot</v>
      </c>
      <c r="C62" s="132" t="str">
        <f>IFERROR(__xludf.DUMMYFUNCTION("""COMPUTED_VALUE"""),"食物")</f>
        <v>食物</v>
      </c>
      <c r="D62" s="132">
        <f>IFERROR(__xludf.DUMMYFUNCTION("""COMPUTED_VALUE"""),80.16)</f>
        <v>80.16</v>
      </c>
      <c r="E62" s="132" t="str">
        <f>IFERROR(__xludf.DUMMYFUNCTION("""COMPUTED_VALUE"""),"Pigskin")</f>
        <v>Pigskin</v>
      </c>
      <c r="F62" s="132">
        <f>IFERROR(__xludf.DUMMYFUNCTION("""COMPUTED_VALUE"""),11.45142857142857)</f>
        <v>11.45142857</v>
      </c>
      <c r="G62" s="132">
        <f>IFERROR(__xludf.DUMMYFUNCTION("""COMPUTED_VALUE"""),11.45142857142857)</f>
        <v>11.45142857</v>
      </c>
      <c r="H62" s="132">
        <f>IFERROR(__xludf.DUMMYFUNCTION("""COMPUTED_VALUE"""),1.0)</f>
        <v>1</v>
      </c>
      <c r="I62" s="132">
        <f>IFERROR(__xludf.DUMMYFUNCTION("""COMPUTED_VALUE"""),1.0)</f>
        <v>1</v>
      </c>
      <c r="J62" s="132">
        <f>IFERROR(__xludf.DUMMYFUNCTION("""COMPUTED_VALUE"""),1.0)</f>
        <v>1</v>
      </c>
      <c r="K62" s="132">
        <f>IFERROR(__xludf.DUMMYFUNCTION("""COMPUTED_VALUE"""),2.0)</f>
        <v>2</v>
      </c>
      <c r="L62" s="132">
        <f>IFERROR(__xludf.DUMMYFUNCTION("""COMPUTED_VALUE"""),1.0)</f>
        <v>1</v>
      </c>
      <c r="M62" s="132">
        <f>IFERROR(__xludf.DUMMYFUNCTION("""COMPUTED_VALUE"""),1.0)</f>
        <v>1</v>
      </c>
      <c r="N62" s="132"/>
      <c r="O62" s="132"/>
      <c r="P62" s="132"/>
      <c r="Q62" s="132"/>
      <c r="R62" s="132"/>
      <c r="S62" s="132">
        <f>IFERROR(__xludf.DUMMYFUNCTION("""COMPUTED_VALUE"""),3973.09)</f>
        <v>3973.09</v>
      </c>
      <c r="T62" s="132">
        <f>IFERROR(__xludf.DUMMYFUNCTION("""COMPUTED_VALUE"""),782.1816666666666)</f>
        <v>782.1816667</v>
      </c>
      <c r="U62" s="132"/>
      <c r="V62" s="132"/>
      <c r="W62" s="132"/>
      <c r="X62" s="132"/>
      <c r="Y62" s="132"/>
      <c r="Z62" s="132"/>
    </row>
    <row r="63">
      <c r="A63" s="133">
        <f>IFERROR(__xludf.DUMMYFUNCTION("""COMPUTED_VALUE"""),45311.0)</f>
        <v>45311</v>
      </c>
      <c r="B63" s="132" t="str">
        <f>IFERROR(__xludf.DUMMYFUNCTION("""COMPUTED_VALUE"""),"Lays")</f>
        <v>Lays</v>
      </c>
      <c r="C63" s="132" t="str">
        <f>IFERROR(__xludf.DUMMYFUNCTION("""COMPUTED_VALUE"""),"食物")</f>
        <v>食物</v>
      </c>
      <c r="D63" s="132">
        <f>IFERROR(__xludf.DUMMYFUNCTION("""COMPUTED_VALUE"""),24.46)</f>
        <v>24.46</v>
      </c>
      <c r="E63" s="132" t="str">
        <f>IFERROR(__xludf.DUMMYFUNCTION("""COMPUTED_VALUE"""),"Pigskin")</f>
        <v>Pigskin</v>
      </c>
      <c r="F63" s="132">
        <f>IFERROR(__xludf.DUMMYFUNCTION("""COMPUTED_VALUE"""),4.892)</f>
        <v>4.892</v>
      </c>
      <c r="G63" s="132">
        <f>IFERROR(__xludf.DUMMYFUNCTION("""COMPUTED_VALUE"""),4.892)</f>
        <v>4.892</v>
      </c>
      <c r="H63" s="132">
        <f>IFERROR(__xludf.DUMMYFUNCTION("""COMPUTED_VALUE"""),1.0)</f>
        <v>1</v>
      </c>
      <c r="I63" s="132">
        <f>IFERROR(__xludf.DUMMYFUNCTION("""COMPUTED_VALUE"""),1.0)</f>
        <v>1</v>
      </c>
      <c r="J63" s="132">
        <f>IFERROR(__xludf.DUMMYFUNCTION("""COMPUTED_VALUE"""),1.0)</f>
        <v>1</v>
      </c>
      <c r="K63" s="132">
        <f>IFERROR(__xludf.DUMMYFUNCTION("""COMPUTED_VALUE"""),1.0)</f>
        <v>1</v>
      </c>
      <c r="L63" s="132"/>
      <c r="M63" s="132"/>
      <c r="N63" s="132">
        <f>IFERROR(__xludf.DUMMYFUNCTION("""COMPUTED_VALUE"""),1.0)</f>
        <v>1</v>
      </c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6">
        <f>IFERROR(__xludf.DUMMYFUNCTION("""COMPUTED_VALUE"""),45311.0)</f>
        <v>45311</v>
      </c>
      <c r="B64" s="132" t="str">
        <f>IFERROR(__xludf.DUMMYFUNCTION("""COMPUTED_VALUE"""),"廚紙")</f>
        <v>廚紙</v>
      </c>
      <c r="C64" s="132" t="str">
        <f>IFERROR(__xludf.DUMMYFUNCTION("""COMPUTED_VALUE"""),"居家")</f>
        <v>居家</v>
      </c>
      <c r="D64" s="132">
        <f>IFERROR(__xludf.DUMMYFUNCTION("""COMPUTED_VALUE"""),6.7687)</f>
        <v>6.7687</v>
      </c>
      <c r="E64" s="132" t="str">
        <f>IFERROR(__xludf.DUMMYFUNCTION("""COMPUTED_VALUE"""),"Pigskin")</f>
        <v>Pigskin</v>
      </c>
      <c r="F64" s="132">
        <f>IFERROR(__xludf.DUMMYFUNCTION("""COMPUTED_VALUE"""),1.35374)</f>
        <v>1.35374</v>
      </c>
      <c r="G64" s="132">
        <f>IFERROR(__xludf.DUMMYFUNCTION("""COMPUTED_VALUE"""),1.35374)</f>
        <v>1.35374</v>
      </c>
      <c r="H64" s="132">
        <f>IFERROR(__xludf.DUMMYFUNCTION("""COMPUTED_VALUE"""),1.0)</f>
        <v>1</v>
      </c>
      <c r="I64" s="132">
        <f>IFERROR(__xludf.DUMMYFUNCTION("""COMPUTED_VALUE"""),1.0)</f>
        <v>1</v>
      </c>
      <c r="J64" s="132">
        <f>IFERROR(__xludf.DUMMYFUNCTION("""COMPUTED_VALUE"""),1.0)</f>
        <v>1</v>
      </c>
      <c r="K64" s="132">
        <f>IFERROR(__xludf.DUMMYFUNCTION("""COMPUTED_VALUE"""),1.0)</f>
        <v>1</v>
      </c>
      <c r="L64" s="132"/>
      <c r="M64" s="132"/>
      <c r="N64" s="132">
        <f>IFERROR(__xludf.DUMMYFUNCTION("""COMPUTED_VALUE"""),1.0)</f>
        <v>1</v>
      </c>
      <c r="O64" s="132"/>
      <c r="P64" s="132"/>
      <c r="Q64" s="134">
        <f>IFERROR(__xludf.DUMMYFUNCTION("""COMPUTED_VALUE"""),45352.0)</f>
        <v>45352</v>
      </c>
      <c r="R64" s="132" t="str">
        <f>IFERROR(__xludf.DUMMYFUNCTION("""COMPUTED_VALUE"""),"Rent")</f>
        <v>Rent</v>
      </c>
      <c r="S64" s="132">
        <f>IFERROR(__xludf.DUMMYFUNCTION("""COMPUTED_VALUE"""),3600.0)</f>
        <v>3600</v>
      </c>
      <c r="T64" s="132">
        <f>IFERROR(__xludf.DUMMYFUNCTION("""COMPUTED_VALUE"""),720.0)</f>
        <v>720</v>
      </c>
      <c r="U64" s="132" t="str">
        <f>IFERROR(__xludf.DUMMYFUNCTION("""COMPUTED_VALUE"""),"Paid")</f>
        <v>Paid</v>
      </c>
      <c r="V64" s="132" t="str">
        <f>IFERROR(__xludf.DUMMYFUNCTION("""COMPUTED_VALUE"""),"Paid")</f>
        <v>Paid</v>
      </c>
      <c r="W64" s="132" t="str">
        <f>IFERROR(__xludf.DUMMYFUNCTION("""COMPUTED_VALUE"""),"Paid")</f>
        <v>Paid</v>
      </c>
      <c r="X64" s="132" t="str">
        <f>IFERROR(__xludf.DUMMYFUNCTION("""COMPUTED_VALUE"""),"Paid")</f>
        <v>Paid</v>
      </c>
      <c r="Y64" s="132" t="str">
        <f>IFERROR(__xludf.DUMMYFUNCTION("""COMPUTED_VALUE"""),"Paid")</f>
        <v>Paid</v>
      </c>
      <c r="Z64" s="132"/>
    </row>
    <row r="65">
      <c r="A65" s="136">
        <f>IFERROR(__xludf.DUMMYFUNCTION("""COMPUTED_VALUE"""),45312.0)</f>
        <v>45312</v>
      </c>
      <c r="B65" s="132" t="str">
        <f>IFERROR(__xludf.DUMMYFUNCTION("""COMPUTED_VALUE"""),"Movie")</f>
        <v>Movie</v>
      </c>
      <c r="C65" s="132" t="str">
        <f>IFERROR(__xludf.DUMMYFUNCTION("""COMPUTED_VALUE"""),"娛樂")</f>
        <v>娛樂</v>
      </c>
      <c r="D65" s="132">
        <f>IFERROR(__xludf.DUMMYFUNCTION("""COMPUTED_VALUE"""),67.82)</f>
        <v>67.82</v>
      </c>
      <c r="E65" s="132" t="str">
        <f>IFERROR(__xludf.DUMMYFUNCTION("""COMPUTED_VALUE"""),"Pigskin")</f>
        <v>Pigskin</v>
      </c>
      <c r="F65" s="132">
        <f>IFERROR(__xludf.DUMMYFUNCTION("""COMPUTED_VALUE"""),11.303333333333333)</f>
        <v>11.30333333</v>
      </c>
      <c r="G65" s="132">
        <f>IFERROR(__xludf.DUMMYFUNCTION("""COMPUTED_VALUE"""),11.303333333333333)</f>
        <v>11.30333333</v>
      </c>
      <c r="H65" s="132">
        <f>IFERROR(__xludf.DUMMYFUNCTION("""COMPUTED_VALUE"""),1.0)</f>
        <v>1</v>
      </c>
      <c r="I65" s="132">
        <f>IFERROR(__xludf.DUMMYFUNCTION("""COMPUTED_VALUE"""),1.0)</f>
        <v>1</v>
      </c>
      <c r="J65" s="132">
        <f>IFERROR(__xludf.DUMMYFUNCTION("""COMPUTED_VALUE"""),1.0)</f>
        <v>1</v>
      </c>
      <c r="K65" s="132">
        <f>IFERROR(__xludf.DUMMYFUNCTION("""COMPUTED_VALUE"""),1.0)</f>
        <v>1</v>
      </c>
      <c r="L65" s="132"/>
      <c r="M65" s="132">
        <f>IFERROR(__xludf.DUMMYFUNCTION("""COMPUTED_VALUE"""),1.0)</f>
        <v>1</v>
      </c>
      <c r="N65" s="132">
        <f>IFERROR(__xludf.DUMMYFUNCTION("""COMPUTED_VALUE"""),1.0)</f>
        <v>1</v>
      </c>
      <c r="O65" s="132"/>
      <c r="P65" s="132"/>
      <c r="Q65" s="132"/>
      <c r="R65" s="132" t="str">
        <f>IFERROR(__xludf.DUMMYFUNCTION("""COMPUTED_VALUE"""),"Water")</f>
        <v>Water</v>
      </c>
      <c r="S65" s="132"/>
      <c r="T65" s="132">
        <f>IFERROR(__xludf.DUMMYFUNCTION("""COMPUTED_VALUE"""),0.0)</f>
        <v>0</v>
      </c>
      <c r="U65" s="132"/>
      <c r="V65" s="132"/>
      <c r="W65" s="132"/>
      <c r="X65" s="132"/>
      <c r="Y65" s="132"/>
      <c r="Z65" s="132"/>
    </row>
    <row r="66">
      <c r="A66" s="133">
        <f>IFERROR(__xludf.DUMMYFUNCTION("""COMPUTED_VALUE"""),45314.0)</f>
        <v>45314</v>
      </c>
      <c r="B66" s="132" t="str">
        <f>IFERROR(__xludf.DUMMYFUNCTION("""COMPUTED_VALUE"""),"Lyft")</f>
        <v>Lyft</v>
      </c>
      <c r="C66" s="132" t="str">
        <f>IFERROR(__xludf.DUMMYFUNCTION("""COMPUTED_VALUE"""),"交通")</f>
        <v>交通</v>
      </c>
      <c r="D66" s="132">
        <f>IFERROR(__xludf.DUMMYFUNCTION("""COMPUTED_VALUE"""),9.0)</f>
        <v>9</v>
      </c>
      <c r="E66" s="132" t="str">
        <f>IFERROR(__xludf.DUMMYFUNCTION("""COMPUTED_VALUE"""),"Pigskin")</f>
        <v>Pigskin</v>
      </c>
      <c r="F66" s="132">
        <f>IFERROR(__xludf.DUMMYFUNCTION("""COMPUTED_VALUE"""),2.25)</f>
        <v>2.25</v>
      </c>
      <c r="G66" s="132">
        <f>IFERROR(__xludf.DUMMYFUNCTION("""COMPUTED_VALUE"""),2.25)</f>
        <v>2.25</v>
      </c>
      <c r="H66" s="132">
        <f>IFERROR(__xludf.DUMMYFUNCTION("""COMPUTED_VALUE"""),1.0)</f>
        <v>1</v>
      </c>
      <c r="I66" s="132">
        <f>IFERROR(__xludf.DUMMYFUNCTION("""COMPUTED_VALUE"""),1.0)</f>
        <v>1</v>
      </c>
      <c r="J66" s="132">
        <f>IFERROR(__xludf.DUMMYFUNCTION("""COMPUTED_VALUE"""),1.0)</f>
        <v>1</v>
      </c>
      <c r="K66" s="132">
        <f>IFERROR(__xludf.DUMMYFUNCTION("""COMPUTED_VALUE"""),1.0)</f>
        <v>1</v>
      </c>
      <c r="L66" s="132"/>
      <c r="M66" s="132"/>
      <c r="N66" s="132"/>
      <c r="O66" s="132"/>
      <c r="P66" s="132"/>
      <c r="Q66" s="132"/>
      <c r="R66" s="132" t="str">
        <f>IFERROR(__xludf.DUMMYFUNCTION("""COMPUTED_VALUE"""),"Heat")</f>
        <v>Heat</v>
      </c>
      <c r="S66" s="132">
        <f>IFERROR(__xludf.DUMMYFUNCTION("""COMPUTED_VALUE"""),173.22)</f>
        <v>173.22</v>
      </c>
      <c r="T66" s="132">
        <f>IFERROR(__xludf.DUMMYFUNCTION("""COMPUTED_VALUE"""),34.644)</f>
        <v>34.644</v>
      </c>
      <c r="U66" s="132" t="str">
        <f>IFERROR(__xludf.DUMMYFUNCTION("""COMPUTED_VALUE"""),"Paid")</f>
        <v>Paid</v>
      </c>
      <c r="V66" s="132" t="str">
        <f>IFERROR(__xludf.DUMMYFUNCTION("""COMPUTED_VALUE"""),"Paid")</f>
        <v>Paid</v>
      </c>
      <c r="W66" s="132" t="str">
        <f>IFERROR(__xludf.DUMMYFUNCTION("""COMPUTED_VALUE"""),"Paid")</f>
        <v>Paid</v>
      </c>
      <c r="X66" s="132" t="str">
        <f>IFERROR(__xludf.DUMMYFUNCTION("""COMPUTED_VALUE"""),"Paid")</f>
        <v>Paid</v>
      </c>
      <c r="Y66" s="132" t="str">
        <f>IFERROR(__xludf.DUMMYFUNCTION("""COMPUTED_VALUE"""),"Paid")</f>
        <v>Paid</v>
      </c>
      <c r="Z66" s="132"/>
    </row>
    <row r="67">
      <c r="A67" s="133">
        <f>IFERROR(__xludf.DUMMYFUNCTION("""COMPUTED_VALUE"""),45315.0)</f>
        <v>45315</v>
      </c>
      <c r="B67" s="132" t="str">
        <f>IFERROR(__xludf.DUMMYFUNCTION("""COMPUTED_VALUE"""),"Lyft")</f>
        <v>Lyft</v>
      </c>
      <c r="C67" s="132" t="str">
        <f>IFERROR(__xludf.DUMMYFUNCTION("""COMPUTED_VALUE"""),"交通")</f>
        <v>交通</v>
      </c>
      <c r="D67" s="132">
        <f>IFERROR(__xludf.DUMMYFUNCTION("""COMPUTED_VALUE"""),12.0)</f>
        <v>12</v>
      </c>
      <c r="E67" s="132" t="str">
        <f>IFERROR(__xludf.DUMMYFUNCTION("""COMPUTED_VALUE"""),"Pigskin")</f>
        <v>Pigskin</v>
      </c>
      <c r="F67" s="132">
        <f>IFERROR(__xludf.DUMMYFUNCTION("""COMPUTED_VALUE"""),3.0)</f>
        <v>3</v>
      </c>
      <c r="G67" s="132">
        <f>IFERROR(__xludf.DUMMYFUNCTION("""COMPUTED_VALUE"""),3.0)</f>
        <v>3</v>
      </c>
      <c r="H67" s="132">
        <f>IFERROR(__xludf.DUMMYFUNCTION("""COMPUTED_VALUE"""),1.0)</f>
        <v>1</v>
      </c>
      <c r="I67" s="132">
        <f>IFERROR(__xludf.DUMMYFUNCTION("""COMPUTED_VALUE"""),1.0)</f>
        <v>1</v>
      </c>
      <c r="J67" s="132"/>
      <c r="K67" s="132">
        <f>IFERROR(__xludf.DUMMYFUNCTION("""COMPUTED_VALUE"""),1.0)</f>
        <v>1</v>
      </c>
      <c r="L67" s="132"/>
      <c r="M67" s="132"/>
      <c r="N67" s="132">
        <f>IFERROR(__xludf.DUMMYFUNCTION("""COMPUTED_VALUE"""),1.0)</f>
        <v>1</v>
      </c>
      <c r="O67" s="132"/>
      <c r="P67" s="132"/>
      <c r="Q67" s="132"/>
      <c r="R67" s="132" t="str">
        <f>IFERROR(__xludf.DUMMYFUNCTION("""COMPUTED_VALUE"""),"Electricity")</f>
        <v>Electricity</v>
      </c>
      <c r="S67" s="132">
        <f>IFERROR(__xludf.DUMMYFUNCTION("""COMPUTED_VALUE"""),97.82)</f>
        <v>97.82</v>
      </c>
      <c r="T67" s="132">
        <f>IFERROR(__xludf.DUMMYFUNCTION("""COMPUTED_VALUE"""),19.564)</f>
        <v>19.564</v>
      </c>
      <c r="U67" s="132" t="str">
        <f>IFERROR(__xludf.DUMMYFUNCTION("""COMPUTED_VALUE"""),"Paid")</f>
        <v>Paid</v>
      </c>
      <c r="V67" s="132" t="str">
        <f>IFERROR(__xludf.DUMMYFUNCTION("""COMPUTED_VALUE"""),"Paid")</f>
        <v>Paid</v>
      </c>
      <c r="W67" s="132" t="str">
        <f>IFERROR(__xludf.DUMMYFUNCTION("""COMPUTED_VALUE"""),"Paid")</f>
        <v>Paid</v>
      </c>
      <c r="X67" s="132" t="str">
        <f>IFERROR(__xludf.DUMMYFUNCTION("""COMPUTED_VALUE"""),"Paid")</f>
        <v>Paid</v>
      </c>
      <c r="Y67" s="132" t="str">
        <f>IFERROR(__xludf.DUMMYFUNCTION("""COMPUTED_VALUE"""),"Paid")</f>
        <v>Paid</v>
      </c>
      <c r="Z67" s="132"/>
    </row>
    <row r="68">
      <c r="A68" s="133">
        <f>IFERROR(__xludf.DUMMYFUNCTION("""COMPUTED_VALUE"""),45318.0)</f>
        <v>45318</v>
      </c>
      <c r="B68" s="132" t="str">
        <f>IFERROR(__xludf.DUMMYFUNCTION("""COMPUTED_VALUE"""),"Food Basic")</f>
        <v>Food Basic</v>
      </c>
      <c r="C68" s="132" t="str">
        <f>IFERROR(__xludf.DUMMYFUNCTION("""COMPUTED_VALUE"""),"食物")</f>
        <v>食物</v>
      </c>
      <c r="D68" s="132">
        <f>IFERROR(__xludf.DUMMYFUNCTION("""COMPUTED_VALUE"""),15.41)</f>
        <v>15.41</v>
      </c>
      <c r="E68" s="132" t="str">
        <f>IFERROR(__xludf.DUMMYFUNCTION("""COMPUTED_VALUE"""),"Pigskin")</f>
        <v>Pigskin</v>
      </c>
      <c r="F68" s="132">
        <f>IFERROR(__xludf.DUMMYFUNCTION("""COMPUTED_VALUE"""),3.082)</f>
        <v>3.082</v>
      </c>
      <c r="G68" s="132">
        <f>IFERROR(__xludf.DUMMYFUNCTION("""COMPUTED_VALUE"""),3.082)</f>
        <v>3.082</v>
      </c>
      <c r="H68" s="132">
        <f>IFERROR(__xludf.DUMMYFUNCTION("""COMPUTED_VALUE"""),1.0)</f>
        <v>1</v>
      </c>
      <c r="I68" s="132">
        <f>IFERROR(__xludf.DUMMYFUNCTION("""COMPUTED_VALUE"""),1.0)</f>
        <v>1</v>
      </c>
      <c r="J68" s="132">
        <f>IFERROR(__xludf.DUMMYFUNCTION("""COMPUTED_VALUE"""),1.0)</f>
        <v>1</v>
      </c>
      <c r="K68" s="132">
        <f>IFERROR(__xludf.DUMMYFUNCTION("""COMPUTED_VALUE"""),1.0)</f>
        <v>1</v>
      </c>
      <c r="L68" s="132"/>
      <c r="M68" s="132">
        <f>IFERROR(__xludf.DUMMYFUNCTION("""COMPUTED_VALUE"""),1.0)</f>
        <v>1</v>
      </c>
      <c r="N68" s="132"/>
      <c r="O68" s="132"/>
      <c r="P68" s="132"/>
      <c r="Q68" s="132"/>
      <c r="R68" s="132" t="str">
        <f>IFERROR(__xludf.DUMMYFUNCTION("""COMPUTED_VALUE"""),"Internet")</f>
        <v>Internet</v>
      </c>
      <c r="S68" s="132">
        <f>IFERROR(__xludf.DUMMYFUNCTION("""COMPUTED_VALUE"""),56.5)</f>
        <v>56.5</v>
      </c>
      <c r="T68" s="132">
        <f>IFERROR(__xludf.DUMMYFUNCTION("""COMPUTED_VALUE"""),11.3)</f>
        <v>11.3</v>
      </c>
      <c r="U68" s="132" t="str">
        <f>IFERROR(__xludf.DUMMYFUNCTION("""COMPUTED_VALUE"""),"Paid")</f>
        <v>Paid</v>
      </c>
      <c r="V68" s="132" t="str">
        <f>IFERROR(__xludf.DUMMYFUNCTION("""COMPUTED_VALUE"""),"Paid")</f>
        <v>Paid</v>
      </c>
      <c r="W68" s="132" t="str">
        <f>IFERROR(__xludf.DUMMYFUNCTION("""COMPUTED_VALUE"""),"Paid")</f>
        <v>Paid</v>
      </c>
      <c r="X68" s="132" t="str">
        <f>IFERROR(__xludf.DUMMYFUNCTION("""COMPUTED_VALUE"""),"Paid")</f>
        <v>Paid</v>
      </c>
      <c r="Y68" s="132" t="str">
        <f>IFERROR(__xludf.DUMMYFUNCTION("""COMPUTED_VALUE"""),"Paid")</f>
        <v>Paid</v>
      </c>
      <c r="Z68" s="132"/>
    </row>
    <row r="69">
      <c r="A69" s="133">
        <f>IFERROR(__xludf.DUMMYFUNCTION("""COMPUTED_VALUE"""),45314.0)</f>
        <v>45314</v>
      </c>
      <c r="B69" s="132" t="str">
        <f>IFERROR(__xludf.DUMMYFUNCTION("""COMPUTED_VALUE"""),"Gyukaku")</f>
        <v>Gyukaku</v>
      </c>
      <c r="C69" s="132" t="str">
        <f>IFERROR(__xludf.DUMMYFUNCTION("""COMPUTED_VALUE"""),"食物")</f>
        <v>食物</v>
      </c>
      <c r="D69" s="132">
        <f>IFERROR(__xludf.DUMMYFUNCTION("""COMPUTED_VALUE"""),576.4)</f>
        <v>576.4</v>
      </c>
      <c r="E69" s="132" t="str">
        <f>IFERROR(__xludf.DUMMYFUNCTION("""COMPUTED_VALUE"""),"Angel")</f>
        <v>Angel</v>
      </c>
      <c r="F69" s="132">
        <f>IFERROR(__xludf.DUMMYFUNCTION("""COMPUTED_VALUE"""),96.06666666666666)</f>
        <v>96.06666667</v>
      </c>
      <c r="G69" s="132">
        <f>IFERROR(__xludf.DUMMYFUNCTION("""COMPUTED_VALUE"""),96.06666666666666)</f>
        <v>96.06666667</v>
      </c>
      <c r="H69" s="132">
        <f>IFERROR(__xludf.DUMMYFUNCTION("""COMPUTED_VALUE"""),1.0)</f>
        <v>1</v>
      </c>
      <c r="I69" s="132">
        <f>IFERROR(__xludf.DUMMYFUNCTION("""COMPUTED_VALUE"""),1.0)</f>
        <v>1</v>
      </c>
      <c r="J69" s="132"/>
      <c r="K69" s="132">
        <f>IFERROR(__xludf.DUMMYFUNCTION("""COMPUTED_VALUE"""),1.0)</f>
        <v>1</v>
      </c>
      <c r="L69" s="132">
        <f>IFERROR(__xludf.DUMMYFUNCTION("""COMPUTED_VALUE"""),1.0)</f>
        <v>1</v>
      </c>
      <c r="M69" s="132">
        <f>IFERROR(__xludf.DUMMYFUNCTION("""COMPUTED_VALUE"""),1.0)</f>
        <v>1</v>
      </c>
      <c r="N69" s="132">
        <f>IFERROR(__xludf.DUMMYFUNCTION("""COMPUTED_VALUE"""),1.0)</f>
        <v>1</v>
      </c>
      <c r="O69" s="132"/>
      <c r="P69" s="132"/>
      <c r="Q69" s="132"/>
      <c r="R69" s="132"/>
      <c r="S69" s="132">
        <f>IFERROR(__xludf.DUMMYFUNCTION("""COMPUTED_VALUE"""),3927.54)</f>
        <v>3927.54</v>
      </c>
      <c r="T69" s="132">
        <f>IFERROR(__xludf.DUMMYFUNCTION("""COMPUTED_VALUE"""),785.5079999999999)</f>
        <v>785.508</v>
      </c>
      <c r="U69" s="132"/>
      <c r="V69" s="132"/>
      <c r="W69" s="132"/>
      <c r="X69" s="132"/>
      <c r="Y69" s="132"/>
      <c r="Z69" s="132"/>
    </row>
    <row r="70">
      <c r="A70" s="136">
        <f>IFERROR(__xludf.DUMMYFUNCTION("""COMPUTED_VALUE"""),45294.0)</f>
        <v>45294</v>
      </c>
      <c r="B70" s="132" t="str">
        <f>IFERROR(__xludf.DUMMYFUNCTION("""COMPUTED_VALUE"""),"Dinner")</f>
        <v>Dinner</v>
      </c>
      <c r="C70" s="132" t="str">
        <f>IFERROR(__xludf.DUMMYFUNCTION("""COMPUTED_VALUE"""),"食物")</f>
        <v>食物</v>
      </c>
      <c r="D70" s="132">
        <f>IFERROR(__xludf.DUMMYFUNCTION("""COMPUTED_VALUE"""),15.79)</f>
        <v>15.79</v>
      </c>
      <c r="E70" s="132" t="str">
        <f>IFERROR(__xludf.DUMMYFUNCTION("""COMPUTED_VALUE"""),"Rachel")</f>
        <v>Rachel</v>
      </c>
      <c r="F70" s="132">
        <f>IFERROR(__xludf.DUMMYFUNCTION("""COMPUTED_VALUE"""),3.158)</f>
        <v>3.158</v>
      </c>
      <c r="G70" s="132">
        <f>IFERROR(__xludf.DUMMYFUNCTION("""COMPUTED_VALUE"""),3.158)</f>
        <v>3.158</v>
      </c>
      <c r="H70" s="132">
        <f>IFERROR(__xludf.DUMMYFUNCTION("""COMPUTED_VALUE"""),1.0)</f>
        <v>1</v>
      </c>
      <c r="I70" s="132">
        <f>IFERROR(__xludf.DUMMYFUNCTION("""COMPUTED_VALUE"""),1.0)</f>
        <v>1</v>
      </c>
      <c r="J70" s="132">
        <f>IFERROR(__xludf.DUMMYFUNCTION("""COMPUTED_VALUE"""),1.0)</f>
        <v>1</v>
      </c>
      <c r="K70" s="132">
        <f>IFERROR(__xludf.DUMMYFUNCTION("""COMPUTED_VALUE"""),1.0)</f>
        <v>1</v>
      </c>
      <c r="L70" s="132"/>
      <c r="M70" s="132"/>
      <c r="N70" s="132">
        <f>IFERROR(__xludf.DUMMYFUNCTION("""COMPUTED_VALUE"""),1.0)</f>
        <v>1</v>
      </c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6">
        <f>IFERROR(__xludf.DUMMYFUNCTION("""COMPUTED_VALUE"""),45316.0)</f>
        <v>45316</v>
      </c>
      <c r="B71" s="132" t="str">
        <f>IFERROR(__xludf.DUMMYFUNCTION("""COMPUTED_VALUE"""),"Rib bone")</f>
        <v>Rib bone</v>
      </c>
      <c r="C71" s="132" t="str">
        <f>IFERROR(__xludf.DUMMYFUNCTION("""COMPUTED_VALUE"""),"食物")</f>
        <v>食物</v>
      </c>
      <c r="D71" s="132">
        <f>IFERROR(__xludf.DUMMYFUNCTION("""COMPUTED_VALUE"""),11.8)</f>
        <v>11.8</v>
      </c>
      <c r="E71" s="132" t="str">
        <f>IFERROR(__xludf.DUMMYFUNCTION("""COMPUTED_VALUE"""),"Rachel")</f>
        <v>Rachel</v>
      </c>
      <c r="F71" s="132">
        <f>IFERROR(__xludf.DUMMYFUNCTION("""COMPUTED_VALUE"""),2.3600000000000003)</f>
        <v>2.36</v>
      </c>
      <c r="G71" s="132">
        <f>IFERROR(__xludf.DUMMYFUNCTION("""COMPUTED_VALUE"""),2.3600000000000003)</f>
        <v>2.36</v>
      </c>
      <c r="H71" s="132">
        <f>IFERROR(__xludf.DUMMYFUNCTION("""COMPUTED_VALUE"""),1.0)</f>
        <v>1</v>
      </c>
      <c r="I71" s="132">
        <f>IFERROR(__xludf.DUMMYFUNCTION("""COMPUTED_VALUE"""),1.0)</f>
        <v>1</v>
      </c>
      <c r="J71" s="132">
        <f>IFERROR(__xludf.DUMMYFUNCTION("""COMPUTED_VALUE"""),1.0)</f>
        <v>1</v>
      </c>
      <c r="K71" s="132">
        <f>IFERROR(__xludf.DUMMYFUNCTION("""COMPUTED_VALUE"""),1.0)</f>
        <v>1</v>
      </c>
      <c r="L71" s="132"/>
      <c r="M71" s="132"/>
      <c r="N71" s="132">
        <f>IFERROR(__xludf.DUMMYFUNCTION("""COMPUTED_VALUE"""),1.0)</f>
        <v>1</v>
      </c>
      <c r="O71" s="132"/>
      <c r="P71" s="132"/>
      <c r="Q71" s="134">
        <f>IFERROR(__xludf.DUMMYFUNCTION("""COMPUTED_VALUE"""),45383.0)</f>
        <v>45383</v>
      </c>
      <c r="R71" s="132" t="str">
        <f>IFERROR(__xludf.DUMMYFUNCTION("""COMPUTED_VALUE"""),"Rent")</f>
        <v>Rent</v>
      </c>
      <c r="S71" s="132">
        <f>IFERROR(__xludf.DUMMYFUNCTION("""COMPUTED_VALUE"""),3600.0)</f>
        <v>3600</v>
      </c>
      <c r="T71" s="132">
        <f>IFERROR(__xludf.DUMMYFUNCTION("""COMPUTED_VALUE"""),720.0)</f>
        <v>720</v>
      </c>
      <c r="U71" s="132" t="str">
        <f>IFERROR(__xludf.DUMMYFUNCTION("""COMPUTED_VALUE"""),"Paid")</f>
        <v>Paid</v>
      </c>
      <c r="V71" s="132" t="str">
        <f>IFERROR(__xludf.DUMMYFUNCTION("""COMPUTED_VALUE"""),"Paid")</f>
        <v>Paid</v>
      </c>
      <c r="W71" s="132" t="str">
        <f>IFERROR(__xludf.DUMMYFUNCTION("""COMPUTED_VALUE"""),"Paid")</f>
        <v>Paid</v>
      </c>
      <c r="X71" s="132" t="str">
        <f>IFERROR(__xludf.DUMMYFUNCTION("""COMPUTED_VALUE"""),"Paid")</f>
        <v>Paid</v>
      </c>
      <c r="Y71" s="132" t="str">
        <f>IFERROR(__xludf.DUMMYFUNCTION("""COMPUTED_VALUE"""),"Paid")</f>
        <v>Paid</v>
      </c>
      <c r="Z71" s="132"/>
    </row>
    <row r="72">
      <c r="A72" s="136">
        <f>IFERROR(__xludf.DUMMYFUNCTION("""COMPUTED_VALUE"""),45317.0)</f>
        <v>45317</v>
      </c>
      <c r="B72" s="132" t="str">
        <f>IFERROR(__xludf.DUMMYFUNCTION("""COMPUTED_VALUE"""),"Dinner")</f>
        <v>Dinner</v>
      </c>
      <c r="C72" s="132" t="str">
        <f>IFERROR(__xludf.DUMMYFUNCTION("""COMPUTED_VALUE"""),"食物")</f>
        <v>食物</v>
      </c>
      <c r="D72" s="132">
        <f>IFERROR(__xludf.DUMMYFUNCTION("""COMPUTED_VALUE"""),9.14)</f>
        <v>9.14</v>
      </c>
      <c r="E72" s="132" t="str">
        <f>IFERROR(__xludf.DUMMYFUNCTION("""COMPUTED_VALUE"""),"Rachel")</f>
        <v>Rachel</v>
      </c>
      <c r="F72" s="132">
        <f>IFERROR(__xludf.DUMMYFUNCTION("""COMPUTED_VALUE"""),4.57)</f>
        <v>4.57</v>
      </c>
      <c r="G72" s="132">
        <f>IFERROR(__xludf.DUMMYFUNCTION("""COMPUTED_VALUE"""),4.57)</f>
        <v>4.57</v>
      </c>
      <c r="H72" s="132"/>
      <c r="I72" s="132">
        <f>IFERROR(__xludf.DUMMYFUNCTION("""COMPUTED_VALUE"""),1.0)</f>
        <v>1</v>
      </c>
      <c r="J72" s="132"/>
      <c r="K72" s="132">
        <f>IFERROR(__xludf.DUMMYFUNCTION("""COMPUTED_VALUE"""),1.0)</f>
        <v>1</v>
      </c>
      <c r="L72" s="132"/>
      <c r="M72" s="132"/>
      <c r="N72" s="132"/>
      <c r="O72" s="132"/>
      <c r="P72" s="132"/>
      <c r="Q72" s="132"/>
      <c r="R72" s="132" t="str">
        <f>IFERROR(__xludf.DUMMYFUNCTION("""COMPUTED_VALUE"""),"o")</f>
        <v>o</v>
      </c>
      <c r="S72" s="132"/>
      <c r="T72" s="132"/>
      <c r="U72" s="132"/>
      <c r="V72" s="132"/>
      <c r="W72" s="132"/>
      <c r="X72" s="132"/>
      <c r="Y72" s="132"/>
      <c r="Z72" s="132"/>
    </row>
    <row r="73">
      <c r="A73" s="136">
        <f>IFERROR(__xludf.DUMMYFUNCTION("""COMPUTED_VALUE"""),45303.0)</f>
        <v>45303</v>
      </c>
      <c r="B73" s="132" t="str">
        <f>IFERROR(__xludf.DUMMYFUNCTION("""COMPUTED_VALUE"""),"Air Filter")</f>
        <v>Air Filter</v>
      </c>
      <c r="C73" s="132" t="str">
        <f>IFERROR(__xludf.DUMMYFUNCTION("""COMPUTED_VALUE"""),"居家")</f>
        <v>居家</v>
      </c>
      <c r="D73" s="132">
        <f>IFERROR(__xludf.DUMMYFUNCTION("""COMPUTED_VALUE"""),45.1887)</f>
        <v>45.1887</v>
      </c>
      <c r="E73" s="132" t="str">
        <f>IFERROR(__xludf.DUMMYFUNCTION("""COMPUTED_VALUE"""),"Timothy")</f>
        <v>Timothy</v>
      </c>
      <c r="F73" s="132">
        <f>IFERROR(__xludf.DUMMYFUNCTION("""COMPUTED_VALUE"""),9.03774)</f>
        <v>9.03774</v>
      </c>
      <c r="G73" s="132">
        <f>IFERROR(__xludf.DUMMYFUNCTION("""COMPUTED_VALUE"""),9.03774)</f>
        <v>9.03774</v>
      </c>
      <c r="H73" s="132">
        <f>IFERROR(__xludf.DUMMYFUNCTION("""COMPUTED_VALUE"""),1.0)</f>
        <v>1</v>
      </c>
      <c r="I73" s="132">
        <f>IFERROR(__xludf.DUMMYFUNCTION("""COMPUTED_VALUE"""),1.0)</f>
        <v>1</v>
      </c>
      <c r="J73" s="132">
        <f>IFERROR(__xludf.DUMMYFUNCTION("""COMPUTED_VALUE"""),1.0)</f>
        <v>1</v>
      </c>
      <c r="K73" s="132">
        <f>IFERROR(__xludf.DUMMYFUNCTION("""COMPUTED_VALUE"""),1.0)</f>
        <v>1</v>
      </c>
      <c r="L73" s="132"/>
      <c r="M73" s="132"/>
      <c r="N73" s="132">
        <f>IFERROR(__xludf.DUMMYFUNCTION("""COMPUTED_VALUE"""),1.0)</f>
        <v>1</v>
      </c>
      <c r="O73" s="132"/>
      <c r="P73" s="132"/>
      <c r="Q73" s="132"/>
      <c r="R73" s="132" t="str">
        <f>IFERROR(__xludf.DUMMYFUNCTION("""COMPUTED_VALUE"""),"Heat")</f>
        <v>Heat</v>
      </c>
      <c r="S73" s="132">
        <f>IFERROR(__xludf.DUMMYFUNCTION("""COMPUTED_VALUE"""),169.33)</f>
        <v>169.33</v>
      </c>
      <c r="T73" s="132">
        <f>IFERROR(__xludf.DUMMYFUNCTION("""COMPUTED_VALUE"""),33.866)</f>
        <v>33.866</v>
      </c>
      <c r="U73" s="132" t="str">
        <f>IFERROR(__xludf.DUMMYFUNCTION("""COMPUTED_VALUE"""),"Paid")</f>
        <v>Paid</v>
      </c>
      <c r="V73" s="132" t="str">
        <f>IFERROR(__xludf.DUMMYFUNCTION("""COMPUTED_VALUE"""),"Paid")</f>
        <v>Paid</v>
      </c>
      <c r="W73" s="132" t="str">
        <f>IFERROR(__xludf.DUMMYFUNCTION("""COMPUTED_VALUE"""),"Paid")</f>
        <v>Paid</v>
      </c>
      <c r="X73" s="132" t="str">
        <f>IFERROR(__xludf.DUMMYFUNCTION("""COMPUTED_VALUE"""),"Paid")</f>
        <v>Paid</v>
      </c>
      <c r="Y73" s="132" t="str">
        <f>IFERROR(__xludf.DUMMYFUNCTION("""COMPUTED_VALUE"""),"Paid")</f>
        <v>Paid</v>
      </c>
      <c r="Z73" s="132"/>
    </row>
    <row r="74">
      <c r="A74" s="136">
        <f>IFERROR(__xludf.DUMMYFUNCTION("""COMPUTED_VALUE"""),45305.0)</f>
        <v>45305</v>
      </c>
      <c r="B74" s="132" t="str">
        <f>IFERROR(__xludf.DUMMYFUNCTION("""COMPUTED_VALUE"""),"Costco Milk")</f>
        <v>Costco Milk</v>
      </c>
      <c r="C74" s="132" t="str">
        <f>IFERROR(__xludf.DUMMYFUNCTION("""COMPUTED_VALUE"""),"食物")</f>
        <v>食物</v>
      </c>
      <c r="D74" s="132">
        <f>IFERROR(__xludf.DUMMYFUNCTION("""COMPUTED_VALUE"""),11.98)</f>
        <v>11.98</v>
      </c>
      <c r="E74" s="132" t="str">
        <f>IFERROR(__xludf.DUMMYFUNCTION("""COMPUTED_VALUE"""),"Timothy")</f>
        <v>Timothy</v>
      </c>
      <c r="F74" s="132">
        <f>IFERROR(__xludf.DUMMYFUNCTION("""COMPUTED_VALUE"""),2.396)</f>
        <v>2.396</v>
      </c>
      <c r="G74" s="132">
        <f>IFERROR(__xludf.DUMMYFUNCTION("""COMPUTED_VALUE"""),2.396)</f>
        <v>2.396</v>
      </c>
      <c r="H74" s="132">
        <f>IFERROR(__xludf.DUMMYFUNCTION("""COMPUTED_VALUE"""),1.0)</f>
        <v>1</v>
      </c>
      <c r="I74" s="132">
        <f>IFERROR(__xludf.DUMMYFUNCTION("""COMPUTED_VALUE"""),1.0)</f>
        <v>1</v>
      </c>
      <c r="J74" s="132">
        <f>IFERROR(__xludf.DUMMYFUNCTION("""COMPUTED_VALUE"""),1.0)</f>
        <v>1</v>
      </c>
      <c r="K74" s="132">
        <f>IFERROR(__xludf.DUMMYFUNCTION("""COMPUTED_VALUE"""),1.0)</f>
        <v>1</v>
      </c>
      <c r="L74" s="132"/>
      <c r="M74" s="132"/>
      <c r="N74" s="132">
        <f>IFERROR(__xludf.DUMMYFUNCTION("""COMPUTED_VALUE"""),1.0)</f>
        <v>1</v>
      </c>
      <c r="O74" s="132"/>
      <c r="P74" s="132"/>
      <c r="Q74" s="132"/>
      <c r="R74" s="132" t="str">
        <f>IFERROR(__xludf.DUMMYFUNCTION("""COMPUTED_VALUE"""),"Electricity")</f>
        <v>Electricity</v>
      </c>
      <c r="S74" s="132">
        <f>IFERROR(__xludf.DUMMYFUNCTION("""COMPUTED_VALUE"""),104.26)</f>
        <v>104.26</v>
      </c>
      <c r="T74" s="132">
        <f>IFERROR(__xludf.DUMMYFUNCTION("""COMPUTED_VALUE"""),20.852)</f>
        <v>20.852</v>
      </c>
      <c r="U74" s="132" t="str">
        <f>IFERROR(__xludf.DUMMYFUNCTION("""COMPUTED_VALUE"""),"Paid")</f>
        <v>Paid</v>
      </c>
      <c r="V74" s="132" t="str">
        <f>IFERROR(__xludf.DUMMYFUNCTION("""COMPUTED_VALUE"""),"Paid")</f>
        <v>Paid</v>
      </c>
      <c r="W74" s="132" t="str">
        <f>IFERROR(__xludf.DUMMYFUNCTION("""COMPUTED_VALUE"""),"Paid")</f>
        <v>Paid</v>
      </c>
      <c r="X74" s="132" t="str">
        <f>IFERROR(__xludf.DUMMYFUNCTION("""COMPUTED_VALUE"""),"Paid")</f>
        <v>Paid</v>
      </c>
      <c r="Y74" s="132" t="str">
        <f>IFERROR(__xludf.DUMMYFUNCTION("""COMPUTED_VALUE"""),"Paid")</f>
        <v>Paid</v>
      </c>
      <c r="Z74" s="132"/>
    </row>
    <row r="75">
      <c r="A75" s="136">
        <f>IFERROR(__xludf.DUMMYFUNCTION("""COMPUTED_VALUE"""),45305.0)</f>
        <v>45305</v>
      </c>
      <c r="B75" s="132" t="str">
        <f>IFERROR(__xludf.DUMMYFUNCTION("""COMPUTED_VALUE"""),"Costco Yogurt")</f>
        <v>Costco Yogurt</v>
      </c>
      <c r="C75" s="132" t="str">
        <f>IFERROR(__xludf.DUMMYFUNCTION("""COMPUTED_VALUE"""),"食物")</f>
        <v>食物</v>
      </c>
      <c r="D75" s="132">
        <f>IFERROR(__xludf.DUMMYFUNCTION("""COMPUTED_VALUE"""),11.99)</f>
        <v>11.99</v>
      </c>
      <c r="E75" s="132" t="str">
        <f>IFERROR(__xludf.DUMMYFUNCTION("""COMPUTED_VALUE"""),"Timothy")</f>
        <v>Timothy</v>
      </c>
      <c r="F75" s="132">
        <f>IFERROR(__xludf.DUMMYFUNCTION("""COMPUTED_VALUE"""),11.99)</f>
        <v>11.99</v>
      </c>
      <c r="G75" s="132">
        <f>IFERROR(__xludf.DUMMYFUNCTION("""COMPUTED_VALUE"""),11.99)</f>
        <v>11.99</v>
      </c>
      <c r="H75" s="132"/>
      <c r="I75" s="132"/>
      <c r="J75" s="132">
        <f>IFERROR(__xludf.DUMMYFUNCTION("""COMPUTED_VALUE"""),1.0)</f>
        <v>1</v>
      </c>
      <c r="K75" s="132"/>
      <c r="L75" s="132"/>
      <c r="M75" s="132"/>
      <c r="N75" s="132"/>
      <c r="O75" s="132"/>
      <c r="P75" s="132"/>
      <c r="Q75" s="132"/>
      <c r="R75" s="132" t="str">
        <f>IFERROR(__xludf.DUMMYFUNCTION("""COMPUTED_VALUE"""),"Internet")</f>
        <v>Internet</v>
      </c>
      <c r="S75" s="132">
        <f>IFERROR(__xludf.DUMMYFUNCTION("""COMPUTED_VALUE"""),56.5)</f>
        <v>56.5</v>
      </c>
      <c r="T75" s="132">
        <f>IFERROR(__xludf.DUMMYFUNCTION("""COMPUTED_VALUE"""),11.3)</f>
        <v>11.3</v>
      </c>
      <c r="U75" s="132" t="str">
        <f>IFERROR(__xludf.DUMMYFUNCTION("""COMPUTED_VALUE"""),"Paid")</f>
        <v>Paid</v>
      </c>
      <c r="V75" s="132" t="str">
        <f>IFERROR(__xludf.DUMMYFUNCTION("""COMPUTED_VALUE"""),"Paid")</f>
        <v>Paid</v>
      </c>
      <c r="W75" s="132" t="str">
        <f>IFERROR(__xludf.DUMMYFUNCTION("""COMPUTED_VALUE"""),"Paid")</f>
        <v>Paid</v>
      </c>
      <c r="X75" s="132" t="str">
        <f>IFERROR(__xludf.DUMMYFUNCTION("""COMPUTED_VALUE"""),"Paid")</f>
        <v>Paid</v>
      </c>
      <c r="Y75" s="132" t="str">
        <f>IFERROR(__xludf.DUMMYFUNCTION("""COMPUTED_VALUE"""),"Paid")</f>
        <v>Paid</v>
      </c>
      <c r="Z75" s="132"/>
    </row>
    <row r="76">
      <c r="A76" s="136">
        <f>IFERROR(__xludf.DUMMYFUNCTION("""COMPUTED_VALUE"""),45305.0)</f>
        <v>45305</v>
      </c>
      <c r="B76" s="132" t="str">
        <f>IFERROR(__xludf.DUMMYFUNCTION("""COMPUTED_VALUE"""),"Nature Bag")</f>
        <v>Nature Bag</v>
      </c>
      <c r="C76" s="132" t="str">
        <f>IFERROR(__xludf.DUMMYFUNCTION("""COMPUTED_VALUE"""),"居家")</f>
        <v>居家</v>
      </c>
      <c r="D76" s="132">
        <f>IFERROR(__xludf.DUMMYFUNCTION("""COMPUTED_VALUE"""),14.6787)</f>
        <v>14.6787</v>
      </c>
      <c r="E76" s="132" t="str">
        <f>IFERROR(__xludf.DUMMYFUNCTION("""COMPUTED_VALUE"""),"Timothy")</f>
        <v>Timothy</v>
      </c>
      <c r="F76" s="132">
        <f>IFERROR(__xludf.DUMMYFUNCTION("""COMPUTED_VALUE"""),2.93574)</f>
        <v>2.93574</v>
      </c>
      <c r="G76" s="132">
        <f>IFERROR(__xludf.DUMMYFUNCTION("""COMPUTED_VALUE"""),2.93574)</f>
        <v>2.93574</v>
      </c>
      <c r="H76" s="132">
        <f>IFERROR(__xludf.DUMMYFUNCTION("""COMPUTED_VALUE"""),1.0)</f>
        <v>1</v>
      </c>
      <c r="I76" s="132">
        <f>IFERROR(__xludf.DUMMYFUNCTION("""COMPUTED_VALUE"""),1.0)</f>
        <v>1</v>
      </c>
      <c r="J76" s="132">
        <f>IFERROR(__xludf.DUMMYFUNCTION("""COMPUTED_VALUE"""),1.0)</f>
        <v>1</v>
      </c>
      <c r="K76" s="132">
        <f>IFERROR(__xludf.DUMMYFUNCTION("""COMPUTED_VALUE"""),1.0)</f>
        <v>1</v>
      </c>
      <c r="L76" s="132"/>
      <c r="M76" s="132"/>
      <c r="N76" s="132">
        <f>IFERROR(__xludf.DUMMYFUNCTION("""COMPUTED_VALUE"""),1.0)</f>
        <v>1</v>
      </c>
      <c r="O76" s="132"/>
      <c r="P76" s="132"/>
      <c r="Q76" s="132"/>
      <c r="R76" s="132"/>
      <c r="S76" s="132">
        <f>IFERROR(__xludf.DUMMYFUNCTION("""COMPUTED_VALUE"""),3930.09)</f>
        <v>3930.09</v>
      </c>
      <c r="T76" s="132">
        <f>IFERROR(__xludf.DUMMYFUNCTION("""COMPUTED_VALUE"""),786.0179999999999)</f>
        <v>786.018</v>
      </c>
      <c r="U76" s="132"/>
      <c r="V76" s="132"/>
      <c r="W76" s="132"/>
      <c r="X76" s="132"/>
      <c r="Y76" s="132"/>
      <c r="Z76" s="132"/>
    </row>
    <row r="77">
      <c r="A77" s="136">
        <f>IFERROR(__xludf.DUMMYFUNCTION("""COMPUTED_VALUE"""),45305.0)</f>
        <v>45305</v>
      </c>
      <c r="B77" s="132" t="str">
        <f>IFERROR(__xludf.DUMMYFUNCTION("""COMPUTED_VALUE"""),"Cretors Mix")</f>
        <v>Cretors Mix</v>
      </c>
      <c r="C77" s="132" t="str">
        <f>IFERROR(__xludf.DUMMYFUNCTION("""COMPUTED_VALUE"""),"食物")</f>
        <v>食物</v>
      </c>
      <c r="D77" s="132">
        <f>IFERROR(__xludf.DUMMYFUNCTION("""COMPUTED_VALUE"""),9.028699999999999)</f>
        <v>9.0287</v>
      </c>
      <c r="E77" s="132" t="str">
        <f>IFERROR(__xludf.DUMMYFUNCTION("""COMPUTED_VALUE"""),"Timothy")</f>
        <v>Timothy</v>
      </c>
      <c r="F77" s="132">
        <f>IFERROR(__xludf.DUMMYFUNCTION("""COMPUTED_VALUE"""),1.8057399999999997)</f>
        <v>1.80574</v>
      </c>
      <c r="G77" s="132">
        <f>IFERROR(__xludf.DUMMYFUNCTION("""COMPUTED_VALUE"""),1.8057399999999997)</f>
        <v>1.80574</v>
      </c>
      <c r="H77" s="132">
        <f>IFERROR(__xludf.DUMMYFUNCTION("""COMPUTED_VALUE"""),1.0)</f>
        <v>1</v>
      </c>
      <c r="I77" s="132">
        <f>IFERROR(__xludf.DUMMYFUNCTION("""COMPUTED_VALUE"""),1.0)</f>
        <v>1</v>
      </c>
      <c r="J77" s="132">
        <f>IFERROR(__xludf.DUMMYFUNCTION("""COMPUTED_VALUE"""),1.0)</f>
        <v>1</v>
      </c>
      <c r="K77" s="132">
        <f>IFERROR(__xludf.DUMMYFUNCTION("""COMPUTED_VALUE"""),1.0)</f>
        <v>1</v>
      </c>
      <c r="L77" s="132"/>
      <c r="M77" s="132"/>
      <c r="N77" s="132">
        <f>IFERROR(__xludf.DUMMYFUNCTION("""COMPUTED_VALUE"""),1.0)</f>
        <v>1</v>
      </c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6"/>
      <c r="B78" s="132" t="str">
        <f>IFERROR(__xludf.DUMMYFUNCTION("""COMPUTED_VALUE"""),"Mini Bites")</f>
        <v>Mini Bites</v>
      </c>
      <c r="C78" s="132" t="str">
        <f>IFERROR(__xludf.DUMMYFUNCTION("""COMPUTED_VALUE"""),"食物")</f>
        <v>食物</v>
      </c>
      <c r="D78" s="132">
        <f>IFERROR(__xludf.DUMMYFUNCTION("""COMPUTED_VALUE"""),19.98)</f>
        <v>19.98</v>
      </c>
      <c r="E78" s="132" t="str">
        <f>IFERROR(__xludf.DUMMYFUNCTION("""COMPUTED_VALUE"""),"Timothy")</f>
        <v>Timothy</v>
      </c>
      <c r="F78" s="132">
        <f>IFERROR(__xludf.DUMMYFUNCTION("""COMPUTED_VALUE"""),3.996)</f>
        <v>3.996</v>
      </c>
      <c r="G78" s="132">
        <f>IFERROR(__xludf.DUMMYFUNCTION("""COMPUTED_VALUE"""),3.996)</f>
        <v>3.996</v>
      </c>
      <c r="H78" s="132">
        <f>IFERROR(__xludf.DUMMYFUNCTION("""COMPUTED_VALUE"""),1.0)</f>
        <v>1</v>
      </c>
      <c r="I78" s="132">
        <f>IFERROR(__xludf.DUMMYFUNCTION("""COMPUTED_VALUE"""),1.0)</f>
        <v>1</v>
      </c>
      <c r="J78" s="132">
        <f>IFERROR(__xludf.DUMMYFUNCTION("""COMPUTED_VALUE"""),1.0)</f>
        <v>1</v>
      </c>
      <c r="K78" s="132">
        <f>IFERROR(__xludf.DUMMYFUNCTION("""COMPUTED_VALUE"""),1.0)</f>
        <v>1</v>
      </c>
      <c r="L78" s="132"/>
      <c r="M78" s="132"/>
      <c r="N78" s="132">
        <f>IFERROR(__xludf.DUMMYFUNCTION("""COMPUTED_VALUE"""),1.0)</f>
        <v>1</v>
      </c>
      <c r="O78" s="132"/>
      <c r="P78" s="132"/>
      <c r="Q78" s="134">
        <f>IFERROR(__xludf.DUMMYFUNCTION("""COMPUTED_VALUE"""),45413.0)</f>
        <v>45413</v>
      </c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6"/>
      <c r="B79" s="132" t="str">
        <f>IFERROR(__xludf.DUMMYFUNCTION("""COMPUTED_VALUE"""),"Bacon")</f>
        <v>Bacon</v>
      </c>
      <c r="C79" s="132" t="str">
        <f>IFERROR(__xludf.DUMMYFUNCTION("""COMPUTED_VALUE"""),"食物")</f>
        <v>食物</v>
      </c>
      <c r="D79" s="132">
        <f>IFERROR(__xludf.DUMMYFUNCTION("""COMPUTED_VALUE"""),18.99)</f>
        <v>18.99</v>
      </c>
      <c r="E79" s="132" t="str">
        <f>IFERROR(__xludf.DUMMYFUNCTION("""COMPUTED_VALUE"""),"Timothy")</f>
        <v>Timothy</v>
      </c>
      <c r="F79" s="132">
        <f>IFERROR(__xludf.DUMMYFUNCTION("""COMPUTED_VALUE"""),3.7979999999999996)</f>
        <v>3.798</v>
      </c>
      <c r="G79" s="132">
        <f>IFERROR(__xludf.DUMMYFUNCTION("""COMPUTED_VALUE"""),3.7979999999999996)</f>
        <v>3.798</v>
      </c>
      <c r="H79" s="132">
        <f>IFERROR(__xludf.DUMMYFUNCTION("""COMPUTED_VALUE"""),1.0)</f>
        <v>1</v>
      </c>
      <c r="I79" s="132">
        <f>IFERROR(__xludf.DUMMYFUNCTION("""COMPUTED_VALUE"""),1.0)</f>
        <v>1</v>
      </c>
      <c r="J79" s="132">
        <f>IFERROR(__xludf.DUMMYFUNCTION("""COMPUTED_VALUE"""),1.0)</f>
        <v>1</v>
      </c>
      <c r="K79" s="132">
        <f>IFERROR(__xludf.DUMMYFUNCTION("""COMPUTED_VALUE"""),1.0)</f>
        <v>1</v>
      </c>
      <c r="L79" s="132"/>
      <c r="M79" s="132"/>
      <c r="N79" s="132">
        <f>IFERROR(__xludf.DUMMYFUNCTION("""COMPUTED_VALUE"""),1.0)</f>
        <v>1</v>
      </c>
      <c r="O79" s="132"/>
      <c r="P79" s="132"/>
      <c r="Q79" s="132"/>
      <c r="R79" s="132" t="str">
        <f>IFERROR(__xludf.DUMMYFUNCTION("""COMPUTED_VALUE"""),"Water")</f>
        <v>Water</v>
      </c>
      <c r="S79" s="132">
        <f>IFERROR(__xludf.DUMMYFUNCTION("""COMPUTED_VALUE"""),428.7)</f>
        <v>428.7</v>
      </c>
      <c r="T79" s="132">
        <f>IFERROR(__xludf.DUMMYFUNCTION("""COMPUTED_VALUE"""),85.74)</f>
        <v>85.74</v>
      </c>
      <c r="U79" s="132" t="str">
        <f>IFERROR(__xludf.DUMMYFUNCTION("""COMPUTED_VALUE"""),"Paid")</f>
        <v>Paid</v>
      </c>
      <c r="V79" s="132" t="str">
        <f>IFERROR(__xludf.DUMMYFUNCTION("""COMPUTED_VALUE"""),"Paid")</f>
        <v>Paid</v>
      </c>
      <c r="W79" s="132" t="str">
        <f>IFERROR(__xludf.DUMMYFUNCTION("""COMPUTED_VALUE"""),"Paid")</f>
        <v>Paid</v>
      </c>
      <c r="X79" s="132" t="str">
        <f>IFERROR(__xludf.DUMMYFUNCTION("""COMPUTED_VALUE"""),"Paid")</f>
        <v>Paid</v>
      </c>
      <c r="Y79" s="132" t="str">
        <f>IFERROR(__xludf.DUMMYFUNCTION("""COMPUTED_VALUE"""),"Paid")</f>
        <v>Paid</v>
      </c>
      <c r="Z79" s="132"/>
    </row>
    <row r="80">
      <c r="A80" s="136"/>
      <c r="B80" s="132" t="str">
        <f>IFERROR(__xludf.DUMMYFUNCTION("""COMPUTED_VALUE"""),"Toilet Paper")</f>
        <v>Toilet Paper</v>
      </c>
      <c r="C80" s="132" t="str">
        <f>IFERROR(__xludf.DUMMYFUNCTION("""COMPUTED_VALUE"""),"居家")</f>
        <v>居家</v>
      </c>
      <c r="D80" s="132">
        <f>IFERROR(__xludf.DUMMYFUNCTION("""COMPUTED_VALUE"""),24.283699999999996)</f>
        <v>24.2837</v>
      </c>
      <c r="E80" s="132" t="str">
        <f>IFERROR(__xludf.DUMMYFUNCTION("""COMPUTED_VALUE"""),"Timothy")</f>
        <v>Timothy</v>
      </c>
      <c r="F80" s="132">
        <f>IFERROR(__xludf.DUMMYFUNCTION("""COMPUTED_VALUE"""),4.856739999999999)</f>
        <v>4.85674</v>
      </c>
      <c r="G80" s="132">
        <f>IFERROR(__xludf.DUMMYFUNCTION("""COMPUTED_VALUE"""),4.856739999999999)</f>
        <v>4.85674</v>
      </c>
      <c r="H80" s="132">
        <f>IFERROR(__xludf.DUMMYFUNCTION("""COMPUTED_VALUE"""),1.0)</f>
        <v>1</v>
      </c>
      <c r="I80" s="132">
        <f>IFERROR(__xludf.DUMMYFUNCTION("""COMPUTED_VALUE"""),1.0)</f>
        <v>1</v>
      </c>
      <c r="J80" s="132">
        <f>IFERROR(__xludf.DUMMYFUNCTION("""COMPUTED_VALUE"""),1.0)</f>
        <v>1</v>
      </c>
      <c r="K80" s="132">
        <f>IFERROR(__xludf.DUMMYFUNCTION("""COMPUTED_VALUE"""),1.0)</f>
        <v>1</v>
      </c>
      <c r="L80" s="132"/>
      <c r="M80" s="132"/>
      <c r="N80" s="132">
        <f>IFERROR(__xludf.DUMMYFUNCTION("""COMPUTED_VALUE"""),1.0)</f>
        <v>1</v>
      </c>
      <c r="O80" s="132"/>
      <c r="P80" s="132"/>
      <c r="Q80" s="132"/>
      <c r="R80" s="132" t="str">
        <f>IFERROR(__xludf.DUMMYFUNCTION("""COMPUTED_VALUE"""),"Heat")</f>
        <v>Heat</v>
      </c>
      <c r="S80" s="132">
        <f>IFERROR(__xludf.DUMMYFUNCTION("""COMPUTED_VALUE"""),109.38)</f>
        <v>109.38</v>
      </c>
      <c r="T80" s="132">
        <f>IFERROR(__xludf.DUMMYFUNCTION("""COMPUTED_VALUE"""),21.875999999999998)</f>
        <v>21.876</v>
      </c>
      <c r="U80" s="132" t="str">
        <f>IFERROR(__xludf.DUMMYFUNCTION("""COMPUTED_VALUE"""),"Paid")</f>
        <v>Paid</v>
      </c>
      <c r="V80" s="132" t="str">
        <f>IFERROR(__xludf.DUMMYFUNCTION("""COMPUTED_VALUE"""),"Paid")</f>
        <v>Paid</v>
      </c>
      <c r="W80" s="132" t="str">
        <f>IFERROR(__xludf.DUMMYFUNCTION("""COMPUTED_VALUE"""),"Paid")</f>
        <v>Paid</v>
      </c>
      <c r="X80" s="132" t="str">
        <f>IFERROR(__xludf.DUMMYFUNCTION("""COMPUTED_VALUE"""),"Paid")</f>
        <v>Paid</v>
      </c>
      <c r="Y80" s="132" t="str">
        <f>IFERROR(__xludf.DUMMYFUNCTION("""COMPUTED_VALUE"""),"Paid")</f>
        <v>Paid</v>
      </c>
      <c r="Z80" s="132"/>
    </row>
    <row r="81">
      <c r="A81" s="136"/>
      <c r="B81" s="132" t="str">
        <f>IFERROR(__xludf.DUMMYFUNCTION("""COMPUTED_VALUE"""),"Croissant")</f>
        <v>Croissant</v>
      </c>
      <c r="C81" s="132" t="str">
        <f>IFERROR(__xludf.DUMMYFUNCTION("""COMPUTED_VALUE"""),"食物")</f>
        <v>食物</v>
      </c>
      <c r="D81" s="132">
        <f>IFERROR(__xludf.DUMMYFUNCTION("""COMPUTED_VALUE"""),6.99)</f>
        <v>6.99</v>
      </c>
      <c r="E81" s="132" t="str">
        <f>IFERROR(__xludf.DUMMYFUNCTION("""COMPUTED_VALUE"""),"Timothy")</f>
        <v>Timothy</v>
      </c>
      <c r="F81" s="132">
        <f>IFERROR(__xludf.DUMMYFUNCTION("""COMPUTED_VALUE"""),1.3980000000000001)</f>
        <v>1.398</v>
      </c>
      <c r="G81" s="132">
        <f>IFERROR(__xludf.DUMMYFUNCTION("""COMPUTED_VALUE"""),1.3980000000000001)</f>
        <v>1.398</v>
      </c>
      <c r="H81" s="132">
        <f>IFERROR(__xludf.DUMMYFUNCTION("""COMPUTED_VALUE"""),1.0)</f>
        <v>1</v>
      </c>
      <c r="I81" s="132">
        <f>IFERROR(__xludf.DUMMYFUNCTION("""COMPUTED_VALUE"""),1.0)</f>
        <v>1</v>
      </c>
      <c r="J81" s="132">
        <f>IFERROR(__xludf.DUMMYFUNCTION("""COMPUTED_VALUE"""),1.0)</f>
        <v>1</v>
      </c>
      <c r="K81" s="132">
        <f>IFERROR(__xludf.DUMMYFUNCTION("""COMPUTED_VALUE"""),1.0)</f>
        <v>1</v>
      </c>
      <c r="L81" s="132"/>
      <c r="M81" s="132"/>
      <c r="N81" s="132">
        <f>IFERROR(__xludf.DUMMYFUNCTION("""COMPUTED_VALUE"""),1.0)</f>
        <v>1</v>
      </c>
      <c r="O81" s="132"/>
      <c r="P81" s="132"/>
      <c r="Q81" s="132"/>
      <c r="R81" s="132" t="str">
        <f>IFERROR(__xludf.DUMMYFUNCTION("""COMPUTED_VALUE"""),"Electricity")</f>
        <v>Electricity</v>
      </c>
      <c r="S81" s="132">
        <f>IFERROR(__xludf.DUMMYFUNCTION("""COMPUTED_VALUE"""),97.82)</f>
        <v>97.82</v>
      </c>
      <c r="T81" s="132">
        <f>IFERROR(__xludf.DUMMYFUNCTION("""COMPUTED_VALUE"""),19.564)</f>
        <v>19.564</v>
      </c>
      <c r="U81" s="132" t="str">
        <f>IFERROR(__xludf.DUMMYFUNCTION("""COMPUTED_VALUE"""),"Paid")</f>
        <v>Paid</v>
      </c>
      <c r="V81" s="132" t="str">
        <f>IFERROR(__xludf.DUMMYFUNCTION("""COMPUTED_VALUE"""),"Paid")</f>
        <v>Paid</v>
      </c>
      <c r="W81" s="132" t="str">
        <f>IFERROR(__xludf.DUMMYFUNCTION("""COMPUTED_VALUE"""),"Paid")</f>
        <v>Paid</v>
      </c>
      <c r="X81" s="132" t="str">
        <f>IFERROR(__xludf.DUMMYFUNCTION("""COMPUTED_VALUE"""),"Paid")</f>
        <v>Paid</v>
      </c>
      <c r="Y81" s="132" t="str">
        <f>IFERROR(__xludf.DUMMYFUNCTION("""COMPUTED_VALUE"""),"Paid")</f>
        <v>Paid</v>
      </c>
      <c r="Z81" s="132"/>
    </row>
    <row r="82">
      <c r="A82" s="136"/>
      <c r="B82" s="132" t="str">
        <f>IFERROR(__xludf.DUMMYFUNCTION("""COMPUTED_VALUE"""),"Chicken Breasts")</f>
        <v>Chicken Breasts</v>
      </c>
      <c r="C82" s="132" t="str">
        <f>IFERROR(__xludf.DUMMYFUNCTION("""COMPUTED_VALUE"""),"食物")</f>
        <v>食物</v>
      </c>
      <c r="D82" s="132">
        <f>IFERROR(__xludf.DUMMYFUNCTION("""COMPUTED_VALUE"""),25.97)</f>
        <v>25.97</v>
      </c>
      <c r="E82" s="132" t="str">
        <f>IFERROR(__xludf.DUMMYFUNCTION("""COMPUTED_VALUE"""),"Timothy")</f>
        <v>Timothy</v>
      </c>
      <c r="F82" s="132">
        <f>IFERROR(__xludf.DUMMYFUNCTION("""COMPUTED_VALUE"""),25.97)</f>
        <v>25.97</v>
      </c>
      <c r="G82" s="132">
        <f>IFERROR(__xludf.DUMMYFUNCTION("""COMPUTED_VALUE"""),25.97)</f>
        <v>25.97</v>
      </c>
      <c r="H82" s="132"/>
      <c r="I82" s="132"/>
      <c r="J82" s="132">
        <f>IFERROR(__xludf.DUMMYFUNCTION("""COMPUTED_VALUE"""),1.0)</f>
        <v>1</v>
      </c>
      <c r="K82" s="132"/>
      <c r="L82" s="132"/>
      <c r="M82" s="132"/>
      <c r="N82" s="132"/>
      <c r="O82" s="132"/>
      <c r="P82" s="132"/>
      <c r="Q82" s="132"/>
      <c r="R82" s="132" t="str">
        <f>IFERROR(__xludf.DUMMYFUNCTION("""COMPUTED_VALUE"""),"Internet")</f>
        <v>Internet</v>
      </c>
      <c r="S82" s="132">
        <f>IFERROR(__xludf.DUMMYFUNCTION("""COMPUTED_VALUE"""),56.5)</f>
        <v>56.5</v>
      </c>
      <c r="T82" s="132">
        <f>IFERROR(__xludf.DUMMYFUNCTION("""COMPUTED_VALUE"""),11.3)</f>
        <v>11.3</v>
      </c>
      <c r="U82" s="132" t="str">
        <f>IFERROR(__xludf.DUMMYFUNCTION("""COMPUTED_VALUE"""),"Paid")</f>
        <v>Paid</v>
      </c>
      <c r="V82" s="132" t="str">
        <f>IFERROR(__xludf.DUMMYFUNCTION("""COMPUTED_VALUE"""),"Paid")</f>
        <v>Paid</v>
      </c>
      <c r="W82" s="132" t="str">
        <f>IFERROR(__xludf.DUMMYFUNCTION("""COMPUTED_VALUE"""),"Paid")</f>
        <v>Paid</v>
      </c>
      <c r="X82" s="132" t="str">
        <f>IFERROR(__xludf.DUMMYFUNCTION("""COMPUTED_VALUE"""),"Paid")</f>
        <v>Paid</v>
      </c>
      <c r="Y82" s="132" t="str">
        <f>IFERROR(__xludf.DUMMYFUNCTION("""COMPUTED_VALUE"""),"Paid")</f>
        <v>Paid</v>
      </c>
      <c r="Z82" s="132"/>
    </row>
    <row r="83">
      <c r="A83" s="136"/>
      <c r="B83" s="132" t="str">
        <f>IFERROR(__xludf.DUMMYFUNCTION("""COMPUTED_VALUE"""),"Coke")</f>
        <v>Coke</v>
      </c>
      <c r="C83" s="132" t="str">
        <f>IFERROR(__xludf.DUMMYFUNCTION("""COMPUTED_VALUE"""),"飲品")</f>
        <v>飲品</v>
      </c>
      <c r="D83" s="132">
        <f>IFERROR(__xludf.DUMMYFUNCTION("""COMPUTED_VALUE"""),16.2607)</f>
        <v>16.2607</v>
      </c>
      <c r="E83" s="132" t="str">
        <f>IFERROR(__xludf.DUMMYFUNCTION("""COMPUTED_VALUE"""),"Timothy")</f>
        <v>Timothy</v>
      </c>
      <c r="F83" s="132">
        <f>IFERROR(__xludf.DUMMYFUNCTION("""COMPUTED_VALUE"""),3.25214)</f>
        <v>3.25214</v>
      </c>
      <c r="G83" s="132">
        <f>IFERROR(__xludf.DUMMYFUNCTION("""COMPUTED_VALUE"""),3.25214)</f>
        <v>3.25214</v>
      </c>
      <c r="H83" s="132">
        <f>IFERROR(__xludf.DUMMYFUNCTION("""COMPUTED_VALUE"""),1.0)</f>
        <v>1</v>
      </c>
      <c r="I83" s="132">
        <f>IFERROR(__xludf.DUMMYFUNCTION("""COMPUTED_VALUE"""),1.0)</f>
        <v>1</v>
      </c>
      <c r="J83" s="132">
        <f>IFERROR(__xludf.DUMMYFUNCTION("""COMPUTED_VALUE"""),1.0)</f>
        <v>1</v>
      </c>
      <c r="K83" s="132">
        <f>IFERROR(__xludf.DUMMYFUNCTION("""COMPUTED_VALUE"""),1.0)</f>
        <v>1</v>
      </c>
      <c r="L83" s="132"/>
      <c r="M83" s="132"/>
      <c r="N83" s="132">
        <f>IFERROR(__xludf.DUMMYFUNCTION("""COMPUTED_VALUE"""),1.0)</f>
        <v>1</v>
      </c>
      <c r="O83" s="132"/>
      <c r="P83" s="132"/>
      <c r="Q83" s="132"/>
      <c r="R83" s="132"/>
      <c r="S83" s="132">
        <f>IFERROR(__xludf.DUMMYFUNCTION("""COMPUTED_VALUE"""),692.3999999999999)</f>
        <v>692.4</v>
      </c>
      <c r="T83" s="132">
        <f>IFERROR(__xludf.DUMMYFUNCTION("""COMPUTED_VALUE"""),138.48)</f>
        <v>138.48</v>
      </c>
      <c r="U83" s="132"/>
      <c r="V83" s="132"/>
      <c r="W83" s="132"/>
      <c r="X83" s="132"/>
      <c r="Y83" s="132"/>
      <c r="Z83" s="132"/>
    </row>
    <row r="84">
      <c r="A84" s="136"/>
      <c r="B84" s="132" t="str">
        <f>IFERROR(__xludf.DUMMYFUNCTION("""COMPUTED_VALUE"""),"Shrimp")</f>
        <v>Shrimp</v>
      </c>
      <c r="C84" s="132" t="str">
        <f>IFERROR(__xludf.DUMMYFUNCTION("""COMPUTED_VALUE"""),"食物")</f>
        <v>食物</v>
      </c>
      <c r="D84" s="132">
        <f>IFERROR(__xludf.DUMMYFUNCTION("""COMPUTED_VALUE"""),14.99)</f>
        <v>14.99</v>
      </c>
      <c r="E84" s="132" t="str">
        <f>IFERROR(__xludf.DUMMYFUNCTION("""COMPUTED_VALUE"""),"Timothy")</f>
        <v>Timothy</v>
      </c>
      <c r="F84" s="132">
        <f>IFERROR(__xludf.DUMMYFUNCTION("""COMPUTED_VALUE"""),2.998)</f>
        <v>2.998</v>
      </c>
      <c r="G84" s="132">
        <f>IFERROR(__xludf.DUMMYFUNCTION("""COMPUTED_VALUE"""),2.998)</f>
        <v>2.998</v>
      </c>
      <c r="H84" s="132">
        <f>IFERROR(__xludf.DUMMYFUNCTION("""COMPUTED_VALUE"""),1.0)</f>
        <v>1</v>
      </c>
      <c r="I84" s="132">
        <f>IFERROR(__xludf.DUMMYFUNCTION("""COMPUTED_VALUE"""),1.0)</f>
        <v>1</v>
      </c>
      <c r="J84" s="132">
        <f>IFERROR(__xludf.DUMMYFUNCTION("""COMPUTED_VALUE"""),1.0)</f>
        <v>1</v>
      </c>
      <c r="K84" s="132">
        <f>IFERROR(__xludf.DUMMYFUNCTION("""COMPUTED_VALUE"""),1.0)</f>
        <v>1</v>
      </c>
      <c r="L84" s="132"/>
      <c r="M84" s="132"/>
      <c r="N84" s="132">
        <f>IFERROR(__xludf.DUMMYFUNCTION("""COMPUTED_VALUE"""),1.0)</f>
        <v>1</v>
      </c>
      <c r="O84" s="132"/>
      <c r="P84" s="132"/>
      <c r="Q84" s="134">
        <f>IFERROR(__xludf.DUMMYFUNCTION("""COMPUTED_VALUE"""),45444.0)</f>
        <v>45444</v>
      </c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6"/>
      <c r="B85" s="132" t="str">
        <f>IFERROR(__xludf.DUMMYFUNCTION("""COMPUTED_VALUE"""),"Altius")</f>
        <v>Altius</v>
      </c>
      <c r="C85" s="132" t="str">
        <f>IFERROR(__xludf.DUMMYFUNCTION("""COMPUTED_VALUE"""),"食物")</f>
        <v>食物</v>
      </c>
      <c r="D85" s="132">
        <f>IFERROR(__xludf.DUMMYFUNCTION("""COMPUTED_VALUE"""),3.39)</f>
        <v>3.39</v>
      </c>
      <c r="E85" s="132" t="str">
        <f>IFERROR(__xludf.DUMMYFUNCTION("""COMPUTED_VALUE"""),"Timothy")</f>
        <v>Timothy</v>
      </c>
      <c r="F85" s="132">
        <f>IFERROR(__xludf.DUMMYFUNCTION("""COMPUTED_VALUE"""),0.678)</f>
        <v>0.678</v>
      </c>
      <c r="G85" s="132">
        <f>IFERROR(__xludf.DUMMYFUNCTION("""COMPUTED_VALUE"""),0.678)</f>
        <v>0.678</v>
      </c>
      <c r="H85" s="132">
        <f>IFERROR(__xludf.DUMMYFUNCTION("""COMPUTED_VALUE"""),1.0)</f>
        <v>1</v>
      </c>
      <c r="I85" s="132">
        <f>IFERROR(__xludf.DUMMYFUNCTION("""COMPUTED_VALUE"""),1.0)</f>
        <v>1</v>
      </c>
      <c r="J85" s="132">
        <f>IFERROR(__xludf.DUMMYFUNCTION("""COMPUTED_VALUE"""),1.0)</f>
        <v>1</v>
      </c>
      <c r="K85" s="132">
        <f>IFERROR(__xludf.DUMMYFUNCTION("""COMPUTED_VALUE"""),1.0)</f>
        <v>1</v>
      </c>
      <c r="L85" s="132"/>
      <c r="M85" s="132"/>
      <c r="N85" s="132">
        <f>IFERROR(__xludf.DUMMYFUNCTION("""COMPUTED_VALUE"""),1.0)</f>
        <v>1</v>
      </c>
      <c r="O85" s="132"/>
      <c r="P85" s="132"/>
      <c r="Q85" s="132"/>
      <c r="R85" s="132" t="str">
        <f>IFERROR(__xludf.DUMMYFUNCTION("""COMPUTED_VALUE"""),"Water")</f>
        <v>Water</v>
      </c>
      <c r="S85" s="132"/>
      <c r="T85" s="132">
        <f>IFERROR(__xludf.DUMMYFUNCTION("""COMPUTED_VALUE"""),0.0)</f>
        <v>0</v>
      </c>
      <c r="U85" s="132"/>
      <c r="V85" s="132"/>
      <c r="W85" s="132"/>
      <c r="X85" s="132"/>
      <c r="Y85" s="132"/>
      <c r="Z85" s="132"/>
    </row>
    <row r="86">
      <c r="A86" s="136"/>
      <c r="B86" s="132" t="str">
        <f>IFERROR(__xludf.DUMMYFUNCTION("""COMPUTED_VALUE"""),"Genacol")</f>
        <v>Genacol</v>
      </c>
      <c r="C86" s="132" t="str">
        <f>IFERROR(__xludf.DUMMYFUNCTION("""COMPUTED_VALUE"""),"醫藥")</f>
        <v>醫藥</v>
      </c>
      <c r="D86" s="132">
        <f>IFERROR(__xludf.DUMMYFUNCTION("""COMPUTED_VALUE"""),67.78869999999999)</f>
        <v>67.7887</v>
      </c>
      <c r="E86" s="132" t="str">
        <f>IFERROR(__xludf.DUMMYFUNCTION("""COMPUTED_VALUE"""),"Timothy")</f>
        <v>Timothy</v>
      </c>
      <c r="F86" s="132">
        <f>IFERROR(__xludf.DUMMYFUNCTION("""COMPUTED_VALUE"""),67.78869999999999)</f>
        <v>67.7887</v>
      </c>
      <c r="G86" s="132">
        <f>IFERROR(__xludf.DUMMYFUNCTION("""COMPUTED_VALUE"""),67.78869999999999)</f>
        <v>67.7887</v>
      </c>
      <c r="H86" s="132">
        <f>IFERROR(__xludf.DUMMYFUNCTION("""COMPUTED_VALUE"""),1.0)</f>
        <v>1</v>
      </c>
      <c r="I86" s="132"/>
      <c r="J86" s="132"/>
      <c r="K86" s="132"/>
      <c r="L86" s="132"/>
      <c r="M86" s="132"/>
      <c r="N86" s="132"/>
      <c r="O86" s="132"/>
      <c r="P86" s="132"/>
      <c r="Q86" s="132"/>
      <c r="R86" s="132" t="str">
        <f>IFERROR(__xludf.DUMMYFUNCTION("""COMPUTED_VALUE"""),"Heat")</f>
        <v>Heat</v>
      </c>
      <c r="S86" s="132">
        <f>IFERROR(__xludf.DUMMYFUNCTION("""COMPUTED_VALUE"""),91.03)</f>
        <v>91.03</v>
      </c>
      <c r="T86" s="132">
        <f>IFERROR(__xludf.DUMMYFUNCTION("""COMPUTED_VALUE"""),18.206)</f>
        <v>18.206</v>
      </c>
      <c r="U86" s="132" t="str">
        <f>IFERROR(__xludf.DUMMYFUNCTION("""COMPUTED_VALUE"""),"Paid")</f>
        <v>Paid</v>
      </c>
      <c r="V86" s="132" t="str">
        <f>IFERROR(__xludf.DUMMYFUNCTION("""COMPUTED_VALUE"""),"Paid")</f>
        <v>Paid</v>
      </c>
      <c r="W86" s="132" t="str">
        <f>IFERROR(__xludf.DUMMYFUNCTION("""COMPUTED_VALUE"""),"Paid")</f>
        <v>Paid</v>
      </c>
      <c r="X86" s="132" t="str">
        <f>IFERROR(__xludf.DUMMYFUNCTION("""COMPUTED_VALUE"""),"Paid")</f>
        <v>Paid</v>
      </c>
      <c r="Y86" s="132" t="str">
        <f>IFERROR(__xludf.DUMMYFUNCTION("""COMPUTED_VALUE"""),"Paid")</f>
        <v>Paid</v>
      </c>
      <c r="Z86" s="132"/>
    </row>
    <row r="87">
      <c r="A87" s="136">
        <f>IFERROR(__xludf.DUMMYFUNCTION("""COMPUTED_VALUE"""),45306.0)</f>
        <v>45306</v>
      </c>
      <c r="B87" s="132" t="str">
        <f>IFERROR(__xludf.DUMMYFUNCTION("""COMPUTED_VALUE"""),"Dinner")</f>
        <v>Dinner</v>
      </c>
      <c r="C87" s="132" t="str">
        <f>IFERROR(__xludf.DUMMYFUNCTION("""COMPUTED_VALUE"""),"食物")</f>
        <v>食物</v>
      </c>
      <c r="D87" s="132">
        <f>IFERROR(__xludf.DUMMYFUNCTION("""COMPUTED_VALUE"""),19.86)</f>
        <v>19.86</v>
      </c>
      <c r="E87" s="132" t="str">
        <f>IFERROR(__xludf.DUMMYFUNCTION("""COMPUTED_VALUE"""),"Timothy")</f>
        <v>Timothy</v>
      </c>
      <c r="F87" s="132">
        <f>IFERROR(__xludf.DUMMYFUNCTION("""COMPUTED_VALUE"""),3.972)</f>
        <v>3.972</v>
      </c>
      <c r="G87" s="132">
        <f>IFERROR(__xludf.DUMMYFUNCTION("""COMPUTED_VALUE"""),3.972)</f>
        <v>3.972</v>
      </c>
      <c r="H87" s="132">
        <f>IFERROR(__xludf.DUMMYFUNCTION("""COMPUTED_VALUE"""),1.0)</f>
        <v>1</v>
      </c>
      <c r="I87" s="132">
        <f>IFERROR(__xludf.DUMMYFUNCTION("""COMPUTED_VALUE"""),1.0)</f>
        <v>1</v>
      </c>
      <c r="J87" s="132">
        <f>IFERROR(__xludf.DUMMYFUNCTION("""COMPUTED_VALUE"""),1.0)</f>
        <v>1</v>
      </c>
      <c r="K87" s="132">
        <f>IFERROR(__xludf.DUMMYFUNCTION("""COMPUTED_VALUE"""),1.0)</f>
        <v>1</v>
      </c>
      <c r="L87" s="132"/>
      <c r="M87" s="132"/>
      <c r="N87" s="132">
        <f>IFERROR(__xludf.DUMMYFUNCTION("""COMPUTED_VALUE"""),1.0)</f>
        <v>1</v>
      </c>
      <c r="O87" s="132"/>
      <c r="P87" s="132"/>
      <c r="Q87" s="132"/>
      <c r="R87" s="132" t="str">
        <f>IFERROR(__xludf.DUMMYFUNCTION("""COMPUTED_VALUE"""),"Electricity")</f>
        <v>Electricity</v>
      </c>
      <c r="S87" s="132">
        <f>IFERROR(__xludf.DUMMYFUNCTION("""COMPUTED_VALUE"""),122.11)</f>
        <v>122.11</v>
      </c>
      <c r="T87" s="132">
        <f>IFERROR(__xludf.DUMMYFUNCTION("""COMPUTED_VALUE"""),24.422)</f>
        <v>24.422</v>
      </c>
      <c r="U87" s="132" t="str">
        <f>IFERROR(__xludf.DUMMYFUNCTION("""COMPUTED_VALUE"""),"Paid")</f>
        <v>Paid</v>
      </c>
      <c r="V87" s="132" t="str">
        <f>IFERROR(__xludf.DUMMYFUNCTION("""COMPUTED_VALUE"""),"Paid")</f>
        <v>Paid</v>
      </c>
      <c r="W87" s="132" t="str">
        <f>IFERROR(__xludf.DUMMYFUNCTION("""COMPUTED_VALUE"""),"Paid")</f>
        <v>Paid</v>
      </c>
      <c r="X87" s="132" t="str">
        <f>IFERROR(__xludf.DUMMYFUNCTION("""COMPUTED_VALUE"""),"Paid")</f>
        <v>Paid</v>
      </c>
      <c r="Y87" s="132" t="str">
        <f>IFERROR(__xludf.DUMMYFUNCTION("""COMPUTED_VALUE"""),"Paid")</f>
        <v>Paid</v>
      </c>
      <c r="Z87" s="132"/>
    </row>
    <row r="88">
      <c r="A88" s="136">
        <f>IFERROR(__xludf.DUMMYFUNCTION("""COMPUTED_VALUE"""),45306.0)</f>
        <v>45306</v>
      </c>
      <c r="B88" s="132" t="str">
        <f>IFERROR(__xludf.DUMMYFUNCTION("""COMPUTED_VALUE"""),"Foody Dinner")</f>
        <v>Foody Dinner</v>
      </c>
      <c r="C88" s="132" t="str">
        <f>IFERROR(__xludf.DUMMYFUNCTION("""COMPUTED_VALUE"""),"食物")</f>
        <v>食物</v>
      </c>
      <c r="D88" s="132">
        <f>IFERROR(__xludf.DUMMYFUNCTION("""COMPUTED_VALUE"""),19.86)</f>
        <v>19.86</v>
      </c>
      <c r="E88" s="132" t="str">
        <f>IFERROR(__xludf.DUMMYFUNCTION("""COMPUTED_VALUE"""),"Timothy")</f>
        <v>Timothy</v>
      </c>
      <c r="F88" s="132">
        <f>IFERROR(__xludf.DUMMYFUNCTION("""COMPUTED_VALUE"""),3.972)</f>
        <v>3.972</v>
      </c>
      <c r="G88" s="132">
        <f>IFERROR(__xludf.DUMMYFUNCTION("""COMPUTED_VALUE"""),3.972)</f>
        <v>3.972</v>
      </c>
      <c r="H88" s="132">
        <f>IFERROR(__xludf.DUMMYFUNCTION("""COMPUTED_VALUE"""),1.0)</f>
        <v>1</v>
      </c>
      <c r="I88" s="132">
        <f>IFERROR(__xludf.DUMMYFUNCTION("""COMPUTED_VALUE"""),1.0)</f>
        <v>1</v>
      </c>
      <c r="J88" s="132">
        <f>IFERROR(__xludf.DUMMYFUNCTION("""COMPUTED_VALUE"""),1.0)</f>
        <v>1</v>
      </c>
      <c r="K88" s="132">
        <f>IFERROR(__xludf.DUMMYFUNCTION("""COMPUTED_VALUE"""),1.0)</f>
        <v>1</v>
      </c>
      <c r="L88" s="132"/>
      <c r="M88" s="132"/>
      <c r="N88" s="132">
        <f>IFERROR(__xludf.DUMMYFUNCTION("""COMPUTED_VALUE"""),1.0)</f>
        <v>1</v>
      </c>
      <c r="O88" s="132"/>
      <c r="P88" s="132"/>
      <c r="Q88" s="132"/>
      <c r="R88" s="132" t="str">
        <f>IFERROR(__xludf.DUMMYFUNCTION("""COMPUTED_VALUE"""),"Internet")</f>
        <v>Internet</v>
      </c>
      <c r="S88" s="132">
        <f>IFERROR(__xludf.DUMMYFUNCTION("""COMPUTED_VALUE"""),56.5)</f>
        <v>56.5</v>
      </c>
      <c r="T88" s="132">
        <f>IFERROR(__xludf.DUMMYFUNCTION("""COMPUTED_VALUE"""),11.3)</f>
        <v>11.3</v>
      </c>
      <c r="U88" s="132" t="str">
        <f>IFERROR(__xludf.DUMMYFUNCTION("""COMPUTED_VALUE"""),"Paid")</f>
        <v>Paid</v>
      </c>
      <c r="V88" s="132" t="str">
        <f>IFERROR(__xludf.DUMMYFUNCTION("""COMPUTED_VALUE"""),"Paid")</f>
        <v>Paid</v>
      </c>
      <c r="W88" s="132" t="str">
        <f>IFERROR(__xludf.DUMMYFUNCTION("""COMPUTED_VALUE"""),"Paid")</f>
        <v>Paid</v>
      </c>
      <c r="X88" s="132" t="str">
        <f>IFERROR(__xludf.DUMMYFUNCTION("""COMPUTED_VALUE"""),"Paid")</f>
        <v>Paid</v>
      </c>
      <c r="Y88" s="132" t="str">
        <f>IFERROR(__xludf.DUMMYFUNCTION("""COMPUTED_VALUE"""),"Paid")</f>
        <v>Paid</v>
      </c>
      <c r="Z88" s="132"/>
    </row>
    <row r="89">
      <c r="A89" s="136">
        <f>IFERROR(__xludf.DUMMYFUNCTION("""COMPUTED_VALUE"""),45311.0)</f>
        <v>45311</v>
      </c>
      <c r="B89" s="132" t="str">
        <f>IFERROR(__xludf.DUMMYFUNCTION("""COMPUTED_VALUE"""),"Bo")</f>
        <v>Bo</v>
      </c>
      <c r="C89" s="132" t="str">
        <f>IFERROR(__xludf.DUMMYFUNCTION("""COMPUTED_VALUE"""),"居家")</f>
        <v>居家</v>
      </c>
      <c r="D89" s="132">
        <f>IFERROR(__xludf.DUMMYFUNCTION("""COMPUTED_VALUE"""),38.41)</f>
        <v>38.41</v>
      </c>
      <c r="E89" s="132" t="str">
        <f>IFERROR(__xludf.DUMMYFUNCTION("""COMPUTED_VALUE"""),"Timothy")</f>
        <v>Timothy</v>
      </c>
      <c r="F89" s="132">
        <f>IFERROR(__xludf.DUMMYFUNCTION("""COMPUTED_VALUE"""),7.6819999999999995)</f>
        <v>7.682</v>
      </c>
      <c r="G89" s="132">
        <f>IFERROR(__xludf.DUMMYFUNCTION("""COMPUTED_VALUE"""),7.6819999999999995)</f>
        <v>7.682</v>
      </c>
      <c r="H89" s="132">
        <f>IFERROR(__xludf.DUMMYFUNCTION("""COMPUTED_VALUE"""),1.0)</f>
        <v>1</v>
      </c>
      <c r="I89" s="132">
        <f>IFERROR(__xludf.DUMMYFUNCTION("""COMPUTED_VALUE"""),1.0)</f>
        <v>1</v>
      </c>
      <c r="J89" s="132">
        <f>IFERROR(__xludf.DUMMYFUNCTION("""COMPUTED_VALUE"""),1.0)</f>
        <v>1</v>
      </c>
      <c r="K89" s="132">
        <f>IFERROR(__xludf.DUMMYFUNCTION("""COMPUTED_VALUE"""),1.0)</f>
        <v>1</v>
      </c>
      <c r="L89" s="132"/>
      <c r="M89" s="132"/>
      <c r="N89" s="132">
        <f>IFERROR(__xludf.DUMMYFUNCTION("""COMPUTED_VALUE"""),1.0)</f>
        <v>1</v>
      </c>
      <c r="O89" s="132"/>
      <c r="P89" s="132"/>
      <c r="Q89" s="132"/>
      <c r="R89" s="132"/>
      <c r="S89" s="132">
        <f>IFERROR(__xludf.DUMMYFUNCTION("""COMPUTED_VALUE"""),269.64)</f>
        <v>269.64</v>
      </c>
      <c r="T89" s="132">
        <f>IFERROR(__xludf.DUMMYFUNCTION("""COMPUTED_VALUE"""),53.928)</f>
        <v>53.928</v>
      </c>
      <c r="U89" s="132"/>
      <c r="V89" s="132"/>
      <c r="W89" s="132"/>
      <c r="X89" s="132"/>
      <c r="Y89" s="132"/>
      <c r="Z89" s="132"/>
    </row>
    <row r="90">
      <c r="A90" s="133">
        <f>IFERROR(__xludf.DUMMYFUNCTION("""COMPUTED_VALUE"""),45306.0)</f>
        <v>45306</v>
      </c>
      <c r="B90" s="132" t="str">
        <f>IFERROR(__xludf.DUMMYFUNCTION("""COMPUTED_VALUE"""),"Egg")</f>
        <v>Egg</v>
      </c>
      <c r="C90" s="132" t="str">
        <f>IFERROR(__xludf.DUMMYFUNCTION("""COMPUTED_VALUE"""),"食物")</f>
        <v>食物</v>
      </c>
      <c r="D90" s="132">
        <f>IFERROR(__xludf.DUMMYFUNCTION("""COMPUTED_VALUE"""),7.99)</f>
        <v>7.99</v>
      </c>
      <c r="E90" s="132" t="str">
        <f>IFERROR(__xludf.DUMMYFUNCTION("""COMPUTED_VALUE"""),"Rachel")</f>
        <v>Rachel</v>
      </c>
      <c r="F90" s="132">
        <f>IFERROR(__xludf.DUMMYFUNCTION("""COMPUTED_VALUE"""),1.598)</f>
        <v>1.598</v>
      </c>
      <c r="G90" s="132">
        <f>IFERROR(__xludf.DUMMYFUNCTION("""COMPUTED_VALUE"""),1.598)</f>
        <v>1.598</v>
      </c>
      <c r="H90" s="132">
        <f>IFERROR(__xludf.DUMMYFUNCTION("""COMPUTED_VALUE"""),1.0)</f>
        <v>1</v>
      </c>
      <c r="I90" s="132">
        <f>IFERROR(__xludf.DUMMYFUNCTION("""COMPUTED_VALUE"""),1.0)</f>
        <v>1</v>
      </c>
      <c r="J90" s="132">
        <f>IFERROR(__xludf.DUMMYFUNCTION("""COMPUTED_VALUE"""),1.0)</f>
        <v>1</v>
      </c>
      <c r="K90" s="132">
        <f>IFERROR(__xludf.DUMMYFUNCTION("""COMPUTED_VALUE"""),1.0)</f>
        <v>1</v>
      </c>
      <c r="L90" s="132"/>
      <c r="M90" s="132"/>
      <c r="N90" s="132">
        <f>IFERROR(__xludf.DUMMYFUNCTION("""COMPUTED_VALUE"""),1.0)</f>
        <v>1</v>
      </c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3">
        <f>IFERROR(__xludf.DUMMYFUNCTION("""COMPUTED_VALUE"""),45318.0)</f>
        <v>45318</v>
      </c>
      <c r="B91" s="132" t="str">
        <f>IFERROR(__xludf.DUMMYFUNCTION("""COMPUTED_VALUE"""),"Fu gee")</f>
        <v>Fu gee</v>
      </c>
      <c r="C91" s="132" t="str">
        <f>IFERROR(__xludf.DUMMYFUNCTION("""COMPUTED_VALUE"""),"食物")</f>
        <v>食物</v>
      </c>
      <c r="D91" s="132">
        <f>IFERROR(__xludf.DUMMYFUNCTION("""COMPUTED_VALUE"""),17.25)</f>
        <v>17.25</v>
      </c>
      <c r="E91" s="132" t="str">
        <f>IFERROR(__xludf.DUMMYFUNCTION("""COMPUTED_VALUE"""),"Angel")</f>
        <v>Angel</v>
      </c>
      <c r="F91" s="132">
        <f>IFERROR(__xludf.DUMMYFUNCTION("""COMPUTED_VALUE"""),3.45)</f>
        <v>3.45</v>
      </c>
      <c r="G91" s="132">
        <f>IFERROR(__xludf.DUMMYFUNCTION("""COMPUTED_VALUE"""),3.45)</f>
        <v>3.45</v>
      </c>
      <c r="H91" s="132">
        <f>IFERROR(__xludf.DUMMYFUNCTION("""COMPUTED_VALUE"""),1.0)</f>
        <v>1</v>
      </c>
      <c r="I91" s="132">
        <f>IFERROR(__xludf.DUMMYFUNCTION("""COMPUTED_VALUE"""),1.0)</f>
        <v>1</v>
      </c>
      <c r="J91" s="132">
        <f>IFERROR(__xludf.DUMMYFUNCTION("""COMPUTED_VALUE"""),1.0)</f>
        <v>1</v>
      </c>
      <c r="K91" s="132">
        <f>IFERROR(__xludf.DUMMYFUNCTION("""COMPUTED_VALUE"""),1.0)</f>
        <v>1</v>
      </c>
      <c r="L91" s="132"/>
      <c r="M91" s="132"/>
      <c r="N91" s="132">
        <f>IFERROR(__xludf.DUMMYFUNCTION("""COMPUTED_VALUE"""),1.0)</f>
        <v>1</v>
      </c>
      <c r="O91" s="132"/>
      <c r="P91" s="132"/>
      <c r="Q91" s="134">
        <f>IFERROR(__xludf.DUMMYFUNCTION("""COMPUTED_VALUE"""),45474.0)</f>
        <v>45474</v>
      </c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6">
        <f>IFERROR(__xludf.DUMMYFUNCTION("""COMPUTED_VALUE"""),45322.0)</f>
        <v>45322</v>
      </c>
      <c r="B92" s="132" t="str">
        <f>IFERROR(__xludf.DUMMYFUNCTION("""COMPUTED_VALUE"""),"Tnt dinner")</f>
        <v>Tnt dinner</v>
      </c>
      <c r="C92" s="132" t="str">
        <f>IFERROR(__xludf.DUMMYFUNCTION("""COMPUTED_VALUE"""),"食物")</f>
        <v>食物</v>
      </c>
      <c r="D92" s="132">
        <f>IFERROR(__xludf.DUMMYFUNCTION("""COMPUTED_VALUE"""),43.87)</f>
        <v>43.87</v>
      </c>
      <c r="E92" s="132" t="str">
        <f>IFERROR(__xludf.DUMMYFUNCTION("""COMPUTED_VALUE"""),"Pigskin")</f>
        <v>Pigskin</v>
      </c>
      <c r="F92" s="132">
        <f>IFERROR(__xludf.DUMMYFUNCTION("""COMPUTED_VALUE"""),7.3116666666666665)</f>
        <v>7.311666667</v>
      </c>
      <c r="G92" s="132">
        <f>IFERROR(__xludf.DUMMYFUNCTION("""COMPUTED_VALUE"""),7.3116666666666665)</f>
        <v>7.311666667</v>
      </c>
      <c r="H92" s="132">
        <f>IFERROR(__xludf.DUMMYFUNCTION("""COMPUTED_VALUE"""),1.0)</f>
        <v>1</v>
      </c>
      <c r="I92" s="132">
        <f>IFERROR(__xludf.DUMMYFUNCTION("""COMPUTED_VALUE"""),1.0)</f>
        <v>1</v>
      </c>
      <c r="J92" s="132">
        <f>IFERROR(__xludf.DUMMYFUNCTION("""COMPUTED_VALUE"""),1.0)</f>
        <v>1</v>
      </c>
      <c r="K92" s="132">
        <f>IFERROR(__xludf.DUMMYFUNCTION("""COMPUTED_VALUE"""),1.0)</f>
        <v>1</v>
      </c>
      <c r="L92" s="132"/>
      <c r="M92" s="132">
        <f>IFERROR(__xludf.DUMMYFUNCTION("""COMPUTED_VALUE"""),1.0)</f>
        <v>1</v>
      </c>
      <c r="N92" s="132">
        <f>IFERROR(__xludf.DUMMYFUNCTION("""COMPUTED_VALUE"""),1.0)</f>
        <v>1</v>
      </c>
      <c r="O92" s="132"/>
      <c r="P92" s="132"/>
      <c r="Q92" s="132"/>
      <c r="R92" s="132" t="str">
        <f>IFERROR(__xludf.DUMMYFUNCTION("""COMPUTED_VALUE"""),"Water")</f>
        <v>Water</v>
      </c>
      <c r="S92" s="132"/>
      <c r="T92" s="132">
        <f>IFERROR(__xludf.DUMMYFUNCTION("""COMPUTED_VALUE"""),0.0)</f>
        <v>0</v>
      </c>
      <c r="U92" s="132"/>
      <c r="V92" s="132"/>
      <c r="W92" s="132"/>
      <c r="X92" s="132"/>
      <c r="Y92" s="132"/>
      <c r="Z92" s="132"/>
    </row>
    <row r="93">
      <c r="A93" s="136">
        <f>IFERROR(__xludf.DUMMYFUNCTION("""COMPUTED_VALUE"""),45318.0)</f>
        <v>45318</v>
      </c>
      <c r="B93" s="132" t="str">
        <f>IFERROR(__xludf.DUMMYFUNCTION("""COMPUTED_VALUE"""),"Food basic")</f>
        <v>Food basic</v>
      </c>
      <c r="C93" s="132" t="str">
        <f>IFERROR(__xludf.DUMMYFUNCTION("""COMPUTED_VALUE"""),"食物")</f>
        <v>食物</v>
      </c>
      <c r="D93" s="132">
        <f>IFERROR(__xludf.DUMMYFUNCTION("""COMPUTED_VALUE"""),15.35)</f>
        <v>15.35</v>
      </c>
      <c r="E93" s="132" t="str">
        <f>IFERROR(__xludf.DUMMYFUNCTION("""COMPUTED_VALUE"""),"Pigskin")</f>
        <v>Pigskin</v>
      </c>
      <c r="F93" s="132">
        <f>IFERROR(__xludf.DUMMYFUNCTION("""COMPUTED_VALUE"""),2.1928571428571426)</f>
        <v>2.192857143</v>
      </c>
      <c r="G93" s="132">
        <f>IFERROR(__xludf.DUMMYFUNCTION("""COMPUTED_VALUE"""),2.1928571428571426)</f>
        <v>2.192857143</v>
      </c>
      <c r="H93" s="132">
        <f>IFERROR(__xludf.DUMMYFUNCTION("""COMPUTED_VALUE"""),1.0)</f>
        <v>1</v>
      </c>
      <c r="I93" s="132">
        <f>IFERROR(__xludf.DUMMYFUNCTION("""COMPUTED_VALUE"""),1.0)</f>
        <v>1</v>
      </c>
      <c r="J93" s="132">
        <f>IFERROR(__xludf.DUMMYFUNCTION("""COMPUTED_VALUE"""),1.0)</f>
        <v>1</v>
      </c>
      <c r="K93" s="132">
        <f>IFERROR(__xludf.DUMMYFUNCTION("""COMPUTED_VALUE"""),1.0)</f>
        <v>1</v>
      </c>
      <c r="L93" s="132">
        <f>IFERROR(__xludf.DUMMYFUNCTION("""COMPUTED_VALUE"""),1.0)</f>
        <v>1</v>
      </c>
      <c r="M93" s="132">
        <f>IFERROR(__xludf.DUMMYFUNCTION("""COMPUTED_VALUE"""),1.0)</f>
        <v>1</v>
      </c>
      <c r="N93" s="132">
        <f>IFERROR(__xludf.DUMMYFUNCTION("""COMPUTED_VALUE"""),1.0)</f>
        <v>1</v>
      </c>
      <c r="O93" s="132"/>
      <c r="P93" s="132"/>
      <c r="Q93" s="132"/>
      <c r="R93" s="132" t="str">
        <f>IFERROR(__xludf.DUMMYFUNCTION("""COMPUTED_VALUE"""),"Heat")</f>
        <v>Heat</v>
      </c>
      <c r="S93" s="132">
        <f>IFERROR(__xludf.DUMMYFUNCTION("""COMPUTED_VALUE"""),101.27)</f>
        <v>101.27</v>
      </c>
      <c r="T93" s="132">
        <f>IFERROR(__xludf.DUMMYFUNCTION("""COMPUTED_VALUE"""),20.253999999999998)</f>
        <v>20.254</v>
      </c>
      <c r="U93" s="132" t="str">
        <f>IFERROR(__xludf.DUMMYFUNCTION("""COMPUTED_VALUE"""),"Paid")</f>
        <v>Paid</v>
      </c>
      <c r="V93" s="132" t="str">
        <f>IFERROR(__xludf.DUMMYFUNCTION("""COMPUTED_VALUE"""),"Paid")</f>
        <v>Paid</v>
      </c>
      <c r="W93" s="132" t="str">
        <f>IFERROR(__xludf.DUMMYFUNCTION("""COMPUTED_VALUE"""),"Paid")</f>
        <v>Paid</v>
      </c>
      <c r="X93" s="132" t="str">
        <f>IFERROR(__xludf.DUMMYFUNCTION("""COMPUTED_VALUE"""),"Paid")</f>
        <v>Paid</v>
      </c>
      <c r="Y93" s="132" t="str">
        <f>IFERROR(__xludf.DUMMYFUNCTION("""COMPUTED_VALUE"""),"Paid")</f>
        <v>Paid</v>
      </c>
      <c r="Z93" s="132"/>
    </row>
    <row r="94">
      <c r="A94" s="136">
        <f>IFERROR(__xludf.DUMMYFUNCTION("""COMPUTED_VALUE"""),45319.0)</f>
        <v>45319</v>
      </c>
      <c r="B94" s="132" t="str">
        <f>IFERROR(__xludf.DUMMYFUNCTION("""COMPUTED_VALUE"""),"tnt dinner")</f>
        <v>tnt dinner</v>
      </c>
      <c r="C94" s="132" t="str">
        <f>IFERROR(__xludf.DUMMYFUNCTION("""COMPUTED_VALUE"""),"食物")</f>
        <v>食物</v>
      </c>
      <c r="D94" s="132">
        <f>IFERROR(__xludf.DUMMYFUNCTION("""COMPUTED_VALUE"""),81.97)</f>
        <v>81.97</v>
      </c>
      <c r="E94" s="132" t="str">
        <f>IFERROR(__xludf.DUMMYFUNCTION("""COMPUTED_VALUE"""),"BL")</f>
        <v>BL</v>
      </c>
      <c r="F94" s="132">
        <f>IFERROR(__xludf.DUMMYFUNCTION("""COMPUTED_VALUE"""),16.394)</f>
        <v>16.394</v>
      </c>
      <c r="G94" s="132">
        <f>IFERROR(__xludf.DUMMYFUNCTION("""COMPUTED_VALUE"""),16.394)</f>
        <v>16.394</v>
      </c>
      <c r="H94" s="132">
        <f>IFERROR(__xludf.DUMMYFUNCTION("""COMPUTED_VALUE"""),1.0)</f>
        <v>1</v>
      </c>
      <c r="I94" s="132">
        <f>IFERROR(__xludf.DUMMYFUNCTION("""COMPUTED_VALUE"""),1.0)</f>
        <v>1</v>
      </c>
      <c r="J94" s="132">
        <f>IFERROR(__xludf.DUMMYFUNCTION("""COMPUTED_VALUE"""),1.0)</f>
        <v>1</v>
      </c>
      <c r="K94" s="132">
        <f>IFERROR(__xludf.DUMMYFUNCTION("""COMPUTED_VALUE"""),1.0)</f>
        <v>1</v>
      </c>
      <c r="L94" s="132"/>
      <c r="M94" s="132"/>
      <c r="N94" s="132">
        <f>IFERROR(__xludf.DUMMYFUNCTION("""COMPUTED_VALUE"""),1.0)</f>
        <v>1</v>
      </c>
      <c r="O94" s="132"/>
      <c r="P94" s="132"/>
      <c r="Q94" s="132"/>
      <c r="R94" s="132" t="str">
        <f>IFERROR(__xludf.DUMMYFUNCTION("""COMPUTED_VALUE"""),"Electricity")</f>
        <v>Electricity</v>
      </c>
      <c r="S94" s="132">
        <f>IFERROR(__xludf.DUMMYFUNCTION("""COMPUTED_VALUE"""),170.93)</f>
        <v>170.93</v>
      </c>
      <c r="T94" s="132">
        <f>IFERROR(__xludf.DUMMYFUNCTION("""COMPUTED_VALUE"""),34.186)</f>
        <v>34.186</v>
      </c>
      <c r="U94" s="132" t="str">
        <f>IFERROR(__xludf.DUMMYFUNCTION("""COMPUTED_VALUE"""),"Paid")</f>
        <v>Paid</v>
      </c>
      <c r="V94" s="132" t="str">
        <f>IFERROR(__xludf.DUMMYFUNCTION("""COMPUTED_VALUE"""),"Paid")</f>
        <v>Paid</v>
      </c>
      <c r="W94" s="132" t="str">
        <f>IFERROR(__xludf.DUMMYFUNCTION("""COMPUTED_VALUE"""),"Paid")</f>
        <v>Paid</v>
      </c>
      <c r="X94" s="132" t="str">
        <f>IFERROR(__xludf.DUMMYFUNCTION("""COMPUTED_VALUE"""),"Paid")</f>
        <v>Paid</v>
      </c>
      <c r="Y94" s="132" t="str">
        <f>IFERROR(__xludf.DUMMYFUNCTION("""COMPUTED_VALUE"""),"Paid")</f>
        <v>Paid</v>
      </c>
      <c r="Z94" s="132"/>
    </row>
    <row r="95">
      <c r="A95" s="136">
        <f>IFERROR(__xludf.DUMMYFUNCTION("""COMPUTED_VALUE"""),45320.0)</f>
        <v>45320</v>
      </c>
      <c r="B95" s="132" t="str">
        <f>IFERROR(__xludf.DUMMYFUNCTION("""COMPUTED_VALUE"""),"Banana")</f>
        <v>Banana</v>
      </c>
      <c r="C95" s="132" t="str">
        <f>IFERROR(__xludf.DUMMYFUNCTION("""COMPUTED_VALUE"""),"食物")</f>
        <v>食物</v>
      </c>
      <c r="D95" s="132">
        <f>IFERROR(__xludf.DUMMYFUNCTION("""COMPUTED_VALUE"""),3.49)</f>
        <v>3.49</v>
      </c>
      <c r="E95" s="132" t="str">
        <f>IFERROR(__xludf.DUMMYFUNCTION("""COMPUTED_VALUE"""),"Pigskin")</f>
        <v>Pigskin</v>
      </c>
      <c r="F95" s="132">
        <f>IFERROR(__xludf.DUMMYFUNCTION("""COMPUTED_VALUE"""),0.6980000000000001)</f>
        <v>0.698</v>
      </c>
      <c r="G95" s="132">
        <f>IFERROR(__xludf.DUMMYFUNCTION("""COMPUTED_VALUE"""),0.6980000000000001)</f>
        <v>0.698</v>
      </c>
      <c r="H95" s="132">
        <f>IFERROR(__xludf.DUMMYFUNCTION("""COMPUTED_VALUE"""),1.0)</f>
        <v>1</v>
      </c>
      <c r="I95" s="132">
        <f>IFERROR(__xludf.DUMMYFUNCTION("""COMPUTED_VALUE"""),1.0)</f>
        <v>1</v>
      </c>
      <c r="J95" s="132">
        <f>IFERROR(__xludf.DUMMYFUNCTION("""COMPUTED_VALUE"""),1.0)</f>
        <v>1</v>
      </c>
      <c r="K95" s="132">
        <f>IFERROR(__xludf.DUMMYFUNCTION("""COMPUTED_VALUE"""),1.0)</f>
        <v>1</v>
      </c>
      <c r="L95" s="132"/>
      <c r="M95" s="132"/>
      <c r="N95" s="132">
        <f>IFERROR(__xludf.DUMMYFUNCTION("""COMPUTED_VALUE"""),1.0)</f>
        <v>1</v>
      </c>
      <c r="O95" s="132"/>
      <c r="P95" s="132"/>
      <c r="Q95" s="132"/>
      <c r="R95" s="132" t="str">
        <f>IFERROR(__xludf.DUMMYFUNCTION("""COMPUTED_VALUE"""),"Internet")</f>
        <v>Internet</v>
      </c>
      <c r="S95" s="132">
        <f>IFERROR(__xludf.DUMMYFUNCTION("""COMPUTED_VALUE"""),56.5)</f>
        <v>56.5</v>
      </c>
      <c r="T95" s="132">
        <f>IFERROR(__xludf.DUMMYFUNCTION("""COMPUTED_VALUE"""),11.3)</f>
        <v>11.3</v>
      </c>
      <c r="U95" s="132" t="str">
        <f>IFERROR(__xludf.DUMMYFUNCTION("""COMPUTED_VALUE"""),"Paid")</f>
        <v>Paid</v>
      </c>
      <c r="V95" s="132" t="str">
        <f>IFERROR(__xludf.DUMMYFUNCTION("""COMPUTED_VALUE"""),"Paid")</f>
        <v>Paid</v>
      </c>
      <c r="W95" s="132" t="str">
        <f>IFERROR(__xludf.DUMMYFUNCTION("""COMPUTED_VALUE"""),"Paid")</f>
        <v>Paid</v>
      </c>
      <c r="X95" s="132" t="str">
        <f>IFERROR(__xludf.DUMMYFUNCTION("""COMPUTED_VALUE"""),"Paid")</f>
        <v>Paid</v>
      </c>
      <c r="Y95" s="132" t="str">
        <f>IFERROR(__xludf.DUMMYFUNCTION("""COMPUTED_VALUE"""),"Paid")</f>
        <v>Paid</v>
      </c>
      <c r="Z95" s="132"/>
    </row>
    <row r="96">
      <c r="A96" s="136">
        <f>IFERROR(__xludf.DUMMYFUNCTION("""COMPUTED_VALUE"""),45322.0)</f>
        <v>45322</v>
      </c>
      <c r="B96" s="132" t="str">
        <f>IFERROR(__xludf.DUMMYFUNCTION("""COMPUTED_VALUE"""),"Sausage")</f>
        <v>Sausage</v>
      </c>
      <c r="C96" s="132" t="str">
        <f>IFERROR(__xludf.DUMMYFUNCTION("""COMPUTED_VALUE"""),"食物")</f>
        <v>食物</v>
      </c>
      <c r="D96" s="132">
        <f>IFERROR(__xludf.DUMMYFUNCTION("""COMPUTED_VALUE"""),11.98)</f>
        <v>11.98</v>
      </c>
      <c r="E96" s="132" t="str">
        <f>IFERROR(__xludf.DUMMYFUNCTION("""COMPUTED_VALUE"""),"Rachel")</f>
        <v>Rachel</v>
      </c>
      <c r="F96" s="132">
        <f>IFERROR(__xludf.DUMMYFUNCTION("""COMPUTED_VALUE"""),2.396)</f>
        <v>2.396</v>
      </c>
      <c r="G96" s="132">
        <f>IFERROR(__xludf.DUMMYFUNCTION("""COMPUTED_VALUE"""),2.396)</f>
        <v>2.396</v>
      </c>
      <c r="H96" s="132">
        <f>IFERROR(__xludf.DUMMYFUNCTION("""COMPUTED_VALUE"""),1.0)</f>
        <v>1</v>
      </c>
      <c r="I96" s="132">
        <f>IFERROR(__xludf.DUMMYFUNCTION("""COMPUTED_VALUE"""),1.0)</f>
        <v>1</v>
      </c>
      <c r="J96" s="132">
        <f>IFERROR(__xludf.DUMMYFUNCTION("""COMPUTED_VALUE"""),1.0)</f>
        <v>1</v>
      </c>
      <c r="K96" s="132">
        <f>IFERROR(__xludf.DUMMYFUNCTION("""COMPUTED_VALUE"""),1.0)</f>
        <v>1</v>
      </c>
      <c r="L96" s="132"/>
      <c r="M96" s="132"/>
      <c r="N96" s="132">
        <f>IFERROR(__xludf.DUMMYFUNCTION("""COMPUTED_VALUE"""),1.0)</f>
        <v>1</v>
      </c>
      <c r="O96" s="132"/>
      <c r="P96" s="132"/>
      <c r="Q96" s="132"/>
      <c r="R96" s="132"/>
      <c r="S96" s="132">
        <f>IFERROR(__xludf.DUMMYFUNCTION("""COMPUTED_VALUE"""),328.7)</f>
        <v>328.7</v>
      </c>
      <c r="T96" s="132">
        <f>IFERROR(__xludf.DUMMYFUNCTION("""COMPUTED_VALUE"""),65.74)</f>
        <v>65.74</v>
      </c>
      <c r="U96" s="132"/>
      <c r="V96" s="132"/>
      <c r="W96" s="132"/>
      <c r="X96" s="132"/>
      <c r="Y96" s="132"/>
      <c r="Z96" s="132"/>
    </row>
    <row r="97">
      <c r="A97" s="136">
        <f>IFERROR(__xludf.DUMMYFUNCTION("""COMPUTED_VALUE"""),44957.0)</f>
        <v>44957</v>
      </c>
      <c r="B97" s="132" t="str">
        <f>IFERROR(__xludf.DUMMYFUNCTION("""COMPUTED_VALUE"""),"出前一丁")</f>
        <v>出前一丁</v>
      </c>
      <c r="C97" s="132" t="str">
        <f>IFERROR(__xludf.DUMMYFUNCTION("""COMPUTED_VALUE"""),"食物")</f>
        <v>食物</v>
      </c>
      <c r="D97" s="132">
        <f>IFERROR(__xludf.DUMMYFUNCTION("""COMPUTED_VALUE"""),56.13)</f>
        <v>56.13</v>
      </c>
      <c r="E97" s="132" t="str">
        <f>IFERROR(__xludf.DUMMYFUNCTION("""COMPUTED_VALUE"""),"Ivan")</f>
        <v>Ivan</v>
      </c>
      <c r="F97" s="132">
        <f>IFERROR(__xludf.DUMMYFUNCTION("""COMPUTED_VALUE"""),11.226)</f>
        <v>11.226</v>
      </c>
      <c r="G97" s="132">
        <f>IFERROR(__xludf.DUMMYFUNCTION("""COMPUTED_VALUE"""),11.226)</f>
        <v>11.226</v>
      </c>
      <c r="H97" s="132">
        <f>IFERROR(__xludf.DUMMYFUNCTION("""COMPUTED_VALUE"""),1.0)</f>
        <v>1</v>
      </c>
      <c r="I97" s="132">
        <f>IFERROR(__xludf.DUMMYFUNCTION("""COMPUTED_VALUE"""),1.0)</f>
        <v>1</v>
      </c>
      <c r="J97" s="132">
        <f>IFERROR(__xludf.DUMMYFUNCTION("""COMPUTED_VALUE"""),1.0)</f>
        <v>1</v>
      </c>
      <c r="K97" s="132">
        <f>IFERROR(__xludf.DUMMYFUNCTION("""COMPUTED_VALUE"""),1.0)</f>
        <v>1</v>
      </c>
      <c r="L97" s="132"/>
      <c r="M97" s="132"/>
      <c r="N97" s="132">
        <f>IFERROR(__xludf.DUMMYFUNCTION("""COMPUTED_VALUE"""),1.0)</f>
        <v>1</v>
      </c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2"/>
      <c r="B98" s="132"/>
      <c r="C98" s="132"/>
      <c r="D98" s="132"/>
      <c r="E98" s="132"/>
      <c r="F98" s="132"/>
      <c r="G98" s="132"/>
      <c r="H98" s="132"/>
      <c r="I98" s="132"/>
      <c r="J98" s="132"/>
      <c r="K98" s="132"/>
      <c r="L98" s="132"/>
      <c r="M98" s="132"/>
      <c r="N98" s="132"/>
      <c r="O98" s="132"/>
      <c r="P98" s="132"/>
      <c r="Q98" s="134">
        <f>IFERROR(__xludf.DUMMYFUNCTION("""COMPUTED_VALUE"""),45505.0)</f>
        <v>45505</v>
      </c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2"/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 t="str">
        <f>IFERROR(__xludf.DUMMYFUNCTION("""COMPUTED_VALUE"""),"Water (Pay by Rachel)")</f>
        <v>Water (Pay by Rachel)</v>
      </c>
      <c r="S99" s="132">
        <f>IFERROR(__xludf.DUMMYFUNCTION("""COMPUTED_VALUE"""),375.27)</f>
        <v>375.27</v>
      </c>
      <c r="T99" s="132">
        <f>IFERROR(__xludf.DUMMYFUNCTION("""COMPUTED_VALUE"""),75.054)</f>
        <v>75.054</v>
      </c>
      <c r="U99" s="132" t="str">
        <f>IFERROR(__xludf.DUMMYFUNCTION("""COMPUTED_VALUE"""),"Paid")</f>
        <v>Paid</v>
      </c>
      <c r="V99" s="132" t="str">
        <f>IFERROR(__xludf.DUMMYFUNCTION("""COMPUTED_VALUE"""),"Paid")</f>
        <v>Paid</v>
      </c>
      <c r="W99" s="132" t="str">
        <f>IFERROR(__xludf.DUMMYFUNCTION("""COMPUTED_VALUE"""),"Paid")</f>
        <v>Paid</v>
      </c>
      <c r="X99" s="132" t="str">
        <f>IFERROR(__xludf.DUMMYFUNCTION("""COMPUTED_VALUE"""),"Paid")</f>
        <v>Paid</v>
      </c>
      <c r="Y99" s="132" t="str">
        <f>IFERROR(__xludf.DUMMYFUNCTION("""COMPUTED_VALUE"""),"Paid")</f>
        <v>Paid</v>
      </c>
      <c r="Z99" s="132"/>
    </row>
    <row r="100">
      <c r="A100" s="132"/>
      <c r="B100" s="132"/>
      <c r="C100" s="132"/>
      <c r="D100" s="132"/>
      <c r="E100" s="132"/>
      <c r="F100" s="132"/>
      <c r="G100" s="132"/>
      <c r="H100" s="132"/>
      <c r="I100" s="132"/>
      <c r="J100" s="132"/>
      <c r="K100" s="132"/>
      <c r="L100" s="132"/>
      <c r="M100" s="132"/>
      <c r="N100" s="132"/>
      <c r="O100" s="132"/>
      <c r="P100" s="132"/>
      <c r="Q100" s="132"/>
      <c r="R100" s="132" t="str">
        <f>IFERROR(__xludf.DUMMYFUNCTION("""COMPUTED_VALUE"""),"Heat")</f>
        <v>Heat</v>
      </c>
      <c r="S100" s="132">
        <f>IFERROR(__xludf.DUMMYFUNCTION("""COMPUTED_VALUE"""),47.34)</f>
        <v>47.34</v>
      </c>
      <c r="T100" s="132">
        <f>IFERROR(__xludf.DUMMYFUNCTION("""COMPUTED_VALUE"""),9.468)</f>
        <v>9.468</v>
      </c>
      <c r="U100" s="132" t="str">
        <f>IFERROR(__xludf.DUMMYFUNCTION("""COMPUTED_VALUE"""),"Paid")</f>
        <v>Paid</v>
      </c>
      <c r="V100" s="132" t="str">
        <f>IFERROR(__xludf.DUMMYFUNCTION("""COMPUTED_VALUE"""),"Paid")</f>
        <v>Paid</v>
      </c>
      <c r="W100" s="132" t="str">
        <f>IFERROR(__xludf.DUMMYFUNCTION("""COMPUTED_VALUE"""),"Paid")</f>
        <v>Paid</v>
      </c>
      <c r="X100" s="132" t="str">
        <f>IFERROR(__xludf.DUMMYFUNCTION("""COMPUTED_VALUE"""),"Paid")</f>
        <v>Paid</v>
      </c>
      <c r="Y100" s="132" t="str">
        <f>IFERROR(__xludf.DUMMYFUNCTION("""COMPUTED_VALUE"""),"Paid")</f>
        <v>Paid</v>
      </c>
      <c r="Z100" s="132"/>
    </row>
    <row r="101">
      <c r="A101" s="132"/>
      <c r="B101" s="132"/>
      <c r="C101" s="132"/>
      <c r="D101" s="132"/>
      <c r="E101" s="132"/>
      <c r="F101" s="132"/>
      <c r="G101" s="132"/>
      <c r="H101" s="132"/>
      <c r="I101" s="132"/>
      <c r="J101" s="132"/>
      <c r="K101" s="132"/>
      <c r="L101" s="132"/>
      <c r="M101" s="132"/>
      <c r="N101" s="132"/>
      <c r="O101" s="132"/>
      <c r="P101" s="132"/>
      <c r="Q101" s="132"/>
      <c r="R101" s="132" t="str">
        <f>IFERROR(__xludf.DUMMYFUNCTION("""COMPUTED_VALUE"""),"Electricity")</f>
        <v>Electricity</v>
      </c>
      <c r="S101" s="132">
        <f>IFERROR(__xludf.DUMMYFUNCTION("""COMPUTED_VALUE"""),208.04)</f>
        <v>208.04</v>
      </c>
      <c r="T101" s="132">
        <f>IFERROR(__xludf.DUMMYFUNCTION("""COMPUTED_VALUE"""),41.608)</f>
        <v>41.608</v>
      </c>
      <c r="U101" s="132" t="str">
        <f>IFERROR(__xludf.DUMMYFUNCTION("""COMPUTED_VALUE"""),"Paid")</f>
        <v>Paid</v>
      </c>
      <c r="V101" s="132" t="str">
        <f>IFERROR(__xludf.DUMMYFUNCTION("""COMPUTED_VALUE"""),"Paid")</f>
        <v>Paid</v>
      </c>
      <c r="W101" s="132" t="str">
        <f>IFERROR(__xludf.DUMMYFUNCTION("""COMPUTED_VALUE"""),"Paid")</f>
        <v>Paid</v>
      </c>
      <c r="X101" s="132" t="str">
        <f>IFERROR(__xludf.DUMMYFUNCTION("""COMPUTED_VALUE"""),"Paid")</f>
        <v>Paid</v>
      </c>
      <c r="Y101" s="132" t="str">
        <f>IFERROR(__xludf.DUMMYFUNCTION("""COMPUTED_VALUE"""),"Paid")</f>
        <v>Paid</v>
      </c>
      <c r="Z101" s="132"/>
    </row>
    <row r="102">
      <c r="A102" s="132"/>
      <c r="B102" s="132"/>
      <c r="C102" s="132"/>
      <c r="D102" s="132"/>
      <c r="E102" s="132"/>
      <c r="F102" s="132"/>
      <c r="G102" s="132"/>
      <c r="H102" s="132"/>
      <c r="I102" s="132"/>
      <c r="J102" s="132"/>
      <c r="K102" s="132"/>
      <c r="L102" s="132"/>
      <c r="M102" s="132"/>
      <c r="N102" s="132"/>
      <c r="O102" s="132"/>
      <c r="P102" s="132"/>
      <c r="Q102" s="132"/>
      <c r="R102" s="132" t="str">
        <f>IFERROR(__xludf.DUMMYFUNCTION("""COMPUTED_VALUE"""),"Internet")</f>
        <v>Internet</v>
      </c>
      <c r="S102" s="132">
        <f>IFERROR(__xludf.DUMMYFUNCTION("""COMPUTED_VALUE"""),56.5)</f>
        <v>56.5</v>
      </c>
      <c r="T102" s="132">
        <f>IFERROR(__xludf.DUMMYFUNCTION("""COMPUTED_VALUE"""),11.3)</f>
        <v>11.3</v>
      </c>
      <c r="U102" s="132" t="str">
        <f>IFERROR(__xludf.DUMMYFUNCTION("""COMPUTED_VALUE"""),"Paid")</f>
        <v>Paid</v>
      </c>
      <c r="V102" s="132" t="str">
        <f>IFERROR(__xludf.DUMMYFUNCTION("""COMPUTED_VALUE"""),"Paid")</f>
        <v>Paid</v>
      </c>
      <c r="W102" s="132" t="str">
        <f>IFERROR(__xludf.DUMMYFUNCTION("""COMPUTED_VALUE"""),"Paid")</f>
        <v>Paid</v>
      </c>
      <c r="X102" s="132" t="str">
        <f>IFERROR(__xludf.DUMMYFUNCTION("""COMPUTED_VALUE"""),"Paid")</f>
        <v>Paid</v>
      </c>
      <c r="Y102" s="132" t="str">
        <f>IFERROR(__xludf.DUMMYFUNCTION("""COMPUTED_VALUE"""),"Paid")</f>
        <v>Paid</v>
      </c>
      <c r="Z102" s="132"/>
    </row>
    <row r="103">
      <c r="A103" s="132"/>
      <c r="B103" s="132"/>
      <c r="C103" s="132"/>
      <c r="D103" s="132"/>
      <c r="E103" s="132"/>
      <c r="F103" s="132"/>
      <c r="G103" s="132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>
        <f>IFERROR(__xludf.DUMMYFUNCTION("""COMPUTED_VALUE"""),687.15)</f>
        <v>687.15</v>
      </c>
      <c r="T103" s="132">
        <f>IFERROR(__xludf.DUMMYFUNCTION("""COMPUTED_VALUE"""),137.43)</f>
        <v>137.43</v>
      </c>
      <c r="U103" s="132"/>
      <c r="V103" s="132"/>
      <c r="W103" s="132"/>
      <c r="X103" s="132"/>
      <c r="Y103" s="132"/>
      <c r="Z103" s="132"/>
    </row>
    <row r="104">
      <c r="A104" s="132"/>
      <c r="B104" s="132"/>
      <c r="C104" s="132"/>
      <c r="D104" s="132"/>
      <c r="E104" s="132"/>
      <c r="F104" s="132"/>
      <c r="G104" s="132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2"/>
      <c r="B105" s="132"/>
      <c r="C105" s="132"/>
      <c r="D105" s="132"/>
      <c r="E105" s="132"/>
      <c r="F105" s="132"/>
      <c r="G105" s="132"/>
      <c r="H105" s="132"/>
      <c r="I105" s="132"/>
      <c r="J105" s="132"/>
      <c r="K105" s="132"/>
      <c r="L105" s="132"/>
      <c r="M105" s="132"/>
      <c r="N105" s="132"/>
      <c r="O105" s="132"/>
      <c r="P105" s="132"/>
      <c r="Q105" s="134">
        <f>IFERROR(__xludf.DUMMYFUNCTION("""COMPUTED_VALUE"""),45536.0)</f>
        <v>45536</v>
      </c>
      <c r="R105" s="132" t="str">
        <f>IFERROR(__xludf.DUMMYFUNCTION("""COMPUTED_VALUE"""),"Water ")</f>
        <v>Water </v>
      </c>
      <c r="S105" s="132">
        <f>IFERROR(__xludf.DUMMYFUNCTION("""COMPUTED_VALUE"""),100.0)</f>
        <v>100</v>
      </c>
      <c r="T105" s="132" t="str">
        <f>IFERROR(__xludf.DUMMYFUNCTION("""COMPUTED_VALUE"""),"喺key deposit退咗")</f>
        <v>喺key deposit退咗</v>
      </c>
      <c r="U105" s="132" t="str">
        <f>IFERROR(__xludf.DUMMYFUNCTION("""COMPUTED_VALUE"""),"Paid")</f>
        <v>Paid</v>
      </c>
      <c r="V105" s="132" t="str">
        <f>IFERROR(__xludf.DUMMYFUNCTION("""COMPUTED_VALUE"""),"Paid")</f>
        <v>Paid</v>
      </c>
      <c r="W105" s="132" t="str">
        <f>IFERROR(__xludf.DUMMYFUNCTION("""COMPUTED_VALUE"""),"Paid")</f>
        <v>Paid</v>
      </c>
      <c r="X105" s="132" t="str">
        <f>IFERROR(__xludf.DUMMYFUNCTION("""COMPUTED_VALUE"""),"Paid")</f>
        <v>Paid</v>
      </c>
      <c r="Y105" s="132" t="str">
        <f>IFERROR(__xludf.DUMMYFUNCTION("""COMPUTED_VALUE"""),"Paid")</f>
        <v>Paid</v>
      </c>
      <c r="Z105" s="132"/>
    </row>
    <row r="106">
      <c r="A106" s="132"/>
      <c r="B106" s="132"/>
      <c r="C106" s="132"/>
      <c r="D106" s="132"/>
      <c r="E106" s="132"/>
      <c r="F106" s="132"/>
      <c r="G106" s="132"/>
      <c r="H106" s="132"/>
      <c r="I106" s="132"/>
      <c r="J106" s="132"/>
      <c r="K106" s="132"/>
      <c r="L106" s="132"/>
      <c r="M106" s="132"/>
      <c r="N106" s="132"/>
      <c r="O106" s="132"/>
      <c r="P106" s="132"/>
      <c r="Q106" s="132"/>
      <c r="R106" s="132" t="str">
        <f>IFERROR(__xludf.DUMMYFUNCTION("""COMPUTED_VALUE"""),"Key deposit (退俾大家）")</f>
        <v>Key deposit (退俾大家）</v>
      </c>
      <c r="S106" s="132">
        <f>IFERROR(__xludf.DUMMYFUNCTION("""COMPUTED_VALUE"""),-900.0)</f>
        <v>-900</v>
      </c>
      <c r="T106" s="132">
        <f>IFERROR(__xludf.DUMMYFUNCTION("""COMPUTED_VALUE"""),-180.0)</f>
        <v>-180</v>
      </c>
      <c r="U106" s="132" t="str">
        <f>IFERROR(__xludf.DUMMYFUNCTION("""COMPUTED_VALUE"""),"Paid")</f>
        <v>Paid</v>
      </c>
      <c r="V106" s="132" t="str">
        <f>IFERROR(__xludf.DUMMYFUNCTION("""COMPUTED_VALUE"""),"Paid")</f>
        <v>Paid</v>
      </c>
      <c r="W106" s="132" t="str">
        <f>IFERROR(__xludf.DUMMYFUNCTION("""COMPUTED_VALUE"""),"Paid")</f>
        <v>Paid</v>
      </c>
      <c r="X106" s="132" t="str">
        <f>IFERROR(__xludf.DUMMYFUNCTION("""COMPUTED_VALUE"""),"Paid")</f>
        <v>Paid</v>
      </c>
      <c r="Y106" s="132" t="str">
        <f>IFERROR(__xludf.DUMMYFUNCTION("""COMPUTED_VALUE"""),"Paid")</f>
        <v>Paid</v>
      </c>
      <c r="Z106" s="132"/>
    </row>
    <row r="107">
      <c r="A107" s="132"/>
      <c r="B107" s="132"/>
      <c r="C107" s="132"/>
      <c r="D107" s="132"/>
      <c r="E107" s="132"/>
      <c r="F107" s="132"/>
      <c r="G107" s="132"/>
      <c r="H107" s="132"/>
      <c r="I107" s="132"/>
      <c r="J107" s="132"/>
      <c r="K107" s="132"/>
      <c r="L107" s="132"/>
      <c r="M107" s="132"/>
      <c r="N107" s="132"/>
      <c r="O107" s="132"/>
      <c r="P107" s="132"/>
      <c r="Q107" s="132"/>
      <c r="R107" s="132" t="str">
        <f>IFERROR(__xludf.DUMMYFUNCTION("""COMPUTED_VALUE"""),"Heat")</f>
        <v>Heat</v>
      </c>
      <c r="S107" s="132">
        <f>IFERROR(__xludf.DUMMYFUNCTION("""COMPUTED_VALUE"""),68.81)</f>
        <v>68.81</v>
      </c>
      <c r="T107" s="132">
        <f>IFERROR(__xludf.DUMMYFUNCTION("""COMPUTED_VALUE"""),13.762)</f>
        <v>13.762</v>
      </c>
      <c r="U107" s="132" t="str">
        <f>IFERROR(__xludf.DUMMYFUNCTION("""COMPUTED_VALUE"""),"Paid")</f>
        <v>Paid</v>
      </c>
      <c r="V107" s="132" t="str">
        <f>IFERROR(__xludf.DUMMYFUNCTION("""COMPUTED_VALUE"""),"Paid")</f>
        <v>Paid</v>
      </c>
      <c r="W107" s="132" t="str">
        <f>IFERROR(__xludf.DUMMYFUNCTION("""COMPUTED_VALUE"""),"Paid")</f>
        <v>Paid</v>
      </c>
      <c r="X107" s="132" t="str">
        <f>IFERROR(__xludf.DUMMYFUNCTION("""COMPUTED_VALUE"""),"Paid")</f>
        <v>Paid</v>
      </c>
      <c r="Y107" s="132" t="str">
        <f>IFERROR(__xludf.DUMMYFUNCTION("""COMPUTED_VALUE"""),"Paid")</f>
        <v>Paid</v>
      </c>
      <c r="Z107" s="132"/>
    </row>
    <row r="108">
      <c r="A108" s="132"/>
      <c r="B108" s="132"/>
      <c r="C108" s="132"/>
      <c r="D108" s="132"/>
      <c r="E108" s="132"/>
      <c r="F108" s="132"/>
      <c r="G108" s="132"/>
      <c r="H108" s="132"/>
      <c r="I108" s="132"/>
      <c r="J108" s="132"/>
      <c r="K108" s="132"/>
      <c r="L108" s="132"/>
      <c r="M108" s="132"/>
      <c r="N108" s="132"/>
      <c r="O108" s="132"/>
      <c r="P108" s="132"/>
      <c r="Q108" s="132"/>
      <c r="R108" s="132" t="str">
        <f>IFERROR(__xludf.DUMMYFUNCTION("""COMPUTED_VALUE"""),"Electricity")</f>
        <v>Electricity</v>
      </c>
      <c r="S108" s="132">
        <f>IFERROR(__xludf.DUMMYFUNCTION("""COMPUTED_VALUE"""),185.28)</f>
        <v>185.28</v>
      </c>
      <c r="T108" s="132">
        <f>IFERROR(__xludf.DUMMYFUNCTION("""COMPUTED_VALUE"""),37.056)</f>
        <v>37.056</v>
      </c>
      <c r="U108" s="132" t="str">
        <f>IFERROR(__xludf.DUMMYFUNCTION("""COMPUTED_VALUE"""),"Paid")</f>
        <v>Paid</v>
      </c>
      <c r="V108" s="132" t="str">
        <f>IFERROR(__xludf.DUMMYFUNCTION("""COMPUTED_VALUE"""),"Paid")</f>
        <v>Paid</v>
      </c>
      <c r="W108" s="132" t="str">
        <f>IFERROR(__xludf.DUMMYFUNCTION("""COMPUTED_VALUE"""),"Paid")</f>
        <v>Paid</v>
      </c>
      <c r="X108" s="132" t="str">
        <f>IFERROR(__xludf.DUMMYFUNCTION("""COMPUTED_VALUE"""),"Paid")</f>
        <v>Paid</v>
      </c>
      <c r="Y108" s="132" t="str">
        <f>IFERROR(__xludf.DUMMYFUNCTION("""COMPUTED_VALUE"""),"Paid")</f>
        <v>Paid</v>
      </c>
      <c r="Z108" s="132"/>
    </row>
    <row r="109">
      <c r="A109" s="132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2"/>
      <c r="P109" s="132"/>
      <c r="Q109" s="132"/>
      <c r="R109" s="132" t="str">
        <f>IFERROR(__xludf.DUMMYFUNCTION("""COMPUTED_VALUE"""),"Internet")</f>
        <v>Internet</v>
      </c>
      <c r="S109" s="132">
        <f>IFERROR(__xludf.DUMMYFUNCTION("""COMPUTED_VALUE"""),56.5)</f>
        <v>56.5</v>
      </c>
      <c r="T109" s="132">
        <f>IFERROR(__xludf.DUMMYFUNCTION("""COMPUTED_VALUE"""),11.3)</f>
        <v>11.3</v>
      </c>
      <c r="U109" s="132" t="str">
        <f>IFERROR(__xludf.DUMMYFUNCTION("""COMPUTED_VALUE"""),"Paid")</f>
        <v>Paid</v>
      </c>
      <c r="V109" s="132" t="str">
        <f>IFERROR(__xludf.DUMMYFUNCTION("""COMPUTED_VALUE"""),"Paid")</f>
        <v>Paid</v>
      </c>
      <c r="W109" s="132" t="str">
        <f>IFERROR(__xludf.DUMMYFUNCTION("""COMPUTED_VALUE"""),"Paid")</f>
        <v>Paid</v>
      </c>
      <c r="X109" s="132" t="str">
        <f>IFERROR(__xludf.DUMMYFUNCTION("""COMPUTED_VALUE"""),"Paid")</f>
        <v>Paid</v>
      </c>
      <c r="Y109" s="132" t="str">
        <f>IFERROR(__xludf.DUMMYFUNCTION("""COMPUTED_VALUE"""),"Paid")</f>
        <v>Paid</v>
      </c>
      <c r="Z109" s="132"/>
    </row>
    <row r="110">
      <c r="A110" s="132"/>
      <c r="B110" s="132"/>
      <c r="C110" s="132"/>
      <c r="D110" s="132"/>
      <c r="E110" s="132"/>
      <c r="F110" s="132"/>
      <c r="G110" s="132"/>
      <c r="H110" s="132"/>
      <c r="I110" s="132"/>
      <c r="J110" s="132"/>
      <c r="K110" s="132"/>
      <c r="L110" s="132"/>
      <c r="M110" s="132"/>
      <c r="N110" s="132"/>
      <c r="O110" s="132"/>
      <c r="P110" s="132"/>
      <c r="Q110" s="132"/>
      <c r="R110" s="132"/>
      <c r="S110" s="132">
        <f>IFERROR(__xludf.DUMMYFUNCTION("""COMPUTED_VALUE"""),-489.4100000000001)</f>
        <v>-489.41</v>
      </c>
      <c r="T110" s="132">
        <f>IFERROR(__xludf.DUMMYFUNCTION("""COMPUTED_VALUE"""),-117.88200000000002)</f>
        <v>-117.882</v>
      </c>
      <c r="U110" s="132"/>
      <c r="V110" s="132"/>
      <c r="W110" s="132"/>
      <c r="X110" s="132"/>
      <c r="Y110" s="132"/>
      <c r="Z110" s="132"/>
    </row>
    <row r="111">
      <c r="A111" s="132"/>
      <c r="B111" s="132"/>
      <c r="C111" s="132"/>
      <c r="D111" s="132"/>
      <c r="E111" s="132"/>
      <c r="F111" s="132"/>
      <c r="G111" s="132"/>
      <c r="H111" s="132"/>
      <c r="I111" s="132"/>
      <c r="J111" s="132"/>
      <c r="K111" s="132"/>
      <c r="L111" s="132"/>
      <c r="M111" s="132"/>
      <c r="N111" s="132"/>
      <c r="O111" s="132"/>
      <c r="P111" s="132"/>
      <c r="Q111" s="134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2"/>
      <c r="B112" s="132"/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4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2"/>
      <c r="B113" s="132"/>
      <c r="C113" s="132"/>
      <c r="D113" s="132"/>
      <c r="E113" s="132"/>
      <c r="F113" s="132"/>
      <c r="G113" s="132"/>
      <c r="H113" s="132"/>
      <c r="I113" s="132"/>
      <c r="J113" s="132"/>
      <c r="K113" s="132"/>
      <c r="L113" s="132"/>
      <c r="M113" s="132"/>
      <c r="N113" s="132"/>
      <c r="O113" s="132"/>
      <c r="P113" s="132"/>
      <c r="Q113" s="134">
        <f>IFERROR(__xludf.DUMMYFUNCTION("""COMPUTED_VALUE"""),45566.0)</f>
        <v>45566</v>
      </c>
      <c r="R113" s="132" t="str">
        <f>IFERROR(__xludf.DUMMYFUNCTION("""COMPUTED_VALUE"""),"Heat")</f>
        <v>Heat</v>
      </c>
      <c r="S113" s="132">
        <f>IFERROR(__xludf.DUMMYFUNCTION("""COMPUTED_VALUE"""),68.81)</f>
        <v>68.81</v>
      </c>
      <c r="T113" s="132">
        <f>IFERROR(__xludf.DUMMYFUNCTION("""COMPUTED_VALUE"""),11.468333333333334)</f>
        <v>11.46833333</v>
      </c>
      <c r="U113" s="132" t="str">
        <f>IFERROR(__xludf.DUMMYFUNCTION("""COMPUTED_VALUE"""),"Paid")</f>
        <v>Paid</v>
      </c>
      <c r="V113" s="132" t="str">
        <f>IFERROR(__xludf.DUMMYFUNCTION("""COMPUTED_VALUE"""),"Paid")</f>
        <v>Paid</v>
      </c>
      <c r="W113" s="132" t="str">
        <f>IFERROR(__xludf.DUMMYFUNCTION("""COMPUTED_VALUE"""),"Paid")</f>
        <v>Paid</v>
      </c>
      <c r="X113" s="132" t="str">
        <f>IFERROR(__xludf.DUMMYFUNCTION("""COMPUTED_VALUE"""),"Paid")</f>
        <v>Paid</v>
      </c>
      <c r="Y113" s="132" t="str">
        <f>IFERROR(__xludf.DUMMYFUNCTION("""COMPUTED_VALUE"""),"Paid")</f>
        <v>Paid</v>
      </c>
      <c r="Z113" s="132"/>
    </row>
    <row r="114">
      <c r="A114" s="132"/>
      <c r="B114" s="132"/>
      <c r="C114" s="132"/>
      <c r="D114" s="132"/>
      <c r="E114" s="132"/>
      <c r="F114" s="132"/>
      <c r="G114" s="132"/>
      <c r="H114" s="132"/>
      <c r="I114" s="132"/>
      <c r="J114" s="132"/>
      <c r="K114" s="132"/>
      <c r="L114" s="132"/>
      <c r="M114" s="132"/>
      <c r="N114" s="132"/>
      <c r="O114" s="132"/>
      <c r="P114" s="132"/>
      <c r="Q114" s="132"/>
      <c r="R114" s="132" t="str">
        <f>IFERROR(__xludf.DUMMYFUNCTION("""COMPUTED_VALUE"""),"Electricity")</f>
        <v>Electricity</v>
      </c>
      <c r="S114" s="132">
        <f>IFERROR(__xludf.DUMMYFUNCTION("""COMPUTED_VALUE"""),128.04)</f>
        <v>128.04</v>
      </c>
      <c r="T114" s="132">
        <f>IFERROR(__xludf.DUMMYFUNCTION("""COMPUTED_VALUE"""),21.34)</f>
        <v>21.34</v>
      </c>
      <c r="U114" s="132" t="str">
        <f>IFERROR(__xludf.DUMMYFUNCTION("""COMPUTED_VALUE"""),"Paid")</f>
        <v>Paid</v>
      </c>
      <c r="V114" s="132" t="str">
        <f>IFERROR(__xludf.DUMMYFUNCTION("""COMPUTED_VALUE"""),"Paid")</f>
        <v>Paid</v>
      </c>
      <c r="W114" s="132" t="str">
        <f>IFERROR(__xludf.DUMMYFUNCTION("""COMPUTED_VALUE"""),"Paid")</f>
        <v>Paid</v>
      </c>
      <c r="X114" s="132" t="str">
        <f>IFERROR(__xludf.DUMMYFUNCTION("""COMPUTED_VALUE"""),"Paid")</f>
        <v>Paid</v>
      </c>
      <c r="Y114" s="132" t="str">
        <f>IFERROR(__xludf.DUMMYFUNCTION("""COMPUTED_VALUE"""),"Paid")</f>
        <v>Paid</v>
      </c>
      <c r="Z114" s="132"/>
    </row>
    <row r="115">
      <c r="A115" s="132"/>
      <c r="B115" s="132"/>
      <c r="C115" s="132"/>
      <c r="D115" s="132"/>
      <c r="E115" s="132"/>
      <c r="F115" s="132"/>
      <c r="G115" s="132"/>
      <c r="H115" s="132"/>
      <c r="I115" s="132"/>
      <c r="J115" s="132"/>
      <c r="K115" s="132"/>
      <c r="L115" s="132"/>
      <c r="M115" s="132"/>
      <c r="N115" s="132"/>
      <c r="O115" s="132"/>
      <c r="P115" s="132"/>
      <c r="Q115" s="132"/>
      <c r="R115" s="132" t="str">
        <f>IFERROR(__xludf.DUMMYFUNCTION("""COMPUTED_VALUE"""),"Internet")</f>
        <v>Internet</v>
      </c>
      <c r="S115" s="132">
        <f>IFERROR(__xludf.DUMMYFUNCTION("""COMPUTED_VALUE"""),56.5)</f>
        <v>56.5</v>
      </c>
      <c r="T115" s="132">
        <f>IFERROR(__xludf.DUMMYFUNCTION("""COMPUTED_VALUE"""),9.416666666666666)</f>
        <v>9.416666667</v>
      </c>
      <c r="U115" s="132" t="str">
        <f>IFERROR(__xludf.DUMMYFUNCTION("""COMPUTED_VALUE"""),"Paid")</f>
        <v>Paid</v>
      </c>
      <c r="V115" s="132" t="str">
        <f>IFERROR(__xludf.DUMMYFUNCTION("""COMPUTED_VALUE"""),"Paid")</f>
        <v>Paid</v>
      </c>
      <c r="W115" s="132" t="str">
        <f>IFERROR(__xludf.DUMMYFUNCTION("""COMPUTED_VALUE"""),"Paid")</f>
        <v>Paid</v>
      </c>
      <c r="X115" s="132" t="str">
        <f>IFERROR(__xludf.DUMMYFUNCTION("""COMPUTED_VALUE"""),"Paid")</f>
        <v>Paid</v>
      </c>
      <c r="Y115" s="132" t="str">
        <f>IFERROR(__xludf.DUMMYFUNCTION("""COMPUTED_VALUE"""),"Paid")</f>
        <v>Paid</v>
      </c>
      <c r="Z115" s="132"/>
    </row>
    <row r="116">
      <c r="A116" s="132"/>
      <c r="B116" s="132"/>
      <c r="C116" s="132"/>
      <c r="D116" s="132"/>
      <c r="E116" s="132"/>
      <c r="F116" s="132"/>
      <c r="G116" s="132"/>
      <c r="H116" s="132"/>
      <c r="I116" s="132"/>
      <c r="J116" s="132"/>
      <c r="K116" s="132"/>
      <c r="L116" s="132"/>
      <c r="M116" s="132"/>
      <c r="N116" s="132"/>
      <c r="O116" s="132"/>
      <c r="P116" s="132"/>
      <c r="Q116" s="132"/>
      <c r="R116" s="132" t="str">
        <f>IFERROR(__xludf.DUMMYFUNCTION("""COMPUTED_VALUE"""),"Rent for 2 months")</f>
        <v>Rent for 2 months</v>
      </c>
      <c r="S116" s="132">
        <f>IFERROR(__xludf.DUMMYFUNCTION("""COMPUTED_VALUE"""),7800.0)</f>
        <v>7800</v>
      </c>
      <c r="T116" s="132">
        <f>IFERROR(__xludf.DUMMYFUNCTION("""COMPUTED_VALUE"""),1300.0)</f>
        <v>1300</v>
      </c>
      <c r="U116" s="132" t="str">
        <f>IFERROR(__xludf.DUMMYFUNCTION("""COMPUTED_VALUE"""),"Paid")</f>
        <v>Paid</v>
      </c>
      <c r="V116" s="132" t="str">
        <f>IFERROR(__xludf.DUMMYFUNCTION("""COMPUTED_VALUE"""),"Paid")</f>
        <v>Paid</v>
      </c>
      <c r="W116" s="132" t="str">
        <f>IFERROR(__xludf.DUMMYFUNCTION("""COMPUTED_VALUE"""),"Paid")</f>
        <v>Paid</v>
      </c>
      <c r="X116" s="132" t="str">
        <f>IFERROR(__xludf.DUMMYFUNCTION("""COMPUTED_VALUE"""),"Paid")</f>
        <v>Paid</v>
      </c>
      <c r="Y116" s="132" t="str">
        <f>IFERROR(__xludf.DUMMYFUNCTION("""COMPUTED_VALUE"""),"Paid")</f>
        <v>Paid</v>
      </c>
      <c r="Z116" s="132"/>
    </row>
    <row r="117">
      <c r="A117" s="132"/>
      <c r="B117" s="132"/>
      <c r="C117" s="132"/>
      <c r="D117" s="132"/>
      <c r="E117" s="132"/>
      <c r="F117" s="132"/>
      <c r="G117" s="132"/>
      <c r="H117" s="132"/>
      <c r="I117" s="132"/>
      <c r="J117" s="132"/>
      <c r="K117" s="132"/>
      <c r="L117" s="132"/>
      <c r="M117" s="132"/>
      <c r="N117" s="132"/>
      <c r="O117" s="132"/>
      <c r="P117" s="132"/>
      <c r="Q117" s="132"/>
      <c r="R117" s="132" t="str">
        <f>IFERROR(__xludf.DUMMYFUNCTION("""COMPUTED_VALUE"""),"Key deposit")</f>
        <v>Key deposit</v>
      </c>
      <c r="S117" s="132">
        <f>IFERROR(__xludf.DUMMYFUNCTION("""COMPUTED_VALUE"""),500.0)</f>
        <v>500</v>
      </c>
      <c r="T117" s="132">
        <f>IFERROR(__xludf.DUMMYFUNCTION("""COMPUTED_VALUE"""),83.33333333333333)</f>
        <v>83.33333333</v>
      </c>
      <c r="U117" s="132" t="str">
        <f>IFERROR(__xludf.DUMMYFUNCTION("""COMPUTED_VALUE"""),"Paid")</f>
        <v>Paid</v>
      </c>
      <c r="V117" s="132" t="str">
        <f>IFERROR(__xludf.DUMMYFUNCTION("""COMPUTED_VALUE"""),"Paid")</f>
        <v>Paid</v>
      </c>
      <c r="W117" s="132" t="str">
        <f>IFERROR(__xludf.DUMMYFUNCTION("""COMPUTED_VALUE"""),"Paid")</f>
        <v>Paid</v>
      </c>
      <c r="X117" s="132" t="str">
        <f>IFERROR(__xludf.DUMMYFUNCTION("""COMPUTED_VALUE"""),"Paid")</f>
        <v>Paid</v>
      </c>
      <c r="Y117" s="132" t="str">
        <f>IFERROR(__xludf.DUMMYFUNCTION("""COMPUTED_VALUE"""),"Paid")</f>
        <v>Paid</v>
      </c>
      <c r="Z117" s="132"/>
    </row>
    <row r="118">
      <c r="A118" s="132"/>
      <c r="B118" s="132"/>
      <c r="C118" s="132"/>
      <c r="D118" s="132"/>
      <c r="E118" s="132"/>
      <c r="F118" s="132"/>
      <c r="G118" s="132"/>
      <c r="H118" s="132"/>
      <c r="I118" s="132"/>
      <c r="J118" s="132"/>
      <c r="K118" s="132"/>
      <c r="L118" s="132"/>
      <c r="M118" s="132"/>
      <c r="N118" s="132"/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2"/>
      <c r="B119" s="132"/>
      <c r="C119" s="132"/>
      <c r="D119" s="132"/>
      <c r="E119" s="132"/>
      <c r="F119" s="132"/>
      <c r="G119" s="132"/>
      <c r="H119" s="132"/>
      <c r="I119" s="132"/>
      <c r="J119" s="132"/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2"/>
      <c r="B120" s="132"/>
      <c r="C120" s="132"/>
      <c r="D120" s="132"/>
      <c r="E120" s="132"/>
      <c r="F120" s="132"/>
      <c r="G120" s="132"/>
      <c r="H120" s="132"/>
      <c r="I120" s="132"/>
      <c r="J120" s="132"/>
      <c r="K120" s="132"/>
      <c r="L120" s="132"/>
      <c r="M120" s="132"/>
      <c r="N120" s="132"/>
      <c r="O120" s="132"/>
      <c r="P120" s="132"/>
      <c r="Q120" s="134">
        <f>IFERROR(__xludf.DUMMYFUNCTION("""COMPUTED_VALUE"""),45597.0)</f>
        <v>45597</v>
      </c>
      <c r="R120" s="132" t="str">
        <f>IFERROR(__xludf.DUMMYFUNCTION("""COMPUTED_VALUE"""),"Rent")</f>
        <v>Rent</v>
      </c>
      <c r="S120" s="132">
        <f>IFERROR(__xludf.DUMMYFUNCTION("""COMPUTED_VALUE"""),3900.0)</f>
        <v>3900</v>
      </c>
      <c r="T120" s="132">
        <f>IFERROR(__xludf.DUMMYFUNCTION("""COMPUTED_VALUE"""),650.0)</f>
        <v>650</v>
      </c>
      <c r="U120" s="132" t="str">
        <f>IFERROR(__xludf.DUMMYFUNCTION("""COMPUTED_VALUE"""),"Paid")</f>
        <v>Paid</v>
      </c>
      <c r="V120" s="132" t="str">
        <f>IFERROR(__xludf.DUMMYFUNCTION("""COMPUTED_VALUE"""),"Paid")</f>
        <v>Paid</v>
      </c>
      <c r="W120" s="132" t="str">
        <f>IFERROR(__xludf.DUMMYFUNCTION("""COMPUTED_VALUE"""),"Paid")</f>
        <v>Paid</v>
      </c>
      <c r="X120" s="132" t="str">
        <f>IFERROR(__xludf.DUMMYFUNCTION("""COMPUTED_VALUE"""),"Paid")</f>
        <v>Paid</v>
      </c>
      <c r="Y120" s="132" t="str">
        <f>IFERROR(__xludf.DUMMYFUNCTION("""COMPUTED_VALUE"""),"Paid")</f>
        <v>Paid</v>
      </c>
      <c r="Z120" s="132"/>
    </row>
    <row r="121">
      <c r="A121" s="132"/>
      <c r="B121" s="132"/>
      <c r="C121" s="132"/>
      <c r="D121" s="132"/>
      <c r="E121" s="132"/>
      <c r="F121" s="132"/>
      <c r="G121" s="132"/>
      <c r="H121" s="132"/>
      <c r="I121" s="132"/>
      <c r="J121" s="132"/>
      <c r="K121" s="132"/>
      <c r="L121" s="132"/>
      <c r="M121" s="132"/>
      <c r="N121" s="132"/>
      <c r="O121" s="132"/>
      <c r="P121" s="132"/>
      <c r="Q121" s="132"/>
      <c r="R121" s="132" t="str">
        <f>IFERROR(__xludf.DUMMYFUNCTION("""COMPUTED_VALUE"""),"Heat")</f>
        <v>Heat</v>
      </c>
      <c r="S121" s="132">
        <f>IFERROR(__xludf.DUMMYFUNCTION("""COMPUTED_VALUE"""),158.95)</f>
        <v>158.95</v>
      </c>
      <c r="T121" s="132">
        <f>IFERROR(__xludf.DUMMYFUNCTION("""COMPUTED_VALUE"""),26.491666666666664)</f>
        <v>26.49166667</v>
      </c>
      <c r="U121" s="132" t="str">
        <f>IFERROR(__xludf.DUMMYFUNCTION("""COMPUTED_VALUE"""),"Paid")</f>
        <v>Paid</v>
      </c>
      <c r="V121" s="132" t="str">
        <f>IFERROR(__xludf.DUMMYFUNCTION("""COMPUTED_VALUE"""),"Paid")</f>
        <v>Paid</v>
      </c>
      <c r="W121" s="132" t="str">
        <f>IFERROR(__xludf.DUMMYFUNCTION("""COMPUTED_VALUE"""),"Paid")</f>
        <v>Paid</v>
      </c>
      <c r="X121" s="132" t="str">
        <f>IFERROR(__xludf.DUMMYFUNCTION("""COMPUTED_VALUE"""),"Paid")</f>
        <v>Paid</v>
      </c>
      <c r="Y121" s="132" t="str">
        <f>IFERROR(__xludf.DUMMYFUNCTION("""COMPUTED_VALUE"""),"Paid")</f>
        <v>Paid</v>
      </c>
      <c r="Z121" s="132"/>
    </row>
    <row r="122">
      <c r="A122" s="132"/>
      <c r="B122" s="132"/>
      <c r="C122" s="132"/>
      <c r="D122" s="132"/>
      <c r="E122" s="132"/>
      <c r="F122" s="132"/>
      <c r="G122" s="132"/>
      <c r="H122" s="132"/>
      <c r="I122" s="132"/>
      <c r="J122" s="132"/>
      <c r="K122" s="132"/>
      <c r="L122" s="132"/>
      <c r="M122" s="132"/>
      <c r="N122" s="132"/>
      <c r="O122" s="132"/>
      <c r="P122" s="132"/>
      <c r="Q122" s="132"/>
      <c r="R122" s="132" t="str">
        <f>IFERROR(__xludf.DUMMYFUNCTION("""COMPUTED_VALUE"""),"Electricity")</f>
        <v>Electricity</v>
      </c>
      <c r="S122" s="132">
        <f>IFERROR(__xludf.DUMMYFUNCTION("""COMPUTED_VALUE"""),167.9)</f>
        <v>167.9</v>
      </c>
      <c r="T122" s="132">
        <f>IFERROR(__xludf.DUMMYFUNCTION("""COMPUTED_VALUE"""),27.983333333333334)</f>
        <v>27.98333333</v>
      </c>
      <c r="U122" s="132" t="str">
        <f>IFERROR(__xludf.DUMMYFUNCTION("""COMPUTED_VALUE"""),"Paid")</f>
        <v>Paid</v>
      </c>
      <c r="V122" s="132" t="str">
        <f>IFERROR(__xludf.DUMMYFUNCTION("""COMPUTED_VALUE"""),"Paid")</f>
        <v>Paid</v>
      </c>
      <c r="W122" s="132" t="str">
        <f>IFERROR(__xludf.DUMMYFUNCTION("""COMPUTED_VALUE"""),"Paid")</f>
        <v>Paid</v>
      </c>
      <c r="X122" s="132" t="str">
        <f>IFERROR(__xludf.DUMMYFUNCTION("""COMPUTED_VALUE"""),"Paid")</f>
        <v>Paid</v>
      </c>
      <c r="Y122" s="132" t="str">
        <f>IFERROR(__xludf.DUMMYFUNCTION("""COMPUTED_VALUE"""),"Paid")</f>
        <v>Paid</v>
      </c>
      <c r="Z122" s="132"/>
    </row>
    <row r="123">
      <c r="A123" s="132"/>
      <c r="B123" s="132"/>
      <c r="C123" s="132"/>
      <c r="D123" s="132"/>
      <c r="E123" s="132"/>
      <c r="F123" s="132"/>
      <c r="G123" s="132"/>
      <c r="H123" s="132"/>
      <c r="I123" s="132"/>
      <c r="J123" s="132"/>
      <c r="K123" s="132"/>
      <c r="L123" s="132"/>
      <c r="M123" s="132"/>
      <c r="N123" s="132"/>
      <c r="O123" s="132"/>
      <c r="P123" s="132"/>
      <c r="Q123" s="132"/>
      <c r="R123" s="132" t="str">
        <f>IFERROR(__xludf.DUMMYFUNCTION("""COMPUTED_VALUE"""),"Internet")</f>
        <v>Internet</v>
      </c>
      <c r="S123" s="132">
        <f>IFERROR(__xludf.DUMMYFUNCTION("""COMPUTED_VALUE"""),56.5)</f>
        <v>56.5</v>
      </c>
      <c r="T123" s="132">
        <f>IFERROR(__xludf.DUMMYFUNCTION("""COMPUTED_VALUE"""),9.416666666666666)</f>
        <v>9.416666667</v>
      </c>
      <c r="U123" s="132" t="str">
        <f>IFERROR(__xludf.DUMMYFUNCTION("""COMPUTED_VALUE"""),"Paid")</f>
        <v>Paid</v>
      </c>
      <c r="V123" s="132" t="str">
        <f>IFERROR(__xludf.DUMMYFUNCTION("""COMPUTED_VALUE"""),"Paid")</f>
        <v>Paid</v>
      </c>
      <c r="W123" s="132" t="str">
        <f>IFERROR(__xludf.DUMMYFUNCTION("""COMPUTED_VALUE"""),"Paid")</f>
        <v>Paid</v>
      </c>
      <c r="X123" s="132" t="str">
        <f>IFERROR(__xludf.DUMMYFUNCTION("""COMPUTED_VALUE"""),"Paid")</f>
        <v>Paid</v>
      </c>
      <c r="Y123" s="132" t="str">
        <f>IFERROR(__xludf.DUMMYFUNCTION("""COMPUTED_VALUE"""),"Paid")</f>
        <v>Paid</v>
      </c>
      <c r="Z123" s="132"/>
    </row>
    <row r="124">
      <c r="A124" s="132"/>
      <c r="B124" s="132"/>
      <c r="C124" s="132"/>
      <c r="D124" s="132"/>
      <c r="E124" s="132"/>
      <c r="F124" s="132" t="str">
        <f>IFERROR(__xludf.DUMMYFUNCTION("""COMPUTED_VALUE"""),"#DIV/0!")</f>
        <v>#DIV/0!</v>
      </c>
      <c r="G124" s="132" t="str">
        <f>IFERROR(__xludf.DUMMYFUNCTION("""COMPUTED_VALUE"""),"#DIV/0!")</f>
        <v>#DIV/0!</v>
      </c>
      <c r="H124" s="132"/>
      <c r="I124" s="132"/>
      <c r="J124" s="132"/>
      <c r="K124" s="132"/>
      <c r="L124" s="132"/>
      <c r="M124" s="132"/>
      <c r="N124" s="132"/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2"/>
      <c r="B125" s="132"/>
      <c r="C125" s="132"/>
      <c r="D125" s="132"/>
      <c r="E125" s="132"/>
      <c r="F125" s="132" t="str">
        <f>IFERROR(__xludf.DUMMYFUNCTION("""COMPUTED_VALUE"""),"#DIV/0!")</f>
        <v>#DIV/0!</v>
      </c>
      <c r="G125" s="132" t="str">
        <f>IFERROR(__xludf.DUMMYFUNCTION("""COMPUTED_VALUE"""),"#DIV/0!")</f>
        <v>#DIV/0!</v>
      </c>
      <c r="H125" s="132"/>
      <c r="I125" s="132"/>
      <c r="J125" s="132"/>
      <c r="K125" s="132"/>
      <c r="L125" s="132"/>
      <c r="M125" s="132"/>
      <c r="N125" s="132"/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2"/>
      <c r="B126" s="132"/>
      <c r="C126" s="132"/>
      <c r="D126" s="132"/>
      <c r="E126" s="132"/>
      <c r="F126" s="132" t="str">
        <f>IFERROR(__xludf.DUMMYFUNCTION("""COMPUTED_VALUE"""),"#DIV/0!")</f>
        <v>#DIV/0!</v>
      </c>
      <c r="G126" s="132" t="str">
        <f>IFERROR(__xludf.DUMMYFUNCTION("""COMPUTED_VALUE"""),"#DIV/0!")</f>
        <v>#DIV/0!</v>
      </c>
      <c r="H126" s="132"/>
      <c r="I126" s="132"/>
      <c r="J126" s="132"/>
      <c r="K126" s="132"/>
      <c r="L126" s="132"/>
      <c r="M126" s="132"/>
      <c r="N126" s="132"/>
      <c r="O126" s="132"/>
      <c r="P126" s="132"/>
      <c r="Q126" s="134">
        <f>IFERROR(__xludf.DUMMYFUNCTION("""COMPUTED_VALUE"""),45627.0)</f>
        <v>45627</v>
      </c>
      <c r="R126" s="132" t="str">
        <f>IFERROR(__xludf.DUMMYFUNCTION("""COMPUTED_VALUE"""),"Rent")</f>
        <v>Rent</v>
      </c>
      <c r="S126" s="132">
        <f>IFERROR(__xludf.DUMMYFUNCTION("""COMPUTED_VALUE"""),3900.0)</f>
        <v>3900</v>
      </c>
      <c r="T126" s="132">
        <f>IFERROR(__xludf.DUMMYFUNCTION("""COMPUTED_VALUE"""),650.0)</f>
        <v>650</v>
      </c>
      <c r="U126" s="132" t="str">
        <f>IFERROR(__xludf.DUMMYFUNCTION("""COMPUTED_VALUE"""),"Paid")</f>
        <v>Paid</v>
      </c>
      <c r="V126" s="132" t="str">
        <f>IFERROR(__xludf.DUMMYFUNCTION("""COMPUTED_VALUE"""),"Paid")</f>
        <v>Paid</v>
      </c>
      <c r="W126" s="132" t="str">
        <f>IFERROR(__xludf.DUMMYFUNCTION("""COMPUTED_VALUE"""),"Paid")</f>
        <v>Paid</v>
      </c>
      <c r="X126" s="132" t="str">
        <f>IFERROR(__xludf.DUMMYFUNCTION("""COMPUTED_VALUE"""),"Paid")</f>
        <v>Paid</v>
      </c>
      <c r="Y126" s="132" t="str">
        <f>IFERROR(__xludf.DUMMYFUNCTION("""COMPUTED_VALUE"""),"Paid")</f>
        <v>Paid</v>
      </c>
      <c r="Z126" s="132"/>
    </row>
    <row r="127">
      <c r="A127" s="132"/>
      <c r="B127" s="132"/>
      <c r="C127" s="132"/>
      <c r="D127" s="132"/>
      <c r="E127" s="132"/>
      <c r="F127" s="132" t="str">
        <f>IFERROR(__xludf.DUMMYFUNCTION("""COMPUTED_VALUE"""),"#DIV/0!")</f>
        <v>#DIV/0!</v>
      </c>
      <c r="G127" s="132" t="str">
        <f>IFERROR(__xludf.DUMMYFUNCTION("""COMPUTED_VALUE"""),"#DIV/0!")</f>
        <v>#DIV/0!</v>
      </c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 t="str">
        <f>IFERROR(__xludf.DUMMYFUNCTION("""COMPUTED_VALUE"""),"Heat")</f>
        <v>Heat</v>
      </c>
      <c r="S127" s="132">
        <f>IFERROR(__xludf.DUMMYFUNCTION("""COMPUTED_VALUE"""),182.8)</f>
        <v>182.8</v>
      </c>
      <c r="T127" s="132">
        <f>IFERROR(__xludf.DUMMYFUNCTION("""COMPUTED_VALUE"""),30.46666666666667)</f>
        <v>30.46666667</v>
      </c>
      <c r="U127" s="132" t="str">
        <f>IFERROR(__xludf.DUMMYFUNCTION("""COMPUTED_VALUE"""),"Paid")</f>
        <v>Paid</v>
      </c>
      <c r="V127" s="132" t="str">
        <f>IFERROR(__xludf.DUMMYFUNCTION("""COMPUTED_VALUE"""),"Paid")</f>
        <v>Paid</v>
      </c>
      <c r="W127" s="132" t="str">
        <f>IFERROR(__xludf.DUMMYFUNCTION("""COMPUTED_VALUE"""),"Paid")</f>
        <v>Paid</v>
      </c>
      <c r="X127" s="132" t="str">
        <f>IFERROR(__xludf.DUMMYFUNCTION("""COMPUTED_VALUE"""),"Paid")</f>
        <v>Paid</v>
      </c>
      <c r="Y127" s="132" t="str">
        <f>IFERROR(__xludf.DUMMYFUNCTION("""COMPUTED_VALUE"""),"Paid")</f>
        <v>Paid</v>
      </c>
      <c r="Z127" s="132"/>
    </row>
    <row r="128">
      <c r="A128" s="132"/>
      <c r="B128" s="132"/>
      <c r="C128" s="132"/>
      <c r="D128" s="132"/>
      <c r="E128" s="132"/>
      <c r="F128" s="132" t="str">
        <f>IFERROR(__xludf.DUMMYFUNCTION("""COMPUTED_VALUE"""),"#DIV/0!")</f>
        <v>#DIV/0!</v>
      </c>
      <c r="G128" s="132" t="str">
        <f>IFERROR(__xludf.DUMMYFUNCTION("""COMPUTED_VALUE"""),"#DIV/0!")</f>
        <v>#DIV/0!</v>
      </c>
      <c r="H128" s="132"/>
      <c r="I128" s="132"/>
      <c r="J128" s="132"/>
      <c r="K128" s="132"/>
      <c r="L128" s="132"/>
      <c r="M128" s="132"/>
      <c r="N128" s="132"/>
      <c r="O128" s="132"/>
      <c r="P128" s="132"/>
      <c r="Q128" s="132"/>
      <c r="R128" s="132" t="str">
        <f>IFERROR(__xludf.DUMMYFUNCTION("""COMPUTED_VALUE"""),"Electricity")</f>
        <v>Electricity</v>
      </c>
      <c r="S128" s="132">
        <f>IFERROR(__xludf.DUMMYFUNCTION("""COMPUTED_VALUE"""),166.37)</f>
        <v>166.37</v>
      </c>
      <c r="T128" s="132">
        <f>IFERROR(__xludf.DUMMYFUNCTION("""COMPUTED_VALUE"""),27.728333333333335)</f>
        <v>27.72833333</v>
      </c>
      <c r="U128" s="132" t="str">
        <f>IFERROR(__xludf.DUMMYFUNCTION("""COMPUTED_VALUE"""),"Paid")</f>
        <v>Paid</v>
      </c>
      <c r="V128" s="132" t="str">
        <f>IFERROR(__xludf.DUMMYFUNCTION("""COMPUTED_VALUE"""),"Paid")</f>
        <v>Paid</v>
      </c>
      <c r="W128" s="132" t="str">
        <f>IFERROR(__xludf.DUMMYFUNCTION("""COMPUTED_VALUE"""),"Paid")</f>
        <v>Paid</v>
      </c>
      <c r="X128" s="132" t="str">
        <f>IFERROR(__xludf.DUMMYFUNCTION("""COMPUTED_VALUE"""),"Paid")</f>
        <v>Paid</v>
      </c>
      <c r="Y128" s="132" t="str">
        <f>IFERROR(__xludf.DUMMYFUNCTION("""COMPUTED_VALUE"""),"Paid")</f>
        <v>Paid</v>
      </c>
      <c r="Z128" s="132"/>
    </row>
    <row r="129">
      <c r="A129" s="88"/>
      <c r="B129" s="88"/>
      <c r="C129" s="88"/>
      <c r="D129" s="88"/>
      <c r="E129" s="88"/>
      <c r="F129" s="88" t="str">
        <f>IFERROR(__xludf.DUMMYFUNCTION("""COMPUTED_VALUE"""),"#DIV/0!")</f>
        <v>#DIV/0!</v>
      </c>
      <c r="G129" s="88" t="str">
        <f>IFERROR(__xludf.DUMMYFUNCTION("""COMPUTED_VALUE"""),"#DIV/0!")</f>
        <v>#DIV/0!</v>
      </c>
      <c r="H129" s="88"/>
      <c r="I129" s="88"/>
      <c r="J129" s="88"/>
      <c r="K129" s="88"/>
      <c r="L129" s="88"/>
      <c r="M129" s="88"/>
      <c r="N129" s="88"/>
      <c r="Q129" s="88"/>
      <c r="R129" s="88" t="str">
        <f>IFERROR(__xludf.DUMMYFUNCTION("""COMPUTED_VALUE"""),"Internet")</f>
        <v>Internet</v>
      </c>
      <c r="S129" s="88">
        <f>IFERROR(__xludf.DUMMYFUNCTION("""COMPUTED_VALUE"""),56.5)</f>
        <v>56.5</v>
      </c>
      <c r="T129" s="88">
        <f>IFERROR(__xludf.DUMMYFUNCTION("""COMPUTED_VALUE"""),9.416666666666666)</f>
        <v>9.416666667</v>
      </c>
      <c r="U129" s="88" t="str">
        <f>IFERROR(__xludf.DUMMYFUNCTION("""COMPUTED_VALUE"""),"Paid")</f>
        <v>Paid</v>
      </c>
      <c r="V129" s="88" t="str">
        <f>IFERROR(__xludf.DUMMYFUNCTION("""COMPUTED_VALUE"""),"Paid")</f>
        <v>Paid</v>
      </c>
      <c r="W129" s="88" t="str">
        <f>IFERROR(__xludf.DUMMYFUNCTION("""COMPUTED_VALUE"""),"Paid")</f>
        <v>Paid</v>
      </c>
      <c r="X129" s="88" t="str">
        <f>IFERROR(__xludf.DUMMYFUNCTION("""COMPUTED_VALUE"""),"Paid")</f>
        <v>Paid</v>
      </c>
      <c r="Y129" s="88" t="str">
        <f>IFERROR(__xludf.DUMMYFUNCTION("""COMPUTED_VALUE"""),"Paid")</f>
        <v>Paid</v>
      </c>
    </row>
    <row r="130">
      <c r="A130" s="88"/>
      <c r="B130" s="88"/>
      <c r="C130" s="88"/>
      <c r="D130" s="88"/>
      <c r="E130" s="88"/>
      <c r="F130" s="88" t="str">
        <f>IFERROR(__xludf.DUMMYFUNCTION("""COMPUTED_VALUE"""),"#DIV/0!")</f>
        <v>#DIV/0!</v>
      </c>
      <c r="G130" s="88" t="str">
        <f>IFERROR(__xludf.DUMMYFUNCTION("""COMPUTED_VALUE"""),"#DIV/0!")</f>
        <v>#DIV/0!</v>
      </c>
      <c r="H130" s="88"/>
      <c r="I130" s="88"/>
      <c r="J130" s="88"/>
      <c r="K130" s="88"/>
      <c r="L130" s="88"/>
      <c r="M130" s="88"/>
      <c r="N130" s="88"/>
      <c r="Q130" s="88"/>
      <c r="R130" s="88"/>
      <c r="S130" s="88"/>
      <c r="T130" s="88"/>
      <c r="U130" s="88"/>
      <c r="V130" s="88"/>
      <c r="W130" s="88"/>
      <c r="X130" s="88"/>
      <c r="Y130" s="88"/>
    </row>
    <row r="131">
      <c r="A131" s="88"/>
      <c r="B131" s="88"/>
      <c r="C131" s="88"/>
      <c r="D131" s="88"/>
      <c r="E131" s="88"/>
      <c r="F131" s="88" t="str">
        <f>IFERROR(__xludf.DUMMYFUNCTION("""COMPUTED_VALUE"""),"#DIV/0!")</f>
        <v>#DIV/0!</v>
      </c>
      <c r="G131" s="88" t="str">
        <f>IFERROR(__xludf.DUMMYFUNCTION("""COMPUTED_VALUE"""),"#DIV/0!")</f>
        <v>#DIV/0!</v>
      </c>
      <c r="H131" s="88"/>
      <c r="I131" s="88"/>
      <c r="J131" s="88"/>
      <c r="K131" s="88"/>
      <c r="L131" s="88"/>
      <c r="M131" s="88"/>
      <c r="N131" s="88"/>
      <c r="Q131" s="138">
        <f>IFERROR(__xludf.DUMMYFUNCTION("""COMPUTED_VALUE"""),45658.0)</f>
        <v>45658</v>
      </c>
      <c r="R131" s="88" t="str">
        <f>IFERROR(__xludf.DUMMYFUNCTION("""COMPUTED_VALUE"""),"Rent")</f>
        <v>Rent</v>
      </c>
      <c r="S131" s="88">
        <f>IFERROR(__xludf.DUMMYFUNCTION("""COMPUTED_VALUE"""),3900.0)</f>
        <v>3900</v>
      </c>
      <c r="T131" s="88">
        <f>IFERROR(__xludf.DUMMYFUNCTION("""COMPUTED_VALUE"""),650.0)</f>
        <v>650</v>
      </c>
      <c r="U131" s="88" t="str">
        <f>IFERROR(__xludf.DUMMYFUNCTION("""COMPUTED_VALUE"""),"Paid")</f>
        <v>Paid</v>
      </c>
      <c r="V131" s="88" t="str">
        <f>IFERROR(__xludf.DUMMYFUNCTION("""COMPUTED_VALUE"""),"Paid")</f>
        <v>Paid</v>
      </c>
      <c r="W131" s="88" t="str">
        <f>IFERROR(__xludf.DUMMYFUNCTION("""COMPUTED_VALUE"""),"Paid")</f>
        <v>Paid</v>
      </c>
      <c r="X131" s="88" t="str">
        <f>IFERROR(__xludf.DUMMYFUNCTION("""COMPUTED_VALUE"""),"Paid")</f>
        <v>Paid</v>
      </c>
      <c r="Y131" s="88" t="str">
        <f>IFERROR(__xludf.DUMMYFUNCTION("""COMPUTED_VALUE"""),"Paid")</f>
        <v>Paid</v>
      </c>
    </row>
    <row r="132">
      <c r="A132" s="88"/>
      <c r="B132" s="88"/>
      <c r="C132" s="88"/>
      <c r="D132" s="88"/>
      <c r="E132" s="88"/>
      <c r="F132" s="88" t="str">
        <f>IFERROR(__xludf.DUMMYFUNCTION("""COMPUTED_VALUE"""),"#DIV/0!")</f>
        <v>#DIV/0!</v>
      </c>
      <c r="G132" s="88" t="str">
        <f>IFERROR(__xludf.DUMMYFUNCTION("""COMPUTED_VALUE"""),"#DIV/0!")</f>
        <v>#DIV/0!</v>
      </c>
      <c r="H132" s="88"/>
      <c r="I132" s="88"/>
      <c r="J132" s="88"/>
      <c r="K132" s="88"/>
      <c r="L132" s="88"/>
      <c r="M132" s="88"/>
      <c r="N132" s="88"/>
      <c r="Q132" s="88"/>
      <c r="R132" s="88" t="str">
        <f>IFERROR(__xludf.DUMMYFUNCTION("""COMPUTED_VALUE"""),"Heat January 17, 2025 - February 18, 2025")</f>
        <v>Heat January 17, 2025 - February 18, 2025</v>
      </c>
      <c r="S132" s="88">
        <f>IFERROR(__xludf.DUMMYFUNCTION("""COMPUTED_VALUE"""),303.55)</f>
        <v>303.55</v>
      </c>
      <c r="T132" s="88">
        <f>IFERROR(__xludf.DUMMYFUNCTION("""COMPUTED_VALUE"""),60.71)</f>
        <v>60.71</v>
      </c>
      <c r="U132" s="88"/>
      <c r="V132" s="88"/>
      <c r="W132" s="88"/>
      <c r="X132" s="88"/>
      <c r="Y132" s="88"/>
    </row>
    <row r="133">
      <c r="A133" s="88"/>
      <c r="B133" s="88"/>
      <c r="C133" s="88"/>
      <c r="D133" s="88"/>
      <c r="E133" s="88"/>
      <c r="F133" s="88" t="str">
        <f>IFERROR(__xludf.DUMMYFUNCTION("""COMPUTED_VALUE"""),"#DIV/0!")</f>
        <v>#DIV/0!</v>
      </c>
      <c r="G133" s="88" t="str">
        <f>IFERROR(__xludf.DUMMYFUNCTION("""COMPUTED_VALUE"""),"#DIV/0!")</f>
        <v>#DIV/0!</v>
      </c>
      <c r="H133" s="88"/>
      <c r="I133" s="88"/>
      <c r="J133" s="88"/>
      <c r="K133" s="88"/>
      <c r="L133" s="88"/>
      <c r="M133" s="88"/>
      <c r="N133" s="88"/>
      <c r="Q133" s="88"/>
      <c r="R133" s="88" t="str">
        <f>IFERROR(__xludf.DUMMYFUNCTION("""COMPUTED_VALUE"""),"Electricity")</f>
        <v>Electricity</v>
      </c>
      <c r="S133" s="88">
        <f>IFERROR(__xludf.DUMMYFUNCTION("""COMPUTED_VALUE"""),202.18)</f>
        <v>202.18</v>
      </c>
      <c r="T133" s="88">
        <f>IFERROR(__xludf.DUMMYFUNCTION("""COMPUTED_VALUE"""),33.696666666666665)</f>
        <v>33.69666667</v>
      </c>
      <c r="U133" s="88"/>
      <c r="V133" s="88"/>
      <c r="W133" s="88"/>
      <c r="X133" s="88"/>
      <c r="Y133" s="88"/>
    </row>
    <row r="134">
      <c r="A134" s="88"/>
      <c r="B134" s="88"/>
      <c r="C134" s="88"/>
      <c r="D134" s="88"/>
      <c r="E134" s="88"/>
      <c r="F134" s="88" t="str">
        <f>IFERROR(__xludf.DUMMYFUNCTION("""COMPUTED_VALUE"""),"#DIV/0!")</f>
        <v>#DIV/0!</v>
      </c>
      <c r="G134" s="88" t="str">
        <f>IFERROR(__xludf.DUMMYFUNCTION("""COMPUTED_VALUE"""),"#DIV/0!")</f>
        <v>#DIV/0!</v>
      </c>
      <c r="H134" s="88"/>
      <c r="I134" s="88"/>
      <c r="J134" s="88"/>
      <c r="K134" s="88"/>
      <c r="L134" s="88"/>
      <c r="M134" s="88"/>
      <c r="N134" s="88"/>
      <c r="Q134" s="88"/>
      <c r="R134" s="88" t="str">
        <f>IFERROR(__xludf.DUMMYFUNCTION("""COMPUTED_VALUE"""),"Internet")</f>
        <v>Internet</v>
      </c>
      <c r="S134" s="88">
        <f>IFERROR(__xludf.DUMMYFUNCTION("""COMPUTED_VALUE"""),56.5)</f>
        <v>56.5</v>
      </c>
      <c r="T134" s="88">
        <f>IFERROR(__xludf.DUMMYFUNCTION("""COMPUTED_VALUE"""),9.416666666666666)</f>
        <v>9.416666667</v>
      </c>
      <c r="U134" s="88"/>
      <c r="V134" s="88"/>
      <c r="W134" s="88"/>
      <c r="X134" s="88"/>
      <c r="Y134" s="88"/>
    </row>
    <row r="135">
      <c r="A135" s="88"/>
      <c r="B135" s="88"/>
      <c r="C135" s="88"/>
      <c r="D135" s="88"/>
      <c r="E135" s="88"/>
      <c r="F135" s="88" t="str">
        <f>IFERROR(__xludf.DUMMYFUNCTION("""COMPUTED_VALUE"""),"#DIV/0!")</f>
        <v>#DIV/0!</v>
      </c>
      <c r="G135" s="88" t="str">
        <f>IFERROR(__xludf.DUMMYFUNCTION("""COMPUTED_VALUE"""),"#DIV/0!")</f>
        <v>#DIV/0!</v>
      </c>
      <c r="H135" s="88"/>
      <c r="I135" s="88"/>
      <c r="J135" s="88"/>
      <c r="K135" s="88"/>
      <c r="L135" s="88"/>
      <c r="M135" s="88"/>
      <c r="N135" s="88"/>
      <c r="Q135" s="88"/>
      <c r="R135" s="88" t="str">
        <f>IFERROR(__xludf.DUMMYFUNCTION("""COMPUTED_VALUE"""),"Water")</f>
        <v>Water</v>
      </c>
      <c r="S135" s="88">
        <f>IFERROR(__xludf.DUMMYFUNCTION("""COMPUTED_VALUE"""),136.32)</f>
        <v>136.32</v>
      </c>
      <c r="T135" s="88">
        <f>IFERROR(__xludf.DUMMYFUNCTION("""COMPUTED_VALUE"""),22.72)</f>
        <v>22.72</v>
      </c>
      <c r="U135" s="88"/>
      <c r="V135" s="88"/>
      <c r="W135" s="88"/>
      <c r="X135" s="88"/>
      <c r="Y135" s="88"/>
    </row>
    <row r="136">
      <c r="A136" s="88"/>
      <c r="B136" s="88"/>
      <c r="C136" s="88"/>
      <c r="D136" s="88"/>
      <c r="E136" s="88"/>
      <c r="F136" s="88" t="str">
        <f>IFERROR(__xludf.DUMMYFUNCTION("""COMPUTED_VALUE"""),"#DIV/0!")</f>
        <v>#DIV/0!</v>
      </c>
      <c r="G136" s="88" t="str">
        <f>IFERROR(__xludf.DUMMYFUNCTION("""COMPUTED_VALUE"""),"#DIV/0!")</f>
        <v>#DIV/0!</v>
      </c>
      <c r="H136" s="88"/>
      <c r="I136" s="88"/>
      <c r="J136" s="88"/>
      <c r="K136" s="88"/>
      <c r="L136" s="88"/>
      <c r="M136" s="88"/>
      <c r="N136" s="88"/>
      <c r="Q136" s="88"/>
      <c r="R136" s="88"/>
      <c r="S136" s="88"/>
      <c r="T136" s="88"/>
      <c r="U136" s="88"/>
      <c r="V136" s="88"/>
      <c r="W136" s="88"/>
      <c r="X136" s="88"/>
      <c r="Y136" s="88"/>
    </row>
    <row r="137">
      <c r="A137" s="88"/>
      <c r="B137" s="88"/>
      <c r="C137" s="88"/>
      <c r="D137" s="88"/>
      <c r="E137" s="88"/>
      <c r="F137" s="88" t="str">
        <f>IFERROR(__xludf.DUMMYFUNCTION("""COMPUTED_VALUE"""),"#DIV/0!")</f>
        <v>#DIV/0!</v>
      </c>
      <c r="G137" s="88" t="str">
        <f>IFERROR(__xludf.DUMMYFUNCTION("""COMPUTED_VALUE"""),"#DIV/0!")</f>
        <v>#DIV/0!</v>
      </c>
      <c r="H137" s="88"/>
      <c r="I137" s="88"/>
      <c r="J137" s="88"/>
      <c r="K137" s="88"/>
      <c r="L137" s="88"/>
      <c r="M137" s="88"/>
      <c r="N137" s="88"/>
      <c r="Q137" s="138">
        <f>IFERROR(__xludf.DUMMYFUNCTION("""COMPUTED_VALUE"""),45689.0)</f>
        <v>45689</v>
      </c>
      <c r="R137" s="88" t="str">
        <f>IFERROR(__xludf.DUMMYFUNCTION("""COMPUTED_VALUE"""),"Rent")</f>
        <v>Rent</v>
      </c>
      <c r="S137" s="88">
        <f>IFERROR(__xludf.DUMMYFUNCTION("""COMPUTED_VALUE"""),3900.0)</f>
        <v>3900</v>
      </c>
      <c r="T137" s="88">
        <f>IFERROR(__xludf.DUMMYFUNCTION("""COMPUTED_VALUE"""),650.0)</f>
        <v>650</v>
      </c>
      <c r="U137" s="88" t="str">
        <f>IFERROR(__xludf.DUMMYFUNCTION("""COMPUTED_VALUE"""),"Paid")</f>
        <v>Paid</v>
      </c>
      <c r="V137" s="88" t="str">
        <f>IFERROR(__xludf.DUMMYFUNCTION("""COMPUTED_VALUE"""),"Paid")</f>
        <v>Paid</v>
      </c>
      <c r="W137" s="88" t="str">
        <f>IFERROR(__xludf.DUMMYFUNCTION("""COMPUTED_VALUE"""),"Paid")</f>
        <v>Paid</v>
      </c>
      <c r="X137" s="88" t="str">
        <f>IFERROR(__xludf.DUMMYFUNCTION("""COMPUTED_VALUE"""),"Paid")</f>
        <v>Paid</v>
      </c>
      <c r="Y137" s="88" t="str">
        <f>IFERROR(__xludf.DUMMYFUNCTION("""COMPUTED_VALUE"""),"Paid")</f>
        <v>Paid</v>
      </c>
    </row>
    <row r="138">
      <c r="A138" s="88"/>
      <c r="B138" s="88"/>
      <c r="C138" s="88"/>
      <c r="D138" s="88"/>
      <c r="E138" s="88"/>
      <c r="F138" s="88" t="str">
        <f>IFERROR(__xludf.DUMMYFUNCTION("""COMPUTED_VALUE"""),"#DIV/0!")</f>
        <v>#DIV/0!</v>
      </c>
      <c r="G138" s="88" t="str">
        <f>IFERROR(__xludf.DUMMYFUNCTION("""COMPUTED_VALUE"""),"#DIV/0!")</f>
        <v>#DIV/0!</v>
      </c>
      <c r="H138" s="88"/>
      <c r="I138" s="88"/>
      <c r="J138" s="88"/>
      <c r="K138" s="88"/>
      <c r="L138" s="88"/>
      <c r="M138" s="88"/>
      <c r="N138" s="88"/>
      <c r="Q138" s="88"/>
      <c r="R138" s="88" t="str">
        <f>IFERROR(__xludf.DUMMYFUNCTION("""COMPUTED_VALUE"""),"Heat Feb 19 - Mar 18")</f>
        <v>Heat Feb 19 - Mar 18</v>
      </c>
      <c r="S138" s="88">
        <f>IFERROR(__xludf.DUMMYFUNCTION("""COMPUTED_VALUE"""),146.59)</f>
        <v>146.59</v>
      </c>
      <c r="T138" s="88">
        <f>IFERROR(__xludf.DUMMYFUNCTION("""COMPUTED_VALUE"""),48.86333333333334)</f>
        <v>48.86333333</v>
      </c>
      <c r="U138" s="88"/>
      <c r="V138" s="88"/>
      <c r="W138" s="88"/>
      <c r="X138" s="88"/>
      <c r="Y138" s="88"/>
    </row>
    <row r="139">
      <c r="A139" s="88"/>
      <c r="B139" s="88"/>
      <c r="C139" s="88"/>
      <c r="D139" s="88"/>
      <c r="E139" s="88"/>
      <c r="F139" s="88" t="str">
        <f>IFERROR(__xludf.DUMMYFUNCTION("""COMPUTED_VALUE"""),"#DIV/0!")</f>
        <v>#DIV/0!</v>
      </c>
      <c r="G139" s="88" t="str">
        <f>IFERROR(__xludf.DUMMYFUNCTION("""COMPUTED_VALUE"""),"#DIV/0!")</f>
        <v>#DIV/0!</v>
      </c>
      <c r="H139" s="88"/>
      <c r="I139" s="88"/>
      <c r="J139" s="88"/>
      <c r="K139" s="88"/>
      <c r="L139" s="88"/>
      <c r="M139" s="88"/>
      <c r="N139" s="88"/>
      <c r="Q139" s="88"/>
      <c r="R139" s="88" t="str">
        <f>IFERROR(__xludf.DUMMYFUNCTION("""COMPUTED_VALUE"""),"Electricity")</f>
        <v>Electricity</v>
      </c>
      <c r="S139" s="88">
        <f>IFERROR(__xludf.DUMMYFUNCTION("""COMPUTED_VALUE"""),147.53)</f>
        <v>147.53</v>
      </c>
      <c r="T139" s="88"/>
      <c r="U139" s="88"/>
      <c r="V139" s="88"/>
      <c r="W139" s="88"/>
      <c r="X139" s="88"/>
      <c r="Y139" s="88"/>
    </row>
    <row r="140">
      <c r="A140" s="88"/>
      <c r="B140" s="88"/>
      <c r="C140" s="88"/>
      <c r="D140" s="88"/>
      <c r="E140" s="88"/>
      <c r="F140" s="88" t="str">
        <f>IFERROR(__xludf.DUMMYFUNCTION("""COMPUTED_VALUE"""),"#DIV/0!")</f>
        <v>#DIV/0!</v>
      </c>
      <c r="G140" s="88"/>
      <c r="H140" s="88"/>
      <c r="I140" s="88"/>
      <c r="J140" s="88"/>
      <c r="K140" s="88"/>
      <c r="L140" s="88"/>
      <c r="M140" s="88"/>
      <c r="N140" s="88"/>
      <c r="Q140" s="88"/>
      <c r="R140" s="88" t="str">
        <f>IFERROR(__xludf.DUMMYFUNCTION("""COMPUTED_VALUE"""),"Internet")</f>
        <v>Internet</v>
      </c>
      <c r="S140" s="88">
        <f>IFERROR(__xludf.DUMMYFUNCTION("""COMPUTED_VALUE"""),56.5)</f>
        <v>56.5</v>
      </c>
      <c r="T140" s="88">
        <f>IFERROR(__xludf.DUMMYFUNCTION("""COMPUTED_VALUE"""),9.416666666666666)</f>
        <v>9.416666667</v>
      </c>
      <c r="U140" s="88"/>
      <c r="V140" s="88"/>
      <c r="W140" s="88"/>
      <c r="X140" s="88"/>
      <c r="Y140" s="88"/>
    </row>
    <row r="141">
      <c r="A141" s="88"/>
      <c r="B141" s="88"/>
      <c r="C141" s="88"/>
      <c r="D141" s="88"/>
      <c r="E141" s="88"/>
      <c r="F141" s="88" t="str">
        <f>IFERROR(__xludf.DUMMYFUNCTION("""COMPUTED_VALUE"""),"#DIV/0!")</f>
        <v>#DIV/0!</v>
      </c>
      <c r="G141" s="88"/>
      <c r="H141" s="88"/>
      <c r="I141" s="88"/>
      <c r="J141" s="88"/>
      <c r="K141" s="88"/>
      <c r="L141" s="88"/>
      <c r="M141" s="88"/>
      <c r="N141" s="88"/>
      <c r="Q141" s="88"/>
      <c r="R141" s="88"/>
      <c r="S141" s="88"/>
      <c r="T141" s="88"/>
      <c r="U141" s="88"/>
      <c r="V141" s="88"/>
      <c r="W141" s="88"/>
      <c r="X141" s="88"/>
      <c r="Y141" s="88"/>
    </row>
    <row r="142">
      <c r="A142" s="88"/>
      <c r="B142" s="88"/>
      <c r="C142" s="88"/>
      <c r="D142" s="88"/>
      <c r="E142" s="88"/>
      <c r="F142" s="88" t="str">
        <f>IFERROR(__xludf.DUMMYFUNCTION("""COMPUTED_VALUE"""),"#DIV/0!")</f>
        <v>#DIV/0!</v>
      </c>
      <c r="G142" s="88"/>
      <c r="H142" s="88"/>
      <c r="I142" s="88"/>
      <c r="J142" s="88"/>
      <c r="K142" s="88"/>
      <c r="L142" s="88"/>
      <c r="M142" s="88"/>
      <c r="N142" s="88"/>
      <c r="Q142" s="88"/>
      <c r="R142" s="88"/>
      <c r="S142" s="88"/>
      <c r="T142" s="88"/>
      <c r="U142" s="88"/>
      <c r="V142" s="88"/>
      <c r="W142" s="88"/>
      <c r="X142" s="88"/>
      <c r="Y142" s="88"/>
    </row>
    <row r="143">
      <c r="A143" s="88"/>
      <c r="B143" s="88"/>
      <c r="C143" s="88"/>
      <c r="D143" s="88"/>
      <c r="E143" s="88"/>
      <c r="F143" s="88" t="str">
        <f>IFERROR(__xludf.DUMMYFUNCTION("""COMPUTED_VALUE"""),"#DIV/0!")</f>
        <v>#DIV/0!</v>
      </c>
      <c r="G143" s="88"/>
      <c r="H143" s="88"/>
      <c r="I143" s="88"/>
      <c r="J143" s="88"/>
      <c r="K143" s="88"/>
      <c r="L143" s="88"/>
      <c r="M143" s="88"/>
      <c r="N143" s="88"/>
      <c r="Q143" s="138">
        <f>IFERROR(__xludf.DUMMYFUNCTION("""COMPUTED_VALUE"""),45717.0)</f>
        <v>45717</v>
      </c>
      <c r="R143" s="88" t="str">
        <f>IFERROR(__xludf.DUMMYFUNCTION("""COMPUTED_VALUE"""),"Rent")</f>
        <v>Rent</v>
      </c>
      <c r="S143" s="88">
        <f>IFERROR(__xludf.DUMMYFUNCTION("""COMPUTED_VALUE"""),3900.0)</f>
        <v>3900</v>
      </c>
      <c r="T143" s="88">
        <f>IFERROR(__xludf.DUMMYFUNCTION("""COMPUTED_VALUE"""),650.0)</f>
        <v>650</v>
      </c>
      <c r="U143" s="88" t="str">
        <f>IFERROR(__xludf.DUMMYFUNCTION("""COMPUTED_VALUE"""),"Paid")</f>
        <v>Paid</v>
      </c>
      <c r="V143" s="88" t="str">
        <f>IFERROR(__xludf.DUMMYFUNCTION("""COMPUTED_VALUE"""),"Paid")</f>
        <v>Paid</v>
      </c>
      <c r="W143" s="88"/>
      <c r="X143" s="88" t="str">
        <f>IFERROR(__xludf.DUMMYFUNCTION("""COMPUTED_VALUE"""),"Paid")</f>
        <v>Paid</v>
      </c>
      <c r="Y143" s="88" t="str">
        <f>IFERROR(__xludf.DUMMYFUNCTION("""COMPUTED_VALUE"""),"Paid")</f>
        <v>Paid</v>
      </c>
    </row>
    <row r="144">
      <c r="A144" s="88"/>
      <c r="B144" s="88"/>
      <c r="C144" s="88"/>
      <c r="D144" s="88"/>
      <c r="E144" s="88"/>
      <c r="F144" s="88" t="str">
        <f>IFERROR(__xludf.DUMMYFUNCTION("""COMPUTED_VALUE"""),"#DIV/0!")</f>
        <v>#DIV/0!</v>
      </c>
      <c r="G144" s="88"/>
      <c r="H144" s="88"/>
      <c r="I144" s="88"/>
      <c r="J144" s="88"/>
      <c r="K144" s="88"/>
      <c r="L144" s="88"/>
      <c r="M144" s="88"/>
      <c r="N144" s="88"/>
      <c r="Q144" s="88"/>
      <c r="R144" s="88" t="str">
        <f>IFERROR(__xludf.DUMMYFUNCTION("""COMPUTED_VALUE"""),"Heat")</f>
        <v>Heat</v>
      </c>
      <c r="S144" s="88"/>
      <c r="T144" s="88"/>
      <c r="U144" s="88"/>
      <c r="V144" s="88"/>
      <c r="W144" s="88"/>
      <c r="X144" s="88"/>
      <c r="Y144" s="88"/>
    </row>
    <row r="145">
      <c r="A145" s="88"/>
      <c r="B145" s="88"/>
      <c r="C145" s="88"/>
      <c r="D145" s="88"/>
      <c r="E145" s="88"/>
      <c r="F145" s="88" t="str">
        <f>IFERROR(__xludf.DUMMYFUNCTION("""COMPUTED_VALUE"""),"#DIV/0!")</f>
        <v>#DIV/0!</v>
      </c>
      <c r="G145" s="88"/>
      <c r="H145" s="88"/>
      <c r="I145" s="88"/>
      <c r="J145" s="88"/>
      <c r="K145" s="88"/>
      <c r="L145" s="88"/>
      <c r="M145" s="88"/>
      <c r="N145" s="88"/>
      <c r="Q145" s="88"/>
      <c r="R145" s="88" t="str">
        <f>IFERROR(__xludf.DUMMYFUNCTION("""COMPUTED_VALUE"""),"Electricity")</f>
        <v>Electricity</v>
      </c>
      <c r="S145" s="88">
        <f>IFERROR(__xludf.DUMMYFUNCTION("""COMPUTED_VALUE"""),100.34)</f>
        <v>100.34</v>
      </c>
      <c r="T145" s="88"/>
      <c r="U145" s="88"/>
      <c r="V145" s="88"/>
      <c r="W145" s="88"/>
      <c r="X145" s="88"/>
      <c r="Y145" s="88"/>
    </row>
    <row r="146">
      <c r="A146" s="88"/>
      <c r="B146" s="88"/>
      <c r="C146" s="88"/>
      <c r="D146" s="88"/>
      <c r="E146" s="88"/>
      <c r="F146" s="88" t="str">
        <f>IFERROR(__xludf.DUMMYFUNCTION("""COMPUTED_VALUE"""),"#DIV/0!")</f>
        <v>#DIV/0!</v>
      </c>
      <c r="G146" s="88"/>
      <c r="H146" s="88"/>
      <c r="I146" s="88"/>
      <c r="J146" s="88"/>
      <c r="K146" s="88"/>
      <c r="L146" s="88"/>
      <c r="M146" s="88"/>
      <c r="N146" s="88"/>
      <c r="Q146" s="88"/>
      <c r="R146" s="88" t="str">
        <f>IFERROR(__xludf.DUMMYFUNCTION("""COMPUTED_VALUE"""),"Internet")</f>
        <v>Internet</v>
      </c>
      <c r="S146" s="88">
        <f>IFERROR(__xludf.DUMMYFUNCTION("""COMPUTED_VALUE"""),56.5)</f>
        <v>56.5</v>
      </c>
      <c r="T146" s="88">
        <f>IFERROR(__xludf.DUMMYFUNCTION("""COMPUTED_VALUE"""),9.416666666666666)</f>
        <v>9.416666667</v>
      </c>
      <c r="U146" s="88"/>
      <c r="V146" s="88"/>
      <c r="W146" s="88"/>
      <c r="X146" s="88"/>
      <c r="Y146" s="88"/>
    </row>
    <row r="147">
      <c r="A147" s="88"/>
      <c r="B147" s="88"/>
      <c r="C147" s="88"/>
      <c r="D147" s="88"/>
      <c r="E147" s="88"/>
      <c r="F147" s="88" t="str">
        <f>IFERROR(__xludf.DUMMYFUNCTION("""COMPUTED_VALUE"""),"#DIV/0!")</f>
        <v>#DIV/0!</v>
      </c>
      <c r="G147" s="88"/>
      <c r="H147" s="88"/>
      <c r="I147" s="88"/>
      <c r="J147" s="88"/>
      <c r="K147" s="88"/>
      <c r="L147" s="88"/>
      <c r="M147" s="88"/>
      <c r="N147" s="88"/>
      <c r="Q147" s="88"/>
      <c r="R147" s="88"/>
      <c r="S147" s="88"/>
      <c r="T147" s="88"/>
      <c r="U147" s="88"/>
      <c r="V147" s="88"/>
      <c r="W147" s="88"/>
      <c r="X147" s="88"/>
      <c r="Y147" s="88"/>
    </row>
    <row r="148">
      <c r="A148" s="88"/>
      <c r="B148" s="88"/>
      <c r="C148" s="88"/>
      <c r="D148" s="88"/>
      <c r="E148" s="88"/>
      <c r="F148" s="88" t="str">
        <f>IFERROR(__xludf.DUMMYFUNCTION("""COMPUTED_VALUE"""),"#DIV/0!")</f>
        <v>#DIV/0!</v>
      </c>
      <c r="G148" s="88"/>
      <c r="H148" s="88"/>
      <c r="I148" s="88"/>
      <c r="J148" s="88"/>
      <c r="K148" s="88"/>
      <c r="L148" s="88"/>
      <c r="M148" s="88"/>
      <c r="N148" s="88"/>
      <c r="Q148" s="88"/>
      <c r="R148" s="88"/>
      <c r="S148" s="88"/>
      <c r="T148" s="88"/>
      <c r="U148" s="88"/>
      <c r="V148" s="88"/>
      <c r="W148" s="88"/>
      <c r="X148" s="88"/>
      <c r="Y148" s="88"/>
    </row>
    <row r="149">
      <c r="A149" s="88"/>
      <c r="B149" s="88"/>
      <c r="C149" s="88"/>
      <c r="D149" s="88"/>
      <c r="E149" s="88"/>
      <c r="F149" s="88" t="str">
        <f>IFERROR(__xludf.DUMMYFUNCTION("""COMPUTED_VALUE"""),"#DIV/0!")</f>
        <v>#DIV/0!</v>
      </c>
      <c r="G149" s="88"/>
      <c r="H149" s="88"/>
      <c r="I149" s="88"/>
      <c r="J149" s="88"/>
      <c r="K149" s="88"/>
      <c r="L149" s="88"/>
      <c r="M149" s="88"/>
      <c r="N149" s="88"/>
      <c r="Q149" s="88"/>
      <c r="R149" s="88"/>
      <c r="S149" s="88"/>
      <c r="T149" s="88"/>
      <c r="U149" s="88"/>
      <c r="V149" s="88"/>
      <c r="W149" s="88"/>
      <c r="X149" s="88"/>
      <c r="Y149" s="88"/>
    </row>
    <row r="150">
      <c r="A150" s="88"/>
      <c r="B150" s="88"/>
      <c r="C150" s="88"/>
      <c r="D150" s="88"/>
      <c r="E150" s="88"/>
      <c r="F150" s="88" t="str">
        <f>IFERROR(__xludf.DUMMYFUNCTION("""COMPUTED_VALUE"""),"#DIV/0!")</f>
        <v>#DIV/0!</v>
      </c>
      <c r="G150" s="88"/>
      <c r="H150" s="88"/>
      <c r="I150" s="88"/>
      <c r="J150" s="88"/>
      <c r="K150" s="88"/>
      <c r="L150" s="88"/>
      <c r="M150" s="88"/>
      <c r="N150" s="88"/>
      <c r="Q150" s="88"/>
      <c r="R150" s="88"/>
      <c r="S150" s="88"/>
      <c r="T150" s="88"/>
      <c r="U150" s="88"/>
      <c r="V150" s="88"/>
      <c r="W150" s="88"/>
      <c r="X150" s="88"/>
      <c r="Y150" s="88"/>
    </row>
    <row r="151">
      <c r="A151" s="88"/>
      <c r="B151" s="88"/>
      <c r="C151" s="88"/>
      <c r="D151" s="88"/>
      <c r="E151" s="88"/>
      <c r="F151" s="88" t="str">
        <f>IFERROR(__xludf.DUMMYFUNCTION("""COMPUTED_VALUE"""),"#DIV/0!")</f>
        <v>#DIV/0!</v>
      </c>
      <c r="G151" s="88"/>
      <c r="H151" s="88"/>
      <c r="I151" s="88"/>
      <c r="J151" s="88"/>
      <c r="K151" s="88"/>
      <c r="L151" s="88"/>
      <c r="M151" s="88"/>
      <c r="N151" s="88"/>
      <c r="Q151" s="88"/>
      <c r="R151" s="88"/>
      <c r="S151" s="88"/>
      <c r="T151" s="88"/>
      <c r="U151" s="88"/>
      <c r="V151" s="88"/>
      <c r="W151" s="88"/>
      <c r="X151" s="88"/>
      <c r="Y151" s="88"/>
    </row>
    <row r="152">
      <c r="A152" s="88"/>
      <c r="B152" s="88"/>
      <c r="C152" s="88"/>
      <c r="D152" s="88"/>
      <c r="E152" s="88"/>
      <c r="F152" s="88" t="str">
        <f>IFERROR(__xludf.DUMMYFUNCTION("""COMPUTED_VALUE"""),"#DIV/0!")</f>
        <v>#DIV/0!</v>
      </c>
      <c r="G152" s="88"/>
      <c r="H152" s="88"/>
      <c r="I152" s="88"/>
      <c r="J152" s="88"/>
      <c r="K152" s="88"/>
      <c r="L152" s="88"/>
      <c r="M152" s="88"/>
      <c r="N152" s="88"/>
      <c r="Q152" s="88"/>
      <c r="R152" s="88"/>
      <c r="S152" s="88"/>
      <c r="T152" s="88"/>
      <c r="U152" s="88"/>
      <c r="V152" s="88"/>
      <c r="W152" s="88"/>
      <c r="X152" s="88"/>
      <c r="Y152" s="88"/>
    </row>
    <row r="153">
      <c r="A153" s="88"/>
      <c r="B153" s="88"/>
      <c r="C153" s="88"/>
      <c r="D153" s="88"/>
      <c r="E153" s="88"/>
      <c r="F153" s="88" t="str">
        <f>IFERROR(__xludf.DUMMYFUNCTION("""COMPUTED_VALUE"""),"#DIV/0!")</f>
        <v>#DIV/0!</v>
      </c>
      <c r="G153" s="88"/>
      <c r="H153" s="88"/>
      <c r="I153" s="88"/>
      <c r="J153" s="88"/>
      <c r="K153" s="88"/>
      <c r="L153" s="88"/>
      <c r="M153" s="88"/>
      <c r="N153" s="88"/>
      <c r="Q153" s="88"/>
      <c r="R153" s="88"/>
      <c r="S153" s="88"/>
      <c r="T153" s="88"/>
      <c r="U153" s="88"/>
      <c r="V153" s="88"/>
      <c r="W153" s="88"/>
      <c r="X153" s="88"/>
      <c r="Y153" s="88"/>
    </row>
    <row r="154">
      <c r="A154" s="88"/>
      <c r="B154" s="88"/>
      <c r="C154" s="88"/>
      <c r="D154" s="88"/>
      <c r="E154" s="88"/>
      <c r="F154" s="88" t="str">
        <f>IFERROR(__xludf.DUMMYFUNCTION("""COMPUTED_VALUE"""),"#DIV/0!")</f>
        <v>#DIV/0!</v>
      </c>
      <c r="G154" s="88"/>
      <c r="H154" s="88"/>
      <c r="I154" s="88"/>
      <c r="J154" s="88"/>
      <c r="K154" s="88"/>
      <c r="L154" s="88"/>
      <c r="M154" s="88"/>
      <c r="N154" s="88"/>
      <c r="Q154" s="88"/>
      <c r="R154" s="88"/>
      <c r="S154" s="88"/>
      <c r="T154" s="88"/>
      <c r="U154" s="88"/>
      <c r="V154" s="88"/>
      <c r="W154" s="88"/>
      <c r="X154" s="88"/>
      <c r="Y154" s="88"/>
    </row>
    <row r="155">
      <c r="A155" s="88"/>
      <c r="B155" s="88"/>
      <c r="C155" s="88"/>
      <c r="D155" s="88"/>
      <c r="E155" s="88"/>
      <c r="F155" s="88" t="str">
        <f>IFERROR(__xludf.DUMMYFUNCTION("""COMPUTED_VALUE"""),"#DIV/0!")</f>
        <v>#DIV/0!</v>
      </c>
      <c r="G155" s="88"/>
      <c r="H155" s="88"/>
      <c r="I155" s="88"/>
      <c r="J155" s="88"/>
      <c r="K155" s="88"/>
      <c r="L155" s="88"/>
      <c r="M155" s="88"/>
      <c r="N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>
      <c r="A156" s="88"/>
      <c r="B156" s="88"/>
      <c r="C156" s="88"/>
      <c r="D156" s="88"/>
      <c r="E156" s="88"/>
      <c r="F156" s="88" t="str">
        <f>IFERROR(__xludf.DUMMYFUNCTION("""COMPUTED_VALUE"""),"#DIV/0!")</f>
        <v>#DIV/0!</v>
      </c>
      <c r="G156" s="88"/>
      <c r="H156" s="88"/>
      <c r="I156" s="88"/>
      <c r="J156" s="88"/>
      <c r="K156" s="88"/>
      <c r="L156" s="88"/>
      <c r="M156" s="88"/>
      <c r="N156" s="88"/>
      <c r="Q156" s="88"/>
      <c r="R156" s="88"/>
      <c r="S156" s="88"/>
      <c r="T156" s="88"/>
      <c r="U156" s="88"/>
      <c r="V156" s="88"/>
      <c r="W156" s="88"/>
      <c r="X156" s="88"/>
      <c r="Y156" s="88"/>
    </row>
    <row r="157">
      <c r="A157" s="88"/>
      <c r="B157" s="88"/>
      <c r="C157" s="88"/>
      <c r="D157" s="88"/>
      <c r="E157" s="88"/>
      <c r="F157" s="88" t="str">
        <f>IFERROR(__xludf.DUMMYFUNCTION("""COMPUTED_VALUE"""),"#DIV/0!")</f>
        <v>#DIV/0!</v>
      </c>
      <c r="G157" s="88"/>
      <c r="H157" s="88"/>
      <c r="I157" s="88"/>
      <c r="J157" s="88"/>
      <c r="K157" s="88"/>
      <c r="L157" s="88"/>
      <c r="M157" s="88"/>
      <c r="N157" s="88"/>
      <c r="Q157" s="88"/>
      <c r="R157" s="88"/>
      <c r="S157" s="88"/>
      <c r="T157" s="88"/>
      <c r="U157" s="88"/>
      <c r="V157" s="88"/>
      <c r="W157" s="88"/>
      <c r="X157" s="88"/>
      <c r="Y157" s="88"/>
    </row>
    <row r="158">
      <c r="A158" s="88"/>
      <c r="B158" s="88"/>
      <c r="C158" s="88"/>
      <c r="D158" s="88"/>
      <c r="E158" s="88"/>
      <c r="F158" s="88" t="str">
        <f>IFERROR(__xludf.DUMMYFUNCTION("""COMPUTED_VALUE"""),"#DIV/0!")</f>
        <v>#DIV/0!</v>
      </c>
      <c r="G158" s="88"/>
      <c r="H158" s="88"/>
      <c r="I158" s="88"/>
      <c r="J158" s="88"/>
      <c r="K158" s="88"/>
      <c r="L158" s="88"/>
      <c r="M158" s="88"/>
      <c r="N158" s="88"/>
      <c r="Q158" s="88"/>
      <c r="R158" s="88"/>
      <c r="S158" s="88"/>
      <c r="T158" s="88"/>
      <c r="U158" s="88"/>
      <c r="V158" s="88"/>
      <c r="W158" s="88"/>
      <c r="X158" s="88"/>
      <c r="Y158" s="88"/>
    </row>
    <row r="159">
      <c r="A159" s="88"/>
      <c r="B159" s="88"/>
      <c r="C159" s="88"/>
      <c r="D159" s="88"/>
      <c r="E159" s="88"/>
      <c r="F159" s="88" t="str">
        <f>IFERROR(__xludf.DUMMYFUNCTION("""COMPUTED_VALUE"""),"#DIV/0!")</f>
        <v>#DIV/0!</v>
      </c>
      <c r="G159" s="88"/>
      <c r="H159" s="88"/>
      <c r="I159" s="88"/>
      <c r="J159" s="88"/>
      <c r="K159" s="88"/>
      <c r="L159" s="88"/>
      <c r="M159" s="88"/>
      <c r="N159" s="88"/>
      <c r="Q159" s="88"/>
      <c r="R159" s="88"/>
      <c r="S159" s="88"/>
      <c r="T159" s="88"/>
      <c r="U159" s="88"/>
      <c r="V159" s="88"/>
      <c r="W159" s="88"/>
      <c r="X159" s="88"/>
      <c r="Y159" s="88"/>
    </row>
    <row r="160">
      <c r="A160" s="88"/>
      <c r="B160" s="88"/>
      <c r="C160" s="88"/>
      <c r="D160" s="88"/>
      <c r="E160" s="88"/>
      <c r="F160" s="88" t="str">
        <f>IFERROR(__xludf.DUMMYFUNCTION("""COMPUTED_VALUE"""),"#DIV/0!")</f>
        <v>#DIV/0!</v>
      </c>
      <c r="G160" s="88"/>
      <c r="H160" s="88"/>
      <c r="I160" s="88"/>
      <c r="J160" s="88"/>
      <c r="K160" s="88"/>
      <c r="L160" s="88"/>
      <c r="M160" s="88"/>
      <c r="N160" s="88"/>
      <c r="Q160" s="88"/>
      <c r="R160" s="88"/>
      <c r="S160" s="88"/>
      <c r="T160" s="88"/>
      <c r="U160" s="88"/>
      <c r="V160" s="88"/>
      <c r="W160" s="88"/>
      <c r="X160" s="88"/>
      <c r="Y160" s="88"/>
    </row>
    <row r="161">
      <c r="A161" s="88"/>
      <c r="B161" s="88"/>
      <c r="C161" s="88"/>
      <c r="D161" s="88"/>
      <c r="E161" s="88"/>
      <c r="F161" s="88" t="str">
        <f>IFERROR(__xludf.DUMMYFUNCTION("""COMPUTED_VALUE"""),"#DIV/0!")</f>
        <v>#DIV/0!</v>
      </c>
      <c r="G161" s="88"/>
      <c r="H161" s="88"/>
      <c r="I161" s="88"/>
      <c r="J161" s="88"/>
      <c r="K161" s="88"/>
      <c r="L161" s="88"/>
      <c r="M161" s="88"/>
      <c r="N161" s="88"/>
      <c r="Q161" s="88"/>
      <c r="R161" s="88"/>
      <c r="S161" s="88"/>
      <c r="T161" s="88"/>
      <c r="U161" s="88"/>
      <c r="V161" s="88"/>
      <c r="W161" s="88"/>
      <c r="X161" s="88"/>
      <c r="Y161" s="88"/>
    </row>
    <row r="162">
      <c r="A162" s="88"/>
      <c r="B162" s="88"/>
      <c r="C162" s="88"/>
      <c r="D162" s="88"/>
      <c r="E162" s="88"/>
      <c r="F162" s="88" t="str">
        <f>IFERROR(__xludf.DUMMYFUNCTION("""COMPUTED_VALUE"""),"#DIV/0!")</f>
        <v>#DIV/0!</v>
      </c>
      <c r="G162" s="88"/>
      <c r="H162" s="88"/>
      <c r="I162" s="88"/>
      <c r="J162" s="88"/>
      <c r="K162" s="88"/>
      <c r="L162" s="88"/>
      <c r="M162" s="88"/>
      <c r="N162" s="88"/>
      <c r="Q162" s="88"/>
      <c r="R162" s="88"/>
      <c r="S162" s="88"/>
      <c r="T162" s="88"/>
      <c r="U162" s="88"/>
      <c r="V162" s="88"/>
      <c r="W162" s="88"/>
      <c r="X162" s="88"/>
      <c r="Y162" s="88"/>
    </row>
    <row r="163">
      <c r="A163" s="88"/>
      <c r="B163" s="88"/>
      <c r="C163" s="88"/>
      <c r="D163" s="88"/>
      <c r="E163" s="88"/>
      <c r="F163" s="88" t="str">
        <f>IFERROR(__xludf.DUMMYFUNCTION("""COMPUTED_VALUE"""),"#DIV/0!")</f>
        <v>#DIV/0!</v>
      </c>
      <c r="G163" s="88"/>
      <c r="H163" s="88"/>
      <c r="I163" s="88"/>
      <c r="J163" s="88"/>
      <c r="K163" s="88"/>
      <c r="L163" s="88"/>
      <c r="M163" s="88"/>
      <c r="N163" s="88"/>
      <c r="Q163" s="88"/>
      <c r="R163" s="88"/>
      <c r="S163" s="88"/>
      <c r="T163" s="88"/>
      <c r="U163" s="88"/>
      <c r="V163" s="88"/>
      <c r="W163" s="88"/>
      <c r="X163" s="88"/>
      <c r="Y163" s="88"/>
    </row>
    <row r="164">
      <c r="A164" s="88"/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Q164" s="88"/>
      <c r="R164" s="88"/>
      <c r="S164" s="88"/>
      <c r="T164" s="88"/>
      <c r="U164" s="88"/>
      <c r="V164" s="88"/>
      <c r="W164" s="88"/>
      <c r="X164" s="88"/>
      <c r="Y164" s="88"/>
    </row>
    <row r="165">
      <c r="A165" s="88"/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Q165" s="88"/>
      <c r="R165" s="88"/>
      <c r="S165" s="88"/>
      <c r="T165" s="88"/>
      <c r="U165" s="88"/>
      <c r="V165" s="88"/>
      <c r="W165" s="88"/>
      <c r="X165" s="88"/>
      <c r="Y165" s="88"/>
    </row>
    <row r="166">
      <c r="A166" s="88"/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Q166" s="88"/>
      <c r="R166" s="88"/>
      <c r="S166" s="88"/>
      <c r="T166" s="88"/>
      <c r="U166" s="88"/>
      <c r="V166" s="88"/>
      <c r="W166" s="88"/>
      <c r="X166" s="88"/>
      <c r="Y166" s="88"/>
    </row>
    <row r="167">
      <c r="A167" s="88"/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Q167" s="88"/>
      <c r="R167" s="88"/>
      <c r="S167" s="88"/>
      <c r="T167" s="88"/>
      <c r="U167" s="88"/>
      <c r="V167" s="88"/>
      <c r="W167" s="88"/>
      <c r="X167" s="88"/>
      <c r="Y167" s="88"/>
    </row>
    <row r="168">
      <c r="A168" s="88"/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Q168" s="88"/>
      <c r="R168" s="88"/>
      <c r="S168" s="88"/>
      <c r="T168" s="88"/>
      <c r="U168" s="88"/>
      <c r="V168" s="88"/>
      <c r="W168" s="88"/>
      <c r="X168" s="88"/>
      <c r="Y168" s="88"/>
    </row>
    <row r="169">
      <c r="A169" s="88"/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Q169" s="88"/>
      <c r="R169" s="88"/>
      <c r="S169" s="88"/>
      <c r="T169" s="88"/>
      <c r="U169" s="88"/>
      <c r="V169" s="88"/>
      <c r="W169" s="88"/>
      <c r="X169" s="88"/>
      <c r="Y169" s="88"/>
    </row>
    <row r="170">
      <c r="A170" s="88"/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Q170" s="88"/>
      <c r="R170" s="88"/>
      <c r="S170" s="88"/>
      <c r="T170" s="88"/>
      <c r="U170" s="88"/>
      <c r="V170" s="88"/>
      <c r="W170" s="88"/>
      <c r="X170" s="88"/>
      <c r="Y170" s="88"/>
    </row>
    <row r="171">
      <c r="A171" s="88"/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Q171" s="88"/>
      <c r="R171" s="88"/>
      <c r="S171" s="88"/>
      <c r="T171" s="88"/>
      <c r="U171" s="88"/>
      <c r="V171" s="88"/>
      <c r="W171" s="88"/>
      <c r="X171" s="88"/>
      <c r="Y171" s="88"/>
    </row>
    <row r="172">
      <c r="A172" s="88"/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>
      <c r="A173" s="88"/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Q173" s="88"/>
      <c r="R173" s="88"/>
      <c r="S173" s="88"/>
      <c r="T173" s="88"/>
      <c r="U173" s="88"/>
      <c r="V173" s="88"/>
      <c r="W173" s="88"/>
      <c r="X173" s="88"/>
      <c r="Y173" s="88"/>
    </row>
    <row r="174">
      <c r="A174" s="88"/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Q174" s="88"/>
      <c r="R174" s="88"/>
      <c r="S174" s="88"/>
      <c r="T174" s="88"/>
      <c r="U174" s="88"/>
      <c r="V174" s="88"/>
      <c r="W174" s="88"/>
      <c r="X174" s="88"/>
      <c r="Y174" s="88"/>
    </row>
    <row r="175">
      <c r="A175" s="88"/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>
      <c r="A176" s="88"/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Q176" s="88"/>
      <c r="R176" s="88"/>
      <c r="S176" s="88"/>
      <c r="T176" s="88"/>
      <c r="U176" s="88"/>
      <c r="V176" s="88"/>
      <c r="W176" s="88"/>
      <c r="X176" s="88"/>
      <c r="Y176" s="88"/>
    </row>
    <row r="177">
      <c r="A177" s="88"/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Q177" s="88"/>
      <c r="R177" s="88"/>
      <c r="S177" s="88"/>
      <c r="T177" s="88"/>
      <c r="U177" s="88"/>
      <c r="V177" s="88"/>
      <c r="W177" s="88"/>
      <c r="X177" s="88"/>
      <c r="Y177" s="88"/>
    </row>
    <row r="178">
      <c r="A178" s="88"/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Q178" s="88"/>
      <c r="R178" s="88"/>
      <c r="S178" s="88"/>
      <c r="T178" s="88"/>
      <c r="U178" s="88"/>
      <c r="V178" s="88"/>
      <c r="W178" s="88"/>
      <c r="X178" s="88"/>
      <c r="Y178" s="88"/>
    </row>
    <row r="179">
      <c r="A179" s="88"/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Q179" s="88"/>
      <c r="R179" s="88"/>
      <c r="S179" s="88"/>
      <c r="T179" s="88"/>
      <c r="U179" s="88"/>
      <c r="V179" s="88"/>
      <c r="W179" s="88"/>
      <c r="X179" s="88"/>
      <c r="Y179" s="88"/>
    </row>
    <row r="180">
      <c r="A180" s="88"/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Q180" s="88"/>
      <c r="R180" s="88"/>
      <c r="S180" s="88"/>
      <c r="T180" s="88"/>
      <c r="U180" s="88"/>
      <c r="V180" s="88"/>
      <c r="W180" s="88"/>
      <c r="X180" s="88"/>
      <c r="Y180" s="88"/>
    </row>
    <row r="181">
      <c r="A181" s="88"/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Q181" s="88"/>
      <c r="R181" s="88"/>
      <c r="S181" s="88"/>
      <c r="T181" s="88"/>
      <c r="U181" s="88"/>
      <c r="V181" s="88"/>
      <c r="W181" s="88"/>
      <c r="X181" s="88"/>
      <c r="Y181" s="88"/>
    </row>
    <row r="182">
      <c r="A182" s="88"/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>
      <c r="A183" s="88"/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Q183" s="88"/>
      <c r="R183" s="88"/>
      <c r="S183" s="88"/>
      <c r="T183" s="88"/>
      <c r="U183" s="88"/>
      <c r="V183" s="88"/>
      <c r="W183" s="88"/>
      <c r="X183" s="88"/>
      <c r="Y183" s="88"/>
    </row>
    <row r="184">
      <c r="A184" s="88"/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Q184" s="88"/>
      <c r="R184" s="88"/>
      <c r="S184" s="88"/>
      <c r="T184" s="88"/>
      <c r="U184" s="88"/>
      <c r="V184" s="88"/>
      <c r="W184" s="88"/>
      <c r="X184" s="88"/>
      <c r="Y184" s="88"/>
    </row>
    <row r="185">
      <c r="A185" s="88"/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Q185" s="88"/>
      <c r="R185" s="88"/>
      <c r="S185" s="88"/>
      <c r="T185" s="88"/>
      <c r="U185" s="88"/>
      <c r="V185" s="88"/>
      <c r="W185" s="88"/>
      <c r="X185" s="88"/>
      <c r="Y185" s="88"/>
    </row>
    <row r="186">
      <c r="A186" s="88"/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Q186" s="88"/>
      <c r="R186" s="88"/>
      <c r="S186" s="88"/>
      <c r="T186" s="88"/>
      <c r="U186" s="88"/>
      <c r="V186" s="88"/>
      <c r="W186" s="88"/>
      <c r="X186" s="88"/>
      <c r="Y186" s="88"/>
    </row>
    <row r="187">
      <c r="A187" s="88"/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Q187" s="88"/>
      <c r="R187" s="88"/>
      <c r="S187" s="88"/>
      <c r="T187" s="88"/>
      <c r="U187" s="88"/>
      <c r="V187" s="88"/>
      <c r="W187" s="88"/>
      <c r="X187" s="88"/>
      <c r="Y187" s="88"/>
    </row>
    <row r="188">
      <c r="A188" s="88"/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Q188" s="88"/>
      <c r="R188" s="88"/>
      <c r="S188" s="88"/>
      <c r="T188" s="88"/>
      <c r="U188" s="88"/>
      <c r="V188" s="88"/>
      <c r="W188" s="88"/>
      <c r="X188" s="88"/>
      <c r="Y188" s="88"/>
    </row>
    <row r="189">
      <c r="A189" s="88"/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Q189" s="88"/>
      <c r="R189" s="88"/>
      <c r="S189" s="88"/>
      <c r="T189" s="88"/>
      <c r="U189" s="88"/>
      <c r="V189" s="88"/>
      <c r="W189" s="88"/>
      <c r="X189" s="88"/>
      <c r="Y189" s="88"/>
    </row>
    <row r="190">
      <c r="A190" s="88"/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Q190" s="88"/>
      <c r="R190" s="88"/>
      <c r="S190" s="88"/>
      <c r="T190" s="88"/>
      <c r="U190" s="88"/>
      <c r="V190" s="88"/>
      <c r="W190" s="88"/>
      <c r="X190" s="139"/>
      <c r="Y190" s="88"/>
    </row>
    <row r="191">
      <c r="A191" s="88"/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Q191" s="88"/>
      <c r="R191" s="88"/>
      <c r="S191" s="88"/>
      <c r="T191" s="88"/>
      <c r="U191" s="88"/>
      <c r="V191" s="88"/>
      <c r="W191" s="88"/>
      <c r="X191" s="139"/>
      <c r="Y191" s="88"/>
    </row>
    <row r="192">
      <c r="A192" s="88"/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>
      <c r="A193" s="88"/>
      <c r="B193" s="88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Q193" s="88"/>
      <c r="R193" s="88"/>
      <c r="S193" s="88"/>
      <c r="T193" s="88"/>
      <c r="U193" s="88"/>
      <c r="V193" s="88"/>
      <c r="W193" s="88"/>
      <c r="X193" s="139"/>
      <c r="Y193" s="88"/>
    </row>
    <row r="194">
      <c r="A194" s="88"/>
      <c r="B194" s="88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Q194" s="88"/>
      <c r="R194" s="88"/>
      <c r="S194" s="88"/>
      <c r="T194" s="88"/>
      <c r="U194" s="88"/>
      <c r="V194" s="88"/>
      <c r="W194" s="88"/>
      <c r="X194" s="139"/>
      <c r="Y194" s="88"/>
    </row>
    <row r="195">
      <c r="A195" s="88"/>
      <c r="B195" s="88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Q195" s="88"/>
      <c r="R195" s="88"/>
      <c r="S195" s="88"/>
      <c r="T195" s="88"/>
      <c r="U195" s="88"/>
      <c r="V195" s="88"/>
      <c r="W195" s="88"/>
      <c r="X195" s="139"/>
      <c r="Y195" s="88"/>
    </row>
    <row r="196">
      <c r="A196" s="88"/>
      <c r="B196" s="88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Q196" s="88"/>
      <c r="R196" s="88"/>
      <c r="S196" s="88"/>
      <c r="T196" s="88"/>
      <c r="U196" s="88"/>
      <c r="V196" s="88"/>
      <c r="W196" s="88"/>
      <c r="X196" s="139"/>
      <c r="Y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Q197" s="88"/>
      <c r="R197" s="88"/>
      <c r="S197" s="88"/>
      <c r="T197" s="88"/>
      <c r="U197" s="88"/>
      <c r="V197" s="88"/>
      <c r="W197" s="88"/>
      <c r="X197" s="139"/>
      <c r="Y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Q198" s="88"/>
      <c r="R198" s="88"/>
      <c r="S198" s="88"/>
      <c r="T198" s="88"/>
      <c r="U198" s="88"/>
      <c r="V198" s="88"/>
      <c r="W198" s="88"/>
      <c r="X198" s="139"/>
      <c r="Y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Q199" s="88"/>
      <c r="R199" s="88"/>
      <c r="S199" s="88"/>
      <c r="T199" s="88"/>
      <c r="U199" s="88"/>
      <c r="V199" s="88"/>
      <c r="W199" s="88"/>
      <c r="X199" s="88"/>
      <c r="Y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Q200" s="88"/>
      <c r="R200" s="88"/>
      <c r="S200" s="88"/>
      <c r="T200" s="88"/>
      <c r="U200" s="88"/>
      <c r="V200" s="88"/>
      <c r="W200" s="88"/>
      <c r="X200" s="139"/>
      <c r="Y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Q201" s="88"/>
      <c r="R201" s="88"/>
      <c r="S201" s="88"/>
      <c r="T201" s="88"/>
      <c r="U201" s="88"/>
      <c r="V201" s="88"/>
      <c r="W201" s="88"/>
      <c r="X201" s="88"/>
      <c r="Y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Q202" s="88"/>
      <c r="R202" s="88"/>
      <c r="S202" s="88"/>
      <c r="T202" s="88"/>
      <c r="U202" s="88"/>
      <c r="V202" s="88"/>
      <c r="W202" s="88"/>
      <c r="X202" s="88"/>
      <c r="Y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Q203" s="88"/>
      <c r="R203" s="88"/>
      <c r="S203" s="88"/>
      <c r="T203" s="88"/>
      <c r="U203" s="88"/>
      <c r="V203" s="88"/>
      <c r="W203" s="88"/>
      <c r="X203" s="139"/>
      <c r="Y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Q204" s="88"/>
      <c r="R204" s="88"/>
      <c r="S204" s="88"/>
      <c r="T204" s="88"/>
      <c r="U204" s="88"/>
      <c r="V204" s="88"/>
      <c r="W204" s="88"/>
      <c r="X204" s="88"/>
      <c r="Y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Q205" s="88"/>
      <c r="R205" s="88"/>
      <c r="S205" s="88"/>
      <c r="T205" s="88"/>
      <c r="U205" s="88"/>
      <c r="V205" s="88"/>
      <c r="W205" s="88"/>
      <c r="X205" s="88"/>
      <c r="Y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Q206" s="88"/>
      <c r="R206" s="88"/>
      <c r="S206" s="88"/>
      <c r="T206" s="88"/>
      <c r="U206" s="88"/>
      <c r="V206" s="88"/>
      <c r="W206" s="88"/>
      <c r="X206" s="88"/>
      <c r="Y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Q207" s="88"/>
      <c r="R207" s="88"/>
      <c r="S207" s="88"/>
      <c r="T207" s="88"/>
      <c r="U207" s="88"/>
      <c r="V207" s="88"/>
      <c r="W207" s="88"/>
      <c r="X207" s="88"/>
      <c r="Y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Q208" s="88"/>
      <c r="R208" s="88"/>
      <c r="S208" s="88"/>
      <c r="T208" s="88"/>
      <c r="U208" s="88"/>
      <c r="V208" s="88"/>
      <c r="W208" s="88"/>
      <c r="X208" s="88"/>
      <c r="Y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Q209" s="88"/>
      <c r="R209" s="88"/>
      <c r="S209" s="88"/>
      <c r="T209" s="88"/>
      <c r="U209" s="88"/>
      <c r="V209" s="88"/>
      <c r="W209" s="88"/>
      <c r="X209" s="88"/>
      <c r="Y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Q210" s="88"/>
      <c r="R210" s="88"/>
      <c r="S210" s="88"/>
      <c r="T210" s="88"/>
      <c r="U210" s="88"/>
      <c r="V210" s="88"/>
      <c r="W210" s="88"/>
      <c r="X210" s="88"/>
      <c r="Y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Q211" s="88"/>
      <c r="R211" s="88"/>
      <c r="S211" s="88"/>
      <c r="T211" s="88"/>
      <c r="U211" s="88"/>
      <c r="V211" s="88"/>
      <c r="W211" s="88"/>
      <c r="X211" s="88"/>
      <c r="Y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Q212" s="88"/>
      <c r="R212" s="88"/>
      <c r="S212" s="88"/>
      <c r="T212" s="88"/>
      <c r="U212" s="88"/>
      <c r="V212" s="88"/>
      <c r="W212" s="88"/>
      <c r="X212" s="88"/>
      <c r="Y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Q213" s="88"/>
      <c r="R213" s="88"/>
      <c r="S213" s="88"/>
      <c r="T213" s="88"/>
      <c r="U213" s="88"/>
      <c r="V213" s="88"/>
      <c r="W213" s="88"/>
      <c r="X213" s="88"/>
      <c r="Y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Q214" s="88"/>
      <c r="R214" s="88"/>
      <c r="S214" s="88"/>
      <c r="T214" s="88"/>
      <c r="U214" s="88"/>
      <c r="V214" s="88"/>
      <c r="W214" s="88"/>
      <c r="X214" s="88"/>
      <c r="Y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Q215" s="88"/>
      <c r="R215" s="88"/>
      <c r="S215" s="88"/>
      <c r="T215" s="88"/>
      <c r="U215" s="88"/>
      <c r="V215" s="88"/>
      <c r="W215" s="88"/>
      <c r="X215" s="88"/>
      <c r="Y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Q216" s="88"/>
      <c r="R216" s="88"/>
      <c r="S216" s="88"/>
      <c r="T216" s="88"/>
      <c r="U216" s="88"/>
      <c r="V216" s="88"/>
      <c r="W216" s="88"/>
      <c r="X216" s="88"/>
      <c r="Y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Q217" s="88"/>
      <c r="R217" s="88"/>
      <c r="S217" s="88"/>
      <c r="T217" s="88"/>
      <c r="U217" s="88"/>
      <c r="V217" s="88"/>
      <c r="W217" s="88"/>
      <c r="X217" s="88"/>
      <c r="Y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Q218" s="88"/>
      <c r="R218" s="88"/>
      <c r="S218" s="88"/>
      <c r="T218" s="88"/>
      <c r="U218" s="88"/>
      <c r="V218" s="88"/>
      <c r="W218" s="88"/>
      <c r="X218" s="88"/>
      <c r="Y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Q219" s="88"/>
      <c r="R219" s="88"/>
      <c r="S219" s="88"/>
      <c r="T219" s="88"/>
      <c r="U219" s="88"/>
      <c r="V219" s="88"/>
      <c r="W219" s="88"/>
      <c r="X219" s="88"/>
      <c r="Y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Q220" s="88"/>
      <c r="R220" s="88"/>
      <c r="S220" s="88"/>
      <c r="T220" s="88"/>
      <c r="U220" s="88"/>
      <c r="V220" s="88"/>
      <c r="W220" s="88"/>
      <c r="X220" s="88"/>
      <c r="Y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Q221" s="88"/>
      <c r="R221" s="88"/>
      <c r="S221" s="88"/>
      <c r="T221" s="88"/>
      <c r="U221" s="88"/>
      <c r="V221" s="88"/>
      <c r="W221" s="88"/>
      <c r="X221" s="88"/>
      <c r="Y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Q222" s="88"/>
      <c r="R222" s="88"/>
      <c r="S222" s="88"/>
      <c r="T222" s="88"/>
      <c r="U222" s="88"/>
      <c r="V222" s="88"/>
      <c r="W222" s="88"/>
      <c r="X222" s="88"/>
      <c r="Y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Q223" s="88"/>
      <c r="R223" s="88"/>
      <c r="S223" s="88"/>
      <c r="T223" s="88"/>
      <c r="U223" s="88"/>
      <c r="V223" s="88"/>
      <c r="W223" s="88"/>
      <c r="X223" s="88"/>
      <c r="Y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Q224" s="88"/>
      <c r="R224" s="88"/>
      <c r="S224" s="88"/>
      <c r="T224" s="88"/>
      <c r="U224" s="88"/>
      <c r="V224" s="88"/>
      <c r="W224" s="88"/>
      <c r="X224" s="88"/>
      <c r="Y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Q225" s="88"/>
      <c r="R225" s="88"/>
      <c r="S225" s="88"/>
      <c r="T225" s="88"/>
      <c r="U225" s="88"/>
      <c r="V225" s="88"/>
      <c r="W225" s="88"/>
      <c r="X225" s="88"/>
      <c r="Y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Q226" s="88"/>
      <c r="R226" s="88"/>
      <c r="S226" s="88"/>
      <c r="T226" s="88"/>
      <c r="U226" s="88"/>
      <c r="V226" s="88"/>
      <c r="W226" s="88"/>
      <c r="X226" s="88"/>
      <c r="Y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Q227" s="88"/>
      <c r="R227" s="88"/>
      <c r="S227" s="88"/>
      <c r="T227" s="88"/>
      <c r="U227" s="88"/>
      <c r="V227" s="88"/>
      <c r="W227" s="88"/>
      <c r="X227" s="88"/>
      <c r="Y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Q228" s="88"/>
      <c r="R228" s="88"/>
      <c r="S228" s="88"/>
      <c r="T228" s="88"/>
      <c r="U228" s="88"/>
      <c r="V228" s="88"/>
      <c r="W228" s="88"/>
      <c r="X228" s="88"/>
      <c r="Y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Q229" s="88"/>
      <c r="R229" s="88"/>
      <c r="S229" s="88"/>
      <c r="T229" s="88"/>
      <c r="U229" s="88"/>
      <c r="V229" s="88"/>
      <c r="W229" s="88"/>
      <c r="X229" s="88"/>
      <c r="Y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Q230" s="88"/>
      <c r="R230" s="88"/>
      <c r="S230" s="88"/>
      <c r="T230" s="88"/>
      <c r="U230" s="88"/>
      <c r="V230" s="88"/>
      <c r="W230" s="88"/>
      <c r="X230" s="88"/>
      <c r="Y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Q231" s="88"/>
      <c r="R231" s="88"/>
      <c r="S231" s="88"/>
      <c r="T231" s="88"/>
      <c r="U231" s="88"/>
      <c r="V231" s="88"/>
      <c r="W231" s="88"/>
      <c r="X231" s="88"/>
      <c r="Y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Q232" s="88"/>
      <c r="R232" s="88"/>
      <c r="S232" s="88"/>
      <c r="T232" s="88"/>
      <c r="U232" s="88"/>
      <c r="V232" s="88"/>
      <c r="W232" s="88"/>
      <c r="X232" s="88"/>
      <c r="Y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Q233" s="88"/>
      <c r="R233" s="88"/>
      <c r="S233" s="88"/>
      <c r="T233" s="88"/>
      <c r="U233" s="88"/>
      <c r="V233" s="88"/>
      <c r="W233" s="88"/>
      <c r="X233" s="88"/>
      <c r="Y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Q234" s="88"/>
      <c r="R234" s="88"/>
      <c r="S234" s="88"/>
      <c r="T234" s="88"/>
      <c r="U234" s="88"/>
      <c r="V234" s="88"/>
      <c r="W234" s="88"/>
      <c r="X234" s="88"/>
      <c r="Y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Q235" s="88"/>
      <c r="R235" s="88"/>
      <c r="S235" s="88"/>
      <c r="T235" s="88"/>
      <c r="U235" s="88"/>
      <c r="V235" s="88"/>
      <c r="W235" s="88"/>
      <c r="X235" s="88"/>
      <c r="Y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Q236" s="88"/>
      <c r="R236" s="88"/>
      <c r="S236" s="88"/>
      <c r="T236" s="88"/>
      <c r="U236" s="88"/>
      <c r="V236" s="88"/>
      <c r="W236" s="88"/>
      <c r="X236" s="88"/>
      <c r="Y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Q237" s="88"/>
      <c r="R237" s="88"/>
      <c r="S237" s="88"/>
      <c r="T237" s="88"/>
      <c r="U237" s="88"/>
      <c r="V237" s="88"/>
      <c r="W237" s="88"/>
      <c r="X237" s="88"/>
      <c r="Y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Q238" s="88"/>
      <c r="R238" s="88"/>
      <c r="S238" s="88"/>
      <c r="T238" s="88"/>
      <c r="U238" s="88"/>
      <c r="V238" s="88"/>
      <c r="W238" s="88"/>
      <c r="X238" s="88"/>
      <c r="Y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Q239" s="88"/>
      <c r="R239" s="88"/>
      <c r="S239" s="88"/>
      <c r="T239" s="88"/>
      <c r="U239" s="88"/>
      <c r="V239" s="88"/>
      <c r="W239" s="88"/>
      <c r="X239" s="88"/>
      <c r="Y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Q240" s="88"/>
      <c r="R240" s="88"/>
      <c r="S240" s="88"/>
      <c r="T240" s="88"/>
      <c r="U240" s="88"/>
      <c r="V240" s="88"/>
      <c r="W240" s="88"/>
      <c r="X240" s="88"/>
      <c r="Y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Q241" s="88"/>
      <c r="R241" s="88"/>
      <c r="S241" s="88"/>
      <c r="T241" s="88"/>
      <c r="U241" s="88"/>
      <c r="V241" s="88"/>
      <c r="W241" s="88"/>
      <c r="X241" s="88"/>
      <c r="Y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Q242" s="88"/>
      <c r="R242" s="88"/>
      <c r="S242" s="88"/>
      <c r="T242" s="88"/>
      <c r="U242" s="88"/>
      <c r="V242" s="88"/>
      <c r="W242" s="88"/>
      <c r="X242" s="88"/>
      <c r="Y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Q243" s="88"/>
      <c r="R243" s="88"/>
      <c r="S243" s="88"/>
      <c r="T243" s="88"/>
      <c r="U243" s="88"/>
      <c r="V243" s="88"/>
      <c r="W243" s="88"/>
      <c r="X243" s="88"/>
      <c r="Y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Q244" s="88"/>
      <c r="R244" s="88"/>
      <c r="S244" s="88"/>
      <c r="T244" s="88"/>
      <c r="U244" s="88"/>
      <c r="V244" s="88"/>
      <c r="W244" s="88"/>
      <c r="X244" s="88"/>
      <c r="Y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Q245" s="88"/>
      <c r="R245" s="88"/>
      <c r="S245" s="88"/>
      <c r="T245" s="88"/>
      <c r="U245" s="88"/>
      <c r="V245" s="88"/>
      <c r="W245" s="88"/>
      <c r="X245" s="88"/>
      <c r="Y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Q246" s="88"/>
      <c r="R246" s="88"/>
      <c r="S246" s="88"/>
      <c r="T246" s="88"/>
      <c r="U246" s="88"/>
      <c r="V246" s="88"/>
      <c r="W246" s="88"/>
      <c r="X246" s="88"/>
      <c r="Y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Q247" s="88"/>
      <c r="R247" s="88"/>
      <c r="S247" s="88"/>
      <c r="T247" s="88"/>
      <c r="U247" s="88"/>
      <c r="V247" s="88"/>
      <c r="W247" s="88"/>
      <c r="X247" s="88"/>
      <c r="Y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Q248" s="88"/>
      <c r="R248" s="88"/>
      <c r="S248" s="88"/>
      <c r="T248" s="88"/>
      <c r="U248" s="88"/>
      <c r="V248" s="88"/>
      <c r="W248" s="88"/>
      <c r="X248" s="88"/>
      <c r="Y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Q249" s="88"/>
      <c r="R249" s="88"/>
      <c r="S249" s="88"/>
      <c r="T249" s="88"/>
      <c r="U249" s="88"/>
      <c r="V249" s="88"/>
      <c r="W249" s="88"/>
      <c r="X249" s="88"/>
      <c r="Y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Q250" s="88"/>
      <c r="R250" s="88"/>
      <c r="S250" s="88"/>
      <c r="T250" s="88"/>
      <c r="U250" s="88"/>
      <c r="V250" s="88"/>
      <c r="W250" s="88"/>
      <c r="X250" s="88"/>
      <c r="Y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Q251" s="88"/>
      <c r="R251" s="88"/>
      <c r="S251" s="88"/>
      <c r="T251" s="88"/>
      <c r="U251" s="88"/>
      <c r="V251" s="88"/>
      <c r="W251" s="88"/>
      <c r="X251" s="88"/>
      <c r="Y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Q252" s="88"/>
      <c r="R252" s="88"/>
      <c r="S252" s="88"/>
      <c r="T252" s="88"/>
      <c r="U252" s="88"/>
      <c r="V252" s="88"/>
      <c r="W252" s="88"/>
      <c r="X252" s="88"/>
      <c r="Y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Q253" s="88"/>
      <c r="R253" s="88"/>
      <c r="S253" s="88"/>
      <c r="T253" s="88"/>
      <c r="U253" s="88"/>
      <c r="V253" s="88"/>
      <c r="W253" s="88"/>
      <c r="X253" s="88"/>
      <c r="Y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Q254" s="88"/>
      <c r="R254" s="88"/>
      <c r="S254" s="88"/>
      <c r="T254" s="88"/>
      <c r="U254" s="88"/>
      <c r="V254" s="88"/>
      <c r="W254" s="88"/>
      <c r="X254" s="88"/>
      <c r="Y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Q255" s="88"/>
      <c r="R255" s="88"/>
      <c r="S255" s="88"/>
      <c r="T255" s="88"/>
      <c r="U255" s="88"/>
      <c r="V255" s="88"/>
      <c r="W255" s="88"/>
      <c r="X255" s="88"/>
      <c r="Y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Q256" s="88"/>
      <c r="R256" s="88"/>
      <c r="S256" s="88"/>
      <c r="T256" s="88"/>
      <c r="U256" s="88"/>
      <c r="V256" s="88"/>
      <c r="W256" s="88"/>
      <c r="X256" s="88"/>
      <c r="Y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Q257" s="88"/>
      <c r="R257" s="88"/>
      <c r="S257" s="88"/>
      <c r="T257" s="88"/>
      <c r="U257" s="88"/>
      <c r="V257" s="88"/>
      <c r="W257" s="88"/>
      <c r="X257" s="88"/>
      <c r="Y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Q258" s="88"/>
      <c r="R258" s="88"/>
      <c r="S258" s="88"/>
      <c r="T258" s="88"/>
      <c r="U258" s="88"/>
      <c r="V258" s="88"/>
      <c r="W258" s="88"/>
      <c r="X258" s="88"/>
      <c r="Y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Q259" s="88"/>
      <c r="R259" s="88"/>
      <c r="S259" s="88"/>
      <c r="T259" s="88"/>
      <c r="U259" s="88"/>
      <c r="V259" s="88"/>
      <c r="W259" s="88"/>
      <c r="X259" s="88"/>
      <c r="Y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Q260" s="88"/>
      <c r="R260" s="88"/>
      <c r="S260" s="88"/>
      <c r="T260" s="88"/>
      <c r="U260" s="88"/>
      <c r="V260" s="88"/>
      <c r="W260" s="88"/>
      <c r="X260" s="88"/>
      <c r="Y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Q261" s="88"/>
      <c r="R261" s="88"/>
      <c r="S261" s="88"/>
      <c r="T261" s="88"/>
      <c r="U261" s="88"/>
      <c r="V261" s="88"/>
      <c r="W261" s="88"/>
      <c r="X261" s="88"/>
      <c r="Y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Q262" s="88"/>
      <c r="R262" s="88"/>
      <c r="S262" s="88"/>
      <c r="T262" s="88"/>
      <c r="U262" s="88"/>
      <c r="V262" s="88"/>
      <c r="W262" s="88"/>
      <c r="X262" s="88"/>
      <c r="Y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Q263" s="88"/>
      <c r="R263" s="88"/>
      <c r="S263" s="88"/>
      <c r="T263" s="88"/>
      <c r="U263" s="88"/>
      <c r="V263" s="88"/>
      <c r="W263" s="88"/>
      <c r="X263" s="88"/>
      <c r="Y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Q264" s="88"/>
      <c r="R264" s="88"/>
      <c r="S264" s="88"/>
      <c r="T264" s="88"/>
      <c r="U264" s="88"/>
      <c r="V264" s="88"/>
      <c r="W264" s="88"/>
      <c r="X264" s="88"/>
      <c r="Y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Q266" s="88"/>
      <c r="R266" s="88"/>
      <c r="S266" s="88"/>
      <c r="T266" s="88"/>
      <c r="U266" s="88"/>
      <c r="V266" s="88"/>
      <c r="W266" s="88"/>
      <c r="X266" s="88"/>
      <c r="Y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Q267" s="88"/>
      <c r="R267" s="88"/>
      <c r="S267" s="88"/>
      <c r="T267" s="88"/>
      <c r="U267" s="88"/>
      <c r="V267" s="88"/>
      <c r="W267" s="88"/>
      <c r="X267" s="88"/>
      <c r="Y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Q268" s="88"/>
      <c r="R268" s="88"/>
      <c r="S268" s="88"/>
      <c r="T268" s="88"/>
      <c r="U268" s="88"/>
      <c r="V268" s="88"/>
      <c r="W268" s="88"/>
      <c r="X268" s="88"/>
      <c r="Y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Q269" s="88"/>
      <c r="R269" s="88"/>
      <c r="S269" s="88"/>
      <c r="T269" s="88"/>
      <c r="U269" s="88"/>
      <c r="V269" s="88"/>
      <c r="W269" s="88"/>
      <c r="X269" s="88"/>
      <c r="Y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Q270" s="88"/>
      <c r="R270" s="88"/>
      <c r="S270" s="88"/>
      <c r="T270" s="88"/>
      <c r="U270" s="88"/>
      <c r="V270" s="88"/>
      <c r="W270" s="88"/>
      <c r="X270" s="88"/>
      <c r="Y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Q271" s="88"/>
      <c r="R271" s="88"/>
      <c r="S271" s="88"/>
      <c r="T271" s="88"/>
      <c r="U271" s="88"/>
      <c r="V271" s="88"/>
      <c r="W271" s="88"/>
      <c r="X271" s="88"/>
      <c r="Y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Q272" s="88"/>
      <c r="R272" s="88"/>
      <c r="S272" s="88"/>
      <c r="T272" s="88"/>
      <c r="U272" s="88"/>
      <c r="V272" s="88"/>
      <c r="W272" s="88"/>
      <c r="X272" s="88"/>
      <c r="Y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Q273" s="88"/>
      <c r="R273" s="88"/>
      <c r="S273" s="88"/>
      <c r="T273" s="88"/>
      <c r="U273" s="88"/>
      <c r="V273" s="88"/>
      <c r="W273" s="88"/>
      <c r="X273" s="88"/>
      <c r="Y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Q274" s="88"/>
      <c r="R274" s="88"/>
      <c r="S274" s="88"/>
      <c r="T274" s="88"/>
      <c r="U274" s="88"/>
      <c r="V274" s="88"/>
      <c r="W274" s="88"/>
      <c r="X274" s="88"/>
      <c r="Y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Q275" s="88"/>
      <c r="R275" s="88"/>
      <c r="S275" s="88"/>
      <c r="T275" s="88"/>
      <c r="U275" s="88"/>
      <c r="V275" s="88"/>
      <c r="W275" s="88"/>
      <c r="X275" s="88"/>
      <c r="Y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Q276" s="88"/>
      <c r="R276" s="88"/>
      <c r="S276" s="88"/>
      <c r="T276" s="88"/>
      <c r="U276" s="88"/>
      <c r="V276" s="88"/>
      <c r="W276" s="88"/>
      <c r="X276" s="88"/>
      <c r="Y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Q277" s="88"/>
      <c r="R277" s="88"/>
      <c r="S277" s="88"/>
      <c r="T277" s="88"/>
      <c r="U277" s="88"/>
      <c r="V277" s="88"/>
      <c r="W277" s="88"/>
      <c r="X277" s="88"/>
      <c r="Y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Q278" s="88"/>
      <c r="R278" s="88"/>
      <c r="S278" s="88"/>
      <c r="T278" s="88"/>
      <c r="U278" s="88"/>
      <c r="V278" s="88"/>
      <c r="W278" s="88"/>
      <c r="X278" s="88"/>
      <c r="Y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Q279" s="88"/>
      <c r="R279" s="88"/>
      <c r="S279" s="88"/>
      <c r="T279" s="88"/>
      <c r="U279" s="88"/>
      <c r="V279" s="88"/>
      <c r="W279" s="88"/>
      <c r="X279" s="88"/>
      <c r="Y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Q280" s="88"/>
      <c r="R280" s="88"/>
      <c r="S280" s="88"/>
      <c r="T280" s="88"/>
      <c r="U280" s="88"/>
      <c r="V280" s="88"/>
      <c r="W280" s="88"/>
      <c r="X280" s="88"/>
      <c r="Y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Q281" s="88"/>
      <c r="R281" s="88"/>
      <c r="S281" s="88"/>
      <c r="T281" s="88"/>
      <c r="U281" s="88"/>
      <c r="V281" s="88"/>
      <c r="W281" s="88"/>
      <c r="X281" s="88"/>
      <c r="Y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Q282" s="88"/>
      <c r="R282" s="88"/>
      <c r="S282" s="88"/>
      <c r="T282" s="88"/>
      <c r="U282" s="88"/>
      <c r="V282" s="88"/>
      <c r="W282" s="88"/>
      <c r="X282" s="88"/>
      <c r="Y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Q283" s="88"/>
      <c r="R283" s="88"/>
      <c r="S283" s="88"/>
      <c r="T283" s="88"/>
      <c r="U283" s="88"/>
      <c r="V283" s="88"/>
      <c r="W283" s="88"/>
      <c r="X283" s="88"/>
      <c r="Y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Q284" s="88"/>
      <c r="R284" s="88"/>
      <c r="S284" s="88"/>
      <c r="T284" s="88"/>
      <c r="U284" s="88"/>
      <c r="V284" s="88"/>
      <c r="W284" s="88"/>
      <c r="X284" s="88"/>
      <c r="Y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Q285" s="88"/>
      <c r="R285" s="88"/>
      <c r="S285" s="88"/>
      <c r="T285" s="88"/>
      <c r="U285" s="88"/>
      <c r="V285" s="88"/>
      <c r="W285" s="88"/>
      <c r="X285" s="88"/>
      <c r="Y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Q286" s="88"/>
      <c r="R286" s="88"/>
      <c r="S286" s="88"/>
      <c r="T286" s="88"/>
      <c r="U286" s="88"/>
      <c r="V286" s="88"/>
      <c r="W286" s="88"/>
      <c r="X286" s="88"/>
      <c r="Y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Q287" s="88"/>
      <c r="R287" s="88"/>
      <c r="S287" s="88"/>
      <c r="T287" s="88"/>
      <c r="U287" s="88"/>
      <c r="V287" s="88"/>
      <c r="W287" s="88"/>
      <c r="X287" s="88"/>
      <c r="Y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Q288" s="88"/>
      <c r="R288" s="88"/>
      <c r="S288" s="88"/>
      <c r="T288" s="88"/>
      <c r="U288" s="88"/>
      <c r="V288" s="88"/>
      <c r="W288" s="88"/>
      <c r="X288" s="88"/>
      <c r="Y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Q289" s="88"/>
      <c r="R289" s="88"/>
      <c r="S289" s="88"/>
      <c r="T289" s="88"/>
      <c r="U289" s="88"/>
      <c r="V289" s="88"/>
      <c r="W289" s="88"/>
      <c r="X289" s="88"/>
      <c r="Y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Q290" s="88"/>
      <c r="R290" s="88"/>
      <c r="S290" s="88"/>
      <c r="T290" s="88"/>
      <c r="U290" s="88"/>
      <c r="V290" s="88"/>
      <c r="W290" s="88"/>
      <c r="X290" s="88"/>
      <c r="Y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Q291" s="88"/>
      <c r="R291" s="88"/>
      <c r="S291" s="88"/>
      <c r="T291" s="88"/>
      <c r="U291" s="88"/>
      <c r="V291" s="88"/>
      <c r="W291" s="88"/>
      <c r="X291" s="88"/>
      <c r="Y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Q292" s="88"/>
      <c r="R292" s="88"/>
      <c r="S292" s="88"/>
      <c r="T292" s="88"/>
      <c r="U292" s="88"/>
      <c r="V292" s="88"/>
      <c r="W292" s="88"/>
      <c r="X292" s="88"/>
      <c r="Y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Q293" s="88"/>
      <c r="R293" s="88"/>
      <c r="S293" s="88"/>
      <c r="T293" s="88"/>
      <c r="U293" s="88"/>
      <c r="V293" s="88"/>
      <c r="W293" s="88"/>
      <c r="X293" s="88"/>
      <c r="Y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Q294" s="88"/>
      <c r="R294" s="88"/>
      <c r="S294" s="88"/>
      <c r="T294" s="88"/>
      <c r="U294" s="88"/>
      <c r="V294" s="88"/>
      <c r="W294" s="88"/>
      <c r="X294" s="88"/>
      <c r="Y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Q295" s="88"/>
      <c r="R295" s="88"/>
      <c r="S295" s="88"/>
      <c r="T295" s="88"/>
      <c r="U295" s="88"/>
      <c r="V295" s="88"/>
      <c r="W295" s="88"/>
      <c r="X295" s="88"/>
      <c r="Y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Q296" s="88"/>
      <c r="R296" s="88"/>
      <c r="S296" s="88"/>
      <c r="T296" s="88"/>
      <c r="U296" s="88"/>
      <c r="V296" s="88"/>
      <c r="W296" s="88"/>
      <c r="X296" s="88"/>
      <c r="Y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Q297" s="88"/>
      <c r="R297" s="88"/>
      <c r="S297" s="88"/>
      <c r="T297" s="88"/>
      <c r="U297" s="88"/>
      <c r="V297" s="88"/>
      <c r="W297" s="88"/>
      <c r="X297" s="88"/>
      <c r="Y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Q298" s="88"/>
      <c r="R298" s="88"/>
      <c r="S298" s="88"/>
      <c r="T298" s="88"/>
      <c r="U298" s="88"/>
      <c r="V298" s="88"/>
      <c r="W298" s="88"/>
      <c r="X298" s="88"/>
      <c r="Y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Q299" s="88"/>
      <c r="R299" s="88"/>
      <c r="S299" s="88"/>
      <c r="T299" s="88"/>
      <c r="U299" s="88"/>
      <c r="V299" s="88"/>
      <c r="W299" s="88"/>
      <c r="X299" s="88"/>
      <c r="Y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Q300" s="88"/>
      <c r="R300" s="88"/>
      <c r="S300" s="88"/>
      <c r="T300" s="88"/>
      <c r="U300" s="88"/>
      <c r="V300" s="88"/>
      <c r="W300" s="88"/>
      <c r="X300" s="88"/>
      <c r="Y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Q301" s="88"/>
      <c r="R301" s="88"/>
      <c r="S301" s="88"/>
      <c r="T301" s="88"/>
      <c r="U301" s="88"/>
      <c r="V301" s="88"/>
      <c r="W301" s="88"/>
      <c r="X301" s="88"/>
      <c r="Y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Q302" s="88"/>
      <c r="R302" s="88"/>
      <c r="S302" s="88"/>
      <c r="T302" s="88"/>
      <c r="U302" s="88"/>
      <c r="V302" s="88"/>
      <c r="W302" s="88"/>
      <c r="X302" s="88"/>
      <c r="Y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Q303" s="88"/>
      <c r="R303" s="88"/>
      <c r="S303" s="88"/>
      <c r="T303" s="88"/>
      <c r="U303" s="88"/>
      <c r="V303" s="88"/>
      <c r="W303" s="88"/>
      <c r="X303" s="88"/>
      <c r="Y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Q304" s="88"/>
      <c r="R304" s="88"/>
      <c r="S304" s="88"/>
      <c r="T304" s="88"/>
      <c r="U304" s="88"/>
      <c r="V304" s="88"/>
      <c r="W304" s="88"/>
      <c r="X304" s="88"/>
      <c r="Y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Q305" s="88"/>
      <c r="R305" s="88"/>
      <c r="S305" s="88"/>
      <c r="T305" s="88"/>
      <c r="U305" s="88"/>
      <c r="V305" s="88"/>
      <c r="W305" s="88"/>
      <c r="X305" s="88"/>
      <c r="Y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Q306" s="88"/>
      <c r="R306" s="88"/>
      <c r="S306" s="88"/>
      <c r="T306" s="88"/>
      <c r="U306" s="88"/>
      <c r="V306" s="88"/>
      <c r="W306" s="88"/>
      <c r="X306" s="88"/>
      <c r="Y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Q307" s="88"/>
      <c r="R307" s="88"/>
      <c r="S307" s="88"/>
      <c r="T307" s="88"/>
      <c r="U307" s="88"/>
      <c r="V307" s="88"/>
      <c r="W307" s="88"/>
      <c r="X307" s="88"/>
      <c r="Y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Q308" s="88"/>
      <c r="R308" s="88"/>
      <c r="S308" s="88"/>
      <c r="T308" s="88"/>
      <c r="U308" s="88"/>
      <c r="V308" s="88"/>
      <c r="W308" s="88"/>
      <c r="X308" s="88"/>
      <c r="Y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Q309" s="88"/>
      <c r="R309" s="88"/>
      <c r="S309" s="88"/>
      <c r="T309" s="88"/>
      <c r="U309" s="88"/>
      <c r="V309" s="88"/>
      <c r="W309" s="88"/>
      <c r="X309" s="88"/>
      <c r="Y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Q310" s="88"/>
      <c r="R310" s="88"/>
      <c r="S310" s="88"/>
      <c r="T310" s="88"/>
      <c r="U310" s="88"/>
      <c r="V310" s="88"/>
      <c r="W310" s="88"/>
      <c r="X310" s="88"/>
      <c r="Y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Q311" s="88"/>
      <c r="R311" s="88"/>
      <c r="S311" s="88"/>
      <c r="T311" s="88"/>
      <c r="U311" s="88"/>
      <c r="V311" s="88"/>
      <c r="W311" s="88"/>
      <c r="X311" s="88"/>
      <c r="Y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Q312" s="88"/>
      <c r="R312" s="88"/>
      <c r="S312" s="88"/>
      <c r="T312" s="88"/>
      <c r="U312" s="88"/>
      <c r="V312" s="88"/>
      <c r="W312" s="88"/>
      <c r="X312" s="88"/>
      <c r="Y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Q313" s="88"/>
      <c r="R313" s="88"/>
      <c r="S313" s="88"/>
      <c r="T313" s="88"/>
      <c r="U313" s="88"/>
      <c r="V313" s="88"/>
      <c r="W313" s="88"/>
      <c r="X313" s="88"/>
      <c r="Y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Q314" s="88"/>
      <c r="R314" s="88"/>
      <c r="S314" s="88"/>
      <c r="T314" s="88"/>
      <c r="U314" s="88"/>
      <c r="V314" s="88"/>
      <c r="W314" s="88"/>
      <c r="X314" s="88"/>
      <c r="Y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Q315" s="88"/>
      <c r="R315" s="88"/>
      <c r="S315" s="88"/>
      <c r="T315" s="88"/>
      <c r="U315" s="88"/>
      <c r="V315" s="88"/>
      <c r="W315" s="88"/>
      <c r="X315" s="88"/>
      <c r="Y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Q316" s="88"/>
      <c r="R316" s="88"/>
      <c r="S316" s="88"/>
      <c r="T316" s="88"/>
      <c r="U316" s="88"/>
      <c r="V316" s="88"/>
      <c r="W316" s="88"/>
      <c r="X316" s="88"/>
      <c r="Y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Q317" s="88"/>
      <c r="R317" s="88"/>
      <c r="S317" s="88"/>
      <c r="T317" s="88"/>
      <c r="U317" s="88"/>
      <c r="V317" s="88"/>
      <c r="W317" s="88"/>
      <c r="X317" s="88"/>
      <c r="Y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Q318" s="88"/>
      <c r="R318" s="88"/>
      <c r="S318" s="88"/>
      <c r="T318" s="88"/>
      <c r="U318" s="88"/>
      <c r="V318" s="88"/>
      <c r="W318" s="88"/>
      <c r="X318" s="88"/>
      <c r="Y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Q319" s="88"/>
      <c r="R319" s="88"/>
      <c r="S319" s="88"/>
      <c r="T319" s="88"/>
      <c r="U319" s="88"/>
      <c r="V319" s="88"/>
      <c r="W319" s="88"/>
      <c r="X319" s="88"/>
      <c r="Y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Q320" s="88"/>
      <c r="R320" s="88"/>
      <c r="S320" s="88"/>
      <c r="T320" s="88"/>
      <c r="U320" s="88"/>
      <c r="V320" s="88"/>
      <c r="W320" s="88"/>
      <c r="X320" s="88"/>
      <c r="Y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Q321" s="88"/>
      <c r="R321" s="88"/>
      <c r="S321" s="88"/>
      <c r="T321" s="88"/>
      <c r="U321" s="88"/>
      <c r="V321" s="88"/>
      <c r="W321" s="88"/>
      <c r="X321" s="88"/>
      <c r="Y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Q322" s="88"/>
      <c r="R322" s="88"/>
      <c r="S322" s="88"/>
      <c r="T322" s="88"/>
      <c r="U322" s="88"/>
      <c r="V322" s="88"/>
      <c r="W322" s="88"/>
      <c r="X322" s="88"/>
      <c r="Y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Q323" s="88"/>
      <c r="R323" s="88"/>
      <c r="S323" s="88"/>
      <c r="T323" s="88"/>
      <c r="U323" s="88"/>
      <c r="V323" s="88"/>
      <c r="W323" s="88"/>
      <c r="X323" s="88"/>
      <c r="Y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Q324" s="88"/>
      <c r="R324" s="88"/>
      <c r="S324" s="88"/>
      <c r="T324" s="88"/>
      <c r="U324" s="88"/>
      <c r="V324" s="88"/>
      <c r="W324" s="88"/>
      <c r="X324" s="88"/>
      <c r="Y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Q325" s="88"/>
      <c r="R325" s="88"/>
      <c r="S325" s="88"/>
      <c r="T325" s="88"/>
      <c r="U325" s="88"/>
      <c r="V325" s="88"/>
      <c r="W325" s="88"/>
      <c r="X325" s="88"/>
      <c r="Y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Q326" s="88"/>
      <c r="R326" s="88"/>
      <c r="S326" s="88"/>
      <c r="T326" s="88"/>
      <c r="U326" s="88"/>
      <c r="V326" s="88"/>
      <c r="W326" s="88"/>
      <c r="X326" s="88"/>
      <c r="Y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Q327" s="88"/>
      <c r="R327" s="88"/>
      <c r="S327" s="88"/>
      <c r="T327" s="88"/>
      <c r="U327" s="88"/>
      <c r="V327" s="88"/>
      <c r="W327" s="88"/>
      <c r="X327" s="88"/>
      <c r="Y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Q328" s="88"/>
      <c r="R328" s="88"/>
      <c r="S328" s="88"/>
      <c r="T328" s="88"/>
      <c r="U328" s="88"/>
      <c r="V328" s="88"/>
      <c r="W328" s="88"/>
      <c r="X328" s="88"/>
      <c r="Y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Q329" s="88"/>
      <c r="R329" s="88"/>
      <c r="S329" s="88"/>
      <c r="T329" s="88"/>
      <c r="U329" s="88"/>
      <c r="V329" s="88"/>
      <c r="W329" s="88"/>
      <c r="X329" s="88"/>
      <c r="Y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Q330" s="88"/>
      <c r="R330" s="88"/>
      <c r="S330" s="88"/>
      <c r="T330" s="88"/>
      <c r="U330" s="88"/>
      <c r="V330" s="88"/>
      <c r="W330" s="88"/>
      <c r="X330" s="88"/>
      <c r="Y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Q331" s="88"/>
      <c r="R331" s="88"/>
      <c r="S331" s="88"/>
      <c r="T331" s="88"/>
      <c r="U331" s="88"/>
      <c r="V331" s="88"/>
      <c r="W331" s="88"/>
      <c r="X331" s="88"/>
      <c r="Y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Q332" s="88"/>
      <c r="R332" s="88"/>
      <c r="S332" s="88"/>
      <c r="T332" s="88"/>
      <c r="U332" s="88"/>
      <c r="V332" s="88"/>
      <c r="W332" s="88"/>
      <c r="X332" s="88"/>
      <c r="Y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Q333" s="88"/>
      <c r="R333" s="88"/>
      <c r="S333" s="88"/>
      <c r="T333" s="88"/>
      <c r="U333" s="88"/>
      <c r="V333" s="88"/>
      <c r="W333" s="88"/>
      <c r="X333" s="88"/>
      <c r="Y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Q334" s="88"/>
      <c r="R334" s="88"/>
      <c r="S334" s="88"/>
      <c r="T334" s="88"/>
      <c r="U334" s="88"/>
      <c r="V334" s="88"/>
      <c r="W334" s="88"/>
      <c r="X334" s="88"/>
      <c r="Y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Q335" s="88"/>
      <c r="R335" s="88"/>
      <c r="S335" s="88"/>
      <c r="T335" s="88"/>
      <c r="U335" s="88"/>
      <c r="V335" s="88"/>
      <c r="W335" s="88"/>
      <c r="X335" s="88"/>
      <c r="Y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Q336" s="88"/>
      <c r="R336" s="88"/>
      <c r="S336" s="88"/>
      <c r="T336" s="88"/>
      <c r="U336" s="88"/>
      <c r="V336" s="88"/>
      <c r="W336" s="88"/>
      <c r="X336" s="88"/>
      <c r="Y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Q337" s="88"/>
      <c r="R337" s="88"/>
      <c r="S337" s="88"/>
      <c r="T337" s="88"/>
      <c r="U337" s="88"/>
      <c r="V337" s="88"/>
      <c r="W337" s="88"/>
      <c r="X337" s="88"/>
      <c r="Y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Q338" s="88"/>
      <c r="R338" s="88"/>
      <c r="S338" s="88"/>
      <c r="T338" s="88"/>
      <c r="U338" s="88"/>
      <c r="V338" s="88"/>
      <c r="W338" s="88"/>
      <c r="X338" s="88"/>
      <c r="Y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Q339" s="88"/>
      <c r="R339" s="88"/>
      <c r="S339" s="88"/>
      <c r="T339" s="88"/>
      <c r="U339" s="88"/>
      <c r="V339" s="88"/>
      <c r="W339" s="88"/>
      <c r="X339" s="88"/>
      <c r="Y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Q340" s="88"/>
      <c r="R340" s="88"/>
      <c r="S340" s="88"/>
      <c r="T340" s="88"/>
      <c r="U340" s="88"/>
      <c r="V340" s="88"/>
      <c r="W340" s="88"/>
      <c r="X340" s="88"/>
      <c r="Y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Q341" s="88"/>
      <c r="R341" s="88"/>
      <c r="S341" s="88"/>
      <c r="T341" s="88"/>
      <c r="U341" s="88"/>
      <c r="V341" s="88"/>
      <c r="W341" s="88"/>
      <c r="X341" s="88"/>
      <c r="Y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Q342" s="88"/>
      <c r="R342" s="88"/>
      <c r="S342" s="88"/>
      <c r="T342" s="88"/>
      <c r="U342" s="88"/>
      <c r="V342" s="88"/>
      <c r="W342" s="88"/>
      <c r="X342" s="88"/>
      <c r="Y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Q343" s="88"/>
      <c r="R343" s="88"/>
      <c r="S343" s="88"/>
      <c r="T343" s="88"/>
      <c r="U343" s="88"/>
      <c r="V343" s="88"/>
      <c r="W343" s="88"/>
      <c r="X343" s="88"/>
      <c r="Y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Q344" s="88"/>
      <c r="R344" s="88"/>
      <c r="S344" s="88"/>
      <c r="T344" s="88"/>
      <c r="U344" s="88"/>
      <c r="V344" s="88"/>
      <c r="W344" s="88"/>
      <c r="X344" s="88"/>
      <c r="Y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Q345" s="88"/>
      <c r="R345" s="88"/>
      <c r="S345" s="88"/>
      <c r="T345" s="88"/>
      <c r="U345" s="88"/>
      <c r="V345" s="88"/>
      <c r="W345" s="88"/>
      <c r="X345" s="88"/>
      <c r="Y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Q346" s="88"/>
      <c r="R346" s="88"/>
      <c r="S346" s="88"/>
      <c r="T346" s="88"/>
      <c r="U346" s="88"/>
      <c r="V346" s="88"/>
      <c r="W346" s="88"/>
      <c r="X346" s="88"/>
      <c r="Y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Q347" s="88"/>
      <c r="R347" s="88"/>
      <c r="S347" s="88"/>
      <c r="T347" s="88"/>
      <c r="U347" s="88"/>
      <c r="V347" s="88"/>
      <c r="W347" s="88"/>
      <c r="X347" s="88"/>
      <c r="Y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Q348" s="88"/>
      <c r="R348" s="88"/>
      <c r="S348" s="88"/>
      <c r="T348" s="88"/>
      <c r="U348" s="88"/>
      <c r="V348" s="88"/>
      <c r="W348" s="88"/>
      <c r="X348" s="88"/>
      <c r="Y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Q349" s="88"/>
      <c r="R349" s="88"/>
      <c r="S349" s="88"/>
      <c r="T349" s="88"/>
      <c r="U349" s="88"/>
      <c r="V349" s="88"/>
      <c r="W349" s="88"/>
      <c r="X349" s="88"/>
      <c r="Y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Q350" s="88"/>
      <c r="R350" s="88"/>
      <c r="S350" s="88"/>
      <c r="T350" s="88"/>
      <c r="U350" s="88"/>
      <c r="V350" s="88"/>
      <c r="W350" s="88"/>
      <c r="X350" s="88"/>
      <c r="Y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Q351" s="88"/>
      <c r="R351" s="88"/>
      <c r="S351" s="88"/>
      <c r="T351" s="88"/>
      <c r="U351" s="88"/>
      <c r="V351" s="88"/>
      <c r="W351" s="88"/>
      <c r="X351" s="88"/>
      <c r="Y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Q352" s="88"/>
      <c r="R352" s="88"/>
      <c r="S352" s="88"/>
      <c r="T352" s="88"/>
      <c r="U352" s="88"/>
      <c r="V352" s="88"/>
      <c r="W352" s="88"/>
      <c r="X352" s="88"/>
      <c r="Y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Q353" s="88"/>
      <c r="R353" s="88"/>
      <c r="S353" s="88"/>
      <c r="T353" s="88"/>
      <c r="U353" s="88"/>
      <c r="V353" s="88"/>
      <c r="W353" s="88"/>
      <c r="X353" s="88"/>
      <c r="Y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Q354" s="88"/>
      <c r="R354" s="88"/>
      <c r="S354" s="88"/>
      <c r="T354" s="88"/>
      <c r="U354" s="88"/>
      <c r="V354" s="88"/>
      <c r="W354" s="88"/>
      <c r="X354" s="88"/>
      <c r="Y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Q355" s="88"/>
      <c r="R355" s="88"/>
      <c r="S355" s="88"/>
      <c r="T355" s="88"/>
      <c r="U355" s="88"/>
      <c r="V355" s="88"/>
      <c r="W355" s="88"/>
      <c r="X355" s="88"/>
      <c r="Y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Q356" s="88"/>
      <c r="R356" s="88"/>
      <c r="S356" s="88"/>
      <c r="T356" s="88"/>
      <c r="U356" s="88"/>
      <c r="V356" s="88"/>
      <c r="W356" s="88"/>
      <c r="X356" s="88"/>
      <c r="Y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Q357" s="88"/>
      <c r="R357" s="88"/>
      <c r="S357" s="88"/>
      <c r="T357" s="88"/>
      <c r="U357" s="88"/>
      <c r="V357" s="88"/>
      <c r="W357" s="88"/>
      <c r="X357" s="88"/>
      <c r="Y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Q358" s="88"/>
      <c r="R358" s="88"/>
      <c r="S358" s="88"/>
      <c r="T358" s="88"/>
      <c r="U358" s="88"/>
      <c r="V358" s="88"/>
      <c r="W358" s="88"/>
      <c r="X358" s="88"/>
      <c r="Y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Q359" s="88"/>
      <c r="R359" s="88"/>
      <c r="S359" s="88"/>
      <c r="T359" s="88"/>
      <c r="U359" s="88"/>
      <c r="V359" s="88"/>
      <c r="W359" s="88"/>
      <c r="X359" s="88"/>
      <c r="Y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Q360" s="88"/>
      <c r="R360" s="88"/>
      <c r="S360" s="88"/>
      <c r="T360" s="88"/>
      <c r="U360" s="88"/>
      <c r="V360" s="88"/>
      <c r="W360" s="88"/>
      <c r="X360" s="88"/>
      <c r="Y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Q361" s="88"/>
      <c r="R361" s="88"/>
      <c r="S361" s="88"/>
      <c r="T361" s="88"/>
      <c r="U361" s="88"/>
      <c r="V361" s="88"/>
      <c r="W361" s="88"/>
      <c r="X361" s="88"/>
      <c r="Y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Q362" s="88"/>
      <c r="R362" s="88"/>
      <c r="S362" s="88"/>
      <c r="T362" s="88"/>
      <c r="U362" s="88"/>
      <c r="V362" s="88"/>
      <c r="W362" s="88"/>
      <c r="X362" s="88"/>
      <c r="Y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Q363" s="88"/>
      <c r="R363" s="88"/>
      <c r="S363" s="88"/>
      <c r="T363" s="88"/>
      <c r="U363" s="88"/>
      <c r="V363" s="88"/>
      <c r="W363" s="88"/>
      <c r="X363" s="88"/>
      <c r="Y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Q364" s="88"/>
      <c r="R364" s="88"/>
      <c r="S364" s="88"/>
      <c r="T364" s="88"/>
      <c r="U364" s="88"/>
      <c r="V364" s="88"/>
      <c r="W364" s="88"/>
      <c r="X364" s="88"/>
      <c r="Y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Q365" s="88"/>
      <c r="R365" s="88"/>
      <c r="S365" s="88"/>
      <c r="T365" s="88"/>
      <c r="U365" s="88"/>
      <c r="V365" s="88"/>
      <c r="W365" s="88"/>
      <c r="X365" s="88"/>
      <c r="Y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Q366" s="88"/>
      <c r="R366" s="88"/>
      <c r="S366" s="88"/>
      <c r="T366" s="88"/>
      <c r="U366" s="88"/>
      <c r="V366" s="88"/>
      <c r="W366" s="88"/>
      <c r="X366" s="88"/>
      <c r="Y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Q367" s="88"/>
      <c r="R367" s="88"/>
      <c r="S367" s="88"/>
      <c r="T367" s="88"/>
      <c r="U367" s="88"/>
      <c r="V367" s="88"/>
      <c r="W367" s="88"/>
      <c r="X367" s="88"/>
      <c r="Y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Q368" s="88"/>
      <c r="R368" s="88"/>
      <c r="S368" s="88"/>
      <c r="T368" s="88"/>
      <c r="U368" s="88"/>
      <c r="V368" s="88"/>
      <c r="W368" s="88"/>
      <c r="X368" s="88"/>
      <c r="Y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Q369" s="88"/>
      <c r="R369" s="88"/>
      <c r="S369" s="88"/>
      <c r="T369" s="88"/>
      <c r="U369" s="88"/>
      <c r="V369" s="88"/>
      <c r="W369" s="88"/>
      <c r="X369" s="88"/>
      <c r="Y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Q370" s="88"/>
      <c r="R370" s="88"/>
      <c r="S370" s="88"/>
      <c r="T370" s="88"/>
      <c r="U370" s="88"/>
      <c r="V370" s="88"/>
      <c r="W370" s="88"/>
      <c r="X370" s="88"/>
      <c r="Y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Q371" s="88"/>
      <c r="R371" s="88"/>
      <c r="S371" s="88"/>
      <c r="T371" s="88"/>
      <c r="U371" s="88"/>
      <c r="V371" s="88"/>
      <c r="W371" s="88"/>
      <c r="X371" s="88"/>
      <c r="Y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Q372" s="88"/>
      <c r="R372" s="88"/>
      <c r="S372" s="88"/>
      <c r="T372" s="88"/>
      <c r="U372" s="88"/>
      <c r="V372" s="88"/>
      <c r="W372" s="88"/>
      <c r="X372" s="88"/>
      <c r="Y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Q373" s="88"/>
      <c r="R373" s="88"/>
      <c r="S373" s="88"/>
      <c r="T373" s="88"/>
      <c r="U373" s="88"/>
      <c r="V373" s="88"/>
      <c r="W373" s="88"/>
      <c r="X373" s="88"/>
      <c r="Y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Q374" s="88"/>
      <c r="R374" s="88"/>
      <c r="S374" s="88"/>
      <c r="T374" s="88"/>
      <c r="U374" s="88"/>
      <c r="V374" s="88"/>
      <c r="W374" s="88"/>
      <c r="X374" s="88"/>
      <c r="Y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Q375" s="88"/>
      <c r="R375" s="88"/>
      <c r="S375" s="88"/>
      <c r="T375" s="88"/>
      <c r="U375" s="88"/>
      <c r="V375" s="88"/>
      <c r="W375" s="88"/>
      <c r="X375" s="88"/>
      <c r="Y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Q376" s="88"/>
      <c r="R376" s="88"/>
      <c r="S376" s="88"/>
      <c r="T376" s="88"/>
      <c r="U376" s="88"/>
      <c r="V376" s="88"/>
      <c r="W376" s="88"/>
      <c r="X376" s="88"/>
      <c r="Y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Q377" s="88"/>
      <c r="R377" s="88"/>
      <c r="S377" s="88"/>
      <c r="T377" s="88"/>
      <c r="U377" s="88"/>
      <c r="V377" s="88"/>
      <c r="W377" s="88"/>
      <c r="X377" s="88"/>
      <c r="Y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Q378" s="88"/>
      <c r="R378" s="88"/>
      <c r="S378" s="88"/>
      <c r="T378" s="88"/>
      <c r="U378" s="88"/>
      <c r="V378" s="88"/>
      <c r="W378" s="88"/>
      <c r="X378" s="88"/>
      <c r="Y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Q379" s="88"/>
      <c r="R379" s="88"/>
      <c r="S379" s="88"/>
      <c r="T379" s="88"/>
      <c r="U379" s="88"/>
      <c r="V379" s="88"/>
      <c r="W379" s="88"/>
      <c r="X379" s="88"/>
      <c r="Y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Q380" s="88"/>
      <c r="R380" s="88"/>
      <c r="S380" s="88"/>
      <c r="T380" s="88"/>
      <c r="U380" s="88"/>
      <c r="V380" s="88"/>
      <c r="W380" s="88"/>
      <c r="X380" s="88"/>
      <c r="Y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Q381" s="88"/>
      <c r="R381" s="88"/>
      <c r="S381" s="88"/>
      <c r="T381" s="88"/>
      <c r="U381" s="88"/>
      <c r="V381" s="88"/>
      <c r="W381" s="88"/>
      <c r="X381" s="88"/>
      <c r="Y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Q382" s="88"/>
      <c r="R382" s="88"/>
      <c r="S382" s="88"/>
      <c r="T382" s="88"/>
      <c r="U382" s="88"/>
      <c r="V382" s="88"/>
      <c r="W382" s="88"/>
      <c r="X382" s="88"/>
      <c r="Y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Q383" s="88"/>
      <c r="R383" s="88"/>
      <c r="S383" s="88"/>
      <c r="T383" s="88"/>
      <c r="U383" s="88"/>
      <c r="V383" s="88"/>
      <c r="W383" s="88"/>
      <c r="X383" s="88"/>
      <c r="Y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Q384" s="88"/>
      <c r="R384" s="88"/>
      <c r="S384" s="88"/>
      <c r="T384" s="88"/>
      <c r="U384" s="88"/>
      <c r="V384" s="88"/>
      <c r="W384" s="88"/>
      <c r="X384" s="88"/>
      <c r="Y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Q385" s="88"/>
      <c r="R385" s="88"/>
      <c r="S385" s="88"/>
      <c r="T385" s="88"/>
      <c r="U385" s="88"/>
      <c r="V385" s="88"/>
      <c r="W385" s="88"/>
      <c r="X385" s="88"/>
      <c r="Y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Q386" s="88"/>
      <c r="R386" s="88"/>
      <c r="S386" s="88"/>
      <c r="T386" s="88"/>
      <c r="U386" s="88"/>
      <c r="V386" s="88"/>
      <c r="W386" s="88"/>
      <c r="X386" s="88"/>
      <c r="Y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Q387" s="88"/>
      <c r="R387" s="88"/>
      <c r="S387" s="88"/>
      <c r="T387" s="88"/>
      <c r="U387" s="88"/>
      <c r="V387" s="88"/>
      <c r="W387" s="88"/>
      <c r="X387" s="88"/>
      <c r="Y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Q388" s="88"/>
      <c r="R388" s="88"/>
      <c r="S388" s="88"/>
      <c r="T388" s="88"/>
      <c r="U388" s="88"/>
      <c r="V388" s="88"/>
      <c r="W388" s="88"/>
      <c r="X388" s="88"/>
      <c r="Y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Q389" s="88"/>
      <c r="R389" s="88"/>
      <c r="S389" s="88"/>
      <c r="T389" s="88"/>
      <c r="U389" s="88"/>
      <c r="V389" s="88"/>
      <c r="W389" s="88"/>
      <c r="X389" s="88"/>
      <c r="Y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Q390" s="88"/>
      <c r="R390" s="88"/>
      <c r="S390" s="88"/>
      <c r="T390" s="88"/>
      <c r="U390" s="88"/>
      <c r="V390" s="88"/>
      <c r="W390" s="88"/>
      <c r="X390" s="88"/>
      <c r="Y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Q391" s="88"/>
      <c r="R391" s="88"/>
      <c r="S391" s="88"/>
      <c r="T391" s="88"/>
      <c r="U391" s="88"/>
      <c r="V391" s="88"/>
      <c r="W391" s="88"/>
      <c r="X391" s="88"/>
      <c r="Y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Q392" s="88"/>
      <c r="R392" s="88"/>
      <c r="S392" s="88"/>
      <c r="T392" s="88"/>
      <c r="U392" s="88"/>
      <c r="V392" s="88"/>
      <c r="W392" s="88"/>
      <c r="X392" s="88"/>
      <c r="Y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Q393" s="88"/>
      <c r="R393" s="88"/>
      <c r="S393" s="88"/>
      <c r="T393" s="88"/>
      <c r="U393" s="88"/>
      <c r="V393" s="88"/>
      <c r="W393" s="88"/>
      <c r="X393" s="88"/>
      <c r="Y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Q394" s="88"/>
      <c r="R394" s="88"/>
      <c r="S394" s="88"/>
      <c r="T394" s="88"/>
      <c r="U394" s="88"/>
      <c r="V394" s="88"/>
      <c r="W394" s="88"/>
      <c r="X394" s="88"/>
      <c r="Y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Q395" s="88"/>
      <c r="R395" s="88"/>
      <c r="S395" s="88"/>
      <c r="T395" s="88"/>
      <c r="U395" s="88"/>
      <c r="V395" s="88"/>
      <c r="W395" s="88"/>
      <c r="X395" s="88"/>
      <c r="Y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Q396" s="88"/>
      <c r="R396" s="88"/>
      <c r="S396" s="88"/>
      <c r="T396" s="88"/>
      <c r="U396" s="88"/>
      <c r="V396" s="88"/>
      <c r="W396" s="88"/>
      <c r="X396" s="88"/>
      <c r="Y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Q397" s="88"/>
      <c r="R397" s="88"/>
      <c r="S397" s="88"/>
      <c r="T397" s="88"/>
      <c r="U397" s="88"/>
      <c r="V397" s="88"/>
      <c r="W397" s="88"/>
      <c r="X397" s="88"/>
      <c r="Y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Q398" s="88"/>
      <c r="R398" s="88"/>
      <c r="S398" s="88"/>
      <c r="T398" s="88"/>
      <c r="U398" s="88"/>
      <c r="V398" s="88"/>
      <c r="W398" s="88"/>
      <c r="X398" s="88"/>
      <c r="Y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Q399" s="88"/>
      <c r="R399" s="88"/>
      <c r="S399" s="88"/>
      <c r="T399" s="88"/>
      <c r="U399" s="88"/>
      <c r="V399" s="88"/>
      <c r="W399" s="88"/>
      <c r="X399" s="88"/>
      <c r="Y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Q400" s="88"/>
      <c r="R400" s="88"/>
      <c r="S400" s="88"/>
      <c r="T400" s="88"/>
      <c r="U400" s="88"/>
      <c r="V400" s="88"/>
      <c r="W400" s="88"/>
      <c r="X400" s="88"/>
      <c r="Y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Q401" s="88"/>
      <c r="R401" s="88"/>
      <c r="S401" s="88"/>
      <c r="T401" s="88"/>
      <c r="U401" s="88"/>
      <c r="V401" s="88"/>
      <c r="W401" s="88"/>
      <c r="X401" s="88"/>
      <c r="Y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Q402" s="88"/>
      <c r="R402" s="88"/>
      <c r="S402" s="88"/>
      <c r="T402" s="88"/>
      <c r="U402" s="88"/>
      <c r="V402" s="88"/>
      <c r="W402" s="88"/>
      <c r="X402" s="88"/>
      <c r="Y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Q403" s="88"/>
      <c r="R403" s="88"/>
      <c r="S403" s="88"/>
      <c r="T403" s="88"/>
      <c r="U403" s="88"/>
      <c r="V403" s="88"/>
      <c r="W403" s="88"/>
      <c r="X403" s="88"/>
      <c r="Y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Q404" s="88"/>
      <c r="R404" s="88"/>
      <c r="S404" s="88"/>
      <c r="T404" s="88"/>
      <c r="U404" s="88"/>
      <c r="V404" s="88"/>
      <c r="W404" s="88"/>
      <c r="X404" s="88"/>
      <c r="Y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Q405" s="88"/>
      <c r="R405" s="88"/>
      <c r="S405" s="88"/>
      <c r="T405" s="88"/>
      <c r="U405" s="88"/>
      <c r="V405" s="88"/>
      <c r="W405" s="88"/>
      <c r="X405" s="88"/>
      <c r="Y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Q406" s="88"/>
      <c r="R406" s="88"/>
      <c r="S406" s="88"/>
      <c r="T406" s="88"/>
      <c r="U406" s="88"/>
      <c r="V406" s="88"/>
      <c r="W406" s="88"/>
      <c r="X406" s="88"/>
      <c r="Y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Q407" s="88"/>
      <c r="R407" s="88"/>
      <c r="S407" s="88"/>
      <c r="T407" s="88"/>
      <c r="U407" s="88"/>
      <c r="V407" s="88"/>
      <c r="W407" s="88"/>
      <c r="X407" s="88"/>
      <c r="Y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Q408" s="88"/>
      <c r="R408" s="88"/>
      <c r="S408" s="88"/>
      <c r="T408" s="88"/>
      <c r="U408" s="88"/>
      <c r="V408" s="88"/>
      <c r="W408" s="88"/>
      <c r="X408" s="88"/>
      <c r="Y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Q409" s="88"/>
      <c r="R409" s="88"/>
      <c r="S409" s="88"/>
      <c r="T409" s="88"/>
      <c r="U409" s="88"/>
      <c r="V409" s="88"/>
      <c r="W409" s="88"/>
      <c r="X409" s="88"/>
      <c r="Y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Q410" s="88"/>
      <c r="R410" s="88"/>
      <c r="S410" s="88"/>
      <c r="T410" s="88"/>
      <c r="U410" s="88"/>
      <c r="V410" s="88"/>
      <c r="W410" s="88"/>
      <c r="X410" s="88"/>
      <c r="Y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Q411" s="88"/>
      <c r="R411" s="88"/>
      <c r="S411" s="88"/>
      <c r="T411" s="88"/>
      <c r="U411" s="88"/>
      <c r="V411" s="88"/>
      <c r="W411" s="88"/>
      <c r="X411" s="88"/>
      <c r="Y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Q412" s="88"/>
      <c r="R412" s="88"/>
      <c r="S412" s="88"/>
      <c r="T412" s="88"/>
      <c r="U412" s="88"/>
      <c r="V412" s="88"/>
      <c r="W412" s="88"/>
      <c r="X412" s="88"/>
      <c r="Y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Q413" s="88"/>
      <c r="R413" s="88"/>
      <c r="S413" s="88"/>
      <c r="T413" s="88"/>
      <c r="U413" s="88"/>
      <c r="V413" s="88"/>
      <c r="W413" s="88"/>
      <c r="X413" s="88"/>
      <c r="Y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Q414" s="88"/>
      <c r="R414" s="88"/>
      <c r="S414" s="88"/>
      <c r="T414" s="88"/>
      <c r="U414" s="88"/>
      <c r="V414" s="88"/>
      <c r="W414" s="88"/>
      <c r="X414" s="88"/>
      <c r="Y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Q415" s="88"/>
      <c r="R415" s="88"/>
      <c r="S415" s="88"/>
      <c r="T415" s="88"/>
      <c r="U415" s="88"/>
      <c r="V415" s="88"/>
      <c r="W415" s="88"/>
      <c r="X415" s="88"/>
      <c r="Y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Q416" s="88"/>
      <c r="R416" s="88"/>
      <c r="S416" s="88"/>
      <c r="T416" s="88"/>
      <c r="U416" s="88"/>
      <c r="V416" s="88"/>
      <c r="W416" s="88"/>
      <c r="X416" s="88"/>
      <c r="Y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Q417" s="88"/>
      <c r="R417" s="88"/>
      <c r="S417" s="88"/>
      <c r="T417" s="88"/>
      <c r="U417" s="88"/>
      <c r="V417" s="88"/>
      <c r="W417" s="88"/>
      <c r="X417" s="88"/>
      <c r="Y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Q418" s="88"/>
      <c r="R418" s="88"/>
      <c r="S418" s="88"/>
      <c r="T418" s="88"/>
      <c r="U418" s="88"/>
      <c r="V418" s="88"/>
      <c r="W418" s="88"/>
      <c r="X418" s="88"/>
      <c r="Y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Q419" s="88"/>
      <c r="R419" s="88"/>
      <c r="S419" s="88"/>
      <c r="T419" s="88"/>
      <c r="U419" s="88"/>
      <c r="V419" s="88"/>
      <c r="W419" s="88"/>
      <c r="X419" s="88"/>
      <c r="Y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Q420" s="88"/>
      <c r="R420" s="88"/>
      <c r="S420" s="88"/>
      <c r="T420" s="88"/>
      <c r="U420" s="88"/>
      <c r="V420" s="88"/>
      <c r="W420" s="88"/>
      <c r="X420" s="88"/>
      <c r="Y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Q421" s="88"/>
      <c r="R421" s="88"/>
      <c r="S421" s="88"/>
      <c r="T421" s="88"/>
      <c r="U421" s="88"/>
      <c r="V421" s="88"/>
      <c r="W421" s="88"/>
      <c r="X421" s="88"/>
      <c r="Y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Q422" s="88"/>
      <c r="R422" s="88"/>
      <c r="S422" s="88"/>
      <c r="T422" s="88"/>
      <c r="U422" s="88"/>
      <c r="V422" s="88"/>
      <c r="W422" s="88"/>
      <c r="X422" s="88"/>
      <c r="Y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Q423" s="88"/>
      <c r="R423" s="88"/>
      <c r="S423" s="88"/>
      <c r="T423" s="88"/>
      <c r="U423" s="88"/>
      <c r="V423" s="88"/>
      <c r="W423" s="88"/>
      <c r="X423" s="88"/>
      <c r="Y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Q424" s="88"/>
      <c r="R424" s="88"/>
      <c r="S424" s="88"/>
      <c r="T424" s="88"/>
      <c r="U424" s="88"/>
      <c r="V424" s="88"/>
      <c r="W424" s="88"/>
      <c r="X424" s="88"/>
      <c r="Y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Q425" s="88"/>
      <c r="R425" s="88"/>
      <c r="S425" s="88"/>
      <c r="T425" s="88"/>
      <c r="U425" s="88"/>
      <c r="V425" s="88"/>
      <c r="W425" s="88"/>
      <c r="X425" s="88"/>
      <c r="Y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Q426" s="88"/>
      <c r="R426" s="88"/>
      <c r="S426" s="88"/>
      <c r="T426" s="88"/>
      <c r="U426" s="88"/>
      <c r="V426" s="88"/>
      <c r="W426" s="88"/>
      <c r="X426" s="88"/>
      <c r="Y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Q427" s="88"/>
      <c r="R427" s="88"/>
      <c r="S427" s="88"/>
      <c r="T427" s="88"/>
      <c r="U427" s="88"/>
      <c r="V427" s="88"/>
      <c r="W427" s="88"/>
      <c r="X427" s="88"/>
      <c r="Y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Q428" s="88"/>
      <c r="R428" s="88"/>
      <c r="S428" s="88"/>
      <c r="T428" s="88"/>
      <c r="U428" s="88"/>
      <c r="V428" s="88"/>
      <c r="W428" s="88"/>
      <c r="X428" s="88"/>
      <c r="Y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Q429" s="88"/>
      <c r="R429" s="88"/>
      <c r="S429" s="88"/>
      <c r="T429" s="88"/>
      <c r="U429" s="88"/>
      <c r="V429" s="88"/>
      <c r="W429" s="88"/>
      <c r="X429" s="88"/>
      <c r="Y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Q430" s="88"/>
      <c r="R430" s="88"/>
      <c r="S430" s="88"/>
      <c r="T430" s="88"/>
      <c r="U430" s="88"/>
      <c r="V430" s="88"/>
      <c r="W430" s="88"/>
      <c r="X430" s="88"/>
      <c r="Y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Q431" s="88"/>
      <c r="R431" s="88"/>
      <c r="S431" s="88"/>
      <c r="T431" s="88"/>
      <c r="U431" s="88"/>
      <c r="V431" s="88"/>
      <c r="W431" s="88"/>
      <c r="X431" s="88"/>
      <c r="Y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Q432" s="88"/>
      <c r="R432" s="88"/>
      <c r="S432" s="88"/>
      <c r="T432" s="88"/>
      <c r="U432" s="88"/>
      <c r="V432" s="88"/>
      <c r="W432" s="88"/>
      <c r="X432" s="88"/>
      <c r="Y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Q433" s="88"/>
      <c r="R433" s="88"/>
      <c r="S433" s="88"/>
      <c r="T433" s="88"/>
      <c r="U433" s="88"/>
      <c r="V433" s="88"/>
      <c r="W433" s="88"/>
      <c r="X433" s="88"/>
      <c r="Y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Q434" s="88"/>
      <c r="R434" s="88"/>
      <c r="S434" s="88"/>
      <c r="T434" s="88"/>
      <c r="U434" s="88"/>
      <c r="V434" s="88"/>
      <c r="W434" s="88"/>
      <c r="X434" s="88"/>
      <c r="Y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Q435" s="88"/>
      <c r="R435" s="88"/>
      <c r="S435" s="88"/>
      <c r="T435" s="88"/>
      <c r="U435" s="88"/>
      <c r="V435" s="88"/>
      <c r="W435" s="88"/>
      <c r="X435" s="88"/>
      <c r="Y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Q436" s="88"/>
      <c r="R436" s="88"/>
      <c r="S436" s="88"/>
      <c r="T436" s="88"/>
      <c r="U436" s="88"/>
      <c r="V436" s="88"/>
      <c r="W436" s="88"/>
      <c r="X436" s="88"/>
      <c r="Y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Q437" s="88"/>
      <c r="R437" s="88"/>
      <c r="S437" s="88"/>
      <c r="T437" s="88"/>
      <c r="U437" s="88"/>
      <c r="V437" s="88"/>
      <c r="W437" s="88"/>
      <c r="X437" s="88"/>
      <c r="Y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Q454" s="88"/>
      <c r="R454" s="88"/>
      <c r="S454" s="88"/>
      <c r="T454" s="88"/>
      <c r="U454" s="88"/>
      <c r="V454" s="88"/>
      <c r="W454" s="88"/>
      <c r="X454" s="88"/>
      <c r="Y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Q455" s="88"/>
      <c r="R455" s="88"/>
      <c r="S455" s="88"/>
      <c r="T455" s="88"/>
      <c r="U455" s="88"/>
      <c r="V455" s="88"/>
      <c r="W455" s="88"/>
      <c r="X455" s="88"/>
      <c r="Y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Q456" s="88"/>
      <c r="R456" s="88"/>
      <c r="S456" s="88"/>
      <c r="T456" s="88"/>
      <c r="U456" s="88"/>
      <c r="V456" s="88"/>
      <c r="W456" s="88"/>
      <c r="X456" s="88"/>
      <c r="Y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Q457" s="88"/>
      <c r="R457" s="88"/>
      <c r="S457" s="88"/>
      <c r="T457" s="88"/>
      <c r="U457" s="88"/>
      <c r="V457" s="88"/>
      <c r="W457" s="88"/>
      <c r="X457" s="88"/>
      <c r="Y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Q458" s="88"/>
      <c r="R458" s="88"/>
      <c r="S458" s="88"/>
      <c r="T458" s="88"/>
      <c r="U458" s="88"/>
      <c r="V458" s="88"/>
      <c r="W458" s="88"/>
      <c r="X458" s="88"/>
      <c r="Y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Q459" s="88"/>
      <c r="R459" s="88"/>
      <c r="S459" s="88"/>
      <c r="T459" s="88"/>
      <c r="U459" s="88"/>
      <c r="V459" s="88"/>
      <c r="W459" s="88"/>
      <c r="X459" s="88"/>
      <c r="Y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Q460" s="88"/>
      <c r="R460" s="88"/>
      <c r="S460" s="88"/>
      <c r="T460" s="88"/>
      <c r="U460" s="88"/>
      <c r="V460" s="88"/>
      <c r="W460" s="88"/>
      <c r="X460" s="88"/>
      <c r="Y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Q461" s="88"/>
      <c r="R461" s="88"/>
      <c r="S461" s="88"/>
      <c r="T461" s="88"/>
      <c r="U461" s="88"/>
      <c r="V461" s="88"/>
      <c r="W461" s="88"/>
      <c r="X461" s="88"/>
      <c r="Y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Q462" s="88"/>
      <c r="R462" s="88"/>
      <c r="S462" s="88"/>
      <c r="T462" s="88"/>
      <c r="U462" s="88"/>
      <c r="V462" s="88"/>
      <c r="W462" s="88"/>
      <c r="X462" s="88"/>
      <c r="Y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Q463" s="88"/>
      <c r="R463" s="88"/>
      <c r="S463" s="88"/>
      <c r="T463" s="88"/>
      <c r="U463" s="88"/>
      <c r="V463" s="88"/>
      <c r="W463" s="88"/>
      <c r="X463" s="88"/>
      <c r="Y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Q464" s="88"/>
      <c r="R464" s="88"/>
      <c r="S464" s="88"/>
      <c r="T464" s="88"/>
      <c r="U464" s="88"/>
      <c r="V464" s="88"/>
      <c r="W464" s="88"/>
      <c r="X464" s="88"/>
      <c r="Y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Q465" s="88"/>
      <c r="R465" s="88"/>
      <c r="S465" s="88"/>
      <c r="T465" s="88"/>
      <c r="U465" s="88"/>
      <c r="V465" s="88"/>
      <c r="W465" s="88"/>
      <c r="X465" s="88"/>
      <c r="Y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Q466" s="88"/>
      <c r="R466" s="88"/>
      <c r="S466" s="88"/>
      <c r="T466" s="88"/>
      <c r="U466" s="88"/>
      <c r="V466" s="88"/>
      <c r="W466" s="88"/>
      <c r="X466" s="88"/>
      <c r="Y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Q467" s="88"/>
      <c r="R467" s="88"/>
      <c r="S467" s="88"/>
      <c r="T467" s="88"/>
      <c r="U467" s="88"/>
      <c r="V467" s="88"/>
      <c r="W467" s="88"/>
      <c r="X467" s="88"/>
      <c r="Y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Q468" s="88"/>
      <c r="R468" s="88"/>
      <c r="S468" s="88"/>
      <c r="T468" s="88"/>
      <c r="U468" s="88"/>
      <c r="V468" s="88"/>
      <c r="W468" s="88"/>
      <c r="X468" s="88"/>
      <c r="Y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Q469" s="88"/>
      <c r="R469" s="88"/>
      <c r="S469" s="88"/>
      <c r="T469" s="88"/>
      <c r="U469" s="88"/>
      <c r="V469" s="88"/>
      <c r="W469" s="88"/>
      <c r="X469" s="88"/>
      <c r="Y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Q470" s="88"/>
      <c r="R470" s="88"/>
      <c r="S470" s="88"/>
      <c r="T470" s="88"/>
      <c r="U470" s="88"/>
      <c r="V470" s="88"/>
      <c r="W470" s="88"/>
      <c r="X470" s="88"/>
      <c r="Y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Q471" s="88"/>
      <c r="R471" s="88"/>
      <c r="S471" s="88"/>
      <c r="T471" s="88"/>
      <c r="U471" s="88"/>
      <c r="V471" s="88"/>
      <c r="W471" s="88"/>
      <c r="X471" s="88"/>
      <c r="Y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Q472" s="88"/>
      <c r="R472" s="88"/>
      <c r="S472" s="88"/>
      <c r="T472" s="88"/>
      <c r="U472" s="88"/>
      <c r="V472" s="88"/>
      <c r="W472" s="88"/>
      <c r="X472" s="88"/>
      <c r="Y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Q473" s="88"/>
      <c r="R473" s="88"/>
      <c r="S473" s="88"/>
      <c r="T473" s="88"/>
      <c r="U473" s="88"/>
      <c r="V473" s="88"/>
      <c r="W473" s="88"/>
      <c r="X473" s="88"/>
      <c r="Y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Q474" s="88"/>
      <c r="R474" s="88"/>
      <c r="S474" s="88"/>
      <c r="T474" s="88"/>
      <c r="U474" s="88"/>
      <c r="V474" s="88"/>
      <c r="W474" s="88"/>
      <c r="X474" s="88"/>
      <c r="Y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Q475" s="88"/>
      <c r="R475" s="88"/>
      <c r="S475" s="88"/>
      <c r="T475" s="88"/>
      <c r="U475" s="88"/>
      <c r="V475" s="88"/>
      <c r="W475" s="88"/>
      <c r="X475" s="88"/>
      <c r="Y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Q476" s="88"/>
      <c r="R476" s="88"/>
      <c r="S476" s="88"/>
      <c r="T476" s="88"/>
      <c r="U476" s="88"/>
      <c r="V476" s="88"/>
      <c r="W476" s="88"/>
      <c r="X476" s="88"/>
      <c r="Y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Q477" s="88"/>
      <c r="R477" s="88"/>
      <c r="S477" s="88"/>
      <c r="T477" s="88"/>
      <c r="U477" s="88"/>
      <c r="V477" s="88"/>
      <c r="W477" s="88"/>
      <c r="X477" s="88"/>
      <c r="Y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Q478" s="88"/>
      <c r="R478" s="88"/>
      <c r="S478" s="88"/>
      <c r="T478" s="88"/>
      <c r="U478" s="88"/>
      <c r="V478" s="88"/>
      <c r="W478" s="88"/>
      <c r="X478" s="88"/>
      <c r="Y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Q479" s="88"/>
      <c r="R479" s="88"/>
      <c r="S479" s="88"/>
      <c r="T479" s="88"/>
      <c r="U479" s="88"/>
      <c r="V479" s="88"/>
      <c r="W479" s="88"/>
      <c r="X479" s="88"/>
      <c r="Y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Q480" s="88"/>
      <c r="R480" s="88"/>
      <c r="S480" s="88"/>
      <c r="T480" s="88"/>
      <c r="U480" s="88"/>
      <c r="V480" s="88"/>
      <c r="W480" s="88"/>
      <c r="X480" s="88"/>
      <c r="Y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Q481" s="88"/>
      <c r="R481" s="88"/>
      <c r="S481" s="88"/>
      <c r="T481" s="88"/>
      <c r="U481" s="88"/>
      <c r="V481" s="88"/>
      <c r="W481" s="88"/>
      <c r="X481" s="88"/>
      <c r="Y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Q482" s="88"/>
      <c r="R482" s="88"/>
      <c r="S482" s="88"/>
      <c r="T482" s="88"/>
      <c r="U482" s="88"/>
      <c r="V482" s="88"/>
      <c r="W482" s="88"/>
      <c r="X482" s="88"/>
      <c r="Y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Q483" s="88"/>
      <c r="R483" s="88"/>
      <c r="S483" s="88"/>
      <c r="T483" s="88"/>
      <c r="U483" s="88"/>
      <c r="V483" s="88"/>
      <c r="W483" s="88"/>
      <c r="X483" s="88"/>
      <c r="Y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Q484" s="88"/>
      <c r="R484" s="88"/>
      <c r="S484" s="88"/>
      <c r="T484" s="88"/>
      <c r="U484" s="88"/>
      <c r="V484" s="88"/>
      <c r="W484" s="88"/>
      <c r="X484" s="88"/>
      <c r="Y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Q485" s="88"/>
      <c r="R485" s="88"/>
      <c r="S485" s="88"/>
      <c r="T485" s="88"/>
      <c r="U485" s="88"/>
      <c r="V485" s="88"/>
      <c r="W485" s="88"/>
      <c r="X485" s="88"/>
      <c r="Y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Q486" s="88"/>
      <c r="R486" s="88"/>
      <c r="S486" s="88"/>
      <c r="T486" s="88"/>
      <c r="U486" s="88"/>
      <c r="V486" s="88"/>
      <c r="W486" s="88"/>
      <c r="X486" s="88"/>
      <c r="Y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Q487" s="88"/>
      <c r="R487" s="88"/>
      <c r="S487" s="88"/>
      <c r="T487" s="88"/>
      <c r="U487" s="88"/>
      <c r="V487" s="88"/>
      <c r="W487" s="88"/>
      <c r="X487" s="88"/>
      <c r="Y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Q488" s="88"/>
      <c r="R488" s="88"/>
      <c r="S488" s="88"/>
      <c r="T488" s="88"/>
      <c r="U488" s="88"/>
      <c r="V488" s="88"/>
      <c r="W488" s="88"/>
      <c r="X488" s="88"/>
      <c r="Y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Q489" s="88"/>
      <c r="R489" s="88"/>
      <c r="S489" s="88"/>
      <c r="T489" s="88"/>
      <c r="U489" s="88"/>
      <c r="V489" s="88"/>
      <c r="W489" s="88"/>
      <c r="X489" s="88"/>
      <c r="Y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Q490" s="88"/>
      <c r="R490" s="88"/>
      <c r="S490" s="88"/>
      <c r="T490" s="88"/>
      <c r="U490" s="88"/>
      <c r="V490" s="88"/>
      <c r="W490" s="88"/>
      <c r="X490" s="88"/>
      <c r="Y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Q491" s="88"/>
      <c r="R491" s="88"/>
      <c r="S491" s="88"/>
      <c r="T491" s="88"/>
      <c r="U491" s="88"/>
      <c r="V491" s="88"/>
      <c r="W491" s="88"/>
      <c r="X491" s="88"/>
      <c r="Y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Q492" s="88"/>
      <c r="R492" s="88"/>
      <c r="S492" s="88"/>
      <c r="T492" s="88"/>
      <c r="U492" s="88"/>
      <c r="V492" s="88"/>
      <c r="W492" s="88"/>
      <c r="X492" s="88"/>
      <c r="Y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Q493" s="88"/>
      <c r="R493" s="88"/>
      <c r="S493" s="88"/>
      <c r="T493" s="88"/>
      <c r="U493" s="88"/>
      <c r="V493" s="88"/>
      <c r="W493" s="88"/>
      <c r="X493" s="88"/>
      <c r="Y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Q494" s="88"/>
      <c r="R494" s="88"/>
      <c r="S494" s="88"/>
      <c r="T494" s="88"/>
      <c r="U494" s="88"/>
      <c r="V494" s="88"/>
      <c r="W494" s="88"/>
      <c r="X494" s="88"/>
      <c r="Y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Q495" s="88"/>
      <c r="R495" s="88"/>
      <c r="S495" s="88"/>
      <c r="T495" s="88"/>
      <c r="U495" s="88"/>
      <c r="V495" s="88"/>
      <c r="W495" s="88"/>
      <c r="X495" s="88"/>
      <c r="Y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Q496" s="88"/>
      <c r="R496" s="88"/>
      <c r="S496" s="88"/>
      <c r="T496" s="88"/>
      <c r="U496" s="88"/>
      <c r="V496" s="88"/>
      <c r="W496" s="88"/>
      <c r="X496" s="88"/>
      <c r="Y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Q497" s="88"/>
      <c r="R497" s="88"/>
      <c r="S497" s="88"/>
      <c r="T497" s="88"/>
      <c r="U497" s="88"/>
      <c r="V497" s="88"/>
      <c r="W497" s="88"/>
      <c r="X497" s="88"/>
      <c r="Y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Q498" s="88"/>
      <c r="R498" s="88"/>
      <c r="S498" s="88"/>
      <c r="T498" s="88"/>
      <c r="U498" s="88"/>
      <c r="V498" s="88"/>
      <c r="W498" s="88"/>
      <c r="X498" s="88"/>
      <c r="Y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Q499" s="88"/>
      <c r="R499" s="88"/>
      <c r="S499" s="88"/>
      <c r="T499" s="88"/>
      <c r="U499" s="88"/>
      <c r="V499" s="88"/>
      <c r="W499" s="88"/>
      <c r="X499" s="88"/>
      <c r="Y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Q500" s="88"/>
      <c r="R500" s="88"/>
      <c r="S500" s="88"/>
      <c r="T500" s="88"/>
      <c r="U500" s="88"/>
      <c r="V500" s="88"/>
      <c r="W500" s="88"/>
      <c r="X500" s="88"/>
      <c r="Y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Q501" s="88"/>
      <c r="R501" s="88"/>
      <c r="S501" s="88"/>
      <c r="T501" s="88"/>
      <c r="U501" s="88"/>
      <c r="V501" s="88"/>
      <c r="W501" s="88"/>
      <c r="X501" s="88"/>
      <c r="Y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Q502" s="88"/>
      <c r="R502" s="88"/>
      <c r="S502" s="88"/>
      <c r="T502" s="88"/>
      <c r="U502" s="88"/>
      <c r="V502" s="88"/>
      <c r="W502" s="88"/>
      <c r="X502" s="88"/>
      <c r="Y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Q503" s="88"/>
      <c r="R503" s="88"/>
      <c r="S503" s="88"/>
      <c r="T503" s="88"/>
      <c r="U503" s="88"/>
      <c r="V503" s="88"/>
      <c r="W503" s="88"/>
      <c r="X503" s="88"/>
      <c r="Y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Q504" s="88"/>
      <c r="R504" s="88"/>
      <c r="S504" s="88"/>
      <c r="T504" s="88"/>
      <c r="U504" s="88"/>
      <c r="V504" s="88"/>
      <c r="W504" s="88"/>
      <c r="X504" s="88"/>
      <c r="Y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Q505" s="88"/>
      <c r="R505" s="88"/>
      <c r="S505" s="88"/>
      <c r="T505" s="88"/>
      <c r="U505" s="88"/>
      <c r="V505" s="88"/>
      <c r="W505" s="88"/>
      <c r="X505" s="88"/>
      <c r="Y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Q506" s="88"/>
      <c r="R506" s="88"/>
      <c r="S506" s="88"/>
      <c r="T506" s="88"/>
      <c r="U506" s="88"/>
      <c r="V506" s="88"/>
      <c r="W506" s="88"/>
      <c r="X506" s="88"/>
      <c r="Y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Q507" s="88"/>
      <c r="R507" s="88"/>
      <c r="S507" s="88"/>
      <c r="T507" s="88"/>
      <c r="U507" s="88"/>
      <c r="V507" s="88"/>
      <c r="W507" s="88"/>
      <c r="X507" s="88"/>
      <c r="Y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Q508" s="88"/>
      <c r="R508" s="88"/>
      <c r="S508" s="88"/>
      <c r="T508" s="88"/>
      <c r="U508" s="88"/>
      <c r="V508" s="88"/>
      <c r="W508" s="88"/>
      <c r="X508" s="88"/>
      <c r="Y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Q509" s="88"/>
      <c r="R509" s="88"/>
      <c r="S509" s="88"/>
      <c r="T509" s="88"/>
      <c r="U509" s="88"/>
      <c r="V509" s="88"/>
      <c r="W509" s="88"/>
      <c r="X509" s="88"/>
      <c r="Y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Q510" s="88"/>
      <c r="R510" s="88"/>
      <c r="S510" s="88"/>
      <c r="T510" s="88"/>
      <c r="U510" s="88"/>
      <c r="V510" s="88"/>
      <c r="W510" s="88"/>
      <c r="X510" s="88"/>
      <c r="Y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Q511" s="88"/>
      <c r="R511" s="88"/>
      <c r="S511" s="88"/>
      <c r="T511" s="88"/>
      <c r="U511" s="88"/>
      <c r="V511" s="88"/>
      <c r="W511" s="88"/>
      <c r="X511" s="88"/>
      <c r="Y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Q512" s="88"/>
      <c r="R512" s="88"/>
      <c r="S512" s="88"/>
      <c r="T512" s="88"/>
      <c r="U512" s="88"/>
      <c r="V512" s="88"/>
      <c r="W512" s="88"/>
      <c r="X512" s="88"/>
      <c r="Y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Q513" s="88"/>
      <c r="R513" s="88"/>
      <c r="S513" s="88"/>
      <c r="T513" s="88"/>
      <c r="U513" s="88"/>
      <c r="V513" s="88"/>
      <c r="W513" s="88"/>
      <c r="X513" s="88"/>
      <c r="Y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Q514" s="88"/>
      <c r="R514" s="88"/>
      <c r="S514" s="88"/>
      <c r="T514" s="88"/>
      <c r="U514" s="88"/>
      <c r="V514" s="88"/>
      <c r="W514" s="88"/>
      <c r="X514" s="88"/>
      <c r="Y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Q515" s="88"/>
      <c r="R515" s="88"/>
      <c r="S515" s="88"/>
      <c r="T515" s="88"/>
      <c r="U515" s="88"/>
      <c r="V515" s="88"/>
      <c r="W515" s="88"/>
      <c r="X515" s="88"/>
      <c r="Y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Q516" s="88"/>
      <c r="R516" s="88"/>
      <c r="S516" s="88"/>
      <c r="T516" s="88"/>
      <c r="U516" s="88"/>
      <c r="V516" s="88"/>
      <c r="W516" s="88"/>
      <c r="X516" s="88"/>
      <c r="Y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Q517" s="88"/>
      <c r="R517" s="88"/>
      <c r="S517" s="88"/>
      <c r="T517" s="88"/>
      <c r="U517" s="88"/>
      <c r="V517" s="88"/>
      <c r="W517" s="88"/>
      <c r="X517" s="88"/>
      <c r="Y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Q518" s="88"/>
      <c r="R518" s="88"/>
      <c r="S518" s="88"/>
      <c r="T518" s="88"/>
      <c r="U518" s="88"/>
      <c r="V518" s="88"/>
      <c r="W518" s="88"/>
      <c r="X518" s="88"/>
      <c r="Y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Q519" s="88"/>
      <c r="R519" s="88"/>
      <c r="S519" s="88"/>
      <c r="T519" s="88"/>
      <c r="U519" s="88"/>
      <c r="V519" s="88"/>
      <c r="W519" s="88"/>
      <c r="X519" s="88"/>
      <c r="Y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Q520" s="88"/>
      <c r="R520" s="88"/>
      <c r="S520" s="88"/>
      <c r="T520" s="88"/>
      <c r="U520" s="88"/>
      <c r="V520" s="88"/>
      <c r="W520" s="88"/>
      <c r="X520" s="88"/>
      <c r="Y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Q521" s="88"/>
      <c r="R521" s="88"/>
      <c r="S521" s="88"/>
      <c r="T521" s="88"/>
      <c r="U521" s="88"/>
      <c r="V521" s="88"/>
      <c r="W521" s="88"/>
      <c r="X521" s="88"/>
      <c r="Y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Q522" s="88"/>
      <c r="R522" s="88"/>
      <c r="S522" s="88"/>
      <c r="T522" s="88"/>
      <c r="U522" s="88"/>
      <c r="V522" s="88"/>
      <c r="W522" s="88"/>
      <c r="X522" s="88"/>
      <c r="Y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Q523" s="88"/>
      <c r="R523" s="88"/>
      <c r="S523" s="88"/>
      <c r="T523" s="88"/>
      <c r="U523" s="88"/>
      <c r="V523" s="88"/>
      <c r="W523" s="88"/>
      <c r="X523" s="88"/>
      <c r="Y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Q524" s="88"/>
      <c r="R524" s="88"/>
      <c r="S524" s="88"/>
      <c r="T524" s="88"/>
      <c r="U524" s="88"/>
      <c r="V524" s="88"/>
      <c r="W524" s="88"/>
      <c r="X524" s="88"/>
      <c r="Y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Q525" s="88"/>
      <c r="R525" s="88"/>
      <c r="S525" s="88"/>
      <c r="T525" s="88"/>
      <c r="U525" s="88"/>
      <c r="V525" s="88"/>
      <c r="W525" s="88"/>
      <c r="X525" s="88"/>
      <c r="Y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Q526" s="88"/>
      <c r="R526" s="88"/>
      <c r="S526" s="88"/>
      <c r="T526" s="88"/>
      <c r="U526" s="88"/>
      <c r="V526" s="88"/>
      <c r="W526" s="88"/>
      <c r="X526" s="88"/>
      <c r="Y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Q527" s="88"/>
      <c r="R527" s="88"/>
      <c r="S527" s="88"/>
      <c r="T527" s="88"/>
      <c r="U527" s="88"/>
      <c r="V527" s="88"/>
      <c r="W527" s="88"/>
      <c r="X527" s="88"/>
      <c r="Y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Q528" s="88"/>
      <c r="R528" s="88"/>
      <c r="S528" s="88"/>
      <c r="T528" s="88"/>
      <c r="U528" s="88"/>
      <c r="V528" s="88"/>
      <c r="W528" s="88"/>
      <c r="X528" s="88"/>
      <c r="Y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Q529" s="88"/>
      <c r="R529" s="88"/>
      <c r="S529" s="88"/>
      <c r="T529" s="88"/>
      <c r="U529" s="88"/>
      <c r="V529" s="88"/>
      <c r="W529" s="88"/>
      <c r="X529" s="88"/>
      <c r="Y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Q530" s="88"/>
      <c r="R530" s="88"/>
      <c r="S530" s="88"/>
      <c r="T530" s="88"/>
      <c r="U530" s="88"/>
      <c r="V530" s="88"/>
      <c r="W530" s="88"/>
      <c r="X530" s="88"/>
      <c r="Y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Q531" s="88"/>
      <c r="R531" s="88"/>
      <c r="S531" s="88"/>
      <c r="T531" s="88"/>
      <c r="U531" s="88"/>
      <c r="V531" s="88"/>
      <c r="W531" s="88"/>
      <c r="X531" s="88"/>
      <c r="Y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Q532" s="88"/>
      <c r="R532" s="88"/>
      <c r="S532" s="88"/>
      <c r="T532" s="88"/>
      <c r="U532" s="88"/>
      <c r="V532" s="88"/>
      <c r="W532" s="88"/>
      <c r="X532" s="88"/>
      <c r="Y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Q533" s="88"/>
      <c r="R533" s="88"/>
      <c r="S533" s="88"/>
      <c r="T533" s="88"/>
      <c r="U533" s="88"/>
      <c r="V533" s="88"/>
      <c r="W533" s="88"/>
      <c r="X533" s="88"/>
      <c r="Y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Q534" s="88"/>
      <c r="R534" s="88"/>
      <c r="S534" s="88"/>
      <c r="T534" s="88"/>
      <c r="U534" s="88"/>
      <c r="V534" s="88"/>
      <c r="W534" s="88"/>
      <c r="X534" s="88"/>
      <c r="Y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Q535" s="88"/>
      <c r="R535" s="88"/>
      <c r="S535" s="88"/>
      <c r="T535" s="88"/>
      <c r="U535" s="88"/>
      <c r="V535" s="88"/>
      <c r="W535" s="88"/>
      <c r="X535" s="88"/>
      <c r="Y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Q536" s="88"/>
      <c r="R536" s="88"/>
      <c r="S536" s="88"/>
      <c r="T536" s="88"/>
      <c r="U536" s="88"/>
      <c r="V536" s="88"/>
      <c r="W536" s="88"/>
      <c r="X536" s="88"/>
      <c r="Y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Q537" s="88"/>
      <c r="R537" s="88"/>
      <c r="S537" s="88"/>
      <c r="T537" s="88"/>
      <c r="U537" s="88"/>
      <c r="V537" s="88"/>
      <c r="W537" s="88"/>
      <c r="X537" s="88"/>
      <c r="Y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Q538" s="88"/>
      <c r="R538" s="88"/>
      <c r="S538" s="88"/>
      <c r="T538" s="88"/>
      <c r="U538" s="88"/>
      <c r="V538" s="88"/>
      <c r="W538" s="88"/>
      <c r="X538" s="88"/>
      <c r="Y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Q539" s="88"/>
      <c r="R539" s="88"/>
      <c r="S539" s="88"/>
      <c r="T539" s="88"/>
      <c r="U539" s="88"/>
      <c r="V539" s="88"/>
      <c r="W539" s="88"/>
      <c r="X539" s="88"/>
      <c r="Y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Q540" s="88"/>
      <c r="R540" s="88"/>
      <c r="S540" s="88"/>
      <c r="T540" s="88"/>
      <c r="U540" s="88"/>
      <c r="V540" s="88"/>
      <c r="W540" s="88"/>
      <c r="X540" s="88"/>
      <c r="Y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Q541" s="88"/>
      <c r="R541" s="88"/>
      <c r="S541" s="88"/>
      <c r="T541" s="88"/>
      <c r="U541" s="88"/>
      <c r="V541" s="88"/>
      <c r="W541" s="88"/>
      <c r="X541" s="88"/>
      <c r="Y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Q542" s="88"/>
      <c r="R542" s="88"/>
      <c r="S542" s="88"/>
      <c r="T542" s="88"/>
      <c r="U542" s="88"/>
      <c r="V542" s="88"/>
      <c r="W542" s="88"/>
      <c r="X542" s="88"/>
      <c r="Y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Q543" s="88"/>
      <c r="R543" s="88"/>
      <c r="S543" s="88"/>
      <c r="T543" s="88"/>
      <c r="U543" s="88"/>
      <c r="V543" s="88"/>
      <c r="W543" s="88"/>
      <c r="X543" s="88"/>
      <c r="Y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Q544" s="88"/>
      <c r="R544" s="88"/>
      <c r="S544" s="88"/>
      <c r="T544" s="88"/>
      <c r="U544" s="88"/>
      <c r="V544" s="88"/>
      <c r="W544" s="88"/>
      <c r="X544" s="88"/>
      <c r="Y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Q545" s="88"/>
      <c r="R545" s="88"/>
      <c r="S545" s="88"/>
      <c r="T545" s="88"/>
      <c r="U545" s="88"/>
      <c r="V545" s="88"/>
      <c r="W545" s="88"/>
      <c r="X545" s="88"/>
      <c r="Y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Q546" s="88"/>
      <c r="R546" s="88"/>
      <c r="S546" s="88"/>
      <c r="T546" s="88"/>
      <c r="U546" s="88"/>
      <c r="V546" s="88"/>
      <c r="W546" s="88"/>
      <c r="X546" s="88"/>
      <c r="Y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Q547" s="88"/>
      <c r="R547" s="88"/>
      <c r="S547" s="88"/>
      <c r="T547" s="88"/>
      <c r="U547" s="88"/>
      <c r="V547" s="88"/>
      <c r="W547" s="88"/>
      <c r="X547" s="88"/>
      <c r="Y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Q548" s="88"/>
      <c r="R548" s="88"/>
      <c r="S548" s="88"/>
      <c r="T548" s="88"/>
      <c r="U548" s="88"/>
      <c r="V548" s="88"/>
      <c r="W548" s="88"/>
      <c r="X548" s="88"/>
      <c r="Y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Q549" s="88"/>
      <c r="R549" s="88"/>
      <c r="S549" s="88"/>
      <c r="T549" s="88"/>
      <c r="U549" s="88"/>
      <c r="V549" s="88"/>
      <c r="W549" s="88"/>
      <c r="X549" s="88"/>
      <c r="Y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Q550" s="88"/>
      <c r="R550" s="88"/>
      <c r="S550" s="88"/>
      <c r="T550" s="88"/>
      <c r="U550" s="88"/>
      <c r="V550" s="88"/>
      <c r="W550" s="88"/>
      <c r="X550" s="88"/>
      <c r="Y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Q551" s="88"/>
      <c r="R551" s="88"/>
      <c r="S551" s="88"/>
      <c r="T551" s="88"/>
      <c r="U551" s="88"/>
      <c r="V551" s="88"/>
      <c r="W551" s="88"/>
      <c r="X551" s="88"/>
      <c r="Y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Q552" s="88"/>
      <c r="R552" s="88"/>
      <c r="S552" s="88"/>
      <c r="T552" s="88"/>
      <c r="U552" s="88"/>
      <c r="V552" s="88"/>
      <c r="W552" s="88"/>
      <c r="X552" s="88"/>
      <c r="Y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Q553" s="88"/>
      <c r="R553" s="88"/>
      <c r="S553" s="88"/>
      <c r="T553" s="88"/>
      <c r="U553" s="88"/>
      <c r="V553" s="88"/>
      <c r="W553" s="88"/>
      <c r="X553" s="88"/>
      <c r="Y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Q554" s="88"/>
      <c r="R554" s="88"/>
      <c r="S554" s="88"/>
      <c r="T554" s="88"/>
      <c r="U554" s="88"/>
      <c r="V554" s="88"/>
      <c r="W554" s="88"/>
      <c r="X554" s="88"/>
      <c r="Y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Q555" s="88"/>
      <c r="R555" s="88"/>
      <c r="S555" s="88"/>
      <c r="T555" s="88"/>
      <c r="U555" s="88"/>
      <c r="V555" s="88"/>
      <c r="W555" s="88"/>
      <c r="X555" s="88"/>
      <c r="Y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Q556" s="88"/>
      <c r="R556" s="88"/>
      <c r="S556" s="88"/>
      <c r="T556" s="88"/>
      <c r="U556" s="88"/>
      <c r="V556" s="88"/>
      <c r="W556" s="88"/>
      <c r="X556" s="88"/>
      <c r="Y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Q557" s="88"/>
      <c r="R557" s="88"/>
      <c r="S557" s="88"/>
      <c r="T557" s="88"/>
      <c r="U557" s="88"/>
      <c r="V557" s="88"/>
      <c r="W557" s="88"/>
      <c r="X557" s="88"/>
      <c r="Y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Q558" s="88"/>
      <c r="R558" s="88"/>
      <c r="S558" s="88"/>
      <c r="T558" s="88"/>
      <c r="U558" s="88"/>
      <c r="V558" s="88"/>
      <c r="W558" s="88"/>
      <c r="X558" s="88"/>
      <c r="Y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Q559" s="88"/>
      <c r="R559" s="88"/>
      <c r="S559" s="88"/>
      <c r="T559" s="88"/>
      <c r="U559" s="88"/>
      <c r="V559" s="88"/>
      <c r="W559" s="88"/>
      <c r="X559" s="88"/>
      <c r="Y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Q560" s="88"/>
      <c r="R560" s="88"/>
      <c r="S560" s="88"/>
      <c r="T560" s="88"/>
      <c r="U560" s="88"/>
      <c r="V560" s="88"/>
      <c r="W560" s="88"/>
      <c r="X560" s="88"/>
      <c r="Y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Q561" s="88"/>
      <c r="R561" s="88"/>
      <c r="S561" s="88"/>
      <c r="T561" s="88"/>
      <c r="U561" s="88"/>
      <c r="V561" s="88"/>
      <c r="W561" s="88"/>
      <c r="X561" s="88"/>
      <c r="Y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Q562" s="88"/>
      <c r="R562" s="88"/>
      <c r="S562" s="88"/>
      <c r="T562" s="88"/>
      <c r="U562" s="88"/>
      <c r="V562" s="88"/>
      <c r="W562" s="88"/>
      <c r="X562" s="88"/>
      <c r="Y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Q563" s="88"/>
      <c r="R563" s="88"/>
      <c r="S563" s="88"/>
      <c r="T563" s="88"/>
      <c r="U563" s="88"/>
      <c r="V563" s="88"/>
      <c r="W563" s="88"/>
      <c r="X563" s="88"/>
      <c r="Y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Q564" s="88"/>
      <c r="R564" s="88"/>
      <c r="S564" s="88"/>
      <c r="T564" s="88"/>
      <c r="U564" s="88"/>
      <c r="V564" s="88"/>
      <c r="W564" s="88"/>
      <c r="X564" s="88"/>
      <c r="Y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Q565" s="88"/>
      <c r="R565" s="88"/>
      <c r="S565" s="88"/>
      <c r="T565" s="88"/>
      <c r="U565" s="88"/>
      <c r="V565" s="88"/>
      <c r="W565" s="88"/>
      <c r="X565" s="88"/>
      <c r="Y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Q566" s="88"/>
      <c r="R566" s="88"/>
      <c r="S566" s="88"/>
      <c r="T566" s="88"/>
      <c r="U566" s="88"/>
      <c r="V566" s="88"/>
      <c r="W566" s="88"/>
      <c r="X566" s="88"/>
      <c r="Y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Q567" s="88"/>
      <c r="R567" s="88"/>
      <c r="S567" s="88"/>
      <c r="T567" s="88"/>
      <c r="U567" s="88"/>
      <c r="V567" s="88"/>
      <c r="W567" s="88"/>
      <c r="X567" s="88"/>
      <c r="Y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Q568" s="88"/>
      <c r="R568" s="88"/>
      <c r="S568" s="88"/>
      <c r="T568" s="88"/>
      <c r="U568" s="88"/>
      <c r="V568" s="88"/>
      <c r="W568" s="88"/>
      <c r="X568" s="88"/>
      <c r="Y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Q569" s="88"/>
      <c r="R569" s="88"/>
      <c r="S569" s="88"/>
      <c r="T569" s="88"/>
      <c r="U569" s="88"/>
      <c r="V569" s="88"/>
      <c r="W569" s="88"/>
      <c r="X569" s="88"/>
      <c r="Y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Q570" s="88"/>
      <c r="R570" s="88"/>
      <c r="S570" s="88"/>
      <c r="T570" s="88"/>
      <c r="U570" s="88"/>
      <c r="V570" s="88"/>
      <c r="W570" s="88"/>
      <c r="X570" s="88"/>
      <c r="Y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Q571" s="88"/>
      <c r="R571" s="88"/>
      <c r="S571" s="88"/>
      <c r="T571" s="88"/>
      <c r="U571" s="88"/>
      <c r="V571" s="88"/>
      <c r="W571" s="88"/>
      <c r="X571" s="88"/>
      <c r="Y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Q605" s="88"/>
      <c r="R605" s="88"/>
      <c r="S605" s="88"/>
      <c r="T605" s="88"/>
      <c r="U605" s="88"/>
      <c r="V605" s="88"/>
      <c r="W605" s="88"/>
      <c r="X605" s="88"/>
      <c r="Y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Q606" s="88"/>
      <c r="R606" s="88"/>
      <c r="S606" s="88"/>
      <c r="T606" s="88"/>
      <c r="U606" s="88"/>
      <c r="V606" s="88"/>
      <c r="W606" s="88"/>
      <c r="X606" s="88"/>
      <c r="Y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Q607" s="88"/>
      <c r="R607" s="88"/>
      <c r="S607" s="88"/>
      <c r="T607" s="88"/>
      <c r="U607" s="88"/>
      <c r="V607" s="88"/>
      <c r="W607" s="88"/>
      <c r="X607" s="88"/>
      <c r="Y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Q608" s="88"/>
      <c r="R608" s="88"/>
      <c r="S608" s="88"/>
      <c r="T608" s="88"/>
      <c r="U608" s="88"/>
      <c r="V608" s="88"/>
      <c r="W608" s="88"/>
      <c r="X608" s="88"/>
      <c r="Y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Q609" s="88"/>
      <c r="R609" s="88"/>
      <c r="S609" s="88"/>
      <c r="T609" s="88"/>
      <c r="U609" s="88"/>
      <c r="V609" s="88"/>
      <c r="W609" s="88"/>
      <c r="X609" s="88"/>
      <c r="Y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Q610" s="88"/>
      <c r="R610" s="88"/>
      <c r="S610" s="88"/>
      <c r="T610" s="88"/>
      <c r="U610" s="88"/>
      <c r="V610" s="88"/>
      <c r="W610" s="88"/>
      <c r="X610" s="88"/>
      <c r="Y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Q611" s="88"/>
      <c r="R611" s="88"/>
      <c r="S611" s="88"/>
      <c r="T611" s="88"/>
      <c r="U611" s="88"/>
      <c r="V611" s="88"/>
      <c r="W611" s="88"/>
      <c r="X611" s="88"/>
      <c r="Y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Q612" s="88"/>
      <c r="R612" s="88"/>
      <c r="S612" s="88"/>
      <c r="T612" s="88"/>
      <c r="U612" s="88"/>
      <c r="V612" s="88"/>
      <c r="W612" s="88"/>
      <c r="X612" s="88"/>
      <c r="Y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Q613" s="88"/>
      <c r="R613" s="88"/>
      <c r="S613" s="88"/>
      <c r="T613" s="88"/>
      <c r="U613" s="88"/>
      <c r="V613" s="88"/>
      <c r="W613" s="88"/>
      <c r="X613" s="88"/>
      <c r="Y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Q614" s="88"/>
      <c r="R614" s="88"/>
      <c r="S614" s="88"/>
      <c r="T614" s="88"/>
      <c r="U614" s="88"/>
      <c r="V614" s="88"/>
      <c r="W614" s="88"/>
      <c r="X614" s="88"/>
      <c r="Y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Q615" s="88"/>
      <c r="R615" s="88"/>
      <c r="S615" s="88"/>
      <c r="T615" s="88"/>
      <c r="U615" s="88"/>
      <c r="V615" s="88"/>
      <c r="W615" s="88"/>
      <c r="X615" s="88"/>
      <c r="Y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Q616" s="88"/>
      <c r="R616" s="88"/>
      <c r="S616" s="88"/>
      <c r="T616" s="88"/>
      <c r="U616" s="88"/>
      <c r="V616" s="88"/>
      <c r="W616" s="88"/>
      <c r="X616" s="88"/>
      <c r="Y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Q617" s="88"/>
      <c r="R617" s="88"/>
      <c r="S617" s="88"/>
      <c r="T617" s="88"/>
      <c r="U617" s="88"/>
      <c r="V617" s="88"/>
      <c r="W617" s="88"/>
      <c r="X617" s="88"/>
      <c r="Y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Q618" s="88"/>
      <c r="R618" s="88"/>
      <c r="S618" s="88"/>
      <c r="T618" s="88"/>
      <c r="U618" s="88"/>
      <c r="V618" s="88"/>
      <c r="W618" s="88"/>
      <c r="X618" s="88"/>
      <c r="Y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Q619" s="88"/>
      <c r="R619" s="88"/>
      <c r="S619" s="88"/>
      <c r="T619" s="88"/>
      <c r="U619" s="88"/>
      <c r="V619" s="88"/>
      <c r="W619" s="88"/>
      <c r="X619" s="88"/>
      <c r="Y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Q620" s="88"/>
      <c r="R620" s="88"/>
      <c r="S620" s="88"/>
      <c r="T620" s="88"/>
      <c r="U620" s="88"/>
      <c r="V620" s="88"/>
      <c r="W620" s="88"/>
      <c r="X620" s="88"/>
      <c r="Y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Q621" s="88"/>
      <c r="R621" s="88"/>
      <c r="S621" s="88"/>
      <c r="T621" s="88"/>
      <c r="U621" s="88"/>
      <c r="V621" s="88"/>
      <c r="W621" s="88"/>
      <c r="X621" s="88"/>
      <c r="Y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Q622" s="88"/>
      <c r="R622" s="88"/>
      <c r="S622" s="88"/>
      <c r="T622" s="88"/>
      <c r="U622" s="88"/>
      <c r="V622" s="88"/>
      <c r="W622" s="88"/>
      <c r="X622" s="88"/>
      <c r="Y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Q623" s="88"/>
      <c r="R623" s="88"/>
      <c r="S623" s="88"/>
      <c r="T623" s="88"/>
      <c r="U623" s="88"/>
      <c r="V623" s="88"/>
      <c r="W623" s="88"/>
      <c r="X623" s="88"/>
      <c r="Y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Q624" s="88"/>
      <c r="R624" s="88"/>
      <c r="S624" s="88"/>
      <c r="T624" s="88"/>
      <c r="U624" s="88"/>
      <c r="V624" s="88"/>
      <c r="W624" s="88"/>
      <c r="X624" s="88"/>
      <c r="Y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Q625" s="88"/>
      <c r="R625" s="88"/>
      <c r="S625" s="88"/>
      <c r="T625" s="88"/>
      <c r="U625" s="88"/>
      <c r="V625" s="88"/>
      <c r="W625" s="88"/>
      <c r="X625" s="88"/>
      <c r="Y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Q626" s="88"/>
      <c r="R626" s="88"/>
      <c r="S626" s="88"/>
      <c r="T626" s="88"/>
      <c r="U626" s="88"/>
      <c r="V626" s="88"/>
      <c r="W626" s="88"/>
      <c r="X626" s="88"/>
      <c r="Y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Q627" s="88"/>
      <c r="R627" s="88"/>
      <c r="S627" s="88"/>
      <c r="T627" s="88"/>
      <c r="U627" s="88"/>
      <c r="V627" s="88"/>
      <c r="W627" s="88"/>
      <c r="X627" s="88"/>
      <c r="Y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Q628" s="88"/>
      <c r="R628" s="88"/>
      <c r="S628" s="88"/>
      <c r="T628" s="88"/>
      <c r="U628" s="88"/>
      <c r="V628" s="88"/>
      <c r="W628" s="88"/>
      <c r="X628" s="88"/>
      <c r="Y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Q629" s="88"/>
      <c r="R629" s="88"/>
      <c r="S629" s="88"/>
      <c r="T629" s="88"/>
      <c r="U629" s="88"/>
      <c r="V629" s="88"/>
      <c r="W629" s="88"/>
      <c r="X629" s="88"/>
      <c r="Y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Q630" s="88"/>
      <c r="R630" s="88"/>
      <c r="S630" s="88"/>
      <c r="T630" s="88"/>
      <c r="U630" s="88"/>
      <c r="V630" s="88"/>
      <c r="W630" s="88"/>
      <c r="X630" s="88"/>
      <c r="Y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Q631" s="88"/>
      <c r="R631" s="88"/>
      <c r="S631" s="88"/>
      <c r="T631" s="88"/>
      <c r="U631" s="88"/>
      <c r="V631" s="88"/>
      <c r="W631" s="88"/>
      <c r="X631" s="88"/>
      <c r="Y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Q632" s="88"/>
      <c r="R632" s="88"/>
      <c r="S632" s="88"/>
      <c r="T632" s="88"/>
      <c r="U632" s="88"/>
      <c r="V632" s="88"/>
      <c r="W632" s="88"/>
      <c r="X632" s="88"/>
      <c r="Y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Q633" s="88"/>
      <c r="R633" s="88"/>
      <c r="S633" s="88"/>
      <c r="T633" s="88"/>
      <c r="U633" s="88"/>
      <c r="V633" s="88"/>
      <c r="W633" s="88"/>
      <c r="X633" s="88"/>
      <c r="Y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Q634" s="88"/>
      <c r="R634" s="88"/>
      <c r="S634" s="88"/>
      <c r="T634" s="88"/>
      <c r="U634" s="88"/>
      <c r="V634" s="88"/>
      <c r="W634" s="88"/>
      <c r="X634" s="88"/>
      <c r="Y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Q635" s="88"/>
      <c r="R635" s="88"/>
      <c r="S635" s="88"/>
      <c r="T635" s="88"/>
      <c r="U635" s="88"/>
      <c r="V635" s="88"/>
      <c r="W635" s="88"/>
      <c r="X635" s="88"/>
      <c r="Y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Q636" s="88"/>
      <c r="R636" s="88"/>
      <c r="S636" s="88"/>
      <c r="T636" s="88"/>
      <c r="U636" s="88"/>
      <c r="V636" s="88"/>
      <c r="W636" s="88"/>
      <c r="X636" s="88"/>
      <c r="Y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Q637" s="88"/>
      <c r="R637" s="88"/>
      <c r="S637" s="88"/>
      <c r="T637" s="88"/>
      <c r="U637" s="88"/>
      <c r="V637" s="88"/>
      <c r="W637" s="88"/>
      <c r="X637" s="88"/>
      <c r="Y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Q638" s="88"/>
      <c r="R638" s="88"/>
      <c r="S638" s="88"/>
      <c r="T638" s="88"/>
      <c r="U638" s="88"/>
      <c r="V638" s="88"/>
      <c r="W638" s="88"/>
      <c r="X638" s="88"/>
      <c r="Y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Q639" s="88"/>
      <c r="R639" s="88"/>
      <c r="S639" s="88"/>
      <c r="T639" s="88"/>
      <c r="U639" s="88"/>
      <c r="V639" s="88"/>
      <c r="W639" s="88"/>
      <c r="X639" s="88"/>
      <c r="Y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Q640" s="88"/>
      <c r="R640" s="88"/>
      <c r="S640" s="88"/>
      <c r="T640" s="88"/>
      <c r="U640" s="88"/>
      <c r="V640" s="88"/>
      <c r="W640" s="88"/>
      <c r="X640" s="88"/>
      <c r="Y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Q641" s="88"/>
      <c r="R641" s="88"/>
      <c r="S641" s="88"/>
      <c r="T641" s="88"/>
      <c r="U641" s="88"/>
      <c r="V641" s="88"/>
      <c r="W641" s="88"/>
      <c r="X641" s="88"/>
      <c r="Y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Q642" s="88"/>
      <c r="R642" s="88"/>
      <c r="S642" s="88"/>
      <c r="T642" s="88"/>
      <c r="U642" s="88"/>
      <c r="V642" s="88"/>
      <c r="W642" s="88"/>
      <c r="X642" s="88"/>
      <c r="Y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Q643" s="88"/>
      <c r="R643" s="88"/>
      <c r="S643" s="88"/>
      <c r="T643" s="88"/>
      <c r="U643" s="88"/>
      <c r="V643" s="88"/>
      <c r="W643" s="88"/>
      <c r="X643" s="88"/>
      <c r="Y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Q644" s="88"/>
      <c r="R644" s="88"/>
      <c r="S644" s="88"/>
      <c r="T644" s="88"/>
      <c r="U644" s="88"/>
      <c r="V644" s="88"/>
      <c r="W644" s="88"/>
      <c r="X644" s="88"/>
      <c r="Y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Q645" s="88"/>
      <c r="R645" s="88"/>
      <c r="S645" s="88"/>
      <c r="T645" s="88"/>
      <c r="U645" s="88"/>
      <c r="V645" s="88"/>
      <c r="W645" s="88"/>
      <c r="X645" s="88"/>
      <c r="Y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Q646" s="88"/>
      <c r="R646" s="88"/>
      <c r="S646" s="88"/>
      <c r="T646" s="88"/>
      <c r="U646" s="88"/>
      <c r="V646" s="88"/>
      <c r="W646" s="88"/>
      <c r="X646" s="88"/>
      <c r="Y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Q647" s="88"/>
      <c r="R647" s="88"/>
      <c r="S647" s="88"/>
      <c r="T647" s="88"/>
      <c r="U647" s="88"/>
      <c r="V647" s="88"/>
      <c r="W647" s="88"/>
      <c r="X647" s="88"/>
      <c r="Y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Q648" s="88"/>
      <c r="R648" s="88"/>
      <c r="S648" s="88"/>
      <c r="T648" s="88"/>
      <c r="U648" s="88"/>
      <c r="V648" s="88"/>
      <c r="W648" s="88"/>
      <c r="X648" s="88"/>
      <c r="Y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Q649" s="88"/>
      <c r="R649" s="88"/>
      <c r="S649" s="88"/>
      <c r="T649" s="88"/>
      <c r="U649" s="88"/>
      <c r="V649" s="88"/>
      <c r="W649" s="88"/>
      <c r="X649" s="88"/>
      <c r="Y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Q650" s="88"/>
      <c r="R650" s="88"/>
      <c r="S650" s="88"/>
      <c r="T650" s="88"/>
      <c r="U650" s="88"/>
      <c r="V650" s="88"/>
      <c r="W650" s="88"/>
      <c r="X650" s="88"/>
      <c r="Y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Q651" s="88"/>
      <c r="R651" s="88"/>
      <c r="S651" s="88"/>
      <c r="T651" s="88"/>
      <c r="U651" s="88"/>
      <c r="V651" s="88"/>
      <c r="W651" s="88"/>
      <c r="X651" s="88"/>
      <c r="Y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Q652" s="88"/>
      <c r="R652" s="88"/>
      <c r="S652" s="88"/>
      <c r="T652" s="88"/>
      <c r="U652" s="88"/>
      <c r="V652" s="88"/>
      <c r="W652" s="88"/>
      <c r="X652" s="88"/>
      <c r="Y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Q653" s="88"/>
      <c r="R653" s="88"/>
      <c r="S653" s="88"/>
      <c r="T653" s="88"/>
      <c r="U653" s="88"/>
      <c r="V653" s="88"/>
      <c r="W653" s="88"/>
      <c r="X653" s="88"/>
      <c r="Y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Q654" s="88"/>
      <c r="R654" s="88"/>
      <c r="S654" s="88"/>
      <c r="T654" s="88"/>
      <c r="U654" s="88"/>
      <c r="V654" s="88"/>
      <c r="W654" s="88"/>
      <c r="X654" s="88"/>
      <c r="Y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Q655" s="88"/>
      <c r="R655" s="88"/>
      <c r="S655" s="88"/>
      <c r="T655" s="88"/>
      <c r="U655" s="88"/>
      <c r="V655" s="88"/>
      <c r="W655" s="88"/>
      <c r="X655" s="88"/>
      <c r="Y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Q656" s="88"/>
      <c r="R656" s="88"/>
      <c r="S656" s="88"/>
      <c r="T656" s="88"/>
      <c r="U656" s="88"/>
      <c r="V656" s="88"/>
      <c r="W656" s="88"/>
      <c r="X656" s="88"/>
      <c r="Y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Q657" s="88"/>
      <c r="R657" s="88"/>
      <c r="S657" s="88"/>
      <c r="T657" s="88"/>
      <c r="U657" s="88"/>
      <c r="V657" s="88"/>
      <c r="W657" s="88"/>
      <c r="X657" s="88"/>
      <c r="Y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Q658" s="88"/>
      <c r="R658" s="88"/>
      <c r="S658" s="88"/>
      <c r="T658" s="88"/>
      <c r="U658" s="88"/>
      <c r="V658" s="88"/>
      <c r="W658" s="88"/>
      <c r="X658" s="88"/>
      <c r="Y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Q659" s="88"/>
      <c r="R659" s="88"/>
      <c r="S659" s="88"/>
      <c r="T659" s="88"/>
      <c r="U659" s="88"/>
      <c r="V659" s="88"/>
      <c r="W659" s="88"/>
      <c r="X659" s="88"/>
      <c r="Y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Q660" s="88"/>
      <c r="R660" s="88"/>
      <c r="S660" s="88"/>
      <c r="T660" s="88"/>
      <c r="U660" s="88"/>
      <c r="V660" s="88"/>
      <c r="W660" s="88"/>
      <c r="X660" s="88"/>
      <c r="Y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Q661" s="88"/>
      <c r="R661" s="88"/>
      <c r="S661" s="88"/>
      <c r="T661" s="88"/>
      <c r="U661" s="88"/>
      <c r="V661" s="88"/>
      <c r="W661" s="88"/>
      <c r="X661" s="88"/>
      <c r="Y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Q662" s="88"/>
      <c r="R662" s="88"/>
      <c r="S662" s="88"/>
      <c r="T662" s="88"/>
      <c r="U662" s="88"/>
      <c r="V662" s="88"/>
      <c r="W662" s="88"/>
      <c r="X662" s="88"/>
      <c r="Y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Q663" s="88"/>
      <c r="R663" s="88"/>
      <c r="S663" s="88"/>
      <c r="T663" s="88"/>
      <c r="U663" s="88"/>
      <c r="V663" s="88"/>
      <c r="W663" s="88"/>
      <c r="X663" s="88"/>
      <c r="Y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Q664" s="88"/>
      <c r="R664" s="88"/>
      <c r="S664" s="88"/>
      <c r="T664" s="88"/>
      <c r="U664" s="88"/>
      <c r="V664" s="88"/>
      <c r="W664" s="88"/>
      <c r="X664" s="88"/>
      <c r="Y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Q665" s="88"/>
      <c r="R665" s="88"/>
      <c r="S665" s="88"/>
      <c r="T665" s="88"/>
      <c r="U665" s="88"/>
      <c r="V665" s="88"/>
      <c r="W665" s="88"/>
      <c r="X665" s="88"/>
      <c r="Y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Q666" s="88"/>
      <c r="R666" s="88"/>
      <c r="S666" s="88"/>
      <c r="T666" s="88"/>
      <c r="U666" s="88"/>
      <c r="V666" s="88"/>
      <c r="W666" s="88"/>
      <c r="X666" s="88"/>
      <c r="Y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Q667" s="88"/>
      <c r="R667" s="88"/>
      <c r="S667" s="88"/>
      <c r="T667" s="88"/>
      <c r="U667" s="88"/>
      <c r="V667" s="88"/>
      <c r="W667" s="88"/>
      <c r="X667" s="88"/>
      <c r="Y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Q668" s="88"/>
      <c r="R668" s="88"/>
      <c r="S668" s="88"/>
      <c r="T668" s="88"/>
      <c r="U668" s="88"/>
      <c r="V668" s="88"/>
      <c r="W668" s="88"/>
      <c r="X668" s="88"/>
      <c r="Y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Q669" s="88"/>
      <c r="R669" s="88"/>
      <c r="S669" s="88"/>
      <c r="T669" s="88"/>
      <c r="U669" s="88"/>
      <c r="V669" s="88"/>
      <c r="W669" s="88"/>
      <c r="X669" s="88"/>
      <c r="Y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Q670" s="88"/>
      <c r="R670" s="88"/>
      <c r="S670" s="88"/>
      <c r="T670" s="88"/>
      <c r="U670" s="88"/>
      <c r="V670" s="88"/>
      <c r="W670" s="88"/>
      <c r="X670" s="88"/>
      <c r="Y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Q671" s="88"/>
      <c r="R671" s="88"/>
      <c r="S671" s="88"/>
      <c r="T671" s="88"/>
      <c r="U671" s="88"/>
      <c r="V671" s="88"/>
      <c r="W671" s="88"/>
      <c r="X671" s="88"/>
      <c r="Y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Q672" s="88"/>
      <c r="R672" s="88"/>
      <c r="S672" s="88"/>
      <c r="T672" s="88"/>
      <c r="U672" s="88"/>
      <c r="V672" s="88"/>
      <c r="W672" s="88"/>
      <c r="X672" s="88"/>
      <c r="Y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Q673" s="88"/>
      <c r="R673" s="88"/>
      <c r="S673" s="88"/>
      <c r="T673" s="88"/>
      <c r="U673" s="88"/>
      <c r="V673" s="88"/>
      <c r="W673" s="88"/>
      <c r="X673" s="88"/>
      <c r="Y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Q674" s="88"/>
      <c r="R674" s="88"/>
      <c r="S674" s="88"/>
      <c r="T674" s="88"/>
      <c r="U674" s="88"/>
      <c r="V674" s="88"/>
      <c r="W674" s="88"/>
      <c r="X674" s="88"/>
      <c r="Y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Q675" s="88"/>
      <c r="R675" s="88"/>
      <c r="S675" s="88"/>
      <c r="T675" s="88"/>
      <c r="U675" s="88"/>
      <c r="V675" s="88"/>
      <c r="W675" s="88"/>
      <c r="X675" s="88"/>
      <c r="Y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Q676" s="88"/>
      <c r="R676" s="88"/>
      <c r="S676" s="88"/>
      <c r="T676" s="88"/>
      <c r="U676" s="88"/>
      <c r="V676" s="88"/>
      <c r="W676" s="88"/>
      <c r="X676" s="88"/>
      <c r="Y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Q677" s="88"/>
      <c r="R677" s="88"/>
      <c r="S677" s="88"/>
      <c r="T677" s="88"/>
      <c r="U677" s="88"/>
      <c r="V677" s="88"/>
      <c r="W677" s="88"/>
      <c r="X677" s="88"/>
      <c r="Y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Q678" s="88"/>
      <c r="R678" s="88"/>
      <c r="S678" s="88"/>
      <c r="T678" s="88"/>
      <c r="U678" s="88"/>
      <c r="V678" s="88"/>
      <c r="W678" s="88"/>
      <c r="X678" s="88"/>
      <c r="Y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Q679" s="88"/>
      <c r="R679" s="88"/>
      <c r="S679" s="88"/>
      <c r="T679" s="88"/>
      <c r="U679" s="88"/>
      <c r="V679" s="88"/>
      <c r="W679" s="88"/>
      <c r="X679" s="88"/>
      <c r="Y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Q680" s="88"/>
      <c r="R680" s="88"/>
      <c r="S680" s="88"/>
      <c r="T680" s="88"/>
      <c r="U680" s="88"/>
      <c r="V680" s="88"/>
      <c r="W680" s="88"/>
      <c r="X680" s="88"/>
      <c r="Y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Q681" s="88"/>
      <c r="R681" s="88"/>
      <c r="S681" s="88"/>
      <c r="T681" s="88"/>
      <c r="U681" s="88"/>
      <c r="V681" s="88"/>
      <c r="W681" s="88"/>
      <c r="X681" s="88"/>
      <c r="Y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Q682" s="88"/>
      <c r="R682" s="88"/>
      <c r="S682" s="88"/>
      <c r="T682" s="88"/>
      <c r="U682" s="88"/>
      <c r="V682" s="88"/>
      <c r="W682" s="88"/>
      <c r="X682" s="88"/>
      <c r="Y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Q683" s="88"/>
      <c r="R683" s="88"/>
      <c r="S683" s="88"/>
      <c r="T683" s="88"/>
      <c r="U683" s="88"/>
      <c r="V683" s="88"/>
      <c r="W683" s="88"/>
      <c r="X683" s="88"/>
      <c r="Y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Q684" s="88"/>
      <c r="R684" s="88"/>
      <c r="S684" s="88"/>
      <c r="T684" s="88"/>
      <c r="U684" s="88"/>
      <c r="V684" s="88"/>
      <c r="W684" s="88"/>
      <c r="X684" s="88"/>
      <c r="Y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Q685" s="88"/>
      <c r="R685" s="88"/>
      <c r="S685" s="88"/>
      <c r="T685" s="88"/>
      <c r="U685" s="88"/>
      <c r="V685" s="88"/>
      <c r="W685" s="88"/>
      <c r="X685" s="88"/>
      <c r="Y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Q686" s="88"/>
      <c r="R686" s="88"/>
      <c r="S686" s="88"/>
      <c r="T686" s="88"/>
      <c r="U686" s="88"/>
      <c r="V686" s="88"/>
      <c r="W686" s="88"/>
      <c r="X686" s="88"/>
      <c r="Y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Q687" s="88"/>
      <c r="R687" s="88"/>
      <c r="S687" s="88"/>
      <c r="T687" s="88"/>
      <c r="U687" s="88"/>
      <c r="V687" s="88"/>
      <c r="W687" s="88"/>
      <c r="X687" s="88"/>
      <c r="Y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Q688" s="88"/>
      <c r="R688" s="88"/>
      <c r="S688" s="88"/>
      <c r="T688" s="88"/>
      <c r="U688" s="88"/>
      <c r="V688" s="88"/>
      <c r="W688" s="88"/>
      <c r="X688" s="88"/>
      <c r="Y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Q689" s="88"/>
      <c r="R689" s="88"/>
      <c r="S689" s="88"/>
      <c r="T689" s="88"/>
      <c r="U689" s="88"/>
      <c r="V689" s="88"/>
      <c r="W689" s="88"/>
      <c r="X689" s="88"/>
      <c r="Y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Q690" s="88"/>
      <c r="R690" s="88"/>
      <c r="S690" s="88"/>
      <c r="T690" s="88"/>
      <c r="U690" s="88"/>
      <c r="V690" s="88"/>
      <c r="W690" s="88"/>
      <c r="X690" s="88"/>
      <c r="Y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Q691" s="88"/>
      <c r="R691" s="88"/>
      <c r="S691" s="88"/>
      <c r="T691" s="88"/>
      <c r="U691" s="88"/>
      <c r="V691" s="88"/>
      <c r="W691" s="88"/>
      <c r="X691" s="88"/>
      <c r="Y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Q692" s="88"/>
      <c r="R692" s="88"/>
      <c r="S692" s="88"/>
      <c r="T692" s="88"/>
      <c r="U692" s="88"/>
      <c r="V692" s="88"/>
      <c r="W692" s="88"/>
      <c r="X692" s="88"/>
      <c r="Y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Q693" s="88"/>
      <c r="R693" s="88"/>
      <c r="S693" s="88"/>
      <c r="T693" s="88"/>
      <c r="U693" s="88"/>
      <c r="V693" s="88"/>
      <c r="W693" s="88"/>
      <c r="X693" s="88"/>
      <c r="Y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Q694" s="88"/>
      <c r="R694" s="88"/>
      <c r="S694" s="88"/>
      <c r="T694" s="88"/>
      <c r="U694" s="88"/>
      <c r="V694" s="88"/>
      <c r="W694" s="88"/>
      <c r="X694" s="88"/>
      <c r="Y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Q695" s="88"/>
      <c r="R695" s="88"/>
      <c r="S695" s="88"/>
      <c r="T695" s="88"/>
      <c r="U695" s="88"/>
      <c r="V695" s="88"/>
      <c r="W695" s="88"/>
      <c r="X695" s="88"/>
      <c r="Y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Q696" s="88"/>
      <c r="R696" s="88"/>
      <c r="S696" s="88"/>
      <c r="T696" s="88"/>
      <c r="U696" s="88"/>
      <c r="V696" s="88"/>
      <c r="W696" s="88"/>
      <c r="X696" s="88"/>
      <c r="Y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Q697" s="88"/>
      <c r="R697" s="88"/>
      <c r="S697" s="88"/>
      <c r="T697" s="88"/>
      <c r="U697" s="88"/>
      <c r="V697" s="88"/>
      <c r="W697" s="88"/>
      <c r="X697" s="88"/>
      <c r="Y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Q698" s="88"/>
      <c r="R698" s="88"/>
      <c r="S698" s="88"/>
      <c r="T698" s="88"/>
      <c r="U698" s="88"/>
      <c r="V698" s="88"/>
      <c r="W698" s="88"/>
      <c r="X698" s="88"/>
      <c r="Y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Q699" s="88"/>
      <c r="R699" s="88"/>
      <c r="S699" s="88"/>
      <c r="T699" s="88"/>
      <c r="U699" s="88"/>
      <c r="V699" s="88"/>
      <c r="W699" s="88"/>
      <c r="X699" s="88"/>
      <c r="Y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Q700" s="88"/>
      <c r="R700" s="88"/>
      <c r="S700" s="88"/>
      <c r="T700" s="88"/>
      <c r="U700" s="88"/>
      <c r="V700" s="88"/>
      <c r="W700" s="88"/>
      <c r="X700" s="88"/>
      <c r="Y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Q701" s="88"/>
      <c r="R701" s="88"/>
      <c r="S701" s="88"/>
      <c r="T701" s="88"/>
      <c r="U701" s="88"/>
      <c r="V701" s="88"/>
      <c r="W701" s="88"/>
      <c r="X701" s="88"/>
      <c r="Y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Q702" s="88"/>
      <c r="R702" s="88"/>
      <c r="S702" s="88"/>
      <c r="T702" s="88"/>
      <c r="U702" s="88"/>
      <c r="V702" s="88"/>
      <c r="W702" s="88"/>
      <c r="X702" s="88"/>
      <c r="Y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Q703" s="88"/>
      <c r="R703" s="88"/>
      <c r="S703" s="88"/>
      <c r="T703" s="88"/>
      <c r="U703" s="88"/>
      <c r="V703" s="88"/>
      <c r="W703" s="88"/>
      <c r="X703" s="88"/>
      <c r="Y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Q704" s="88"/>
      <c r="R704" s="88"/>
      <c r="S704" s="88"/>
      <c r="T704" s="88"/>
      <c r="U704" s="88"/>
      <c r="V704" s="88"/>
      <c r="W704" s="88"/>
      <c r="X704" s="88"/>
      <c r="Y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Q705" s="88"/>
      <c r="R705" s="88"/>
      <c r="S705" s="88"/>
      <c r="T705" s="88"/>
      <c r="U705" s="88"/>
      <c r="V705" s="88"/>
      <c r="W705" s="88"/>
      <c r="X705" s="88"/>
      <c r="Y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Q706" s="88"/>
      <c r="R706" s="88"/>
      <c r="S706" s="88"/>
      <c r="T706" s="88"/>
      <c r="U706" s="88"/>
      <c r="V706" s="88"/>
      <c r="W706" s="88"/>
      <c r="X706" s="88"/>
      <c r="Y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Q707" s="88"/>
      <c r="R707" s="88"/>
      <c r="S707" s="88"/>
      <c r="T707" s="88"/>
      <c r="U707" s="88"/>
      <c r="V707" s="88"/>
      <c r="W707" s="88"/>
      <c r="X707" s="88"/>
      <c r="Y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Q708" s="88"/>
      <c r="R708" s="88"/>
      <c r="S708" s="88"/>
      <c r="T708" s="88"/>
      <c r="U708" s="88"/>
      <c r="V708" s="88"/>
      <c r="W708" s="88"/>
      <c r="X708" s="88"/>
      <c r="Y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Q709" s="88"/>
      <c r="R709" s="88"/>
      <c r="S709" s="88"/>
      <c r="T709" s="88"/>
      <c r="U709" s="88"/>
      <c r="V709" s="88"/>
      <c r="W709" s="88"/>
      <c r="X709" s="88"/>
      <c r="Y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Q710" s="88"/>
      <c r="R710" s="88"/>
      <c r="S710" s="88"/>
      <c r="T710" s="88"/>
      <c r="U710" s="88"/>
      <c r="V710" s="88"/>
      <c r="W710" s="88"/>
      <c r="X710" s="88"/>
      <c r="Y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Q711" s="88"/>
      <c r="R711" s="88"/>
      <c r="S711" s="88"/>
      <c r="T711" s="88"/>
      <c r="U711" s="88"/>
      <c r="V711" s="88"/>
      <c r="W711" s="88"/>
      <c r="X711" s="88"/>
      <c r="Y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Q712" s="88"/>
      <c r="R712" s="88"/>
      <c r="S712" s="88"/>
      <c r="T712" s="88"/>
      <c r="U712" s="88"/>
      <c r="V712" s="88"/>
      <c r="W712" s="88"/>
      <c r="X712" s="88"/>
      <c r="Y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Q713" s="88"/>
      <c r="R713" s="88"/>
      <c r="S713" s="88"/>
      <c r="T713" s="88"/>
      <c r="U713" s="88"/>
      <c r="V713" s="88"/>
      <c r="W713" s="88"/>
      <c r="X713" s="88"/>
      <c r="Y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Q714" s="88"/>
      <c r="R714" s="88"/>
      <c r="S714" s="88"/>
      <c r="T714" s="88"/>
      <c r="U714" s="88"/>
      <c r="V714" s="88"/>
      <c r="W714" s="88"/>
      <c r="X714" s="88"/>
      <c r="Y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Q715" s="88"/>
      <c r="R715" s="88"/>
      <c r="S715" s="88"/>
      <c r="T715" s="88"/>
      <c r="U715" s="88"/>
      <c r="V715" s="88"/>
      <c r="W715" s="88"/>
      <c r="X715" s="88"/>
      <c r="Y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Q716" s="88"/>
      <c r="R716" s="88"/>
      <c r="S716" s="88"/>
      <c r="T716" s="88"/>
      <c r="U716" s="88"/>
      <c r="V716" s="88"/>
      <c r="W716" s="88"/>
      <c r="X716" s="88"/>
      <c r="Y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Q717" s="88"/>
      <c r="R717" s="88"/>
      <c r="S717" s="88"/>
      <c r="T717" s="88"/>
      <c r="U717" s="88"/>
      <c r="V717" s="88"/>
      <c r="W717" s="88"/>
      <c r="X717" s="88"/>
      <c r="Y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Q718" s="88"/>
      <c r="R718" s="88"/>
      <c r="S718" s="88"/>
      <c r="T718" s="88"/>
      <c r="U718" s="88"/>
      <c r="V718" s="88"/>
      <c r="W718" s="88"/>
      <c r="X718" s="88"/>
      <c r="Y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Q719" s="88"/>
      <c r="R719" s="88"/>
      <c r="S719" s="88"/>
      <c r="T719" s="88"/>
      <c r="U719" s="88"/>
      <c r="V719" s="88"/>
      <c r="W719" s="88"/>
      <c r="X719" s="88"/>
      <c r="Y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Q720" s="88"/>
      <c r="R720" s="88"/>
      <c r="S720" s="88"/>
      <c r="T720" s="88"/>
      <c r="U720" s="88"/>
      <c r="V720" s="88"/>
      <c r="W720" s="88"/>
      <c r="X720" s="88"/>
      <c r="Y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Q721" s="88"/>
      <c r="R721" s="88"/>
      <c r="S721" s="88"/>
      <c r="T721" s="88"/>
      <c r="U721" s="88"/>
      <c r="V721" s="88"/>
      <c r="W721" s="88"/>
      <c r="X721" s="88"/>
      <c r="Y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Q722" s="88"/>
      <c r="R722" s="88"/>
      <c r="S722" s="88"/>
      <c r="T722" s="88"/>
      <c r="U722" s="88"/>
      <c r="V722" s="88"/>
      <c r="W722" s="88"/>
      <c r="X722" s="88"/>
      <c r="Y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Q723" s="88"/>
      <c r="R723" s="88"/>
      <c r="S723" s="88"/>
      <c r="T723" s="88"/>
      <c r="U723" s="88"/>
      <c r="V723" s="88"/>
      <c r="W723" s="88"/>
      <c r="X723" s="88"/>
      <c r="Y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Q724" s="88"/>
      <c r="R724" s="88"/>
      <c r="S724" s="88"/>
      <c r="T724" s="88"/>
      <c r="U724" s="88"/>
      <c r="V724" s="88"/>
      <c r="W724" s="88"/>
      <c r="X724" s="88"/>
      <c r="Y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Q725" s="88"/>
      <c r="R725" s="88"/>
      <c r="S725" s="88"/>
      <c r="T725" s="88"/>
      <c r="U725" s="88"/>
      <c r="V725" s="88"/>
      <c r="W725" s="88"/>
      <c r="X725" s="88"/>
      <c r="Y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Q726" s="88"/>
      <c r="R726" s="88"/>
      <c r="S726" s="88"/>
      <c r="T726" s="88"/>
      <c r="U726" s="88"/>
      <c r="V726" s="88"/>
      <c r="W726" s="88"/>
      <c r="X726" s="88"/>
      <c r="Y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Q727" s="88"/>
      <c r="R727" s="88"/>
      <c r="S727" s="88"/>
      <c r="T727" s="88"/>
      <c r="U727" s="88"/>
      <c r="V727" s="88"/>
      <c r="W727" s="88"/>
      <c r="X727" s="88"/>
      <c r="Y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Q728" s="88"/>
      <c r="R728" s="88"/>
      <c r="S728" s="88"/>
      <c r="T728" s="88"/>
      <c r="U728" s="88"/>
      <c r="V728" s="88"/>
      <c r="W728" s="88"/>
      <c r="X728" s="88"/>
      <c r="Y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Q729" s="88"/>
      <c r="R729" s="88"/>
      <c r="S729" s="88"/>
      <c r="T729" s="88"/>
      <c r="U729" s="88"/>
      <c r="V729" s="88"/>
      <c r="W729" s="88"/>
      <c r="X729" s="88"/>
      <c r="Y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Q730" s="88"/>
      <c r="R730" s="88"/>
      <c r="S730" s="88"/>
      <c r="T730" s="88"/>
      <c r="U730" s="88"/>
      <c r="V730" s="88"/>
      <c r="W730" s="88"/>
      <c r="X730" s="88"/>
      <c r="Y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Q731" s="88"/>
      <c r="R731" s="88"/>
      <c r="S731" s="88"/>
      <c r="T731" s="88"/>
      <c r="U731" s="88"/>
      <c r="V731" s="88"/>
      <c r="W731" s="88"/>
      <c r="X731" s="88"/>
      <c r="Y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Q732" s="88"/>
      <c r="R732" s="88"/>
      <c r="S732" s="88"/>
      <c r="T732" s="88"/>
      <c r="U732" s="88"/>
      <c r="V732" s="88"/>
      <c r="W732" s="88"/>
      <c r="X732" s="88"/>
      <c r="Y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Q733" s="88"/>
      <c r="R733" s="88"/>
      <c r="S733" s="88"/>
      <c r="T733" s="88"/>
      <c r="U733" s="88"/>
      <c r="V733" s="88"/>
      <c r="W733" s="88"/>
      <c r="X733" s="88"/>
      <c r="Y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Q734" s="88"/>
      <c r="R734" s="88"/>
      <c r="S734" s="88"/>
      <c r="T734" s="88"/>
      <c r="U734" s="88"/>
      <c r="V734" s="88"/>
      <c r="W734" s="88"/>
      <c r="X734" s="88"/>
      <c r="Y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Q735" s="88"/>
      <c r="R735" s="88"/>
      <c r="S735" s="88"/>
      <c r="T735" s="88"/>
      <c r="U735" s="88"/>
      <c r="V735" s="88"/>
      <c r="W735" s="88"/>
      <c r="X735" s="88"/>
      <c r="Y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Q736" s="88"/>
      <c r="R736" s="88"/>
      <c r="S736" s="88"/>
      <c r="T736" s="88"/>
      <c r="U736" s="88"/>
      <c r="V736" s="88"/>
      <c r="W736" s="88"/>
      <c r="X736" s="88"/>
      <c r="Y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Q737" s="88"/>
      <c r="R737" s="88"/>
      <c r="S737" s="88"/>
      <c r="T737" s="88"/>
      <c r="U737" s="88"/>
      <c r="V737" s="88"/>
      <c r="W737" s="88"/>
      <c r="X737" s="88"/>
      <c r="Y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Q738" s="88"/>
      <c r="R738" s="88"/>
      <c r="S738" s="88"/>
      <c r="T738" s="88"/>
      <c r="U738" s="88"/>
      <c r="V738" s="88"/>
      <c r="W738" s="88"/>
      <c r="X738" s="88"/>
      <c r="Y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Q739" s="88"/>
      <c r="R739" s="88"/>
      <c r="S739" s="88"/>
      <c r="T739" s="88"/>
      <c r="U739" s="88"/>
      <c r="V739" s="88"/>
      <c r="W739" s="88"/>
      <c r="X739" s="88"/>
      <c r="Y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Q740" s="88"/>
      <c r="R740" s="88"/>
      <c r="S740" s="88"/>
      <c r="T740" s="88"/>
      <c r="U740" s="88"/>
      <c r="V740" s="88"/>
      <c r="W740" s="88"/>
      <c r="X740" s="88"/>
      <c r="Y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Q741" s="88"/>
      <c r="R741" s="88"/>
      <c r="S741" s="88"/>
      <c r="T741" s="88"/>
      <c r="U741" s="88"/>
      <c r="V741" s="88"/>
      <c r="W741" s="88"/>
      <c r="X741" s="88"/>
      <c r="Y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Q742" s="88"/>
      <c r="R742" s="88"/>
      <c r="S742" s="88"/>
      <c r="T742" s="88"/>
      <c r="U742" s="88"/>
      <c r="V742" s="88"/>
      <c r="W742" s="88"/>
      <c r="X742" s="88"/>
      <c r="Y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Q743" s="88"/>
      <c r="R743" s="88"/>
      <c r="S743" s="88"/>
      <c r="T743" s="88"/>
      <c r="U743" s="88"/>
      <c r="V743" s="88"/>
      <c r="W743" s="88"/>
      <c r="X743" s="88"/>
      <c r="Y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Q744" s="88"/>
      <c r="R744" s="88"/>
      <c r="S744" s="88"/>
      <c r="T744" s="88"/>
      <c r="U744" s="88"/>
      <c r="V744" s="88"/>
      <c r="W744" s="88"/>
      <c r="X744" s="88"/>
      <c r="Y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Q745" s="88"/>
      <c r="R745" s="88"/>
      <c r="S745" s="88"/>
      <c r="T745" s="88"/>
      <c r="U745" s="88"/>
      <c r="V745" s="88"/>
      <c r="W745" s="88"/>
      <c r="X745" s="88"/>
      <c r="Y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Q746" s="88"/>
      <c r="R746" s="88"/>
      <c r="S746" s="88"/>
      <c r="T746" s="88"/>
      <c r="U746" s="88"/>
      <c r="V746" s="88"/>
      <c r="W746" s="88"/>
      <c r="X746" s="88"/>
      <c r="Y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Q747" s="88"/>
      <c r="R747" s="88"/>
      <c r="S747" s="88"/>
      <c r="T747" s="88"/>
      <c r="U747" s="88"/>
      <c r="V747" s="88"/>
      <c r="W747" s="88"/>
      <c r="X747" s="88"/>
      <c r="Y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Q748" s="88"/>
      <c r="R748" s="88"/>
      <c r="S748" s="88"/>
      <c r="T748" s="88"/>
      <c r="U748" s="88"/>
      <c r="V748" s="88"/>
      <c r="W748" s="88"/>
      <c r="X748" s="88"/>
      <c r="Y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Q749" s="88"/>
      <c r="R749" s="88"/>
      <c r="S749" s="88"/>
      <c r="T749" s="88"/>
      <c r="U749" s="88"/>
      <c r="V749" s="88"/>
      <c r="W749" s="88"/>
      <c r="X749" s="88"/>
      <c r="Y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Q750" s="88"/>
      <c r="R750" s="88"/>
      <c r="S750" s="88"/>
      <c r="T750" s="88"/>
      <c r="U750" s="88"/>
      <c r="V750" s="88"/>
      <c r="W750" s="88"/>
      <c r="X750" s="88"/>
      <c r="Y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Q751" s="88"/>
      <c r="R751" s="88"/>
      <c r="S751" s="88"/>
      <c r="T751" s="88"/>
      <c r="U751" s="88"/>
      <c r="V751" s="88"/>
      <c r="W751" s="88"/>
      <c r="X751" s="88"/>
      <c r="Y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Q752" s="88"/>
      <c r="R752" s="88"/>
      <c r="S752" s="88"/>
      <c r="T752" s="88"/>
      <c r="U752" s="88"/>
      <c r="V752" s="88"/>
      <c r="W752" s="88"/>
      <c r="X752" s="88"/>
      <c r="Y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Q753" s="88"/>
      <c r="R753" s="88"/>
      <c r="S753" s="88"/>
      <c r="T753" s="88"/>
      <c r="U753" s="88"/>
      <c r="V753" s="88"/>
      <c r="W753" s="88"/>
      <c r="X753" s="88"/>
      <c r="Y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Q754" s="88"/>
      <c r="R754" s="88"/>
      <c r="S754" s="88"/>
      <c r="T754" s="88"/>
      <c r="U754" s="88"/>
      <c r="V754" s="88"/>
      <c r="W754" s="88"/>
      <c r="X754" s="88"/>
      <c r="Y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Q755" s="88"/>
      <c r="R755" s="88"/>
      <c r="S755" s="88"/>
      <c r="T755" s="88"/>
      <c r="U755" s="88"/>
      <c r="V755" s="88"/>
      <c r="W755" s="88"/>
      <c r="X755" s="88"/>
      <c r="Y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Q756" s="88"/>
      <c r="R756" s="88"/>
      <c r="S756" s="88"/>
      <c r="T756" s="88"/>
      <c r="U756" s="88"/>
      <c r="V756" s="88"/>
      <c r="W756" s="88"/>
      <c r="X756" s="88"/>
      <c r="Y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Q757" s="88"/>
      <c r="R757" s="88"/>
      <c r="S757" s="88"/>
      <c r="T757" s="88"/>
      <c r="U757" s="88"/>
      <c r="V757" s="88"/>
      <c r="W757" s="88"/>
      <c r="X757" s="88"/>
      <c r="Y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Q758" s="88"/>
      <c r="R758" s="88"/>
      <c r="S758" s="88"/>
      <c r="T758" s="88"/>
      <c r="U758" s="88"/>
      <c r="V758" s="88"/>
      <c r="W758" s="88"/>
      <c r="X758" s="88"/>
      <c r="Y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Q759" s="88"/>
      <c r="R759" s="88"/>
      <c r="S759" s="88"/>
      <c r="T759" s="88"/>
      <c r="U759" s="88"/>
      <c r="V759" s="88"/>
      <c r="W759" s="88"/>
      <c r="X759" s="88"/>
      <c r="Y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Q760" s="88"/>
      <c r="R760" s="88"/>
      <c r="S760" s="88"/>
      <c r="T760" s="88"/>
      <c r="U760" s="88"/>
      <c r="V760" s="88"/>
      <c r="W760" s="88"/>
      <c r="X760" s="88"/>
      <c r="Y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Q761" s="88"/>
      <c r="R761" s="88"/>
      <c r="S761" s="88"/>
      <c r="T761" s="88"/>
      <c r="U761" s="88"/>
      <c r="V761" s="88"/>
      <c r="W761" s="88"/>
      <c r="X761" s="88"/>
      <c r="Y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Q762" s="88"/>
      <c r="R762" s="88"/>
      <c r="S762" s="88"/>
      <c r="T762" s="88"/>
      <c r="U762" s="88"/>
      <c r="V762" s="88"/>
      <c r="W762" s="88"/>
      <c r="X762" s="88"/>
      <c r="Y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Q763" s="88"/>
      <c r="R763" s="88"/>
      <c r="S763" s="88"/>
      <c r="T763" s="88"/>
      <c r="U763" s="88"/>
      <c r="V763" s="88"/>
      <c r="W763" s="88"/>
      <c r="X763" s="88"/>
      <c r="Y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Q764" s="88"/>
      <c r="R764" s="88"/>
      <c r="S764" s="88"/>
      <c r="T764" s="88"/>
      <c r="U764" s="88"/>
      <c r="V764" s="88"/>
      <c r="W764" s="88"/>
      <c r="X764" s="88"/>
      <c r="Y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Q765" s="88"/>
      <c r="R765" s="88"/>
      <c r="S765" s="88"/>
      <c r="T765" s="88"/>
      <c r="U765" s="88"/>
      <c r="V765" s="88"/>
      <c r="W765" s="88"/>
      <c r="X765" s="88"/>
      <c r="Y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Q766" s="88"/>
      <c r="R766" s="88"/>
      <c r="S766" s="88"/>
      <c r="T766" s="88"/>
      <c r="U766" s="88"/>
      <c r="V766" s="88"/>
      <c r="W766" s="88"/>
      <c r="X766" s="88"/>
      <c r="Y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Q767" s="88"/>
      <c r="R767" s="88"/>
      <c r="S767" s="88"/>
      <c r="T767" s="88"/>
      <c r="U767" s="88"/>
      <c r="V767" s="88"/>
      <c r="W767" s="88"/>
      <c r="X767" s="88"/>
      <c r="Y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Q768" s="88"/>
      <c r="R768" s="88"/>
      <c r="S768" s="88"/>
      <c r="T768" s="88"/>
      <c r="U768" s="88"/>
      <c r="V768" s="88"/>
      <c r="W768" s="88"/>
      <c r="X768" s="88"/>
      <c r="Y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Q769" s="88"/>
      <c r="R769" s="88"/>
      <c r="S769" s="88"/>
      <c r="T769" s="88"/>
      <c r="U769" s="88"/>
      <c r="V769" s="88"/>
      <c r="W769" s="88"/>
      <c r="X769" s="88"/>
      <c r="Y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Q770" s="88"/>
      <c r="R770" s="88"/>
      <c r="S770" s="88"/>
      <c r="T770" s="88"/>
      <c r="U770" s="88"/>
      <c r="V770" s="88"/>
      <c r="W770" s="88"/>
      <c r="X770" s="88"/>
      <c r="Y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Q771" s="88"/>
      <c r="R771" s="88"/>
      <c r="S771" s="88"/>
      <c r="T771" s="88"/>
      <c r="U771" s="88"/>
      <c r="V771" s="88"/>
      <c r="W771" s="88"/>
      <c r="X771" s="88"/>
      <c r="Y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Q772" s="88"/>
      <c r="R772" s="88"/>
      <c r="S772" s="88"/>
      <c r="T772" s="88"/>
      <c r="U772" s="88"/>
      <c r="V772" s="88"/>
      <c r="W772" s="88"/>
      <c r="X772" s="88"/>
      <c r="Y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Q773" s="88"/>
      <c r="R773" s="88"/>
      <c r="S773" s="88"/>
      <c r="T773" s="88"/>
      <c r="U773" s="88"/>
      <c r="V773" s="88"/>
      <c r="W773" s="88"/>
      <c r="X773" s="88"/>
      <c r="Y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Q774" s="88"/>
      <c r="R774" s="88"/>
      <c r="S774" s="88"/>
      <c r="T774" s="88"/>
      <c r="U774" s="88"/>
      <c r="V774" s="88"/>
      <c r="W774" s="88"/>
      <c r="X774" s="88"/>
      <c r="Y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Q775" s="88"/>
      <c r="R775" s="88"/>
      <c r="S775" s="88"/>
      <c r="T775" s="88"/>
      <c r="U775" s="88"/>
      <c r="V775" s="88"/>
      <c r="W775" s="88"/>
      <c r="X775" s="88"/>
      <c r="Y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Q776" s="88"/>
      <c r="R776" s="88"/>
      <c r="S776" s="88"/>
      <c r="T776" s="88"/>
      <c r="U776" s="88"/>
      <c r="V776" s="88"/>
      <c r="W776" s="88"/>
      <c r="X776" s="88"/>
      <c r="Y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Q777" s="88"/>
      <c r="R777" s="88"/>
      <c r="S777" s="88"/>
      <c r="T777" s="88"/>
      <c r="U777" s="88"/>
      <c r="V777" s="88"/>
      <c r="W777" s="88"/>
      <c r="X777" s="88"/>
      <c r="Y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Q778" s="88"/>
      <c r="R778" s="88"/>
      <c r="S778" s="88"/>
      <c r="T778" s="88"/>
      <c r="U778" s="88"/>
      <c r="V778" s="88"/>
      <c r="W778" s="88"/>
      <c r="X778" s="88"/>
      <c r="Y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Q779" s="88"/>
      <c r="R779" s="88"/>
      <c r="S779" s="88"/>
      <c r="T779" s="88"/>
      <c r="U779" s="88"/>
      <c r="V779" s="88"/>
      <c r="W779" s="88"/>
      <c r="X779" s="88"/>
      <c r="Y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Q780" s="88"/>
      <c r="R780" s="88"/>
      <c r="S780" s="88"/>
      <c r="T780" s="88"/>
      <c r="U780" s="88"/>
      <c r="V780" s="88"/>
      <c r="W780" s="88"/>
      <c r="X780" s="88"/>
      <c r="Y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Q781" s="88"/>
      <c r="R781" s="88"/>
      <c r="S781" s="88"/>
      <c r="T781" s="88"/>
      <c r="U781" s="88"/>
      <c r="V781" s="88"/>
      <c r="W781" s="88"/>
      <c r="X781" s="88"/>
      <c r="Y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Q782" s="88"/>
      <c r="R782" s="88"/>
      <c r="S782" s="88"/>
      <c r="T782" s="88"/>
      <c r="U782" s="88"/>
      <c r="V782" s="88"/>
      <c r="W782" s="88"/>
      <c r="X782" s="88"/>
      <c r="Y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Q783" s="88"/>
      <c r="R783" s="88"/>
      <c r="S783" s="88"/>
      <c r="T783" s="88"/>
      <c r="U783" s="88"/>
      <c r="V783" s="88"/>
      <c r="W783" s="88"/>
      <c r="X783" s="88"/>
      <c r="Y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Q784" s="88"/>
      <c r="R784" s="88"/>
      <c r="S784" s="88"/>
      <c r="T784" s="88"/>
      <c r="U784" s="88"/>
      <c r="V784" s="88"/>
      <c r="W784" s="88"/>
      <c r="X784" s="88"/>
      <c r="Y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Q785" s="88"/>
      <c r="R785" s="88"/>
      <c r="S785" s="88"/>
      <c r="T785" s="88"/>
      <c r="U785" s="88"/>
      <c r="V785" s="88"/>
      <c r="W785" s="88"/>
      <c r="X785" s="88"/>
      <c r="Y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Q786" s="88"/>
      <c r="R786" s="88"/>
      <c r="S786" s="88"/>
      <c r="T786" s="88"/>
      <c r="U786" s="88"/>
      <c r="V786" s="88"/>
      <c r="W786" s="88"/>
      <c r="X786" s="88"/>
      <c r="Y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Q787" s="88"/>
      <c r="R787" s="88"/>
      <c r="S787" s="88"/>
      <c r="T787" s="88"/>
      <c r="U787" s="88"/>
      <c r="V787" s="88"/>
      <c r="W787" s="88"/>
      <c r="X787" s="88"/>
      <c r="Y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Q788" s="88"/>
      <c r="R788" s="88"/>
      <c r="S788" s="88"/>
      <c r="T788" s="88"/>
      <c r="U788" s="88"/>
      <c r="V788" s="88"/>
      <c r="W788" s="88"/>
      <c r="X788" s="88"/>
      <c r="Y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Q789" s="88"/>
      <c r="R789" s="88"/>
      <c r="S789" s="88"/>
      <c r="T789" s="88"/>
      <c r="U789" s="88"/>
      <c r="V789" s="88"/>
      <c r="W789" s="88"/>
      <c r="X789" s="88"/>
      <c r="Y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Q790" s="88"/>
      <c r="R790" s="88"/>
      <c r="S790" s="88"/>
      <c r="T790" s="88"/>
      <c r="U790" s="88"/>
      <c r="V790" s="88"/>
      <c r="W790" s="88"/>
      <c r="X790" s="88"/>
      <c r="Y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Q791" s="88"/>
      <c r="R791" s="88"/>
      <c r="S791" s="88"/>
      <c r="T791" s="88"/>
      <c r="U791" s="88"/>
      <c r="V791" s="88"/>
      <c r="W791" s="88"/>
      <c r="X791" s="88"/>
      <c r="Y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Q792" s="88"/>
      <c r="R792" s="88"/>
      <c r="S792" s="88"/>
      <c r="T792" s="88"/>
      <c r="U792" s="88"/>
      <c r="V792" s="88"/>
      <c r="W792" s="88"/>
      <c r="X792" s="88"/>
      <c r="Y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Q793" s="88"/>
      <c r="R793" s="88"/>
      <c r="S793" s="88"/>
      <c r="T793" s="88"/>
      <c r="U793" s="88"/>
      <c r="V793" s="88"/>
      <c r="W793" s="88"/>
      <c r="X793" s="88"/>
      <c r="Y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Q794" s="88"/>
      <c r="R794" s="88"/>
      <c r="S794" s="88"/>
      <c r="T794" s="88"/>
      <c r="U794" s="88"/>
      <c r="V794" s="88"/>
      <c r="W794" s="88"/>
      <c r="X794" s="88"/>
      <c r="Y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Q795" s="88"/>
      <c r="R795" s="88"/>
      <c r="S795" s="88"/>
      <c r="T795" s="88"/>
      <c r="U795" s="88"/>
      <c r="V795" s="88"/>
      <c r="W795" s="88"/>
      <c r="X795" s="88"/>
      <c r="Y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Q796" s="88"/>
      <c r="R796" s="88"/>
      <c r="S796" s="88"/>
      <c r="T796" s="88"/>
      <c r="U796" s="88"/>
      <c r="V796" s="88"/>
      <c r="W796" s="88"/>
      <c r="X796" s="88"/>
      <c r="Y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Q797" s="88"/>
      <c r="R797" s="88"/>
      <c r="S797" s="88"/>
      <c r="T797" s="88"/>
      <c r="U797" s="88"/>
      <c r="V797" s="88"/>
      <c r="W797" s="88"/>
      <c r="X797" s="88"/>
      <c r="Y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Q798" s="88"/>
      <c r="R798" s="88"/>
      <c r="S798" s="88"/>
      <c r="T798" s="88"/>
      <c r="U798" s="88"/>
      <c r="V798" s="88"/>
      <c r="W798" s="88"/>
      <c r="X798" s="88"/>
      <c r="Y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Q799" s="88"/>
      <c r="R799" s="88"/>
      <c r="S799" s="88"/>
      <c r="T799" s="88"/>
      <c r="U799" s="88"/>
      <c r="V799" s="88"/>
      <c r="W799" s="88"/>
      <c r="X799" s="88"/>
      <c r="Y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Q800" s="88"/>
      <c r="R800" s="88"/>
      <c r="S800" s="88"/>
      <c r="T800" s="88"/>
      <c r="U800" s="88"/>
      <c r="V800" s="88"/>
      <c r="W800" s="88"/>
      <c r="X800" s="88"/>
      <c r="Y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Q801" s="88"/>
      <c r="R801" s="88"/>
      <c r="S801" s="88"/>
      <c r="T801" s="88"/>
      <c r="U801" s="88"/>
      <c r="V801" s="88"/>
      <c r="W801" s="88"/>
      <c r="X801" s="88"/>
      <c r="Y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Q802" s="88"/>
      <c r="R802" s="88"/>
      <c r="S802" s="88"/>
      <c r="T802" s="88"/>
      <c r="U802" s="88"/>
      <c r="V802" s="88"/>
      <c r="W802" s="88"/>
      <c r="X802" s="88"/>
      <c r="Y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Q803" s="88"/>
      <c r="R803" s="88"/>
      <c r="S803" s="88"/>
      <c r="T803" s="88"/>
      <c r="U803" s="88"/>
      <c r="V803" s="88"/>
      <c r="W803" s="88"/>
      <c r="X803" s="88"/>
      <c r="Y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Q804" s="88"/>
      <c r="R804" s="88"/>
      <c r="S804" s="88"/>
      <c r="T804" s="88"/>
      <c r="U804" s="88"/>
      <c r="V804" s="88"/>
      <c r="W804" s="88"/>
      <c r="X804" s="88"/>
      <c r="Y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Q805" s="88"/>
      <c r="R805" s="88"/>
      <c r="S805" s="88"/>
      <c r="T805" s="88"/>
      <c r="U805" s="88"/>
      <c r="V805" s="88"/>
      <c r="W805" s="88"/>
      <c r="X805" s="88"/>
      <c r="Y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Q806" s="88"/>
      <c r="R806" s="88"/>
      <c r="S806" s="88"/>
      <c r="T806" s="88"/>
      <c r="U806" s="88"/>
      <c r="V806" s="88"/>
      <c r="W806" s="88"/>
      <c r="X806" s="88"/>
      <c r="Y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Q807" s="88"/>
      <c r="R807" s="88"/>
      <c r="S807" s="88"/>
      <c r="T807" s="88"/>
      <c r="U807" s="88"/>
      <c r="V807" s="88"/>
      <c r="W807" s="88"/>
      <c r="X807" s="88"/>
      <c r="Y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Q808" s="88"/>
      <c r="R808" s="88"/>
      <c r="S808" s="88"/>
      <c r="T808" s="88"/>
      <c r="U808" s="88"/>
      <c r="V808" s="88"/>
      <c r="W808" s="88"/>
      <c r="X808" s="88"/>
      <c r="Y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Q809" s="88"/>
      <c r="R809" s="88"/>
      <c r="S809" s="88"/>
      <c r="T809" s="88"/>
      <c r="U809" s="88"/>
      <c r="V809" s="88"/>
      <c r="W809" s="88"/>
      <c r="X809" s="88"/>
      <c r="Y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Q810" s="88"/>
      <c r="R810" s="88"/>
      <c r="S810" s="88"/>
      <c r="T810" s="88"/>
      <c r="U810" s="88"/>
      <c r="V810" s="88"/>
      <c r="W810" s="88"/>
      <c r="X810" s="88"/>
      <c r="Y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Q811" s="88"/>
      <c r="R811" s="88"/>
      <c r="S811" s="88"/>
      <c r="T811" s="88"/>
      <c r="U811" s="88"/>
      <c r="V811" s="88"/>
      <c r="W811" s="88"/>
      <c r="X811" s="88"/>
      <c r="Y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Q812" s="88"/>
      <c r="R812" s="88"/>
      <c r="S812" s="88"/>
      <c r="T812" s="88"/>
      <c r="U812" s="88"/>
      <c r="V812" s="88"/>
      <c r="W812" s="88"/>
      <c r="X812" s="88"/>
      <c r="Y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Q813" s="88"/>
      <c r="R813" s="88"/>
      <c r="S813" s="88"/>
      <c r="T813" s="88"/>
      <c r="U813" s="88"/>
      <c r="V813" s="88"/>
      <c r="W813" s="88"/>
      <c r="X813" s="88"/>
      <c r="Y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Q814" s="88"/>
      <c r="R814" s="88"/>
      <c r="S814" s="88"/>
      <c r="T814" s="88"/>
      <c r="U814" s="88"/>
      <c r="V814" s="88"/>
      <c r="W814" s="88"/>
      <c r="X814" s="88"/>
      <c r="Y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Q815" s="88"/>
      <c r="R815" s="88"/>
      <c r="S815" s="88"/>
      <c r="T815" s="88"/>
      <c r="U815" s="88"/>
      <c r="V815" s="88"/>
      <c r="W815" s="88"/>
      <c r="X815" s="88"/>
      <c r="Y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Q816" s="88"/>
      <c r="R816" s="88"/>
      <c r="S816" s="88"/>
      <c r="T816" s="88"/>
      <c r="U816" s="88"/>
      <c r="V816" s="88"/>
      <c r="W816" s="88"/>
      <c r="X816" s="88"/>
      <c r="Y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Q817" s="88"/>
      <c r="R817" s="88"/>
      <c r="S817" s="88"/>
      <c r="T817" s="88"/>
      <c r="U817" s="88"/>
      <c r="V817" s="88"/>
      <c r="W817" s="88"/>
      <c r="X817" s="88"/>
      <c r="Y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Q818" s="88"/>
      <c r="R818" s="88"/>
      <c r="S818" s="88"/>
      <c r="T818" s="88"/>
      <c r="U818" s="88"/>
      <c r="V818" s="88"/>
      <c r="W818" s="88"/>
      <c r="X818" s="88"/>
      <c r="Y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Q819" s="88"/>
      <c r="R819" s="88"/>
      <c r="S819" s="88"/>
      <c r="T819" s="88"/>
      <c r="U819" s="88"/>
      <c r="V819" s="88"/>
      <c r="W819" s="88"/>
      <c r="X819" s="88"/>
      <c r="Y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Q820" s="88"/>
      <c r="R820" s="88"/>
      <c r="S820" s="88"/>
      <c r="T820" s="88"/>
      <c r="U820" s="88"/>
      <c r="V820" s="88"/>
      <c r="W820" s="88"/>
      <c r="X820" s="88"/>
      <c r="Y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Q821" s="88"/>
      <c r="R821" s="88"/>
      <c r="S821" s="88"/>
      <c r="T821" s="88"/>
      <c r="U821" s="88"/>
      <c r="V821" s="88"/>
      <c r="W821" s="88"/>
      <c r="X821" s="88"/>
      <c r="Y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Q822" s="88"/>
      <c r="R822" s="88"/>
      <c r="S822" s="88"/>
      <c r="T822" s="88"/>
      <c r="U822" s="88"/>
      <c r="V822" s="88"/>
      <c r="W822" s="88"/>
      <c r="X822" s="88"/>
      <c r="Y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Q823" s="88"/>
      <c r="R823" s="88"/>
      <c r="S823" s="88"/>
      <c r="T823" s="88"/>
      <c r="U823" s="88"/>
      <c r="V823" s="88"/>
      <c r="W823" s="88"/>
      <c r="X823" s="88"/>
      <c r="Y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Q824" s="88"/>
      <c r="R824" s="88"/>
      <c r="S824" s="88"/>
      <c r="T824" s="88"/>
      <c r="U824" s="88"/>
      <c r="V824" s="88"/>
      <c r="W824" s="88"/>
      <c r="X824" s="88"/>
      <c r="Y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Q825" s="88"/>
      <c r="R825" s="88"/>
      <c r="S825" s="88"/>
      <c r="T825" s="88"/>
      <c r="U825" s="88"/>
      <c r="V825" s="88"/>
      <c r="W825" s="88"/>
      <c r="X825" s="88"/>
      <c r="Y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Q826" s="88"/>
      <c r="R826" s="88"/>
      <c r="S826" s="88"/>
      <c r="T826" s="88"/>
      <c r="U826" s="88"/>
      <c r="V826" s="88"/>
      <c r="W826" s="88"/>
      <c r="X826" s="88"/>
      <c r="Y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Q827" s="88"/>
      <c r="R827" s="88"/>
      <c r="S827" s="88"/>
      <c r="T827" s="88"/>
      <c r="U827" s="88"/>
      <c r="V827" s="88"/>
      <c r="W827" s="88"/>
      <c r="X827" s="88"/>
      <c r="Y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Q828" s="88"/>
      <c r="R828" s="88"/>
      <c r="S828" s="88"/>
      <c r="T828" s="88"/>
      <c r="U828" s="88"/>
      <c r="V828" s="88"/>
      <c r="W828" s="88"/>
      <c r="X828" s="88"/>
      <c r="Y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Q829" s="88"/>
      <c r="R829" s="88"/>
      <c r="S829" s="88"/>
      <c r="T829" s="88"/>
      <c r="U829" s="88"/>
      <c r="V829" s="88"/>
      <c r="W829" s="88"/>
      <c r="X829" s="88"/>
      <c r="Y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Q830" s="88"/>
      <c r="R830" s="88"/>
      <c r="S830" s="88"/>
      <c r="T830" s="88"/>
      <c r="U830" s="88"/>
      <c r="V830" s="88"/>
      <c r="W830" s="88"/>
      <c r="X830" s="88"/>
      <c r="Y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Q831" s="88"/>
      <c r="R831" s="88"/>
      <c r="S831" s="88"/>
      <c r="T831" s="88"/>
      <c r="U831" s="88"/>
      <c r="V831" s="88"/>
      <c r="W831" s="88"/>
      <c r="X831" s="88"/>
      <c r="Y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Q832" s="88"/>
      <c r="R832" s="88"/>
      <c r="S832" s="88"/>
      <c r="T832" s="88"/>
      <c r="U832" s="88"/>
      <c r="V832" s="88"/>
      <c r="W832" s="88"/>
      <c r="X832" s="88"/>
      <c r="Y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Q833" s="88"/>
      <c r="R833" s="88"/>
      <c r="S833" s="88"/>
      <c r="T833" s="88"/>
      <c r="U833" s="88"/>
      <c r="V833" s="88"/>
      <c r="W833" s="88"/>
      <c r="X833" s="88"/>
      <c r="Y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Q834" s="88"/>
      <c r="R834" s="88"/>
      <c r="S834" s="88"/>
      <c r="T834" s="88"/>
      <c r="U834" s="88"/>
      <c r="V834" s="88"/>
      <c r="W834" s="88"/>
      <c r="X834" s="88"/>
      <c r="Y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Q835" s="88"/>
      <c r="R835" s="88"/>
      <c r="S835" s="88"/>
      <c r="T835" s="88"/>
      <c r="U835" s="88"/>
      <c r="V835" s="88"/>
      <c r="W835" s="88"/>
      <c r="X835" s="88"/>
      <c r="Y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Q836" s="88"/>
      <c r="R836" s="88"/>
      <c r="S836" s="88"/>
      <c r="T836" s="88"/>
      <c r="U836" s="88"/>
      <c r="V836" s="88"/>
      <c r="W836" s="88"/>
      <c r="X836" s="88"/>
      <c r="Y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Q837" s="88"/>
      <c r="R837" s="88"/>
      <c r="S837" s="88"/>
      <c r="T837" s="88"/>
      <c r="U837" s="88"/>
      <c r="V837" s="88"/>
      <c r="W837" s="88"/>
      <c r="X837" s="88"/>
      <c r="Y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Q838" s="88"/>
      <c r="R838" s="88"/>
      <c r="S838" s="88"/>
      <c r="T838" s="88"/>
      <c r="U838" s="88"/>
      <c r="V838" s="88"/>
      <c r="W838" s="88"/>
      <c r="X838" s="88"/>
      <c r="Y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Q839" s="88"/>
      <c r="R839" s="88"/>
      <c r="S839" s="88"/>
      <c r="T839" s="88"/>
      <c r="U839" s="88"/>
      <c r="V839" s="88"/>
      <c r="W839" s="88"/>
      <c r="X839" s="88"/>
      <c r="Y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Q840" s="88"/>
      <c r="R840" s="88"/>
      <c r="S840" s="88"/>
      <c r="T840" s="88"/>
      <c r="U840" s="88"/>
      <c r="V840" s="88"/>
      <c r="W840" s="88"/>
      <c r="X840" s="88"/>
      <c r="Y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Q841" s="88"/>
      <c r="R841" s="88"/>
      <c r="S841" s="88"/>
      <c r="T841" s="88"/>
      <c r="U841" s="88"/>
      <c r="V841" s="88"/>
      <c r="W841" s="88"/>
      <c r="X841" s="88"/>
      <c r="Y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Q842" s="88"/>
      <c r="R842" s="88"/>
      <c r="S842" s="88"/>
      <c r="T842" s="88"/>
      <c r="U842" s="88"/>
      <c r="V842" s="88"/>
      <c r="W842" s="88"/>
      <c r="X842" s="88"/>
      <c r="Y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Q843" s="88"/>
      <c r="R843" s="88"/>
      <c r="S843" s="88"/>
      <c r="T843" s="88"/>
      <c r="U843" s="88"/>
      <c r="V843" s="88"/>
      <c r="W843" s="88"/>
      <c r="X843" s="88"/>
      <c r="Y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Q844" s="88"/>
      <c r="R844" s="88"/>
      <c r="S844" s="88"/>
      <c r="T844" s="88"/>
      <c r="U844" s="88"/>
      <c r="V844" s="88"/>
      <c r="W844" s="88"/>
      <c r="X844" s="88"/>
      <c r="Y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Q845" s="88"/>
      <c r="R845" s="88"/>
      <c r="S845" s="88"/>
      <c r="T845" s="88"/>
      <c r="U845" s="88"/>
      <c r="V845" s="88"/>
      <c r="W845" s="88"/>
      <c r="X845" s="88"/>
      <c r="Y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Q846" s="88"/>
      <c r="R846" s="88"/>
      <c r="S846" s="88"/>
      <c r="T846" s="88"/>
      <c r="U846" s="88"/>
      <c r="V846" s="88"/>
      <c r="W846" s="88"/>
      <c r="X846" s="88"/>
      <c r="Y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Q847" s="88"/>
      <c r="R847" s="88"/>
      <c r="S847" s="88"/>
      <c r="T847" s="88"/>
      <c r="U847" s="88"/>
      <c r="V847" s="88"/>
      <c r="W847" s="88"/>
      <c r="X847" s="88"/>
      <c r="Y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Q848" s="88"/>
      <c r="R848" s="88"/>
      <c r="S848" s="88"/>
      <c r="T848" s="88"/>
      <c r="U848" s="88"/>
      <c r="V848" s="88"/>
      <c r="W848" s="88"/>
      <c r="X848" s="88"/>
      <c r="Y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Q849" s="88"/>
      <c r="R849" s="88"/>
      <c r="S849" s="88"/>
      <c r="T849" s="88"/>
      <c r="U849" s="88"/>
      <c r="V849" s="88"/>
      <c r="W849" s="88"/>
      <c r="X849" s="88"/>
      <c r="Y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Q850" s="88"/>
      <c r="R850" s="88"/>
      <c r="S850" s="88"/>
      <c r="T850" s="88"/>
      <c r="U850" s="88"/>
      <c r="V850" s="88"/>
      <c r="W850" s="88"/>
      <c r="X850" s="88"/>
      <c r="Y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Q851" s="88"/>
      <c r="R851" s="88"/>
      <c r="S851" s="88"/>
      <c r="T851" s="88"/>
      <c r="U851" s="88"/>
      <c r="V851" s="88"/>
      <c r="W851" s="88"/>
      <c r="X851" s="88"/>
      <c r="Y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Q852" s="88"/>
      <c r="R852" s="88"/>
      <c r="S852" s="88"/>
      <c r="T852" s="88"/>
      <c r="U852" s="88"/>
      <c r="V852" s="88"/>
      <c r="W852" s="88"/>
      <c r="X852" s="88"/>
      <c r="Y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Q853" s="88"/>
      <c r="R853" s="88"/>
      <c r="S853" s="88"/>
      <c r="T853" s="88"/>
      <c r="U853" s="88"/>
      <c r="V853" s="88"/>
      <c r="W853" s="88"/>
      <c r="X853" s="88"/>
      <c r="Y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Q854" s="88"/>
      <c r="R854" s="88"/>
      <c r="S854" s="88"/>
      <c r="T854" s="88"/>
      <c r="U854" s="88"/>
      <c r="V854" s="88"/>
      <c r="W854" s="88"/>
      <c r="X854" s="88"/>
      <c r="Y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Q855" s="88"/>
      <c r="R855" s="88"/>
      <c r="S855" s="88"/>
      <c r="T855" s="88"/>
      <c r="U855" s="88"/>
      <c r="V855" s="88"/>
      <c r="W855" s="88"/>
      <c r="X855" s="88"/>
      <c r="Y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Q856" s="88"/>
      <c r="R856" s="88"/>
      <c r="S856" s="88"/>
      <c r="T856" s="88"/>
      <c r="U856" s="88"/>
      <c r="V856" s="88"/>
      <c r="W856" s="88"/>
      <c r="X856" s="88"/>
      <c r="Y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Q857" s="88"/>
      <c r="R857" s="88"/>
      <c r="S857" s="88"/>
      <c r="T857" s="88"/>
      <c r="U857" s="88"/>
      <c r="V857" s="88"/>
      <c r="W857" s="88"/>
      <c r="X857" s="88"/>
      <c r="Y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Q858" s="88"/>
      <c r="R858" s="88"/>
      <c r="S858" s="88"/>
      <c r="T858" s="88"/>
      <c r="U858" s="88"/>
      <c r="V858" s="88"/>
      <c r="W858" s="88"/>
      <c r="X858" s="88"/>
      <c r="Y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Q859" s="88"/>
      <c r="R859" s="88"/>
      <c r="S859" s="88"/>
      <c r="T859" s="88"/>
      <c r="U859" s="88"/>
      <c r="V859" s="88"/>
      <c r="W859" s="88"/>
      <c r="X859" s="88"/>
      <c r="Y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Q860" s="88"/>
      <c r="R860" s="88"/>
      <c r="S860" s="88"/>
      <c r="T860" s="88"/>
      <c r="U860" s="88"/>
      <c r="V860" s="88"/>
      <c r="W860" s="88"/>
      <c r="X860" s="88"/>
      <c r="Y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Q861" s="88"/>
      <c r="R861" s="88"/>
      <c r="S861" s="88"/>
      <c r="T861" s="88"/>
      <c r="U861" s="88"/>
      <c r="V861" s="88"/>
      <c r="W861" s="88"/>
      <c r="X861" s="88"/>
      <c r="Y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Q862" s="88"/>
      <c r="R862" s="88"/>
      <c r="S862" s="88"/>
      <c r="T862" s="88"/>
      <c r="U862" s="88"/>
      <c r="V862" s="88"/>
      <c r="W862" s="88"/>
      <c r="X862" s="88"/>
      <c r="Y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Q863" s="88"/>
      <c r="R863" s="88"/>
      <c r="S863" s="88"/>
      <c r="T863" s="88"/>
      <c r="U863" s="88"/>
      <c r="V863" s="88"/>
      <c r="W863" s="88"/>
      <c r="X863" s="88"/>
      <c r="Y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Q864" s="88"/>
      <c r="R864" s="88"/>
      <c r="S864" s="88"/>
      <c r="T864" s="88"/>
      <c r="U864" s="88"/>
      <c r="V864" s="88"/>
      <c r="W864" s="88"/>
      <c r="X864" s="88"/>
      <c r="Y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Q865" s="88"/>
      <c r="R865" s="88"/>
      <c r="S865" s="88"/>
      <c r="T865" s="88"/>
      <c r="U865" s="88"/>
      <c r="V865" s="88"/>
      <c r="W865" s="88"/>
      <c r="X865" s="88"/>
      <c r="Y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Q866" s="88"/>
      <c r="R866" s="88"/>
      <c r="S866" s="88"/>
      <c r="T866" s="88"/>
      <c r="U866" s="88"/>
      <c r="V866" s="88"/>
      <c r="W866" s="88"/>
      <c r="X866" s="88"/>
      <c r="Y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Q867" s="88"/>
      <c r="R867" s="88"/>
      <c r="S867" s="88"/>
      <c r="T867" s="88"/>
      <c r="U867" s="88"/>
      <c r="V867" s="88"/>
      <c r="W867" s="88"/>
      <c r="X867" s="88"/>
      <c r="Y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Q868" s="88"/>
      <c r="R868" s="88"/>
      <c r="S868" s="88"/>
      <c r="T868" s="88"/>
      <c r="U868" s="88"/>
      <c r="V868" s="88"/>
      <c r="W868" s="88"/>
      <c r="X868" s="88"/>
      <c r="Y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Q869" s="88"/>
      <c r="R869" s="88"/>
      <c r="S869" s="88"/>
      <c r="T869" s="88"/>
      <c r="U869" s="88"/>
      <c r="V869" s="88"/>
      <c r="W869" s="88"/>
      <c r="X869" s="88"/>
      <c r="Y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Q870" s="88"/>
      <c r="R870" s="88"/>
      <c r="S870" s="88"/>
      <c r="T870" s="88"/>
      <c r="U870" s="88"/>
      <c r="V870" s="88"/>
      <c r="W870" s="88"/>
      <c r="X870" s="88"/>
      <c r="Y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Q871" s="88"/>
      <c r="R871" s="88"/>
      <c r="S871" s="88"/>
      <c r="T871" s="88"/>
      <c r="U871" s="88"/>
      <c r="V871" s="88"/>
      <c r="W871" s="88"/>
      <c r="X871" s="88"/>
      <c r="Y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Q872" s="88"/>
      <c r="R872" s="88"/>
      <c r="S872" s="88"/>
      <c r="T872" s="88"/>
      <c r="U872" s="88"/>
      <c r="V872" s="88"/>
      <c r="W872" s="88"/>
      <c r="X872" s="88"/>
      <c r="Y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Q873" s="88"/>
      <c r="R873" s="88"/>
      <c r="S873" s="88"/>
      <c r="T873" s="88"/>
      <c r="U873" s="88"/>
      <c r="V873" s="88"/>
      <c r="W873" s="88"/>
      <c r="X873" s="88"/>
      <c r="Y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Q874" s="88"/>
      <c r="R874" s="88"/>
      <c r="S874" s="88"/>
      <c r="T874" s="88"/>
      <c r="U874" s="88"/>
      <c r="V874" s="88"/>
      <c r="W874" s="88"/>
      <c r="X874" s="88"/>
      <c r="Y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Q875" s="88"/>
      <c r="R875" s="88"/>
      <c r="S875" s="88"/>
      <c r="T875" s="88"/>
      <c r="U875" s="88"/>
      <c r="V875" s="88"/>
      <c r="W875" s="88"/>
      <c r="X875" s="88"/>
      <c r="Y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Q876" s="88"/>
      <c r="R876" s="88"/>
      <c r="S876" s="88"/>
      <c r="T876" s="88"/>
      <c r="U876" s="88"/>
      <c r="V876" s="88"/>
      <c r="W876" s="88"/>
      <c r="X876" s="88"/>
      <c r="Y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Q877" s="88"/>
      <c r="R877" s="88"/>
      <c r="S877" s="88"/>
      <c r="T877" s="88"/>
      <c r="U877" s="88"/>
      <c r="V877" s="88"/>
      <c r="W877" s="88"/>
      <c r="X877" s="88"/>
      <c r="Y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Q878" s="88"/>
      <c r="R878" s="88"/>
      <c r="S878" s="88"/>
      <c r="T878" s="88"/>
      <c r="U878" s="88"/>
      <c r="V878" s="88"/>
      <c r="W878" s="88"/>
      <c r="X878" s="88"/>
      <c r="Y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Q879" s="88"/>
      <c r="R879" s="88"/>
      <c r="S879" s="88"/>
      <c r="T879" s="88"/>
      <c r="U879" s="88"/>
      <c r="V879" s="88"/>
      <c r="W879" s="88"/>
      <c r="X879" s="88"/>
      <c r="Y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Q880" s="88"/>
      <c r="R880" s="88"/>
      <c r="S880" s="88"/>
      <c r="T880" s="88"/>
      <c r="U880" s="88"/>
      <c r="V880" s="88"/>
      <c r="W880" s="88"/>
      <c r="X880" s="88"/>
      <c r="Y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Q881" s="88"/>
      <c r="R881" s="88"/>
      <c r="S881" s="88"/>
      <c r="T881" s="88"/>
      <c r="U881" s="88"/>
      <c r="V881" s="88"/>
      <c r="W881" s="88"/>
      <c r="X881" s="88"/>
      <c r="Y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Q882" s="88"/>
      <c r="R882" s="88"/>
      <c r="S882" s="88"/>
      <c r="T882" s="88"/>
      <c r="U882" s="88"/>
      <c r="V882" s="88"/>
      <c r="W882" s="88"/>
      <c r="X882" s="88"/>
      <c r="Y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Q883" s="88"/>
      <c r="R883" s="88"/>
      <c r="S883" s="88"/>
      <c r="T883" s="88"/>
      <c r="U883" s="88"/>
      <c r="V883" s="88"/>
      <c r="W883" s="88"/>
      <c r="X883" s="88"/>
      <c r="Y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Q884" s="88"/>
      <c r="R884" s="88"/>
      <c r="S884" s="88"/>
      <c r="T884" s="88"/>
      <c r="U884" s="88"/>
      <c r="V884" s="88"/>
      <c r="W884" s="88"/>
      <c r="X884" s="88"/>
      <c r="Y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Q885" s="88"/>
      <c r="R885" s="88"/>
      <c r="S885" s="88"/>
      <c r="T885" s="88"/>
      <c r="U885" s="88"/>
      <c r="V885" s="88"/>
      <c r="W885" s="88"/>
      <c r="X885" s="88"/>
      <c r="Y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Q886" s="88"/>
      <c r="R886" s="88"/>
      <c r="S886" s="88"/>
      <c r="T886" s="88"/>
      <c r="U886" s="88"/>
      <c r="V886" s="88"/>
      <c r="W886" s="88"/>
      <c r="X886" s="88"/>
      <c r="Y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Q887" s="88"/>
      <c r="R887" s="88"/>
      <c r="S887" s="88"/>
      <c r="T887" s="88"/>
      <c r="U887" s="88"/>
      <c r="V887" s="88"/>
      <c r="W887" s="88"/>
      <c r="X887" s="88"/>
      <c r="Y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Q888" s="88"/>
      <c r="R888" s="88"/>
      <c r="S888" s="88"/>
      <c r="T888" s="88"/>
      <c r="U888" s="88"/>
      <c r="V888" s="88"/>
      <c r="W888" s="88"/>
      <c r="X888" s="88"/>
      <c r="Y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Q889" s="88"/>
      <c r="R889" s="88"/>
      <c r="S889" s="88"/>
      <c r="T889" s="88"/>
      <c r="U889" s="88"/>
      <c r="V889" s="88"/>
      <c r="W889" s="88"/>
      <c r="X889" s="88"/>
      <c r="Y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Q890" s="88"/>
      <c r="R890" s="88"/>
      <c r="S890" s="88"/>
      <c r="T890" s="88"/>
      <c r="U890" s="88"/>
      <c r="V890" s="88"/>
      <c r="W890" s="88"/>
      <c r="X890" s="88"/>
      <c r="Y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Q891" s="88"/>
      <c r="R891" s="88"/>
      <c r="S891" s="88"/>
      <c r="T891" s="88"/>
      <c r="U891" s="88"/>
      <c r="V891" s="88"/>
      <c r="W891" s="88"/>
      <c r="X891" s="88"/>
      <c r="Y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Q892" s="88"/>
      <c r="R892" s="88"/>
      <c r="S892" s="88"/>
      <c r="T892" s="88"/>
      <c r="U892" s="88"/>
      <c r="V892" s="88"/>
      <c r="W892" s="88"/>
      <c r="X892" s="88"/>
      <c r="Y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Q893" s="88"/>
      <c r="R893" s="88"/>
      <c r="S893" s="88"/>
      <c r="T893" s="88"/>
      <c r="U893" s="88"/>
      <c r="V893" s="88"/>
      <c r="W893" s="88"/>
      <c r="X893" s="88"/>
      <c r="Y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Q894" s="88"/>
      <c r="R894" s="88"/>
      <c r="S894" s="88"/>
      <c r="T894" s="88"/>
      <c r="U894" s="88"/>
      <c r="V894" s="88"/>
      <c r="W894" s="88"/>
      <c r="X894" s="88"/>
      <c r="Y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Q895" s="88"/>
      <c r="R895" s="88"/>
      <c r="S895" s="88"/>
      <c r="T895" s="88"/>
      <c r="U895" s="88"/>
      <c r="V895" s="88"/>
      <c r="W895" s="88"/>
      <c r="X895" s="88"/>
      <c r="Y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Q896" s="88"/>
      <c r="R896" s="88"/>
      <c r="S896" s="88"/>
      <c r="T896" s="88"/>
      <c r="U896" s="88"/>
      <c r="V896" s="88"/>
      <c r="W896" s="88"/>
      <c r="X896" s="88"/>
      <c r="Y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Q897" s="88"/>
      <c r="R897" s="88"/>
      <c r="S897" s="88"/>
      <c r="T897" s="88"/>
      <c r="U897" s="88"/>
      <c r="V897" s="88"/>
      <c r="W897" s="88"/>
      <c r="X897" s="88"/>
      <c r="Y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Q898" s="88"/>
      <c r="R898" s="88"/>
      <c r="S898" s="88"/>
      <c r="T898" s="88"/>
      <c r="U898" s="88"/>
      <c r="V898" s="88"/>
      <c r="W898" s="88"/>
      <c r="X898" s="88"/>
      <c r="Y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Q899" s="88"/>
      <c r="R899" s="88"/>
      <c r="S899" s="88"/>
      <c r="T899" s="88"/>
      <c r="U899" s="88"/>
      <c r="V899" s="88"/>
      <c r="W899" s="88"/>
      <c r="X899" s="88"/>
      <c r="Y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Q900" s="88"/>
      <c r="R900" s="88"/>
      <c r="S900" s="88"/>
      <c r="T900" s="88"/>
      <c r="U900" s="88"/>
      <c r="V900" s="88"/>
      <c r="W900" s="88"/>
      <c r="X900" s="88"/>
      <c r="Y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Q901" s="88"/>
      <c r="R901" s="88"/>
      <c r="S901" s="88"/>
      <c r="T901" s="88"/>
      <c r="U901" s="88"/>
      <c r="V901" s="88"/>
      <c r="W901" s="88"/>
      <c r="X901" s="88"/>
      <c r="Y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Q902" s="88"/>
      <c r="R902" s="88"/>
      <c r="S902" s="88"/>
      <c r="T902" s="88"/>
      <c r="U902" s="88"/>
      <c r="V902" s="88"/>
      <c r="W902" s="88"/>
      <c r="X902" s="88"/>
      <c r="Y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Q903" s="88"/>
      <c r="R903" s="88"/>
      <c r="S903" s="88"/>
      <c r="T903" s="88"/>
      <c r="U903" s="88"/>
      <c r="V903" s="88"/>
      <c r="W903" s="88"/>
      <c r="X903" s="88"/>
      <c r="Y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Q904" s="88"/>
      <c r="R904" s="88"/>
      <c r="S904" s="88"/>
      <c r="T904" s="88"/>
      <c r="U904" s="88"/>
      <c r="V904" s="88"/>
      <c r="W904" s="88"/>
      <c r="X904" s="88"/>
      <c r="Y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Q905" s="88"/>
      <c r="R905" s="88"/>
      <c r="S905" s="88"/>
      <c r="T905" s="88"/>
      <c r="U905" s="88"/>
      <c r="V905" s="88"/>
      <c r="W905" s="88"/>
      <c r="X905" s="88"/>
      <c r="Y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Q906" s="88"/>
      <c r="R906" s="88"/>
      <c r="S906" s="88"/>
      <c r="T906" s="88"/>
      <c r="U906" s="88"/>
      <c r="V906" s="88"/>
      <c r="W906" s="88"/>
      <c r="X906" s="88"/>
      <c r="Y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Q907" s="88"/>
      <c r="R907" s="88"/>
      <c r="S907" s="88"/>
      <c r="T907" s="88"/>
      <c r="U907" s="88"/>
      <c r="V907" s="88"/>
      <c r="W907" s="88"/>
      <c r="X907" s="88"/>
      <c r="Y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Q908" s="88"/>
      <c r="R908" s="88"/>
      <c r="S908" s="88"/>
      <c r="T908" s="88"/>
      <c r="U908" s="88"/>
      <c r="V908" s="88"/>
      <c r="W908" s="88"/>
      <c r="X908" s="88"/>
      <c r="Y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Q909" s="88"/>
      <c r="R909" s="88"/>
      <c r="S909" s="88"/>
      <c r="T909" s="88"/>
      <c r="U909" s="88"/>
      <c r="V909" s="88"/>
      <c r="W909" s="88"/>
      <c r="X909" s="88"/>
      <c r="Y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Q910" s="88"/>
      <c r="R910" s="88"/>
      <c r="S910" s="88"/>
      <c r="T910" s="88"/>
      <c r="U910" s="88"/>
      <c r="V910" s="88"/>
      <c r="W910" s="88"/>
      <c r="X910" s="88"/>
      <c r="Y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Q911" s="88"/>
      <c r="R911" s="88"/>
      <c r="S911" s="88"/>
      <c r="T911" s="88"/>
      <c r="U911" s="88"/>
      <c r="V911" s="88"/>
      <c r="W911" s="88"/>
      <c r="X911" s="88"/>
      <c r="Y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Q912" s="88"/>
      <c r="R912" s="88"/>
      <c r="S912" s="88"/>
      <c r="T912" s="88"/>
      <c r="U912" s="88"/>
      <c r="V912" s="88"/>
      <c r="W912" s="88"/>
      <c r="X912" s="88"/>
      <c r="Y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Q913" s="88"/>
      <c r="R913" s="88"/>
      <c r="S913" s="88"/>
      <c r="T913" s="88"/>
      <c r="U913" s="88"/>
      <c r="V913" s="88"/>
      <c r="W913" s="88"/>
      <c r="X913" s="88"/>
      <c r="Y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Q914" s="88"/>
      <c r="R914" s="88"/>
      <c r="S914" s="88"/>
      <c r="T914" s="88"/>
      <c r="U914" s="88"/>
      <c r="V914" s="88"/>
      <c r="W914" s="88"/>
      <c r="X914" s="88"/>
      <c r="Y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Q915" s="88"/>
      <c r="R915" s="88"/>
      <c r="S915" s="88"/>
      <c r="T915" s="88"/>
      <c r="U915" s="88"/>
      <c r="V915" s="88"/>
      <c r="W915" s="88"/>
      <c r="X915" s="88"/>
      <c r="Y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Q916" s="88"/>
      <c r="R916" s="88"/>
      <c r="S916" s="88"/>
      <c r="T916" s="88"/>
      <c r="U916" s="88"/>
      <c r="V916" s="88"/>
      <c r="W916" s="88"/>
      <c r="X916" s="88"/>
      <c r="Y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Q917" s="88"/>
      <c r="R917" s="88"/>
      <c r="S917" s="88"/>
      <c r="T917" s="88"/>
      <c r="U917" s="88"/>
      <c r="V917" s="88"/>
      <c r="W917" s="88"/>
      <c r="X917" s="88"/>
      <c r="Y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Q918" s="88"/>
      <c r="R918" s="88"/>
      <c r="S918" s="88"/>
      <c r="T918" s="88"/>
      <c r="U918" s="88"/>
      <c r="V918" s="88"/>
      <c r="W918" s="88"/>
      <c r="X918" s="88"/>
      <c r="Y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Q919" s="88"/>
      <c r="R919" s="88"/>
      <c r="S919" s="88"/>
      <c r="T919" s="88"/>
      <c r="U919" s="88"/>
      <c r="V919" s="88"/>
      <c r="W919" s="88"/>
      <c r="X919" s="88"/>
      <c r="Y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Q920" s="88"/>
      <c r="R920" s="88"/>
      <c r="S920" s="88"/>
      <c r="T920" s="88"/>
      <c r="U920" s="88"/>
      <c r="V920" s="88"/>
      <c r="W920" s="88"/>
      <c r="X920" s="88"/>
      <c r="Y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Q921" s="88"/>
      <c r="R921" s="88"/>
      <c r="S921" s="88"/>
      <c r="T921" s="88"/>
      <c r="U921" s="88"/>
      <c r="V921" s="88"/>
      <c r="W921" s="88"/>
      <c r="X921" s="88"/>
      <c r="Y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Q922" s="88"/>
      <c r="R922" s="88"/>
      <c r="S922" s="88"/>
      <c r="T922" s="88"/>
      <c r="U922" s="88"/>
      <c r="V922" s="88"/>
      <c r="W922" s="88"/>
      <c r="X922" s="88"/>
      <c r="Y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Q923" s="88"/>
      <c r="R923" s="88"/>
      <c r="S923" s="88"/>
      <c r="T923" s="88"/>
      <c r="U923" s="88"/>
      <c r="V923" s="88"/>
      <c r="W923" s="88"/>
      <c r="X923" s="88"/>
      <c r="Y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Q924" s="88"/>
      <c r="R924" s="88"/>
      <c r="S924" s="88"/>
      <c r="T924" s="88"/>
      <c r="U924" s="88"/>
      <c r="V924" s="88"/>
      <c r="W924" s="88"/>
      <c r="X924" s="88"/>
      <c r="Y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Q925" s="88"/>
      <c r="R925" s="88"/>
      <c r="S925" s="88"/>
      <c r="T925" s="88"/>
      <c r="U925" s="88"/>
      <c r="V925" s="88"/>
      <c r="W925" s="88"/>
      <c r="X925" s="88"/>
      <c r="Y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Q926" s="88"/>
      <c r="R926" s="88"/>
      <c r="S926" s="88"/>
      <c r="T926" s="88"/>
      <c r="U926" s="88"/>
      <c r="V926" s="88"/>
      <c r="W926" s="88"/>
      <c r="X926" s="88"/>
      <c r="Y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Q927" s="88"/>
      <c r="R927" s="88"/>
      <c r="S927" s="88"/>
      <c r="T927" s="88"/>
      <c r="U927" s="88"/>
      <c r="V927" s="88"/>
      <c r="W927" s="88"/>
      <c r="X927" s="88"/>
      <c r="Y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Q928" s="88"/>
      <c r="R928" s="88"/>
      <c r="S928" s="88"/>
      <c r="T928" s="88"/>
      <c r="U928" s="88"/>
      <c r="V928" s="88"/>
      <c r="W928" s="88"/>
      <c r="X928" s="88"/>
      <c r="Y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Q929" s="88"/>
      <c r="R929" s="88"/>
      <c r="S929" s="88"/>
      <c r="T929" s="88"/>
      <c r="U929" s="88"/>
      <c r="V929" s="88"/>
      <c r="W929" s="88"/>
      <c r="X929" s="88"/>
      <c r="Y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Q930" s="88"/>
      <c r="R930" s="88"/>
      <c r="S930" s="88"/>
      <c r="T930" s="88"/>
      <c r="U930" s="88"/>
      <c r="V930" s="88"/>
      <c r="W930" s="88"/>
      <c r="X930" s="88"/>
      <c r="Y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Q931" s="88"/>
      <c r="R931" s="88"/>
      <c r="S931" s="88"/>
      <c r="T931" s="88"/>
      <c r="U931" s="88"/>
      <c r="V931" s="88"/>
      <c r="W931" s="88"/>
      <c r="X931" s="88"/>
      <c r="Y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Q932" s="88"/>
      <c r="R932" s="88"/>
      <c r="S932" s="88"/>
      <c r="T932" s="88"/>
      <c r="U932" s="88"/>
      <c r="V932" s="88"/>
      <c r="W932" s="88"/>
      <c r="X932" s="88"/>
      <c r="Y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Q933" s="88"/>
      <c r="R933" s="88"/>
      <c r="S933" s="88"/>
      <c r="T933" s="88"/>
      <c r="U933" s="88"/>
      <c r="V933" s="88"/>
      <c r="W933" s="88"/>
      <c r="X933" s="88"/>
      <c r="Y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Q934" s="88"/>
      <c r="R934" s="88"/>
      <c r="S934" s="88"/>
      <c r="T934" s="88"/>
      <c r="U934" s="88"/>
      <c r="V934" s="88"/>
      <c r="W934" s="88"/>
      <c r="X934" s="88"/>
      <c r="Y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Q935" s="88"/>
      <c r="R935" s="88"/>
      <c r="S935" s="88"/>
      <c r="T935" s="88"/>
      <c r="U935" s="88"/>
      <c r="V935" s="88"/>
      <c r="W935" s="88"/>
      <c r="X935" s="88"/>
      <c r="Y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Q936" s="88"/>
      <c r="R936" s="88"/>
      <c r="S936" s="88"/>
      <c r="T936" s="88"/>
      <c r="U936" s="88"/>
      <c r="V936" s="88"/>
      <c r="W936" s="88"/>
      <c r="X936" s="88"/>
      <c r="Y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Q937" s="88"/>
      <c r="R937" s="88"/>
      <c r="S937" s="88"/>
      <c r="T937" s="88"/>
      <c r="U937" s="88"/>
      <c r="V937" s="88"/>
      <c r="W937" s="88"/>
      <c r="X937" s="88"/>
      <c r="Y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Q938" s="88"/>
      <c r="R938" s="88"/>
      <c r="S938" s="88"/>
      <c r="T938" s="88"/>
      <c r="U938" s="88"/>
      <c r="V938" s="88"/>
      <c r="W938" s="88"/>
      <c r="X938" s="88"/>
      <c r="Y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Q939" s="88"/>
      <c r="R939" s="88"/>
      <c r="S939" s="88"/>
      <c r="T939" s="88"/>
      <c r="U939" s="88"/>
      <c r="V939" s="88"/>
      <c r="W939" s="88"/>
      <c r="X939" s="88"/>
      <c r="Y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Q940" s="88"/>
      <c r="R940" s="88"/>
      <c r="S940" s="88"/>
      <c r="T940" s="88"/>
      <c r="U940" s="88"/>
      <c r="V940" s="88"/>
      <c r="W940" s="88"/>
      <c r="X940" s="88"/>
      <c r="Y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Q941" s="88"/>
      <c r="R941" s="88"/>
      <c r="S941" s="88"/>
      <c r="T941" s="88"/>
      <c r="U941" s="88"/>
      <c r="V941" s="88"/>
      <c r="W941" s="88"/>
      <c r="X941" s="88"/>
      <c r="Y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Q942" s="88"/>
      <c r="R942" s="88"/>
      <c r="S942" s="88"/>
      <c r="T942" s="88"/>
      <c r="U942" s="88"/>
      <c r="V942" s="88"/>
      <c r="W942" s="88"/>
      <c r="X942" s="88"/>
      <c r="Y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Q943" s="88"/>
      <c r="R943" s="88"/>
      <c r="S943" s="88"/>
      <c r="T943" s="88"/>
      <c r="U943" s="88"/>
      <c r="V943" s="88"/>
      <c r="W943" s="88"/>
      <c r="X943" s="88"/>
      <c r="Y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Q944" s="88"/>
      <c r="R944" s="88"/>
      <c r="S944" s="88"/>
      <c r="T944" s="88"/>
      <c r="U944" s="88"/>
      <c r="V944" s="88"/>
      <c r="W944" s="88"/>
      <c r="X944" s="88"/>
      <c r="Y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Q945" s="88"/>
      <c r="R945" s="88"/>
      <c r="S945" s="88"/>
      <c r="T945" s="88"/>
      <c r="U945" s="88"/>
      <c r="V945" s="88"/>
      <c r="W945" s="88"/>
      <c r="X945" s="88"/>
      <c r="Y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Q946" s="88"/>
      <c r="R946" s="88"/>
      <c r="S946" s="88"/>
      <c r="T946" s="88"/>
      <c r="U946" s="88"/>
      <c r="V946" s="88"/>
      <c r="W946" s="88"/>
      <c r="X946" s="88"/>
      <c r="Y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Q947" s="88"/>
      <c r="R947" s="88"/>
      <c r="S947" s="88"/>
      <c r="T947" s="88"/>
      <c r="U947" s="88"/>
      <c r="V947" s="88"/>
      <c r="W947" s="88"/>
      <c r="X947" s="88"/>
      <c r="Y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Q948" s="88"/>
      <c r="R948" s="88"/>
      <c r="S948" s="88"/>
      <c r="T948" s="88"/>
      <c r="U948" s="88"/>
      <c r="V948" s="88"/>
      <c r="W948" s="88"/>
      <c r="X948" s="88"/>
      <c r="Y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Q949" s="88"/>
      <c r="R949" s="88"/>
      <c r="S949" s="88"/>
      <c r="T949" s="88"/>
      <c r="U949" s="88"/>
      <c r="V949" s="88"/>
      <c r="W949" s="88"/>
      <c r="X949" s="88"/>
      <c r="Y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Q950" s="88"/>
      <c r="R950" s="88"/>
      <c r="S950" s="88"/>
      <c r="T950" s="88"/>
      <c r="U950" s="88"/>
      <c r="V950" s="88"/>
      <c r="W950" s="88"/>
      <c r="X950" s="88"/>
      <c r="Y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Q951" s="88"/>
      <c r="R951" s="88"/>
      <c r="S951" s="88"/>
      <c r="T951" s="88"/>
      <c r="U951" s="88"/>
      <c r="V951" s="88"/>
      <c r="W951" s="88"/>
      <c r="X951" s="88"/>
      <c r="Y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Q952" s="88"/>
      <c r="R952" s="88"/>
      <c r="S952" s="88"/>
      <c r="T952" s="88"/>
      <c r="U952" s="88"/>
      <c r="V952" s="88"/>
      <c r="W952" s="88"/>
      <c r="X952" s="88"/>
      <c r="Y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Q953" s="88"/>
      <c r="R953" s="88"/>
      <c r="S953" s="88"/>
      <c r="T953" s="88"/>
      <c r="U953" s="88"/>
      <c r="V953" s="88"/>
      <c r="W953" s="88"/>
      <c r="X953" s="88"/>
      <c r="Y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Q954" s="88"/>
      <c r="R954" s="88"/>
      <c r="S954" s="88"/>
      <c r="T954" s="88"/>
      <c r="U954" s="88"/>
      <c r="V954" s="88"/>
      <c r="W954" s="88"/>
      <c r="X954" s="88"/>
      <c r="Y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Q955" s="88"/>
      <c r="R955" s="88"/>
      <c r="S955" s="88"/>
      <c r="T955" s="88"/>
      <c r="U955" s="88"/>
      <c r="V955" s="88"/>
      <c r="W955" s="88"/>
      <c r="X955" s="88"/>
      <c r="Y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Q956" s="88"/>
      <c r="R956" s="88"/>
      <c r="S956" s="88"/>
      <c r="T956" s="88"/>
      <c r="U956" s="88"/>
      <c r="V956" s="88"/>
      <c r="W956" s="88"/>
      <c r="X956" s="88"/>
      <c r="Y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Q957" s="88"/>
      <c r="R957" s="88"/>
      <c r="S957" s="88"/>
      <c r="T957" s="88"/>
      <c r="U957" s="88"/>
      <c r="V957" s="88"/>
      <c r="W957" s="88"/>
      <c r="X957" s="88"/>
      <c r="Y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Q958" s="88"/>
      <c r="R958" s="88"/>
      <c r="S958" s="88"/>
      <c r="T958" s="88"/>
      <c r="U958" s="88"/>
      <c r="V958" s="88"/>
      <c r="W958" s="88"/>
      <c r="X958" s="88"/>
      <c r="Y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Q959" s="88"/>
      <c r="R959" s="88"/>
      <c r="S959" s="88"/>
      <c r="T959" s="88"/>
      <c r="U959" s="88"/>
      <c r="V959" s="88"/>
      <c r="W959" s="88"/>
      <c r="X959" s="88"/>
      <c r="Y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Q960" s="88"/>
      <c r="R960" s="88"/>
      <c r="S960" s="88"/>
      <c r="T960" s="88"/>
      <c r="U960" s="88"/>
      <c r="V960" s="88"/>
      <c r="W960" s="88"/>
      <c r="X960" s="88"/>
      <c r="Y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Q961" s="88"/>
      <c r="R961" s="88"/>
      <c r="S961" s="88"/>
      <c r="T961" s="88"/>
      <c r="U961" s="88"/>
      <c r="V961" s="88"/>
      <c r="W961" s="88"/>
      <c r="X961" s="88"/>
      <c r="Y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Q962" s="88"/>
      <c r="R962" s="88"/>
      <c r="S962" s="88"/>
      <c r="T962" s="88"/>
      <c r="U962" s="88"/>
      <c r="V962" s="88"/>
      <c r="W962" s="88"/>
      <c r="X962" s="88"/>
      <c r="Y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Q963" s="88"/>
      <c r="R963" s="88"/>
      <c r="S963" s="88"/>
      <c r="T963" s="88"/>
      <c r="U963" s="88"/>
      <c r="V963" s="88"/>
      <c r="W963" s="88"/>
      <c r="X963" s="88"/>
      <c r="Y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Q964" s="88"/>
      <c r="R964" s="88"/>
      <c r="S964" s="88"/>
      <c r="T964" s="88"/>
      <c r="U964" s="88"/>
      <c r="V964" s="88"/>
      <c r="W964" s="88"/>
      <c r="X964" s="88"/>
      <c r="Y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Q965" s="88"/>
      <c r="R965" s="88"/>
      <c r="S965" s="88"/>
      <c r="T965" s="88"/>
      <c r="U965" s="88"/>
      <c r="V965" s="88"/>
      <c r="W965" s="88"/>
      <c r="X965" s="88"/>
      <c r="Y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Q966" s="88"/>
      <c r="R966" s="88"/>
      <c r="S966" s="88"/>
      <c r="T966" s="88"/>
      <c r="U966" s="88"/>
      <c r="V966" s="88"/>
      <c r="W966" s="88"/>
      <c r="X966" s="88"/>
      <c r="Y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Q967" s="88"/>
      <c r="R967" s="88"/>
      <c r="S967" s="88"/>
      <c r="T967" s="88"/>
      <c r="U967" s="88"/>
      <c r="V967" s="88"/>
      <c r="W967" s="88"/>
      <c r="X967" s="88"/>
      <c r="Y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Q968" s="88"/>
      <c r="R968" s="88"/>
      <c r="S968" s="88"/>
      <c r="T968" s="88"/>
      <c r="U968" s="88"/>
      <c r="V968" s="88"/>
      <c r="W968" s="88"/>
      <c r="X968" s="88"/>
      <c r="Y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Q969" s="88"/>
      <c r="R969" s="88"/>
      <c r="S969" s="88"/>
      <c r="T969" s="88"/>
      <c r="U969" s="88"/>
      <c r="V969" s="88"/>
      <c r="W969" s="88"/>
      <c r="X969" s="88"/>
      <c r="Y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Q970" s="88"/>
      <c r="R970" s="88"/>
      <c r="S970" s="88"/>
      <c r="T970" s="88"/>
      <c r="U970" s="88"/>
      <c r="V970" s="88"/>
      <c r="W970" s="88"/>
      <c r="X970" s="88"/>
      <c r="Y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Q971" s="88"/>
      <c r="R971" s="88"/>
      <c r="S971" s="88"/>
      <c r="T971" s="88"/>
      <c r="U971" s="88"/>
      <c r="V971" s="88"/>
      <c r="W971" s="88"/>
      <c r="X971" s="88"/>
      <c r="Y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Q972" s="88"/>
      <c r="R972" s="88"/>
      <c r="S972" s="88"/>
      <c r="T972" s="88"/>
      <c r="U972" s="88"/>
      <c r="V972" s="88"/>
      <c r="W972" s="88"/>
      <c r="X972" s="88"/>
      <c r="Y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Q973" s="88"/>
      <c r="R973" s="88"/>
      <c r="S973" s="88"/>
      <c r="T973" s="88"/>
      <c r="U973" s="88"/>
      <c r="V973" s="88"/>
      <c r="W973" s="88"/>
      <c r="X973" s="88"/>
      <c r="Y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Q974" s="88"/>
      <c r="R974" s="88"/>
      <c r="S974" s="88"/>
      <c r="T974" s="88"/>
      <c r="U974" s="88"/>
      <c r="V974" s="88"/>
      <c r="W974" s="88"/>
      <c r="X974" s="88"/>
      <c r="Y974" s="88"/>
    </row>
    <row r="975">
      <c r="A975" s="140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Q975" s="88"/>
      <c r="R975" s="88"/>
      <c r="S975" s="88"/>
      <c r="T975" s="88"/>
      <c r="U975" s="88"/>
      <c r="V975" s="88"/>
      <c r="W975" s="88"/>
      <c r="X975" s="88"/>
      <c r="Y975" s="88"/>
    </row>
    <row r="976">
      <c r="Q976" s="88"/>
      <c r="R976" s="88"/>
      <c r="S976" s="88"/>
      <c r="T976" s="88"/>
      <c r="U976" s="88"/>
      <c r="V976" s="88"/>
      <c r="W976" s="88"/>
      <c r="X976" s="88"/>
      <c r="Y976" s="88"/>
    </row>
    <row r="977">
      <c r="Q977" s="88"/>
      <c r="R977" s="88"/>
      <c r="S977" s="88"/>
      <c r="T977" s="88"/>
      <c r="U977" s="88"/>
      <c r="V977" s="88"/>
      <c r="W977" s="88"/>
      <c r="X977" s="88"/>
      <c r="Y977" s="88"/>
    </row>
    <row r="978">
      <c r="Q978" s="88"/>
      <c r="R978" s="88"/>
      <c r="S978" s="88"/>
      <c r="T978" s="88"/>
      <c r="U978" s="88"/>
      <c r="V978" s="88"/>
      <c r="W978" s="88"/>
      <c r="X978" s="88"/>
      <c r="Y978" s="88"/>
    </row>
    <row r="979">
      <c r="Q979" s="88"/>
      <c r="R979" s="88"/>
      <c r="S979" s="88"/>
      <c r="T979" s="88"/>
      <c r="U979" s="88"/>
      <c r="V979" s="88"/>
      <c r="W979" s="88"/>
      <c r="X979" s="88"/>
      <c r="Y979" s="88"/>
    </row>
    <row r="980">
      <c r="Q980" s="88"/>
      <c r="R980" s="88"/>
      <c r="S980" s="88"/>
      <c r="T980" s="88"/>
      <c r="U980" s="88"/>
      <c r="V980" s="88"/>
      <c r="W980" s="88"/>
      <c r="X980" s="88"/>
      <c r="Y980" s="88"/>
    </row>
    <row r="981">
      <c r="Q981" s="88"/>
      <c r="R981" s="88"/>
      <c r="S981" s="88"/>
      <c r="T981" s="88"/>
      <c r="U981" s="88"/>
      <c r="V981" s="88"/>
      <c r="W981" s="88"/>
      <c r="X981" s="88"/>
      <c r="Y981" s="88"/>
    </row>
    <row r="982">
      <c r="Q982" s="88"/>
      <c r="R982" s="88"/>
      <c r="S982" s="88"/>
      <c r="T982" s="88"/>
      <c r="U982" s="88"/>
      <c r="V982" s="88"/>
      <c r="W982" s="88"/>
      <c r="X982" s="88"/>
      <c r="Y982" s="88"/>
    </row>
    <row r="983">
      <c r="Q983" s="88"/>
      <c r="R983" s="88"/>
      <c r="S983" s="88"/>
      <c r="T983" s="88"/>
      <c r="U983" s="88"/>
      <c r="V983" s="88"/>
      <c r="W983" s="88"/>
      <c r="X983" s="88"/>
      <c r="Y983" s="88"/>
    </row>
    <row r="984">
      <c r="Q984" s="88"/>
      <c r="R984" s="88"/>
      <c r="S984" s="88"/>
      <c r="T984" s="88"/>
      <c r="U984" s="88"/>
      <c r="V984" s="88"/>
      <c r="W984" s="88"/>
      <c r="X984" s="88"/>
      <c r="Y984" s="88"/>
    </row>
    <row r="985">
      <c r="Q985" s="88"/>
      <c r="R985" s="88"/>
      <c r="S985" s="88"/>
      <c r="T985" s="88"/>
      <c r="U985" s="88"/>
      <c r="V985" s="88"/>
      <c r="W985" s="88"/>
      <c r="X985" s="88"/>
      <c r="Y985" s="88"/>
    </row>
    <row r="986">
      <c r="Q986" s="88"/>
      <c r="R986" s="88"/>
      <c r="S986" s="88"/>
      <c r="T986" s="88"/>
      <c r="U986" s="88"/>
      <c r="V986" s="88"/>
      <c r="W986" s="88"/>
      <c r="X986" s="88"/>
      <c r="Y986" s="88"/>
    </row>
    <row r="987">
      <c r="Q987" s="88"/>
      <c r="R987" s="88"/>
      <c r="S987" s="88"/>
      <c r="T987" s="88"/>
      <c r="U987" s="88"/>
      <c r="V987" s="88"/>
      <c r="W987" s="88"/>
      <c r="X987" s="88"/>
      <c r="Y987" s="88"/>
    </row>
    <row r="988">
      <c r="Q988" s="88"/>
      <c r="R988" s="88"/>
      <c r="S988" s="88"/>
      <c r="T988" s="88"/>
      <c r="U988" s="88"/>
      <c r="V988" s="88"/>
      <c r="W988" s="88"/>
      <c r="X988" s="88"/>
      <c r="Y988" s="88"/>
    </row>
    <row r="989">
      <c r="Q989" s="88"/>
      <c r="R989" s="88"/>
      <c r="S989" s="88"/>
      <c r="T989" s="88"/>
      <c r="U989" s="88"/>
      <c r="V989" s="88"/>
      <c r="W989" s="88"/>
      <c r="X989" s="88"/>
      <c r="Y989" s="88"/>
    </row>
    <row r="990">
      <c r="Q990" s="88"/>
      <c r="R990" s="88"/>
      <c r="S990" s="88"/>
      <c r="T990" s="88"/>
      <c r="U990" s="88"/>
      <c r="V990" s="88"/>
      <c r="W990" s="88"/>
      <c r="X990" s="88"/>
      <c r="Y990" s="88"/>
    </row>
    <row r="991">
      <c r="Q991" s="88"/>
      <c r="R991" s="88"/>
      <c r="S991" s="88"/>
      <c r="T991" s="88"/>
      <c r="U991" s="88"/>
      <c r="V991" s="88"/>
      <c r="W991" s="88"/>
      <c r="X991" s="88"/>
      <c r="Y991" s="88"/>
    </row>
    <row r="992">
      <c r="Q992" s="88"/>
      <c r="R992" s="88"/>
      <c r="S992" s="88"/>
      <c r="T992" s="88"/>
      <c r="U992" s="88"/>
      <c r="V992" s="88"/>
      <c r="W992" s="88"/>
      <c r="X992" s="88"/>
      <c r="Y992" s="88"/>
    </row>
    <row r="993">
      <c r="Q993" s="88"/>
      <c r="R993" s="88"/>
      <c r="S993" s="88"/>
      <c r="T993" s="88"/>
      <c r="U993" s="88"/>
      <c r="V993" s="88"/>
      <c r="W993" s="88"/>
      <c r="X993" s="88"/>
      <c r="Y993" s="88"/>
    </row>
    <row r="994">
      <c r="Q994" s="88"/>
      <c r="R994" s="88"/>
      <c r="S994" s="88"/>
      <c r="T994" s="88"/>
      <c r="U994" s="88"/>
      <c r="V994" s="88"/>
      <c r="W994" s="88"/>
      <c r="X994" s="88"/>
      <c r="Y994" s="88"/>
    </row>
    <row r="995">
      <c r="Q995" s="88"/>
      <c r="R995" s="88"/>
      <c r="S995" s="88"/>
      <c r="T995" s="88"/>
      <c r="U995" s="88"/>
      <c r="V995" s="88"/>
      <c r="W995" s="88"/>
      <c r="X995" s="88"/>
      <c r="Y995" s="88"/>
    </row>
    <row r="996">
      <c r="Q996" s="88"/>
      <c r="R996" s="88"/>
      <c r="S996" s="88"/>
      <c r="T996" s="88"/>
      <c r="U996" s="88"/>
      <c r="V996" s="88"/>
      <c r="W996" s="88"/>
      <c r="X996" s="88"/>
      <c r="Y996" s="88"/>
    </row>
    <row r="997">
      <c r="Q997" s="88"/>
      <c r="R997" s="88"/>
      <c r="S997" s="88"/>
      <c r="T997" s="88"/>
      <c r="U997" s="88"/>
      <c r="V997" s="88"/>
      <c r="W997" s="88"/>
      <c r="X997" s="88"/>
      <c r="Y997" s="88"/>
    </row>
    <row r="998">
      <c r="Q998" s="88"/>
      <c r="R998" s="88"/>
      <c r="S998" s="88"/>
      <c r="T998" s="88"/>
      <c r="U998" s="88"/>
      <c r="V998" s="88"/>
      <c r="W998" s="88"/>
      <c r="X998" s="88"/>
      <c r="Y998" s="88"/>
    </row>
    <row r="999">
      <c r="Q999" s="88"/>
      <c r="R999" s="88"/>
      <c r="S999" s="88"/>
      <c r="T999" s="88"/>
      <c r="U999" s="88"/>
      <c r="V999" s="88"/>
      <c r="W999" s="88"/>
      <c r="X999" s="88"/>
      <c r="Y999" s="88"/>
    </row>
    <row r="1000">
      <c r="Q1000" s="88"/>
      <c r="R1000" s="88"/>
      <c r="S1000" s="88"/>
      <c r="T1000" s="88"/>
      <c r="U1000" s="88"/>
      <c r="V1000" s="88"/>
      <c r="W1000" s="88"/>
      <c r="X1000" s="88"/>
      <c r="Y1000" s="88"/>
    </row>
    <row r="1001">
      <c r="Q1001" s="88"/>
      <c r="R1001" s="88"/>
      <c r="S1001" s="88"/>
      <c r="T1001" s="88"/>
      <c r="U1001" s="88"/>
      <c r="V1001" s="88"/>
      <c r="W1001" s="88"/>
      <c r="X1001" s="88"/>
      <c r="Y1001" s="88"/>
    </row>
    <row r="1002">
      <c r="Q1002" s="88"/>
      <c r="R1002" s="88"/>
      <c r="S1002" s="88"/>
      <c r="T1002" s="88"/>
      <c r="U1002" s="88"/>
      <c r="V1002" s="88"/>
      <c r="W1002" s="88"/>
      <c r="X1002" s="88"/>
      <c r="Y1002" s="88"/>
    </row>
    <row r="1003">
      <c r="Q1003" s="88"/>
      <c r="R1003" s="88"/>
      <c r="S1003" s="88"/>
      <c r="T1003" s="88"/>
      <c r="U1003" s="88"/>
      <c r="V1003" s="88"/>
      <c r="W1003" s="88"/>
      <c r="X1003" s="88"/>
      <c r="Y1003" s="88"/>
    </row>
    <row r="1004">
      <c r="Q1004" s="88"/>
      <c r="R1004" s="88"/>
      <c r="S1004" s="88"/>
      <c r="T1004" s="88"/>
      <c r="U1004" s="88"/>
      <c r="V1004" s="88"/>
      <c r="W1004" s="88"/>
      <c r="X1004" s="88"/>
      <c r="Y1004" s="88"/>
    </row>
    <row r="1005">
      <c r="Q1005" s="88"/>
      <c r="R1005" s="88"/>
      <c r="S1005" s="88"/>
      <c r="T1005" s="88"/>
      <c r="U1005" s="88"/>
      <c r="V1005" s="88"/>
      <c r="W1005" s="88"/>
      <c r="X1005" s="88"/>
      <c r="Y1005" s="88"/>
    </row>
    <row r="1006">
      <c r="Q1006" s="88"/>
      <c r="R1006" s="88"/>
      <c r="S1006" s="88"/>
      <c r="T1006" s="88"/>
      <c r="U1006" s="88"/>
      <c r="V1006" s="88"/>
      <c r="W1006" s="88"/>
      <c r="X1006" s="88"/>
      <c r="Y1006" s="88"/>
    </row>
    <row r="1007">
      <c r="Q1007" s="88"/>
      <c r="R1007" s="88"/>
      <c r="S1007" s="88"/>
      <c r="T1007" s="88"/>
      <c r="U1007" s="88"/>
      <c r="V1007" s="88"/>
      <c r="W1007" s="88"/>
      <c r="X1007" s="88"/>
      <c r="Y1007" s="88"/>
    </row>
    <row r="1008">
      <c r="Q1008" s="88"/>
      <c r="R1008" s="88"/>
      <c r="S1008" s="88"/>
      <c r="T1008" s="88"/>
      <c r="U1008" s="88"/>
      <c r="V1008" s="88"/>
      <c r="W1008" s="88"/>
      <c r="X1008" s="88"/>
      <c r="Y1008" s="88"/>
    </row>
    <row r="1009">
      <c r="Q1009" s="88"/>
      <c r="R1009" s="88"/>
      <c r="S1009" s="88"/>
      <c r="T1009" s="88"/>
      <c r="U1009" s="88"/>
      <c r="V1009" s="88"/>
      <c r="W1009" s="88"/>
      <c r="X1009" s="88"/>
      <c r="Y1009" s="88"/>
    </row>
    <row r="1010">
      <c r="Q1010" s="88"/>
      <c r="R1010" s="88"/>
      <c r="S1010" s="88"/>
      <c r="T1010" s="88"/>
      <c r="U1010" s="88"/>
      <c r="V1010" s="88"/>
      <c r="W1010" s="88"/>
      <c r="X1010" s="88"/>
      <c r="Y1010" s="88"/>
    </row>
    <row r="1011">
      <c r="Q1011" s="88"/>
      <c r="R1011" s="88"/>
      <c r="S1011" s="88"/>
      <c r="T1011" s="88"/>
      <c r="U1011" s="88"/>
      <c r="V1011" s="88"/>
      <c r="W1011" s="88"/>
      <c r="X1011" s="88"/>
      <c r="Y1011" s="88"/>
    </row>
    <row r="1012">
      <c r="Q1012" s="88"/>
      <c r="R1012" s="88"/>
      <c r="S1012" s="88"/>
      <c r="T1012" s="88"/>
      <c r="U1012" s="88"/>
      <c r="V1012" s="88"/>
      <c r="W1012" s="88"/>
      <c r="X1012" s="88"/>
      <c r="Y1012" s="88"/>
    </row>
    <row r="1013">
      <c r="Q1013" s="88"/>
      <c r="R1013" s="88"/>
      <c r="S1013" s="88"/>
      <c r="T1013" s="88"/>
      <c r="U1013" s="88"/>
      <c r="V1013" s="88"/>
      <c r="W1013" s="88"/>
      <c r="X1013" s="88"/>
      <c r="Y1013" s="88"/>
    </row>
    <row r="1014">
      <c r="Q1014" s="88"/>
      <c r="R1014" s="88"/>
      <c r="S1014" s="88"/>
      <c r="T1014" s="88"/>
      <c r="U1014" s="88"/>
      <c r="V1014" s="88"/>
      <c r="W1014" s="88"/>
      <c r="X1014" s="88"/>
      <c r="Y1014" s="88"/>
    </row>
    <row r="1015">
      <c r="Q1015" s="88"/>
      <c r="R1015" s="88"/>
      <c r="S1015" s="88"/>
      <c r="T1015" s="88"/>
      <c r="U1015" s="88"/>
      <c r="V1015" s="88"/>
      <c r="W1015" s="88"/>
      <c r="X1015" s="88"/>
      <c r="Y1015" s="88"/>
    </row>
  </sheetData>
  <mergeCells count="1">
    <mergeCell ref="A1:F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>
      <pane xSplit="5.0" ySplit="11.0" topLeftCell="F12" activePane="bottomRight" state="frozen"/>
      <selection activeCell="F1" sqref="F1" pane="topRight"/>
      <selection activeCell="A12" sqref="A12" pane="bottomLeft"/>
      <selection activeCell="F12" sqref="F12" pane="bottomRight"/>
    </sheetView>
  </sheetViews>
  <sheetFormatPr customHeight="1" defaultColWidth="12.63" defaultRowHeight="15.75"/>
  <cols>
    <col customWidth="1" min="6" max="6" width="18.13"/>
  </cols>
  <sheetData>
    <row r="1">
      <c r="A1" s="3" t="s">
        <v>9</v>
      </c>
      <c r="B1" s="4"/>
      <c r="C1" s="4"/>
      <c r="D1" s="4"/>
      <c r="E1" s="5"/>
      <c r="F1" s="6"/>
      <c r="G1" s="7" t="s">
        <v>10</v>
      </c>
      <c r="H1" s="8"/>
      <c r="I1" s="8"/>
      <c r="J1" s="8"/>
      <c r="K1" s="8"/>
      <c r="L1" s="8"/>
      <c r="M1" s="8"/>
      <c r="N1" s="8"/>
      <c r="O1" s="9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</row>
    <row r="2">
      <c r="A2" s="11">
        <v>1.0</v>
      </c>
      <c r="B2" s="12" t="s">
        <v>11</v>
      </c>
      <c r="C2" s="13" t="s">
        <v>12</v>
      </c>
      <c r="E2" s="14"/>
      <c r="G2" s="15"/>
      <c r="H2" s="16" t="s">
        <v>2</v>
      </c>
      <c r="I2" s="16" t="s">
        <v>4</v>
      </c>
      <c r="J2" s="16" t="s">
        <v>13</v>
      </c>
      <c r="K2" s="16" t="s">
        <v>14</v>
      </c>
      <c r="L2" s="16" t="s">
        <v>15</v>
      </c>
      <c r="M2" s="16" t="s">
        <v>8</v>
      </c>
      <c r="N2" s="16" t="s">
        <v>7</v>
      </c>
      <c r="O2" s="17" t="s">
        <v>16</v>
      </c>
      <c r="P2" s="18"/>
      <c r="Q2" s="18"/>
      <c r="R2" s="18"/>
      <c r="S2" s="18"/>
      <c r="T2" s="18"/>
      <c r="U2" s="18"/>
      <c r="V2" s="18"/>
      <c r="W2" s="18"/>
      <c r="AA2" s="10"/>
    </row>
    <row r="3">
      <c r="A3" s="11">
        <v>2.0</v>
      </c>
      <c r="B3" s="12" t="s">
        <v>19</v>
      </c>
      <c r="C3" s="13" t="s">
        <v>20</v>
      </c>
      <c r="E3" s="14"/>
      <c r="G3" s="19" t="s">
        <v>2</v>
      </c>
      <c r="H3" s="20"/>
      <c r="I3" s="184">
        <f>SUMIFS($G$13:$G995, $E$13:$E995, "Rachel", $H$13:$H995, 1)-SUMIFS($G$13:$G995, $E$13:$E995, "Timothy", $I$13:$I995, 1)</f>
        <v>-87.70173905</v>
      </c>
      <c r="J3" s="184">
        <f>SUMIFS($G$13:$G995, $E$13:$E995, "BL", $H$13:$H995, 1)-SUMIFS($G$13:$G995, $E$13:$E995, "Timothy", $J$13:$J995, 1)</f>
        <v>35.93915489</v>
      </c>
      <c r="K3" s="184">
        <f>SUMIFS($G$13:$G995, $E$13:$E995, "Pigskin", $H$13:$H995, 1)-SUMIFS($G$13:$G995, $E$13:$E995, "Timothy", $K$13:$K995, 1)+21.18</f>
        <v>89.5217129</v>
      </c>
      <c r="L3" s="184">
        <f>SUMIFS($G$13:$G995, $E$13:$E995, "Angel", $H$13:$H995, 1)-SUMIFS($G$13:$G995, $E$13:$E995, "Timothy", $L$13:$L995, 1)</f>
        <v>-67.93019286</v>
      </c>
      <c r="M3" s="184">
        <f>SUMIFS($G$13:$G995, $E$13:$E995, "Ivan", $H$13:$H995, 1)-SUMIFS($G$13:$G995, $E$13:$E995, "Timothy", $M$13:$M995, 1)</f>
        <v>-12.77071429</v>
      </c>
      <c r="N3" s="184">
        <f>SUMIFS($G$13:$G995, $E$13:$E995, "Esther", $H$13:$H995, 1)-SUMIFS($G$13:$G995, $E$13:$E995, "Timothy", $N$13:$N995, 1)</f>
        <v>-76.66372476</v>
      </c>
      <c r="O3" s="22">
        <f>SUMIFS($G$13:$G995, $E$13:$E995, "Ken9", $H$13:$H995, 1)-SUMIFS($G$13:$G995, $E$13:$E995, "Timothy", $O$13:$O995, 1)</f>
        <v>0</v>
      </c>
      <c r="P3" s="23"/>
      <c r="Q3" s="23"/>
      <c r="R3" s="23"/>
      <c r="S3" s="23"/>
      <c r="T3" s="23"/>
      <c r="U3" s="23"/>
      <c r="V3" s="23"/>
      <c r="W3" s="23"/>
      <c r="AA3" s="10"/>
    </row>
    <row r="4">
      <c r="A4" s="11">
        <v>3.0</v>
      </c>
      <c r="B4" s="12" t="s">
        <v>21</v>
      </c>
      <c r="C4" s="13" t="s">
        <v>22</v>
      </c>
      <c r="E4" s="14"/>
      <c r="G4" s="24" t="s">
        <v>4</v>
      </c>
      <c r="H4" s="185">
        <f>SUMIFS($G$13:$G995, $E$13:$E995, "Timothy", $I$13:$I995, 1)-SUMIFS($G$13:$G995, $E$13:$E995, "Rachel", $H$13:$H995, 1)</f>
        <v>87.70173905</v>
      </c>
      <c r="I4" s="20"/>
      <c r="J4" s="185">
        <f>SUMIFS($G$13:$G995, $E$13:$E995, "BL", $I$13:$I995, 1)-SUMIFS($G$13:$G995, $E$13:$E995, "Rachel", $J$13:$J995, 1)</f>
        <v>118.5516273</v>
      </c>
      <c r="K4" s="185">
        <f>SUMIFS($G$13:$G995, $E$13:$E995, "Pigskin", $I$13:$I995, 1)-SUMIFS($G$13:$G995, $E$13:$E995, "Rachel", $K$13:$K995, 1)</f>
        <v>161.4631853</v>
      </c>
      <c r="L4" s="185">
        <f>SUMIFS($G$13:$G995, $E$13:$E995, "Angel", $I$13:$I995, 1)-SUMIFS($G$13:$G995, $E$13:$E995, "Rachel", $L$13:$L995, 1)</f>
        <v>-25.31952381</v>
      </c>
      <c r="M4" s="185">
        <f>SUMIFS($G$13:$G995, $E$13:$E995, "Ivan", $I$13:$I995, 1)-SUMIFS($G$13:$G995, $E$13:$E995, "Rachel", $M$13:$M995, 1)</f>
        <v>-15.52809524</v>
      </c>
      <c r="N4" s="185">
        <f>SUMIFS($G$13:$G995, $E$13:$E995, "Esther", $I$13:$I995, 1)-SUMIFS($G$13:$G995, $E$13:$E995, "Rachel", $N$13:$N995, 1)</f>
        <v>13.31171429</v>
      </c>
      <c r="O4" s="31">
        <f>SUMIFS($G$13:$G995, $E$13:$E995, "Ken9", $I$13:$I995, 1)-SUMIFS($G$13:$G995, $E$13:$E995, "Rachel", $O$13:$O995, 1)</f>
        <v>0</v>
      </c>
      <c r="P4" s="23"/>
      <c r="Q4" s="23"/>
      <c r="R4" s="23"/>
      <c r="S4" s="23"/>
      <c r="T4" s="23"/>
      <c r="U4" s="23"/>
      <c r="V4" s="23"/>
      <c r="W4" s="23"/>
      <c r="AA4" s="10"/>
    </row>
    <row r="5">
      <c r="A5" s="11">
        <v>4.0</v>
      </c>
      <c r="B5" s="12" t="s">
        <v>23</v>
      </c>
      <c r="C5" s="13" t="s">
        <v>24</v>
      </c>
      <c r="E5" s="14"/>
      <c r="G5" s="27" t="s">
        <v>13</v>
      </c>
      <c r="H5" s="185">
        <f>SUMIFS($G$13:$G995, $E$13:$E995, "Timothy", $J$13:$J995, 1)-SUMIFS($G$13:$G995, $E$13:$E995, "BL", $H$13:$H995, 1)</f>
        <v>-35.93915489</v>
      </c>
      <c r="I5" s="185">
        <f>SUMIFS($G$13:$G995, $E$13:$E995, "Rachel", $J$13:$J995, 1)-SUMIFS($G$13:$G995, $E$13:$E995, "BL", $I$13:$I995, 1)</f>
        <v>-118.5516273</v>
      </c>
      <c r="J5" s="20"/>
      <c r="K5" s="185">
        <f>SUMIFS($G$13:$G995, $E$13:$E995, "Pigskin", $J$13:$J995, 1)-SUMIFS($G$13:$G995, $E$13:$E995, "BL", $K$13:$K995, 1)</f>
        <v>22.24277468</v>
      </c>
      <c r="L5" s="185">
        <f>SUMIFS($G$13:$G995, $E$13:$E995, "Angel", $J$13:$J995, 1)-SUMIFS($G$13:$G995, $E$13:$E995, "BL", $L$13:$L995, 1)</f>
        <v>-86.80398442</v>
      </c>
      <c r="M5" s="185">
        <f>SUMIFS($G$13:$G995, $E$13:$E995, "Ivan", $J$13:$J995, 1)-SUMIFS($G$13:$G995, $E$13:$E995, "BL", $M$13:$M995, 1)</f>
        <v>-47.79082251</v>
      </c>
      <c r="N5" s="185">
        <f>SUMIFS($G$13:$G995, $E$13:$E995, "Esther", $J$13:$J995, 1)-SUMIFS($G$13:$G995, $E$13:$E995, "BL", $N$13:$N995, 1)</f>
        <v>-95.14426299</v>
      </c>
      <c r="O5" s="31">
        <f>SUMIFS($G$13:$G995, $E$13:$E995, "Ken9", $J$13:$J995, 1)-SUMIFS($G$13:$G995, $E$13:$E995, "BL", $O$13:$O995, 1)</f>
        <v>0</v>
      </c>
      <c r="P5" s="23"/>
      <c r="Q5" s="23"/>
      <c r="R5" s="23"/>
      <c r="S5" s="23"/>
      <c r="T5" s="23"/>
      <c r="U5" s="23"/>
      <c r="V5" s="23"/>
      <c r="W5" s="23"/>
      <c r="AA5" s="10"/>
    </row>
    <row r="6">
      <c r="A6" s="11">
        <v>5.0</v>
      </c>
      <c r="B6" s="12" t="s">
        <v>25</v>
      </c>
      <c r="C6" s="13" t="s">
        <v>26</v>
      </c>
      <c r="E6" s="14"/>
      <c r="G6" s="29" t="s">
        <v>14</v>
      </c>
      <c r="H6" s="185">
        <f>SUMIFS($G$13:$G995, $E$13:$E995, "Timothy", $K$13:$K995, 1)-SUMIFS($G$13:$G995, $E$13:$E995, "Pigskin", $H$13:$H995, 1)-21.28</f>
        <v>-89.6217129</v>
      </c>
      <c r="I6" s="185">
        <f>SUMIFS($G$13:$G995, $E$13:$E995, "Rachel", $K$13:$K995, 1)-SUMIFS($G$13:$G995, $E$13:$E995, "Pigskin", $I$13:$I995, 1)</f>
        <v>-161.4631853</v>
      </c>
      <c r="J6" s="185">
        <f>SUMIFS($G$13:$G995, $E$13:$E995, "BL", $K$13:$K995, 1)-SUMIFS($G$13:$G995, $E$13:$E995, "Pigskin", $J$13:$J995, 1)</f>
        <v>-22.24277468</v>
      </c>
      <c r="K6" s="20"/>
      <c r="L6" s="185">
        <f>SUMIFS($G$13:$G995, $E$13:$E995, "Angel", $K$13:$K995, 1)-SUMIFS($G$13:$G995, $E$13:$E995, "Pigskin", $L$13:$L995, 1)</f>
        <v>-18.91340909</v>
      </c>
      <c r="M6" s="185">
        <f>SUMIFS($G$13:$G995, $E$13:$E995, "Ivan", $K$13:$K995, 1)-SUMIFS($G$13:$G995, $E$13:$E995, "Pigskin", $M$13:$M995, 1)</f>
        <v>-12.78198052</v>
      </c>
      <c r="N6" s="185">
        <f>SUMIFS($G$13:$G995, $E$13:$E995, "Esther", $K$13:$K995, 1)-SUMIFS($G$13:$G995, $E$13:$E995, "Pigskin", $N$13:$N995, 1)</f>
        <v>-116.5652377</v>
      </c>
      <c r="O6" s="31">
        <f>SUMIFS($G$13:$G995, $E$13:$E995, "Ken9", $K$13:$K995, 1)-SUMIFS($G$13:$G995, $E$13:$E995, "Pigskin", $O$13:$O995, 1)</f>
        <v>0</v>
      </c>
      <c r="P6" s="23"/>
      <c r="Q6" s="23"/>
      <c r="R6" s="23"/>
      <c r="S6" s="23"/>
      <c r="T6" s="23"/>
      <c r="U6" s="23"/>
      <c r="V6" s="23"/>
      <c r="W6" s="23"/>
      <c r="AA6" s="10"/>
    </row>
    <row r="7">
      <c r="A7" s="11">
        <v>6.0</v>
      </c>
      <c r="B7" s="12" t="s">
        <v>27</v>
      </c>
      <c r="C7" s="13" t="s">
        <v>28</v>
      </c>
      <c r="E7" s="14"/>
      <c r="G7" s="30" t="s">
        <v>15</v>
      </c>
      <c r="H7" s="185">
        <f>SUMIFS($G$13:$G995, $E$13:$E995, "Timothy", $L$13:$L995, 1)-SUMIFS($G$13:$G995, $E$13:$E995, "Angel", $H$13:$H995, 1)</f>
        <v>67.93019286</v>
      </c>
      <c r="I7" s="185">
        <f>SUMIFS($G$13:$G995, $E$13:$E995, "Rachel", $L$13:$L995, 1)-SUMIFS($G$13:$G995, $E$13:$E995, "Angel", $I$13:$I995, 1)</f>
        <v>25.31952381</v>
      </c>
      <c r="J7" s="185">
        <f>SUMIFS($G$13:$G995, $E$13:$E995, "BL", $L$13:$L995, 1)-SUMIFS($G$13:$G995, $E$13:$E995, "Angel", $J$13:$J995, 1)</f>
        <v>86.80398442</v>
      </c>
      <c r="K7" s="185">
        <f>SUMIFS($G$13:$G995, $E$13:$E995, "Pigskin", $L$13:$L995, 1)-SUMIFS($G$13:$G995, $E$13:$E995, "Angel", $K$13:$K995, 1)</f>
        <v>18.91340909</v>
      </c>
      <c r="L7" s="20"/>
      <c r="M7" s="185">
        <f>SUMIFS($G$13:$G995, $E$13:$E995, "Ivan", $L$13:$L995, 1)-SUMIFS($G$13:$G995, $E$13:$E995, "Angel", $M$13:$M995, 1)</f>
        <v>6.131428571</v>
      </c>
      <c r="N7" s="185">
        <f>SUMIFS($G$13:$G995, $E$13:$E995, "Esther", $L$13:$L995, 1)-SUMIFS($G$13:$G995, $E$13:$E995, "Angel", $N$13:$N995, 1)</f>
        <v>19.28857143</v>
      </c>
      <c r="O7" s="31">
        <f>SUMIFS($G$13:$G995, $E$13:$E995, "Ken9", $L$13:$L995, 1)-SUMIFS($G$13:$G995, $E$13:$E995, "Angel", $O$13:$O995, 1)</f>
        <v>0</v>
      </c>
      <c r="P7" s="23"/>
      <c r="Q7" s="23"/>
      <c r="R7" s="23"/>
      <c r="S7" s="23"/>
      <c r="T7" s="23"/>
      <c r="U7" s="23"/>
      <c r="V7" s="23"/>
      <c r="W7" s="23"/>
      <c r="AA7" s="10"/>
    </row>
    <row r="8">
      <c r="A8" s="11">
        <v>7.0</v>
      </c>
      <c r="B8" s="12" t="s">
        <v>29</v>
      </c>
      <c r="C8" s="13" t="s">
        <v>30</v>
      </c>
      <c r="E8" s="14"/>
      <c r="G8" s="32" t="s">
        <v>8</v>
      </c>
      <c r="H8" s="185">
        <f>SUMIFS($G$13:$G995, $E$13:$E995, "Timothy", $M$13:$M995, 1)-SUMIFS($G$13:$G995, $E$13:$E995, "Ivan", $H$13:$H995, 1)</f>
        <v>12.77071429</v>
      </c>
      <c r="I8" s="185">
        <f>SUMIFS($G$13:$G995, $E$13:$E995, "Rachel", $M$13:$M995, 1)-SUMIFS($G$13:$G995, $E$13:$E995, "Ivan", $I$13:$I995, 1)</f>
        <v>15.52809524</v>
      </c>
      <c r="J8" s="185">
        <f>SUMIFS($G$13:$G995, $E$13:$E995, "BL", $M$13:$M995, 1)-SUMIFS($G$13:$G995, $E$13:$E995, "Ivan", $J$13:$J995, 1)</f>
        <v>47.79082251</v>
      </c>
      <c r="K8" s="185">
        <f>SUMIFS($G$13:$G995, $E$13:$E995, "Pigskin", $M$13:$M995, 1)-SUMIFS($G$13:$G995, $E$13:$E995, "Ivan", $K$13:$K995, 1)</f>
        <v>12.78198052</v>
      </c>
      <c r="L8" s="185">
        <f>SUMIFS($G$13:$G995, $E$13:$E995, "Angel", $M$13:$M995, 1)-SUMIFS($G$13:$G995, $E$13:$E995, "Ivan", $L$13:$L995, 1)</f>
        <v>-6.131428571</v>
      </c>
      <c r="M8" s="20"/>
      <c r="N8" s="185">
        <f>SUMIFS($G$13:$G995, $E$13:$E995, "Esther", $M$13:$M995, 1)-SUMIFS($G$13:$G995, $E$13:$E995, "Ivan", $N$13:$N995, 1)</f>
        <v>13.15714286</v>
      </c>
      <c r="O8" s="31">
        <f>SUMIFS($G$13:$G995, $E$13:$E995, "Ken9", $M$13:$M995, 1)-SUMIFS($G$13:$G995, $E$13:$E995, "Ivan", $O$13:$O995, 1)</f>
        <v>0</v>
      </c>
      <c r="P8" s="23"/>
      <c r="Q8" s="23"/>
      <c r="R8" s="23"/>
      <c r="S8" s="23"/>
      <c r="T8" s="23"/>
      <c r="U8" s="23"/>
      <c r="V8" s="23"/>
      <c r="W8" s="23"/>
      <c r="AA8" s="10"/>
    </row>
    <row r="9">
      <c r="A9" s="11">
        <v>8.0</v>
      </c>
      <c r="B9" s="12" t="s">
        <v>31</v>
      </c>
      <c r="C9" s="33" t="s">
        <v>32</v>
      </c>
      <c r="E9" s="14"/>
      <c r="G9" s="34" t="s">
        <v>7</v>
      </c>
      <c r="H9" s="185">
        <f>SUMIFS($G$13:$G995, $E$13:$E995, "Timothy", $N$13:$N995, 1)-SUMIFS($G$13:$G995, $E$13:$E995, "Esther", $H$13:$H995, 1)</f>
        <v>76.66372476</v>
      </c>
      <c r="I9" s="185">
        <f>SUMIFS($G$13:$G995, $E$13:$E995, "Rachel", $N$13:$N995, 1)-SUMIFS($G$13:$G995, $E$13:$E995, "Esther", $I$13:$I995, 1)</f>
        <v>-13.31171429</v>
      </c>
      <c r="J9" s="185">
        <f>SUMIFS($G$13:$G995, $E$13:$E995, "BL", $N$13:$N995, 1)-SUMIFS($G$13:$G995, $E$13:$E995, "Esther", $J$13:$J995, 1)</f>
        <v>95.14426299</v>
      </c>
      <c r="K9" s="185">
        <f>SUMIFS($G$13:$G995, $E$13:$E995, "Pigskin", $N$13:$N995, 1)-SUMIFS($G$13:$G995, $E$13:$E995, "Esther", $K$13:$K995, 1)</f>
        <v>116.5652377</v>
      </c>
      <c r="L9" s="185">
        <f>SUMIFS($G$13:$G995, $E$13:$E995, "Angel", $N$13:$N995, 1)-SUMIFS($G$13:$G995, $E$13:$E995, "Esther", $L$13:$L995, 1)</f>
        <v>-19.28857143</v>
      </c>
      <c r="M9" s="185">
        <f>SUMIFS($G$13:$G995, $E$13:$E995, "Ivan", $N$13:$N995, 1)-SUMIFS($G$13:$G995, $E$13:$E995, "Esther", $M$13:$M995, 1)</f>
        <v>-13.15714286</v>
      </c>
      <c r="N9" s="20"/>
      <c r="O9" s="31">
        <f>SUMIFS($G$13:$G995, $E$13:$E995, "Ken9", $N$13:$N995, 1)-SUMIFS($G$13:$G995, $E$13:$E995, "Esther", $O$13:$O995, 1)</f>
        <v>0</v>
      </c>
      <c r="P9" s="23"/>
      <c r="Q9" s="23"/>
      <c r="R9" s="23"/>
      <c r="S9" s="23"/>
      <c r="T9" s="23"/>
      <c r="U9" s="23"/>
      <c r="V9" s="23"/>
      <c r="W9" s="23"/>
      <c r="AA9" s="10"/>
    </row>
    <row r="10">
      <c r="A10" s="35">
        <v>9.0</v>
      </c>
      <c r="B10" s="36" t="s">
        <v>33</v>
      </c>
      <c r="C10" s="37" t="s">
        <v>34</v>
      </c>
      <c r="D10" s="38"/>
      <c r="E10" s="39"/>
      <c r="G10" s="15" t="s">
        <v>16</v>
      </c>
      <c r="H10" s="40">
        <f>SUMIFS($G$13:$G995, $E$13:$E995, "Timothy", $O$13:$O995, 1)-SUMIFS($G$13:$G995, $E$13:$E995, "Ken9", $H$13:$H995, 1)</f>
        <v>0</v>
      </c>
      <c r="I10" s="40">
        <f>SUMIFS($G$13:$G995, $E$13:$E995, "Rachel", $O$13:$O995, 1)-SUMIFS($G$13:$G995, $E$13:$E995, "Ken9", $I$13:$I995, 1)</f>
        <v>0</v>
      </c>
      <c r="J10" s="40">
        <f>SUMIFS($G$13:$G995, $E$13:$E995, "BL", $O$13:$O995, 1)-SUMIFS($G$13:$G995, $E$13:$E995, "Ken9", $J$13:$J995, 1)</f>
        <v>0</v>
      </c>
      <c r="K10" s="40">
        <f>SUMIFS($G$13:$G995, $E$13:$E995, "Pigskin", $O$13:$O995, 1)-SUMIFS($G$13:$G995, $E$13:$E995, "Ken9", $K$13:$K995, 1)</f>
        <v>0</v>
      </c>
      <c r="L10" s="40">
        <f>SUMIFS($G$13:$G995, $E$13:$E995, "Angel", $O$13:$O995, 1)-SUMIFS($G$13:$G995, $E$13:$E995, "Ken9", $L$13:$L995, 1)</f>
        <v>0</v>
      </c>
      <c r="M10" s="40">
        <f>SUMIFS($G$13:$G995, $E$13:$E995, "Ivan", $O$13:$O995, 1)-SUMIFS($G$13:$G995, $E$13:$E995, "Ken9", $M$13:$M995, 1)</f>
        <v>0</v>
      </c>
      <c r="N10" s="40">
        <f>SUMIFS($G$13:$G995, $E$13:$E995, "Esther", $O$13:$O995, 1)-SUMIFS($G$13:$G995, $E$13:$E995, "Ken9", $N$13:$N995, 1)</f>
        <v>0</v>
      </c>
      <c r="O10" s="41"/>
      <c r="P10" s="23"/>
      <c r="Q10" s="23"/>
      <c r="R10" s="23"/>
      <c r="S10" s="23"/>
      <c r="T10" s="23"/>
      <c r="U10" s="23"/>
      <c r="V10" s="23"/>
      <c r="W10" s="23"/>
      <c r="AA10" s="10"/>
    </row>
    <row r="11">
      <c r="A11" s="12" t="s">
        <v>35</v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</row>
    <row r="12">
      <c r="A12" s="36" t="s">
        <v>36</v>
      </c>
      <c r="B12" s="36" t="s">
        <v>37</v>
      </c>
      <c r="C12" s="36" t="s">
        <v>38</v>
      </c>
      <c r="D12" s="36" t="s">
        <v>39</v>
      </c>
      <c r="E12" s="36" t="s">
        <v>40</v>
      </c>
      <c r="F12" s="236" t="s">
        <v>41</v>
      </c>
      <c r="G12" s="36" t="s">
        <v>42</v>
      </c>
      <c r="H12" s="237" t="s">
        <v>2</v>
      </c>
      <c r="I12" s="238" t="s">
        <v>4</v>
      </c>
      <c r="J12" s="239" t="s">
        <v>43</v>
      </c>
      <c r="K12" s="240" t="s">
        <v>14</v>
      </c>
      <c r="L12" s="241" t="s">
        <v>15</v>
      </c>
      <c r="M12" s="242" t="s">
        <v>8</v>
      </c>
      <c r="N12" s="243" t="s">
        <v>7</v>
      </c>
      <c r="O12" s="36" t="s">
        <v>44</v>
      </c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</row>
    <row r="13">
      <c r="A13" s="186">
        <v>45261.0</v>
      </c>
      <c r="B13" s="12" t="s">
        <v>739</v>
      </c>
      <c r="C13" s="12" t="s">
        <v>11</v>
      </c>
      <c r="D13" s="12">
        <f>52.41-3</f>
        <v>49.41</v>
      </c>
      <c r="E13" s="12" t="s">
        <v>7</v>
      </c>
      <c r="F13" s="67">
        <f t="shared" ref="F13:F72" si="1">D13/sum(H13:O13)</f>
        <v>7.058571429</v>
      </c>
      <c r="G13" s="10">
        <f t="shared" ref="G13:G72" si="2">D13/sum(H13:O13)</f>
        <v>7.058571429</v>
      </c>
      <c r="H13" s="12">
        <v>1.0</v>
      </c>
      <c r="I13" s="12">
        <v>1.0</v>
      </c>
      <c r="J13" s="12">
        <v>1.0</v>
      </c>
      <c r="K13" s="12">
        <v>1.0</v>
      </c>
      <c r="L13" s="12">
        <v>1.0</v>
      </c>
      <c r="M13" s="12">
        <v>1.0</v>
      </c>
      <c r="N13" s="12">
        <v>1.0</v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</row>
    <row r="14">
      <c r="A14" s="186">
        <v>45261.0</v>
      </c>
      <c r="B14" s="12" t="s">
        <v>740</v>
      </c>
      <c r="C14" s="12" t="s">
        <v>11</v>
      </c>
      <c r="D14" s="12">
        <v>3.0</v>
      </c>
      <c r="E14" s="12" t="s">
        <v>7</v>
      </c>
      <c r="F14" s="67">
        <f t="shared" si="1"/>
        <v>3</v>
      </c>
      <c r="G14" s="10">
        <f t="shared" si="2"/>
        <v>3</v>
      </c>
      <c r="H14" s="12"/>
      <c r="I14" s="12">
        <v>1.0</v>
      </c>
      <c r="J14" s="12"/>
      <c r="K14" s="12"/>
      <c r="L14" s="12"/>
      <c r="M14" s="10"/>
      <c r="N14" s="12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</row>
    <row r="15">
      <c r="A15" s="55">
        <v>45261.0</v>
      </c>
      <c r="B15" s="12" t="s">
        <v>741</v>
      </c>
      <c r="C15" s="12" t="s">
        <v>11</v>
      </c>
      <c r="D15" s="12">
        <v>17.67</v>
      </c>
      <c r="E15" s="12" t="s">
        <v>4</v>
      </c>
      <c r="F15" s="67">
        <f t="shared" si="1"/>
        <v>3.534</v>
      </c>
      <c r="G15" s="10">
        <f t="shared" si="2"/>
        <v>3.534</v>
      </c>
      <c r="H15" s="12">
        <v>1.0</v>
      </c>
      <c r="I15" s="12">
        <v>1.0</v>
      </c>
      <c r="J15" s="12">
        <v>1.0</v>
      </c>
      <c r="K15" s="12">
        <v>1.0</v>
      </c>
      <c r="L15" s="10"/>
      <c r="M15" s="10"/>
      <c r="N15" s="12">
        <v>1.0</v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</row>
    <row r="16">
      <c r="A16" s="55">
        <v>45261.0</v>
      </c>
      <c r="B16" s="12" t="s">
        <v>742</v>
      </c>
      <c r="C16" s="12" t="s">
        <v>11</v>
      </c>
      <c r="D16" s="12">
        <v>2.0</v>
      </c>
      <c r="E16" s="12" t="s">
        <v>13</v>
      </c>
      <c r="F16" s="67">
        <f t="shared" si="1"/>
        <v>0.4</v>
      </c>
      <c r="G16" s="10">
        <f t="shared" si="2"/>
        <v>0.4</v>
      </c>
      <c r="H16" s="12">
        <v>1.0</v>
      </c>
      <c r="I16" s="12">
        <v>1.0</v>
      </c>
      <c r="J16" s="12">
        <v>1.0</v>
      </c>
      <c r="K16" s="12">
        <v>1.0</v>
      </c>
      <c r="L16" s="10"/>
      <c r="M16" s="10"/>
      <c r="N16" s="12">
        <v>1.0</v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</row>
    <row r="17">
      <c r="A17" s="55">
        <v>45261.0</v>
      </c>
      <c r="B17" s="12" t="s">
        <v>454</v>
      </c>
      <c r="C17" s="12" t="s">
        <v>11</v>
      </c>
      <c r="D17" s="12">
        <v>4.0</v>
      </c>
      <c r="E17" s="12" t="s">
        <v>4</v>
      </c>
      <c r="F17" s="67">
        <f t="shared" si="1"/>
        <v>0.8</v>
      </c>
      <c r="G17" s="10">
        <f t="shared" si="2"/>
        <v>0.8</v>
      </c>
      <c r="H17" s="12">
        <v>1.0</v>
      </c>
      <c r="I17" s="12">
        <v>1.0</v>
      </c>
      <c r="J17" s="12">
        <v>1.0</v>
      </c>
      <c r="K17" s="12">
        <v>1.0</v>
      </c>
      <c r="L17" s="12"/>
      <c r="M17" s="10"/>
      <c r="N17" s="12">
        <v>1.0</v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</row>
    <row r="18">
      <c r="A18" s="55">
        <v>45262.0</v>
      </c>
      <c r="B18" s="12" t="s">
        <v>743</v>
      </c>
      <c r="C18" s="12" t="s">
        <v>11</v>
      </c>
      <c r="D18" s="12">
        <v>10.0</v>
      </c>
      <c r="E18" s="12" t="s">
        <v>13</v>
      </c>
      <c r="F18" s="67">
        <f t="shared" si="1"/>
        <v>10</v>
      </c>
      <c r="G18" s="10">
        <f t="shared" si="2"/>
        <v>10</v>
      </c>
      <c r="H18" s="12">
        <v>1.0</v>
      </c>
      <c r="I18" s="12"/>
      <c r="J18" s="12"/>
      <c r="K18" s="12"/>
      <c r="L18" s="12"/>
      <c r="M18" s="12"/>
      <c r="N18" s="12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</row>
    <row r="19">
      <c r="A19" s="55">
        <v>45262.0</v>
      </c>
      <c r="B19" s="12" t="s">
        <v>744</v>
      </c>
      <c r="C19" s="12" t="s">
        <v>11</v>
      </c>
      <c r="D19" s="12">
        <v>9.0</v>
      </c>
      <c r="E19" s="12" t="s">
        <v>13</v>
      </c>
      <c r="F19" s="67">
        <f t="shared" si="1"/>
        <v>1.5</v>
      </c>
      <c r="G19" s="10">
        <f t="shared" si="2"/>
        <v>1.5</v>
      </c>
      <c r="H19" s="12">
        <v>1.0</v>
      </c>
      <c r="I19" s="12"/>
      <c r="J19" s="12">
        <v>1.0</v>
      </c>
      <c r="K19" s="12">
        <v>1.0</v>
      </c>
      <c r="L19" s="12">
        <v>1.0</v>
      </c>
      <c r="M19" s="12">
        <v>1.0</v>
      </c>
      <c r="N19" s="12">
        <v>1.0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</row>
    <row r="20">
      <c r="A20" s="55">
        <v>45262.0</v>
      </c>
      <c r="B20" s="12" t="s">
        <v>745</v>
      </c>
      <c r="C20" s="12" t="s">
        <v>11</v>
      </c>
      <c r="D20" s="12">
        <v>50.0</v>
      </c>
      <c r="E20" s="12" t="s">
        <v>13</v>
      </c>
      <c r="F20" s="67">
        <f t="shared" si="1"/>
        <v>7.142857143</v>
      </c>
      <c r="G20" s="10">
        <f t="shared" si="2"/>
        <v>7.142857143</v>
      </c>
      <c r="H20" s="12">
        <v>1.0</v>
      </c>
      <c r="I20" s="12">
        <v>1.0</v>
      </c>
      <c r="J20" s="12">
        <v>1.0</v>
      </c>
      <c r="K20" s="12">
        <v>1.0</v>
      </c>
      <c r="L20" s="12">
        <v>1.0</v>
      </c>
      <c r="M20" s="12">
        <v>1.0</v>
      </c>
      <c r="N20" s="12">
        <v>1.0</v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</row>
    <row r="21">
      <c r="A21" s="55">
        <v>45263.0</v>
      </c>
      <c r="B21" s="12" t="s">
        <v>305</v>
      </c>
      <c r="C21" s="12" t="s">
        <v>11</v>
      </c>
      <c r="D21" s="12">
        <v>42.92</v>
      </c>
      <c r="E21" s="12" t="s">
        <v>8</v>
      </c>
      <c r="F21" s="67">
        <f t="shared" si="1"/>
        <v>6.131428571</v>
      </c>
      <c r="G21" s="10">
        <f t="shared" si="2"/>
        <v>6.131428571</v>
      </c>
      <c r="H21" s="12">
        <v>1.0</v>
      </c>
      <c r="I21" s="12">
        <v>1.0</v>
      </c>
      <c r="J21" s="12">
        <v>1.0</v>
      </c>
      <c r="K21" s="12">
        <v>1.0</v>
      </c>
      <c r="L21" s="12">
        <v>1.0</v>
      </c>
      <c r="M21" s="12">
        <v>1.0</v>
      </c>
      <c r="N21" s="12">
        <v>1.0</v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</row>
    <row r="22">
      <c r="A22" s="55">
        <v>45264.0</v>
      </c>
      <c r="B22" s="12" t="s">
        <v>746</v>
      </c>
      <c r="C22" s="12" t="s">
        <v>11</v>
      </c>
      <c r="D22" s="12">
        <v>30.9</v>
      </c>
      <c r="E22" s="12" t="s">
        <v>2</v>
      </c>
      <c r="F22" s="67">
        <f t="shared" si="1"/>
        <v>6.18</v>
      </c>
      <c r="G22" s="10">
        <f t="shared" si="2"/>
        <v>6.18</v>
      </c>
      <c r="H22" s="12">
        <v>1.0</v>
      </c>
      <c r="I22" s="12">
        <v>1.0</v>
      </c>
      <c r="J22" s="12">
        <v>1.0</v>
      </c>
      <c r="K22" s="12">
        <v>1.0</v>
      </c>
      <c r="L22" s="12"/>
      <c r="M22" s="10"/>
      <c r="N22" s="12">
        <v>1.0</v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</row>
    <row r="23">
      <c r="A23" s="55">
        <v>45265.0</v>
      </c>
      <c r="B23" s="12" t="s">
        <v>408</v>
      </c>
      <c r="C23" s="12" t="s">
        <v>11</v>
      </c>
      <c r="D23" s="12">
        <v>8.37</v>
      </c>
      <c r="E23" s="12" t="s">
        <v>7</v>
      </c>
      <c r="F23" s="67">
        <f t="shared" si="1"/>
        <v>1.674</v>
      </c>
      <c r="G23" s="10">
        <f t="shared" si="2"/>
        <v>1.674</v>
      </c>
      <c r="H23" s="12">
        <v>1.0</v>
      </c>
      <c r="I23" s="12">
        <v>1.0</v>
      </c>
      <c r="J23" s="12">
        <v>1.0</v>
      </c>
      <c r="K23" s="12">
        <v>1.0</v>
      </c>
      <c r="L23" s="12"/>
      <c r="M23" s="10"/>
      <c r="N23" s="12">
        <v>1.0</v>
      </c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</row>
    <row r="24">
      <c r="A24" s="55">
        <v>45265.0</v>
      </c>
      <c r="B24" s="12" t="s">
        <v>46</v>
      </c>
      <c r="C24" s="12" t="s">
        <v>11</v>
      </c>
      <c r="D24" s="12">
        <v>14.69</v>
      </c>
      <c r="E24" s="12" t="s">
        <v>2</v>
      </c>
      <c r="F24" s="67">
        <f t="shared" si="1"/>
        <v>2.938</v>
      </c>
      <c r="G24" s="10">
        <f t="shared" si="2"/>
        <v>2.938</v>
      </c>
      <c r="H24" s="12">
        <v>1.0</v>
      </c>
      <c r="I24" s="12">
        <v>1.0</v>
      </c>
      <c r="J24" s="12">
        <v>1.0</v>
      </c>
      <c r="K24" s="12">
        <v>1.0</v>
      </c>
      <c r="L24" s="12"/>
      <c r="M24" s="10"/>
      <c r="N24" s="12">
        <v>1.0</v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</row>
    <row r="25">
      <c r="A25" s="55">
        <v>45269.0</v>
      </c>
      <c r="B25" s="12" t="s">
        <v>166</v>
      </c>
      <c r="C25" s="12" t="s">
        <v>11</v>
      </c>
      <c r="D25" s="12">
        <v>102.68</v>
      </c>
      <c r="E25" s="12" t="s">
        <v>2</v>
      </c>
      <c r="F25" s="67">
        <f t="shared" si="1"/>
        <v>14.66857143</v>
      </c>
      <c r="G25" s="10">
        <f t="shared" si="2"/>
        <v>14.66857143</v>
      </c>
      <c r="H25" s="12">
        <v>1.0</v>
      </c>
      <c r="I25" s="12">
        <v>1.0</v>
      </c>
      <c r="J25" s="12">
        <v>1.0</v>
      </c>
      <c r="K25" s="12">
        <v>1.0</v>
      </c>
      <c r="L25" s="12">
        <v>1.0</v>
      </c>
      <c r="M25" s="12">
        <v>1.0</v>
      </c>
      <c r="N25" s="12">
        <v>1.0</v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</row>
    <row r="26">
      <c r="A26" s="55">
        <v>45266.0</v>
      </c>
      <c r="B26" s="12" t="s">
        <v>747</v>
      </c>
      <c r="C26" s="12" t="s">
        <v>11</v>
      </c>
      <c r="D26" s="12">
        <v>241.24</v>
      </c>
      <c r="E26" s="12" t="s">
        <v>13</v>
      </c>
      <c r="F26" s="67">
        <f t="shared" si="1"/>
        <v>40.20666667</v>
      </c>
      <c r="G26" s="10">
        <f t="shared" si="2"/>
        <v>40.20666667</v>
      </c>
      <c r="H26" s="12">
        <v>1.0</v>
      </c>
      <c r="I26" s="12">
        <v>1.0</v>
      </c>
      <c r="J26" s="12">
        <v>1.0</v>
      </c>
      <c r="K26" s="12">
        <v>1.0</v>
      </c>
      <c r="L26" s="10"/>
      <c r="M26" s="12">
        <v>1.0</v>
      </c>
      <c r="N26" s="12">
        <v>1.0</v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</row>
    <row r="27">
      <c r="A27" s="55">
        <v>45269.0</v>
      </c>
      <c r="B27" s="12" t="s">
        <v>748</v>
      </c>
      <c r="C27" s="12" t="s">
        <v>11</v>
      </c>
      <c r="D27" s="12">
        <v>20.0</v>
      </c>
      <c r="E27" s="12" t="s">
        <v>4</v>
      </c>
      <c r="F27" s="67">
        <f t="shared" si="1"/>
        <v>2.857142857</v>
      </c>
      <c r="G27" s="10">
        <f t="shared" si="2"/>
        <v>2.857142857</v>
      </c>
      <c r="H27" s="12">
        <v>1.0</v>
      </c>
      <c r="I27" s="12">
        <v>1.0</v>
      </c>
      <c r="J27" s="12">
        <v>1.0</v>
      </c>
      <c r="K27" s="12">
        <v>1.0</v>
      </c>
      <c r="L27" s="12">
        <v>1.0</v>
      </c>
      <c r="M27" s="12">
        <v>1.0</v>
      </c>
      <c r="N27" s="12">
        <v>1.0</v>
      </c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</row>
    <row r="28">
      <c r="A28" s="55">
        <v>45268.0</v>
      </c>
      <c r="B28" s="12" t="s">
        <v>749</v>
      </c>
      <c r="C28" s="12" t="s">
        <v>11</v>
      </c>
      <c r="D28" s="12">
        <v>20.46</v>
      </c>
      <c r="E28" s="12" t="s">
        <v>14</v>
      </c>
      <c r="F28" s="67">
        <f t="shared" si="1"/>
        <v>4.092</v>
      </c>
      <c r="G28" s="10">
        <f t="shared" si="2"/>
        <v>4.092</v>
      </c>
      <c r="H28" s="12">
        <v>1.0</v>
      </c>
      <c r="I28" s="12">
        <v>1.0</v>
      </c>
      <c r="J28" s="12">
        <v>1.0</v>
      </c>
      <c r="K28" s="12">
        <v>1.0</v>
      </c>
      <c r="L28" s="10"/>
      <c r="M28" s="10"/>
      <c r="N28" s="12">
        <v>1.0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</row>
    <row r="29">
      <c r="A29" s="55">
        <v>45268.0</v>
      </c>
      <c r="B29" s="12" t="s">
        <v>658</v>
      </c>
      <c r="C29" s="12" t="s">
        <v>11</v>
      </c>
      <c r="D29" s="12">
        <v>24.67</v>
      </c>
      <c r="E29" s="12" t="s">
        <v>14</v>
      </c>
      <c r="F29" s="67">
        <f t="shared" si="1"/>
        <v>3.524285714</v>
      </c>
      <c r="G29" s="10">
        <f t="shared" si="2"/>
        <v>3.524285714</v>
      </c>
      <c r="H29" s="12">
        <v>1.0</v>
      </c>
      <c r="I29" s="12">
        <v>1.0</v>
      </c>
      <c r="J29" s="12">
        <v>1.0</v>
      </c>
      <c r="K29" s="12">
        <v>1.0</v>
      </c>
      <c r="L29" s="12">
        <v>1.0</v>
      </c>
      <c r="M29" s="12">
        <v>1.0</v>
      </c>
      <c r="N29" s="12">
        <v>1.0</v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</row>
    <row r="30">
      <c r="A30" s="55">
        <v>45268.0</v>
      </c>
      <c r="B30" s="12" t="s">
        <v>750</v>
      </c>
      <c r="C30" s="12" t="s">
        <v>11</v>
      </c>
      <c r="D30" s="12">
        <v>8.62</v>
      </c>
      <c r="E30" s="12" t="s">
        <v>14</v>
      </c>
      <c r="F30" s="67">
        <f t="shared" si="1"/>
        <v>1.231428571</v>
      </c>
      <c r="G30" s="10">
        <f t="shared" si="2"/>
        <v>1.231428571</v>
      </c>
      <c r="H30" s="12">
        <v>1.0</v>
      </c>
      <c r="I30" s="12">
        <v>1.0</v>
      </c>
      <c r="J30" s="12">
        <v>1.0</v>
      </c>
      <c r="K30" s="12">
        <v>1.0</v>
      </c>
      <c r="L30" s="12">
        <v>1.0</v>
      </c>
      <c r="M30" s="12">
        <v>1.0</v>
      </c>
      <c r="N30" s="12">
        <v>1.0</v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</row>
    <row r="31">
      <c r="A31" s="55">
        <v>45267.0</v>
      </c>
      <c r="B31" s="12" t="s">
        <v>52</v>
      </c>
      <c r="C31" s="12" t="s">
        <v>11</v>
      </c>
      <c r="D31" s="12">
        <v>14.69</v>
      </c>
      <c r="E31" s="12" t="s">
        <v>2</v>
      </c>
      <c r="F31" s="67">
        <f t="shared" si="1"/>
        <v>2.938</v>
      </c>
      <c r="G31" s="10">
        <f t="shared" si="2"/>
        <v>2.938</v>
      </c>
      <c r="H31" s="12">
        <v>1.0</v>
      </c>
      <c r="I31" s="12">
        <v>1.0</v>
      </c>
      <c r="J31" s="12">
        <v>1.0</v>
      </c>
      <c r="K31" s="12">
        <v>1.0</v>
      </c>
      <c r="L31" s="10"/>
      <c r="M31" s="10"/>
      <c r="N31" s="12">
        <v>1.0</v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</row>
    <row r="32">
      <c r="A32" s="55"/>
      <c r="B32" s="12" t="s">
        <v>751</v>
      </c>
      <c r="C32" s="12" t="s">
        <v>11</v>
      </c>
      <c r="D32" s="12">
        <v>3.66</v>
      </c>
      <c r="E32" s="12" t="s">
        <v>8</v>
      </c>
      <c r="F32" s="67">
        <f t="shared" si="1"/>
        <v>3.66</v>
      </c>
      <c r="G32" s="10">
        <f t="shared" si="2"/>
        <v>3.66</v>
      </c>
      <c r="H32" s="10"/>
      <c r="I32" s="12">
        <v>1.0</v>
      </c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</row>
    <row r="33">
      <c r="A33" s="55">
        <v>45270.0</v>
      </c>
      <c r="B33" s="12" t="s">
        <v>519</v>
      </c>
      <c r="C33" s="12" t="s">
        <v>11</v>
      </c>
      <c r="D33" s="12">
        <v>32.08</v>
      </c>
      <c r="E33" s="12" t="s">
        <v>4</v>
      </c>
      <c r="F33" s="67">
        <f t="shared" si="1"/>
        <v>5.346666667</v>
      </c>
      <c r="G33" s="10">
        <f t="shared" si="2"/>
        <v>5.346666667</v>
      </c>
      <c r="H33" s="12">
        <v>1.0</v>
      </c>
      <c r="I33" s="12">
        <v>1.0</v>
      </c>
      <c r="J33" s="12">
        <v>1.0</v>
      </c>
      <c r="K33" s="12">
        <v>1.0</v>
      </c>
      <c r="L33" s="12">
        <v>1.0</v>
      </c>
      <c r="M33" s="12">
        <v>1.0</v>
      </c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</row>
    <row r="34">
      <c r="A34" s="55">
        <v>45272.0</v>
      </c>
      <c r="B34" s="12" t="s">
        <v>752</v>
      </c>
      <c r="C34" s="12" t="s">
        <v>11</v>
      </c>
      <c r="D34" s="12">
        <v>7.35</v>
      </c>
      <c r="E34" s="12" t="s">
        <v>7</v>
      </c>
      <c r="F34" s="67">
        <f t="shared" si="1"/>
        <v>3.675</v>
      </c>
      <c r="G34" s="10">
        <f t="shared" si="2"/>
        <v>3.675</v>
      </c>
      <c r="H34" s="10"/>
      <c r="I34" s="10"/>
      <c r="J34" s="10"/>
      <c r="K34" s="12">
        <v>1.0</v>
      </c>
      <c r="L34" s="10"/>
      <c r="M34" s="10"/>
      <c r="N34" s="12">
        <v>1.0</v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</row>
    <row r="35">
      <c r="A35" s="55">
        <v>45241.0</v>
      </c>
      <c r="B35" s="12" t="s">
        <v>749</v>
      </c>
      <c r="C35" s="12" t="s">
        <v>11</v>
      </c>
      <c r="D35" s="12">
        <v>40.96</v>
      </c>
      <c r="E35" s="12" t="s">
        <v>14</v>
      </c>
      <c r="F35" s="67">
        <f t="shared" si="1"/>
        <v>8.192</v>
      </c>
      <c r="G35" s="10">
        <f t="shared" si="2"/>
        <v>8.192</v>
      </c>
      <c r="H35" s="12">
        <v>1.0</v>
      </c>
      <c r="I35" s="12">
        <v>1.0</v>
      </c>
      <c r="J35" s="12">
        <v>1.0</v>
      </c>
      <c r="K35" s="12">
        <v>1.0</v>
      </c>
      <c r="L35" s="10"/>
      <c r="M35" s="10"/>
      <c r="N35" s="12">
        <v>1.0</v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</row>
    <row r="36">
      <c r="A36" s="55">
        <v>45272.0</v>
      </c>
      <c r="B36" s="12" t="s">
        <v>749</v>
      </c>
      <c r="C36" s="12" t="s">
        <v>11</v>
      </c>
      <c r="D36" s="12">
        <v>70.67</v>
      </c>
      <c r="E36" s="12" t="s">
        <v>14</v>
      </c>
      <c r="F36" s="67">
        <f t="shared" si="1"/>
        <v>14.134</v>
      </c>
      <c r="G36" s="10">
        <f t="shared" si="2"/>
        <v>14.134</v>
      </c>
      <c r="H36" s="12">
        <v>1.0</v>
      </c>
      <c r="I36" s="12">
        <v>1.0</v>
      </c>
      <c r="J36" s="12">
        <v>1.0</v>
      </c>
      <c r="K36" s="12">
        <v>1.0</v>
      </c>
      <c r="L36" s="10"/>
      <c r="M36" s="10"/>
      <c r="N36" s="12">
        <v>1.0</v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</row>
    <row r="37">
      <c r="A37" s="55">
        <v>45272.0</v>
      </c>
      <c r="B37" s="12" t="s">
        <v>519</v>
      </c>
      <c r="C37" s="12" t="s">
        <v>11</v>
      </c>
      <c r="D37" s="12">
        <v>44.83</v>
      </c>
      <c r="E37" s="12" t="s">
        <v>13</v>
      </c>
      <c r="F37" s="67">
        <f t="shared" si="1"/>
        <v>8.966</v>
      </c>
      <c r="G37" s="10">
        <f t="shared" si="2"/>
        <v>8.966</v>
      </c>
      <c r="H37" s="12">
        <v>1.0</v>
      </c>
      <c r="I37" s="12">
        <v>1.0</v>
      </c>
      <c r="J37" s="12">
        <v>1.0</v>
      </c>
      <c r="K37" s="12">
        <v>1.0</v>
      </c>
      <c r="L37" s="10"/>
      <c r="M37" s="10"/>
      <c r="N37" s="12">
        <v>1.0</v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</row>
    <row r="38">
      <c r="A38" s="55">
        <v>45273.0</v>
      </c>
      <c r="B38" s="12" t="s">
        <v>753</v>
      </c>
      <c r="C38" s="12" t="s">
        <v>11</v>
      </c>
      <c r="D38" s="12">
        <v>119.81</v>
      </c>
      <c r="E38" s="12" t="s">
        <v>4</v>
      </c>
      <c r="F38" s="67">
        <f t="shared" si="1"/>
        <v>17.11571429</v>
      </c>
      <c r="G38" s="10">
        <f t="shared" si="2"/>
        <v>17.11571429</v>
      </c>
      <c r="H38" s="12">
        <v>1.0</v>
      </c>
      <c r="I38" s="12">
        <v>1.0</v>
      </c>
      <c r="J38" s="12">
        <v>1.0</v>
      </c>
      <c r="K38" s="12">
        <v>1.0</v>
      </c>
      <c r="L38" s="12">
        <v>1.0</v>
      </c>
      <c r="M38" s="12">
        <v>1.0</v>
      </c>
      <c r="N38" s="12">
        <v>1.0</v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</row>
    <row r="39">
      <c r="A39" s="55">
        <v>45273.0</v>
      </c>
      <c r="B39" s="12" t="s">
        <v>399</v>
      </c>
      <c r="C39" s="12" t="s">
        <v>29</v>
      </c>
      <c r="D39" s="12">
        <v>26.79</v>
      </c>
      <c r="E39" s="12" t="s">
        <v>14</v>
      </c>
      <c r="F39" s="67">
        <f t="shared" si="1"/>
        <v>5.358</v>
      </c>
      <c r="G39" s="10">
        <f t="shared" si="2"/>
        <v>5.358</v>
      </c>
      <c r="H39" s="12">
        <v>1.0</v>
      </c>
      <c r="I39" s="12">
        <v>1.0</v>
      </c>
      <c r="J39" s="12">
        <v>1.0</v>
      </c>
      <c r="K39" s="12">
        <v>1.0</v>
      </c>
      <c r="L39" s="10"/>
      <c r="M39" s="10"/>
      <c r="N39" s="12">
        <v>1.0</v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</row>
    <row r="40">
      <c r="A40" s="55">
        <v>45273.0</v>
      </c>
      <c r="B40" s="12" t="s">
        <v>754</v>
      </c>
      <c r="C40" s="12" t="s">
        <v>19</v>
      </c>
      <c r="D40" s="12">
        <f>14.39*1.13</f>
        <v>16.2607</v>
      </c>
      <c r="E40" s="12" t="s">
        <v>2</v>
      </c>
      <c r="F40" s="67">
        <f t="shared" si="1"/>
        <v>3.25214</v>
      </c>
      <c r="G40" s="10">
        <f t="shared" si="2"/>
        <v>3.25214</v>
      </c>
      <c r="H40" s="12">
        <v>1.0</v>
      </c>
      <c r="I40" s="12">
        <v>1.0</v>
      </c>
      <c r="J40" s="12">
        <v>1.0</v>
      </c>
      <c r="K40" s="12">
        <v>1.0</v>
      </c>
      <c r="L40" s="10"/>
      <c r="M40" s="10"/>
      <c r="N40" s="12">
        <v>1.0</v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</row>
    <row r="41">
      <c r="A41" s="55">
        <v>45273.0</v>
      </c>
      <c r="B41" s="12" t="s">
        <v>755</v>
      </c>
      <c r="C41" s="12" t="s">
        <v>19</v>
      </c>
      <c r="D41" s="12">
        <v>11.59</v>
      </c>
      <c r="E41" s="12" t="s">
        <v>2</v>
      </c>
      <c r="F41" s="67">
        <f t="shared" si="1"/>
        <v>2.318</v>
      </c>
      <c r="G41" s="10">
        <f t="shared" si="2"/>
        <v>2.318</v>
      </c>
      <c r="H41" s="12">
        <v>1.0</v>
      </c>
      <c r="I41" s="12">
        <v>1.0</v>
      </c>
      <c r="J41" s="12">
        <v>1.0</v>
      </c>
      <c r="K41" s="12">
        <v>1.0</v>
      </c>
      <c r="L41" s="10"/>
      <c r="M41" s="10"/>
      <c r="N41" s="12">
        <v>1.0</v>
      </c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</row>
    <row r="42">
      <c r="A42" s="55">
        <v>45273.0</v>
      </c>
      <c r="B42" s="12" t="s">
        <v>445</v>
      </c>
      <c r="C42" s="12" t="s">
        <v>11</v>
      </c>
      <c r="D42" s="10">
        <f>8.69*2</f>
        <v>17.38</v>
      </c>
      <c r="E42" s="12" t="s">
        <v>2</v>
      </c>
      <c r="F42" s="67">
        <f t="shared" si="1"/>
        <v>3.476</v>
      </c>
      <c r="G42" s="10">
        <f t="shared" si="2"/>
        <v>3.476</v>
      </c>
      <c r="H42" s="12">
        <v>1.0</v>
      </c>
      <c r="I42" s="12">
        <v>1.0</v>
      </c>
      <c r="J42" s="12">
        <v>1.0</v>
      </c>
      <c r="K42" s="12">
        <v>1.0</v>
      </c>
      <c r="L42" s="10"/>
      <c r="M42" s="10"/>
      <c r="N42" s="12">
        <v>1.0</v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</row>
    <row r="43">
      <c r="A43" s="55">
        <v>45273.0</v>
      </c>
      <c r="B43" s="12" t="s">
        <v>649</v>
      </c>
      <c r="C43" s="12" t="s">
        <v>23</v>
      </c>
      <c r="D43" s="10">
        <f>(26.49-5.5)*1.13*2</f>
        <v>47.4374</v>
      </c>
      <c r="E43" s="12" t="s">
        <v>2</v>
      </c>
      <c r="F43" s="67">
        <f t="shared" si="1"/>
        <v>9.48748</v>
      </c>
      <c r="G43" s="10">
        <f t="shared" si="2"/>
        <v>9.48748</v>
      </c>
      <c r="H43" s="12">
        <v>1.0</v>
      </c>
      <c r="I43" s="12">
        <v>1.0</v>
      </c>
      <c r="J43" s="12">
        <v>1.0</v>
      </c>
      <c r="K43" s="12">
        <v>1.0</v>
      </c>
      <c r="L43" s="10"/>
      <c r="M43" s="10"/>
      <c r="N43" s="12">
        <v>1.0</v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</row>
    <row r="44">
      <c r="A44" s="55">
        <v>45273.0</v>
      </c>
      <c r="B44" s="12" t="s">
        <v>756</v>
      </c>
      <c r="C44" s="12" t="s">
        <v>31</v>
      </c>
      <c r="D44" s="12">
        <f>19.99*1.13</f>
        <v>22.5887</v>
      </c>
      <c r="E44" s="12" t="s">
        <v>2</v>
      </c>
      <c r="F44" s="67">
        <f t="shared" si="1"/>
        <v>22.5887</v>
      </c>
      <c r="G44" s="10">
        <f t="shared" si="2"/>
        <v>22.5887</v>
      </c>
      <c r="H44" s="10"/>
      <c r="I44" s="10"/>
      <c r="J44" s="12">
        <v>1.0</v>
      </c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</row>
    <row r="45">
      <c r="A45" s="55">
        <v>45273.0</v>
      </c>
      <c r="B45" s="12" t="s">
        <v>757</v>
      </c>
      <c r="C45" s="12" t="s">
        <v>23</v>
      </c>
      <c r="D45" s="12">
        <f>13.49*1.13</f>
        <v>15.2437</v>
      </c>
      <c r="E45" s="12" t="s">
        <v>2</v>
      </c>
      <c r="F45" s="67">
        <f t="shared" si="1"/>
        <v>5.081233333</v>
      </c>
      <c r="G45" s="10">
        <f t="shared" si="2"/>
        <v>5.081233333</v>
      </c>
      <c r="H45" s="10"/>
      <c r="I45" s="10"/>
      <c r="J45" s="12">
        <v>1.0</v>
      </c>
      <c r="K45" s="12">
        <v>1.0</v>
      </c>
      <c r="L45" s="12"/>
      <c r="M45" s="10"/>
      <c r="N45" s="12">
        <v>1.0</v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</row>
    <row r="46">
      <c r="A46" s="55">
        <v>45273.0</v>
      </c>
      <c r="B46" s="12" t="s">
        <v>458</v>
      </c>
      <c r="C46" s="12" t="s">
        <v>23</v>
      </c>
      <c r="D46" s="10">
        <f>9.99*1.13*2</f>
        <v>22.5774</v>
      </c>
      <c r="E46" s="12" t="s">
        <v>2</v>
      </c>
      <c r="F46" s="67">
        <f t="shared" si="1"/>
        <v>7.5258</v>
      </c>
      <c r="G46" s="10">
        <f t="shared" si="2"/>
        <v>7.5258</v>
      </c>
      <c r="H46" s="10"/>
      <c r="I46" s="10"/>
      <c r="J46" s="12">
        <v>1.0</v>
      </c>
      <c r="K46" s="12">
        <v>1.0</v>
      </c>
      <c r="L46" s="10"/>
      <c r="M46" s="10"/>
      <c r="N46" s="12">
        <v>1.0</v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</row>
    <row r="47">
      <c r="A47" s="55">
        <v>45273.0</v>
      </c>
      <c r="B47" s="12" t="s">
        <v>758</v>
      </c>
      <c r="C47" s="12" t="s">
        <v>11</v>
      </c>
      <c r="D47" s="10">
        <f t="shared" ref="D47:D48" si="3">13.99</f>
        <v>13.99</v>
      </c>
      <c r="E47" s="12" t="s">
        <v>2</v>
      </c>
      <c r="F47" s="67">
        <f t="shared" si="1"/>
        <v>1.998571429</v>
      </c>
      <c r="G47" s="10">
        <f t="shared" si="2"/>
        <v>1.998571429</v>
      </c>
      <c r="H47" s="12">
        <v>1.0</v>
      </c>
      <c r="I47" s="12">
        <v>1.0</v>
      </c>
      <c r="J47" s="12">
        <v>1.0</v>
      </c>
      <c r="K47" s="12">
        <v>1.0</v>
      </c>
      <c r="L47" s="12">
        <v>1.0</v>
      </c>
      <c r="M47" s="12">
        <v>1.0</v>
      </c>
      <c r="N47" s="12">
        <v>1.0</v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</row>
    <row r="48">
      <c r="A48" s="55">
        <v>45273.0</v>
      </c>
      <c r="B48" s="12" t="s">
        <v>758</v>
      </c>
      <c r="C48" s="12" t="s">
        <v>11</v>
      </c>
      <c r="D48" s="10">
        <f t="shared" si="3"/>
        <v>13.99</v>
      </c>
      <c r="E48" s="12" t="s">
        <v>2</v>
      </c>
      <c r="F48" s="67">
        <f t="shared" si="1"/>
        <v>2.798</v>
      </c>
      <c r="G48" s="10">
        <f t="shared" si="2"/>
        <v>2.798</v>
      </c>
      <c r="H48" s="12">
        <v>1.0</v>
      </c>
      <c r="I48" s="12">
        <v>1.0</v>
      </c>
      <c r="J48" s="12">
        <v>1.0</v>
      </c>
      <c r="K48" s="12">
        <v>1.0</v>
      </c>
      <c r="L48" s="10"/>
      <c r="M48" s="10"/>
      <c r="N48" s="12">
        <v>1.0</v>
      </c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</row>
    <row r="49">
      <c r="A49" s="55">
        <v>45273.0</v>
      </c>
      <c r="B49" s="12" t="s">
        <v>759</v>
      </c>
      <c r="C49" s="12" t="s">
        <v>23</v>
      </c>
      <c r="D49" s="12">
        <v>17.49</v>
      </c>
      <c r="E49" s="12" t="s">
        <v>2</v>
      </c>
      <c r="F49" s="67">
        <f t="shared" si="1"/>
        <v>17.49</v>
      </c>
      <c r="G49" s="10">
        <f t="shared" si="2"/>
        <v>17.49</v>
      </c>
      <c r="H49" s="10"/>
      <c r="I49" s="12">
        <v>1.0</v>
      </c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</row>
    <row r="50">
      <c r="A50" s="55">
        <v>45273.0</v>
      </c>
      <c r="B50" s="12" t="s">
        <v>96</v>
      </c>
      <c r="C50" s="12" t="s">
        <v>11</v>
      </c>
      <c r="D50" s="12">
        <v>14.99</v>
      </c>
      <c r="E50" s="12" t="s">
        <v>2</v>
      </c>
      <c r="F50" s="67">
        <f t="shared" si="1"/>
        <v>14.99</v>
      </c>
      <c r="G50" s="10">
        <f t="shared" si="2"/>
        <v>14.99</v>
      </c>
      <c r="H50" s="10"/>
      <c r="I50" s="10"/>
      <c r="J50" s="10"/>
      <c r="K50" s="10"/>
      <c r="L50" s="12">
        <v>1.0</v>
      </c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</row>
    <row r="51">
      <c r="A51" s="55">
        <v>45273.0</v>
      </c>
      <c r="B51" s="12" t="s">
        <v>96</v>
      </c>
      <c r="C51" s="12" t="s">
        <v>11</v>
      </c>
      <c r="D51" s="12">
        <v>10.99</v>
      </c>
      <c r="E51" s="12" t="s">
        <v>2</v>
      </c>
      <c r="F51" s="67">
        <f t="shared" si="1"/>
        <v>2.198</v>
      </c>
      <c r="G51" s="10">
        <f t="shared" si="2"/>
        <v>2.198</v>
      </c>
      <c r="H51" s="12">
        <v>1.0</v>
      </c>
      <c r="I51" s="12">
        <v>1.0</v>
      </c>
      <c r="J51" s="12">
        <v>1.0</v>
      </c>
      <c r="K51" s="12">
        <v>1.0</v>
      </c>
      <c r="L51" s="10"/>
      <c r="M51" s="10"/>
      <c r="N51" s="12">
        <v>1.0</v>
      </c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</row>
    <row r="52">
      <c r="A52" s="55">
        <v>45273.0</v>
      </c>
      <c r="B52" s="12" t="s">
        <v>542</v>
      </c>
      <c r="C52" s="12" t="s">
        <v>11</v>
      </c>
      <c r="D52" s="12">
        <v>14.99</v>
      </c>
      <c r="E52" s="12" t="s">
        <v>2</v>
      </c>
      <c r="F52" s="67">
        <f t="shared" si="1"/>
        <v>2.998</v>
      </c>
      <c r="G52" s="10">
        <f t="shared" si="2"/>
        <v>2.998</v>
      </c>
      <c r="H52" s="12">
        <v>1.0</v>
      </c>
      <c r="I52" s="12">
        <v>1.0</v>
      </c>
      <c r="J52" s="12">
        <v>1.0</v>
      </c>
      <c r="K52" s="12">
        <v>1.0</v>
      </c>
      <c r="L52" s="10"/>
      <c r="M52" s="10"/>
      <c r="N52" s="12">
        <v>1.0</v>
      </c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</row>
    <row r="53">
      <c r="A53" s="55">
        <v>45273.0</v>
      </c>
      <c r="B53" s="12" t="s">
        <v>760</v>
      </c>
      <c r="C53" s="12" t="s">
        <v>139</v>
      </c>
      <c r="D53" s="10">
        <f>19.99*1.13</f>
        <v>22.5887</v>
      </c>
      <c r="E53" s="12" t="s">
        <v>2</v>
      </c>
      <c r="F53" s="67">
        <f t="shared" si="1"/>
        <v>11.29435</v>
      </c>
      <c r="G53" s="10">
        <f t="shared" si="2"/>
        <v>11.29435</v>
      </c>
      <c r="H53" s="12">
        <v>1.0</v>
      </c>
      <c r="I53" s="10"/>
      <c r="J53" s="10"/>
      <c r="K53" s="10"/>
      <c r="L53" s="12">
        <v>1.0</v>
      </c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</row>
    <row r="54">
      <c r="A54" s="55">
        <v>45273.0</v>
      </c>
      <c r="B54" s="12" t="s">
        <v>761</v>
      </c>
      <c r="C54" s="12" t="s">
        <v>11</v>
      </c>
      <c r="D54" s="12">
        <v>11.99</v>
      </c>
      <c r="E54" s="12" t="s">
        <v>2</v>
      </c>
      <c r="F54" s="67">
        <f t="shared" si="1"/>
        <v>2.398</v>
      </c>
      <c r="G54" s="10">
        <f t="shared" si="2"/>
        <v>2.398</v>
      </c>
      <c r="H54" s="12">
        <v>1.0</v>
      </c>
      <c r="I54" s="12">
        <v>1.0</v>
      </c>
      <c r="J54" s="12">
        <v>1.0</v>
      </c>
      <c r="K54" s="12">
        <v>1.0</v>
      </c>
      <c r="L54" s="10"/>
      <c r="M54" s="10"/>
      <c r="N54" s="12">
        <v>1.0</v>
      </c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</row>
    <row r="55">
      <c r="A55" s="55">
        <v>45273.0</v>
      </c>
      <c r="B55" s="12" t="s">
        <v>762</v>
      </c>
      <c r="C55" s="12" t="s">
        <v>11</v>
      </c>
      <c r="D55" s="12">
        <v>11.99</v>
      </c>
      <c r="E55" s="12" t="s">
        <v>2</v>
      </c>
      <c r="F55" s="67">
        <f t="shared" si="1"/>
        <v>11.99</v>
      </c>
      <c r="G55" s="10">
        <f t="shared" si="2"/>
        <v>11.99</v>
      </c>
      <c r="H55" s="10"/>
      <c r="I55" s="10"/>
      <c r="J55" s="10"/>
      <c r="K55" s="10"/>
      <c r="L55" s="12">
        <v>1.0</v>
      </c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</row>
    <row r="56">
      <c r="A56" s="55">
        <v>45273.0</v>
      </c>
      <c r="B56" s="12" t="s">
        <v>763</v>
      </c>
      <c r="C56" s="12" t="s">
        <v>31</v>
      </c>
      <c r="D56" s="10">
        <f>10.99*1.13</f>
        <v>12.4187</v>
      </c>
      <c r="E56" s="12" t="s">
        <v>2</v>
      </c>
      <c r="F56" s="67">
        <f t="shared" si="1"/>
        <v>12.4187</v>
      </c>
      <c r="G56" s="10">
        <f t="shared" si="2"/>
        <v>12.4187</v>
      </c>
      <c r="H56" s="12"/>
      <c r="I56" s="10"/>
      <c r="J56" s="10"/>
      <c r="K56" s="10"/>
      <c r="L56" s="12">
        <v>1.0</v>
      </c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</row>
    <row r="57">
      <c r="A57" s="55">
        <v>45273.0</v>
      </c>
      <c r="B57" s="12" t="s">
        <v>764</v>
      </c>
      <c r="C57" s="12" t="s">
        <v>11</v>
      </c>
      <c r="D57" s="12">
        <f>12.49-2.5</f>
        <v>9.99</v>
      </c>
      <c r="E57" s="12" t="s">
        <v>2</v>
      </c>
      <c r="F57" s="67">
        <f t="shared" si="1"/>
        <v>1.665</v>
      </c>
      <c r="G57" s="10">
        <f t="shared" si="2"/>
        <v>1.665</v>
      </c>
      <c r="H57" s="12">
        <v>1.0</v>
      </c>
      <c r="I57" s="12">
        <v>1.0</v>
      </c>
      <c r="J57" s="12">
        <v>1.0</v>
      </c>
      <c r="K57" s="12">
        <v>1.0</v>
      </c>
      <c r="L57" s="10"/>
      <c r="M57" s="12">
        <v>1.0</v>
      </c>
      <c r="N57" s="12">
        <v>1.0</v>
      </c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</row>
    <row r="58">
      <c r="A58" s="55">
        <v>45273.0</v>
      </c>
      <c r="B58" s="12" t="s">
        <v>553</v>
      </c>
      <c r="C58" s="12" t="s">
        <v>11</v>
      </c>
      <c r="D58" s="12">
        <v>11.99</v>
      </c>
      <c r="E58" s="12" t="s">
        <v>2</v>
      </c>
      <c r="F58" s="67">
        <f t="shared" si="1"/>
        <v>2.398</v>
      </c>
      <c r="G58" s="10">
        <f t="shared" si="2"/>
        <v>2.398</v>
      </c>
      <c r="H58" s="12">
        <v>1.0</v>
      </c>
      <c r="I58" s="12">
        <v>1.0</v>
      </c>
      <c r="J58" s="12">
        <v>1.0</v>
      </c>
      <c r="K58" s="12">
        <v>1.0</v>
      </c>
      <c r="L58" s="10"/>
      <c r="M58" s="10"/>
      <c r="N58" s="12">
        <v>1.0</v>
      </c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</row>
    <row r="59">
      <c r="A59" s="55">
        <v>45275.0</v>
      </c>
      <c r="B59" s="12" t="s">
        <v>765</v>
      </c>
      <c r="C59" s="12" t="s">
        <v>11</v>
      </c>
      <c r="D59" s="12">
        <v>3.99</v>
      </c>
      <c r="E59" s="12" t="s">
        <v>2</v>
      </c>
      <c r="F59" s="67">
        <f t="shared" si="1"/>
        <v>0.57</v>
      </c>
      <c r="G59" s="10">
        <f t="shared" si="2"/>
        <v>0.57</v>
      </c>
      <c r="H59" s="12">
        <v>1.0</v>
      </c>
      <c r="I59" s="12">
        <v>1.0</v>
      </c>
      <c r="J59" s="12">
        <v>1.0</v>
      </c>
      <c r="K59" s="12">
        <v>1.0</v>
      </c>
      <c r="L59" s="12">
        <v>1.0</v>
      </c>
      <c r="M59" s="12">
        <v>1.0</v>
      </c>
      <c r="N59" s="12">
        <v>1.0</v>
      </c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</row>
    <row r="60">
      <c r="A60" s="55">
        <v>45277.0</v>
      </c>
      <c r="B60" s="12" t="s">
        <v>766</v>
      </c>
      <c r="C60" s="12" t="s">
        <v>23</v>
      </c>
      <c r="D60" s="12">
        <v>4.52</v>
      </c>
      <c r="E60" s="12" t="s">
        <v>2</v>
      </c>
      <c r="F60" s="67">
        <f t="shared" si="1"/>
        <v>0.904</v>
      </c>
      <c r="G60" s="10">
        <f t="shared" si="2"/>
        <v>0.904</v>
      </c>
      <c r="H60" s="12">
        <v>1.0</v>
      </c>
      <c r="I60" s="12">
        <v>1.0</v>
      </c>
      <c r="J60" s="12">
        <v>1.0</v>
      </c>
      <c r="K60" s="12">
        <v>1.0</v>
      </c>
      <c r="L60" s="10"/>
      <c r="M60" s="10"/>
      <c r="N60" s="12">
        <v>1.0</v>
      </c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</row>
    <row r="61">
      <c r="A61" s="55">
        <v>45277.0</v>
      </c>
      <c r="B61" s="12" t="s">
        <v>767</v>
      </c>
      <c r="C61" s="12" t="s">
        <v>11</v>
      </c>
      <c r="D61" s="12">
        <v>4.89</v>
      </c>
      <c r="E61" s="12" t="s">
        <v>2</v>
      </c>
      <c r="F61" s="67">
        <f t="shared" si="1"/>
        <v>2.445</v>
      </c>
      <c r="G61" s="10">
        <f t="shared" si="2"/>
        <v>2.445</v>
      </c>
      <c r="H61" s="12">
        <v>1.0</v>
      </c>
      <c r="I61" s="12">
        <v>1.0</v>
      </c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</row>
    <row r="62">
      <c r="A62" s="55">
        <v>45277.0</v>
      </c>
      <c r="B62" s="12" t="s">
        <v>52</v>
      </c>
      <c r="C62" s="12" t="s">
        <v>11</v>
      </c>
      <c r="D62" s="12">
        <v>16.94</v>
      </c>
      <c r="E62" s="12" t="s">
        <v>2</v>
      </c>
      <c r="F62" s="67">
        <f t="shared" si="1"/>
        <v>4.235</v>
      </c>
      <c r="G62" s="10">
        <f t="shared" si="2"/>
        <v>4.235</v>
      </c>
      <c r="H62" s="12">
        <v>1.0</v>
      </c>
      <c r="I62" s="12">
        <v>1.0</v>
      </c>
      <c r="J62" s="12">
        <v>1.0</v>
      </c>
      <c r="K62" s="12">
        <v>1.0</v>
      </c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</row>
    <row r="63">
      <c r="A63" s="55">
        <v>45277.0</v>
      </c>
      <c r="B63" s="12" t="s">
        <v>767</v>
      </c>
      <c r="C63" s="12" t="s">
        <v>11</v>
      </c>
      <c r="D63" s="12">
        <v>17.15</v>
      </c>
      <c r="E63" s="12" t="s">
        <v>2</v>
      </c>
      <c r="F63" s="67">
        <f t="shared" si="1"/>
        <v>3.43</v>
      </c>
      <c r="G63" s="10">
        <f t="shared" si="2"/>
        <v>3.43</v>
      </c>
      <c r="H63" s="12">
        <v>1.0</v>
      </c>
      <c r="I63" s="12">
        <v>1.0</v>
      </c>
      <c r="J63" s="12">
        <v>1.0</v>
      </c>
      <c r="K63" s="12">
        <v>1.0</v>
      </c>
      <c r="L63" s="10"/>
      <c r="M63" s="10"/>
      <c r="N63" s="12">
        <v>1.0</v>
      </c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</row>
    <row r="64">
      <c r="A64" s="55">
        <v>45277.0</v>
      </c>
      <c r="B64" s="12" t="s">
        <v>768</v>
      </c>
      <c r="C64" s="12" t="s">
        <v>11</v>
      </c>
      <c r="D64" s="12">
        <v>5.71</v>
      </c>
      <c r="E64" s="12" t="s">
        <v>2</v>
      </c>
      <c r="F64" s="67">
        <f t="shared" si="1"/>
        <v>1.142</v>
      </c>
      <c r="G64" s="10">
        <f t="shared" si="2"/>
        <v>1.142</v>
      </c>
      <c r="H64" s="12">
        <v>1.0</v>
      </c>
      <c r="I64" s="12">
        <v>1.0</v>
      </c>
      <c r="J64" s="12">
        <v>1.0</v>
      </c>
      <c r="K64" s="12">
        <v>1.0</v>
      </c>
      <c r="L64" s="10"/>
      <c r="M64" s="10"/>
      <c r="N64" s="12">
        <v>1.0</v>
      </c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</row>
    <row r="65">
      <c r="A65" s="55">
        <v>45274.0</v>
      </c>
      <c r="B65" s="12" t="s">
        <v>473</v>
      </c>
      <c r="C65" s="12" t="s">
        <v>11</v>
      </c>
      <c r="D65" s="10">
        <f>3.99+17.99+3.35+2.04+1.78</f>
        <v>29.15</v>
      </c>
      <c r="E65" s="12" t="s">
        <v>14</v>
      </c>
      <c r="F65" s="67">
        <f t="shared" si="1"/>
        <v>4.164285714</v>
      </c>
      <c r="G65" s="10">
        <f t="shared" si="2"/>
        <v>4.164285714</v>
      </c>
      <c r="H65" s="12">
        <v>1.0</v>
      </c>
      <c r="I65" s="12">
        <v>1.0</v>
      </c>
      <c r="J65" s="12">
        <v>1.0</v>
      </c>
      <c r="K65" s="12">
        <v>1.0</v>
      </c>
      <c r="L65" s="12">
        <v>1.0</v>
      </c>
      <c r="M65" s="12">
        <v>1.0</v>
      </c>
      <c r="N65" s="12">
        <v>1.0</v>
      </c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</row>
    <row r="66">
      <c r="A66" s="55">
        <v>45274.0</v>
      </c>
      <c r="B66" s="12" t="s">
        <v>52</v>
      </c>
      <c r="C66" s="12" t="s">
        <v>11</v>
      </c>
      <c r="D66" s="12">
        <f>1.52+4.72+4.99+2.99+4.99+5.99+1.04</f>
        <v>26.24</v>
      </c>
      <c r="E66" s="12" t="s">
        <v>14</v>
      </c>
      <c r="F66" s="67">
        <f t="shared" si="1"/>
        <v>5.248</v>
      </c>
      <c r="G66" s="10">
        <f t="shared" si="2"/>
        <v>5.248</v>
      </c>
      <c r="H66" s="12">
        <v>1.0</v>
      </c>
      <c r="I66" s="12">
        <v>1.0</v>
      </c>
      <c r="J66" s="12">
        <v>1.0</v>
      </c>
      <c r="K66" s="12">
        <v>1.0</v>
      </c>
      <c r="L66" s="10"/>
      <c r="M66" s="10"/>
      <c r="N66" s="12">
        <v>1.0</v>
      </c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</row>
    <row r="67">
      <c r="A67" s="59">
        <v>45276.0</v>
      </c>
      <c r="B67" s="12" t="s">
        <v>769</v>
      </c>
      <c r="C67" s="12" t="s">
        <v>11</v>
      </c>
      <c r="D67" s="12">
        <v>1.62</v>
      </c>
      <c r="E67" s="12" t="s">
        <v>14</v>
      </c>
      <c r="F67" s="67">
        <f t="shared" si="1"/>
        <v>0.324</v>
      </c>
      <c r="G67" s="10">
        <f t="shared" si="2"/>
        <v>0.324</v>
      </c>
      <c r="H67" s="12">
        <v>1.0</v>
      </c>
      <c r="I67" s="12">
        <v>1.0</v>
      </c>
      <c r="J67" s="12">
        <v>1.0</v>
      </c>
      <c r="K67" s="12">
        <v>1.0</v>
      </c>
      <c r="L67" s="10"/>
      <c r="M67" s="10"/>
      <c r="N67" s="12">
        <v>1.0</v>
      </c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</row>
    <row r="68">
      <c r="A68" s="55">
        <v>45276.0</v>
      </c>
      <c r="B68" s="12" t="s">
        <v>770</v>
      </c>
      <c r="C68" s="12" t="s">
        <v>11</v>
      </c>
      <c r="D68" s="12">
        <v>16.56</v>
      </c>
      <c r="E68" s="12" t="s">
        <v>14</v>
      </c>
      <c r="F68" s="67">
        <f t="shared" si="1"/>
        <v>3.312</v>
      </c>
      <c r="G68" s="10">
        <f t="shared" si="2"/>
        <v>3.312</v>
      </c>
      <c r="H68" s="12">
        <v>1.0</v>
      </c>
      <c r="I68" s="12">
        <v>1.0</v>
      </c>
      <c r="J68" s="12">
        <v>1.0</v>
      </c>
      <c r="K68" s="12">
        <v>1.0</v>
      </c>
      <c r="L68" s="10"/>
      <c r="M68" s="10"/>
      <c r="N68" s="12">
        <v>1.0</v>
      </c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</row>
    <row r="69">
      <c r="A69" s="55">
        <v>45280.0</v>
      </c>
      <c r="B69" s="12" t="s">
        <v>771</v>
      </c>
      <c r="C69" s="12" t="s">
        <v>33</v>
      </c>
      <c r="D69" s="12">
        <v>37.36</v>
      </c>
      <c r="E69" s="12" t="s">
        <v>7</v>
      </c>
      <c r="F69" s="67">
        <f t="shared" si="1"/>
        <v>18.68</v>
      </c>
      <c r="G69" s="10">
        <f t="shared" si="2"/>
        <v>18.68</v>
      </c>
      <c r="H69" s="10"/>
      <c r="I69" s="10"/>
      <c r="J69" s="10"/>
      <c r="K69" s="12">
        <v>1.0</v>
      </c>
      <c r="L69" s="10"/>
      <c r="M69" s="10"/>
      <c r="N69" s="12">
        <v>1.0</v>
      </c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</row>
    <row r="70">
      <c r="A70" s="55">
        <v>45275.0</v>
      </c>
      <c r="B70" s="12" t="s">
        <v>772</v>
      </c>
      <c r="C70" s="12" t="s">
        <v>11</v>
      </c>
      <c r="D70" s="12">
        <v>85.61</v>
      </c>
      <c r="E70" s="12" t="s">
        <v>7</v>
      </c>
      <c r="F70" s="67">
        <f t="shared" si="1"/>
        <v>12.23</v>
      </c>
      <c r="G70" s="10">
        <f t="shared" si="2"/>
        <v>12.23</v>
      </c>
      <c r="H70" s="12">
        <v>1.0</v>
      </c>
      <c r="I70" s="12">
        <v>1.0</v>
      </c>
      <c r="J70" s="12">
        <v>1.0</v>
      </c>
      <c r="K70" s="12">
        <v>1.0</v>
      </c>
      <c r="L70" s="12">
        <v>1.0</v>
      </c>
      <c r="M70" s="12">
        <v>1.0</v>
      </c>
      <c r="N70" s="12">
        <v>1.0</v>
      </c>
      <c r="O70" s="12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</row>
    <row r="71">
      <c r="A71" s="55">
        <v>45279.0</v>
      </c>
      <c r="B71" s="12" t="s">
        <v>52</v>
      </c>
      <c r="C71" s="12" t="s">
        <v>11</v>
      </c>
      <c r="D71" s="12">
        <v>41.2</v>
      </c>
      <c r="E71" s="12" t="s">
        <v>14</v>
      </c>
      <c r="F71" s="67">
        <f t="shared" si="1"/>
        <v>8.24</v>
      </c>
      <c r="G71" s="10">
        <f t="shared" si="2"/>
        <v>8.24</v>
      </c>
      <c r="H71" s="12">
        <v>1.0</v>
      </c>
      <c r="I71" s="12">
        <v>1.0</v>
      </c>
      <c r="J71" s="12">
        <v>1.0</v>
      </c>
      <c r="K71" s="12">
        <v>1.0</v>
      </c>
      <c r="L71" s="12"/>
      <c r="M71" s="10"/>
      <c r="N71" s="12">
        <v>1.0</v>
      </c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</row>
    <row r="72">
      <c r="A72" s="59">
        <v>45280.0</v>
      </c>
      <c r="B72" s="12" t="s">
        <v>773</v>
      </c>
      <c r="C72" s="12" t="s">
        <v>11</v>
      </c>
      <c r="D72" s="12">
        <v>15.81</v>
      </c>
      <c r="E72" s="12" t="s">
        <v>14</v>
      </c>
      <c r="F72" s="67">
        <f t="shared" si="1"/>
        <v>7.905</v>
      </c>
      <c r="G72" s="10">
        <f t="shared" si="2"/>
        <v>7.905</v>
      </c>
      <c r="H72" s="12"/>
      <c r="I72" s="12"/>
      <c r="J72" s="12"/>
      <c r="K72" s="12">
        <v>1.0</v>
      </c>
      <c r="L72" s="10"/>
      <c r="M72" s="10"/>
      <c r="N72" s="12">
        <v>1.0</v>
      </c>
      <c r="O72" s="12"/>
      <c r="P72" s="12" t="s">
        <v>157</v>
      </c>
      <c r="Q72" s="12" t="s">
        <v>464</v>
      </c>
      <c r="R72" s="12" t="s">
        <v>774</v>
      </c>
      <c r="S72" s="12" t="s">
        <v>775</v>
      </c>
      <c r="T72" s="12" t="s">
        <v>776</v>
      </c>
      <c r="U72" s="12" t="s">
        <v>777</v>
      </c>
      <c r="V72" s="12" t="s">
        <v>778</v>
      </c>
      <c r="W72" s="12" t="s">
        <v>404</v>
      </c>
      <c r="X72" s="10"/>
      <c r="Y72" s="10"/>
      <c r="Z72" s="10"/>
      <c r="AA72" s="10"/>
    </row>
    <row r="73">
      <c r="A73" s="59">
        <v>45280.0</v>
      </c>
      <c r="B73" s="12" t="s">
        <v>779</v>
      </c>
      <c r="C73" s="12" t="s">
        <v>11</v>
      </c>
      <c r="D73" s="12">
        <f>6.29+8.88</f>
        <v>15.17</v>
      </c>
      <c r="E73" s="12" t="s">
        <v>14</v>
      </c>
      <c r="F73" s="67">
        <f t="shared" ref="F73:F116" si="4">D73/sum(H73:Z73)</f>
        <v>1.379090909</v>
      </c>
      <c r="G73" s="10">
        <f t="shared" ref="G73:G121" si="5">D73/sum(H73:Z73)</f>
        <v>1.379090909</v>
      </c>
      <c r="H73" s="12">
        <v>1.0</v>
      </c>
      <c r="I73" s="12">
        <v>1.0</v>
      </c>
      <c r="J73" s="12">
        <v>1.0</v>
      </c>
      <c r="K73" s="12">
        <v>1.0</v>
      </c>
      <c r="L73" s="12">
        <v>1.0</v>
      </c>
      <c r="M73" s="12">
        <v>1.0</v>
      </c>
      <c r="N73" s="12">
        <v>1.0</v>
      </c>
      <c r="O73" s="10"/>
      <c r="P73" s="80">
        <v>1.0</v>
      </c>
      <c r="Q73" s="80">
        <v>1.0</v>
      </c>
      <c r="R73" s="80">
        <v>1.0</v>
      </c>
      <c r="S73" s="80">
        <v>1.0</v>
      </c>
      <c r="T73" s="10"/>
      <c r="U73" s="10"/>
      <c r="V73" s="10"/>
      <c r="W73" s="10"/>
      <c r="X73" s="10"/>
      <c r="Y73" s="10"/>
      <c r="Z73" s="10"/>
      <c r="AA73" s="10"/>
    </row>
    <row r="74">
      <c r="A74" s="59">
        <v>45280.0</v>
      </c>
      <c r="B74" s="12" t="s">
        <v>780</v>
      </c>
      <c r="C74" s="12" t="s">
        <v>11</v>
      </c>
      <c r="D74" s="12">
        <v>7.91</v>
      </c>
      <c r="E74" s="12" t="s">
        <v>14</v>
      </c>
      <c r="F74" s="67">
        <f t="shared" si="4"/>
        <v>1.582</v>
      </c>
      <c r="G74" s="10">
        <f t="shared" si="5"/>
        <v>1.582</v>
      </c>
      <c r="H74" s="12">
        <v>1.0</v>
      </c>
      <c r="I74" s="12">
        <v>1.0</v>
      </c>
      <c r="J74" s="12">
        <v>1.0</v>
      </c>
      <c r="K74" s="12">
        <v>1.0</v>
      </c>
      <c r="L74" s="10"/>
      <c r="M74" s="10"/>
      <c r="N74" s="12">
        <v>1.0</v>
      </c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</row>
    <row r="75">
      <c r="A75" s="59">
        <v>45280.0</v>
      </c>
      <c r="B75" s="12" t="s">
        <v>779</v>
      </c>
      <c r="C75" s="12" t="s">
        <v>11</v>
      </c>
      <c r="D75" s="10">
        <f>18.86+16.7+4.94</f>
        <v>40.5</v>
      </c>
      <c r="E75" s="12" t="s">
        <v>14</v>
      </c>
      <c r="F75" s="67">
        <f t="shared" si="4"/>
        <v>3.681818182</v>
      </c>
      <c r="G75" s="10">
        <f t="shared" si="5"/>
        <v>3.681818182</v>
      </c>
      <c r="H75" s="12">
        <v>1.0</v>
      </c>
      <c r="I75" s="12">
        <v>1.0</v>
      </c>
      <c r="J75" s="12">
        <v>1.0</v>
      </c>
      <c r="K75" s="12">
        <v>1.0</v>
      </c>
      <c r="L75" s="12">
        <v>1.0</v>
      </c>
      <c r="M75" s="12">
        <v>1.0</v>
      </c>
      <c r="N75" s="12">
        <v>1.0</v>
      </c>
      <c r="O75" s="10"/>
      <c r="P75" s="80">
        <v>1.0</v>
      </c>
      <c r="Q75" s="80">
        <v>1.0</v>
      </c>
      <c r="R75" s="80">
        <v>1.0</v>
      </c>
      <c r="S75" s="80">
        <v>1.0</v>
      </c>
      <c r="T75" s="10"/>
      <c r="U75" s="10"/>
      <c r="V75" s="10"/>
      <c r="W75" s="10"/>
      <c r="X75" s="10"/>
      <c r="Y75" s="10"/>
      <c r="Z75" s="10"/>
      <c r="AA75" s="10"/>
    </row>
    <row r="76">
      <c r="A76" s="59">
        <v>45280.0</v>
      </c>
      <c r="B76" s="12" t="s">
        <v>781</v>
      </c>
      <c r="C76" s="12" t="s">
        <v>11</v>
      </c>
      <c r="D76" s="10">
        <f>8.88+11.97+7.21+3.99+4.99+8.88+1.92+2</f>
        <v>49.84</v>
      </c>
      <c r="E76" s="12" t="s">
        <v>14</v>
      </c>
      <c r="F76" s="67">
        <f t="shared" si="4"/>
        <v>9.968</v>
      </c>
      <c r="G76" s="10">
        <f t="shared" si="5"/>
        <v>9.968</v>
      </c>
      <c r="H76" s="12">
        <v>1.0</v>
      </c>
      <c r="I76" s="12">
        <v>1.0</v>
      </c>
      <c r="J76" s="12">
        <v>1.0</v>
      </c>
      <c r="K76" s="12">
        <v>1.0</v>
      </c>
      <c r="L76" s="10"/>
      <c r="M76" s="10"/>
      <c r="N76" s="12">
        <v>1.0</v>
      </c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</row>
    <row r="77">
      <c r="A77" s="59">
        <v>45282.0</v>
      </c>
      <c r="B77" s="12" t="s">
        <v>46</v>
      </c>
      <c r="C77" s="12" t="s">
        <v>11</v>
      </c>
      <c r="D77" s="12">
        <v>20.03</v>
      </c>
      <c r="E77" s="12" t="s">
        <v>2</v>
      </c>
      <c r="F77" s="67">
        <f t="shared" si="4"/>
        <v>4.006</v>
      </c>
      <c r="G77" s="10">
        <f t="shared" si="5"/>
        <v>4.006</v>
      </c>
      <c r="H77" s="12">
        <v>1.0</v>
      </c>
      <c r="I77" s="12">
        <v>1.0</v>
      </c>
      <c r="J77" s="12">
        <v>1.0</v>
      </c>
      <c r="K77" s="12">
        <v>1.0</v>
      </c>
      <c r="L77" s="10"/>
      <c r="M77" s="10"/>
      <c r="N77" s="12">
        <v>1.0</v>
      </c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</row>
    <row r="78">
      <c r="A78" s="12" t="s">
        <v>782</v>
      </c>
      <c r="B78" s="12" t="s">
        <v>779</v>
      </c>
      <c r="C78" s="12" t="s">
        <v>11</v>
      </c>
      <c r="D78" s="12">
        <v>42.57</v>
      </c>
      <c r="E78" s="12" t="s">
        <v>14</v>
      </c>
      <c r="F78" s="67">
        <f t="shared" si="4"/>
        <v>3.87</v>
      </c>
      <c r="G78" s="10">
        <f t="shared" si="5"/>
        <v>3.87</v>
      </c>
      <c r="H78" s="12">
        <v>1.0</v>
      </c>
      <c r="I78" s="12">
        <v>1.0</v>
      </c>
      <c r="J78" s="12">
        <v>1.0</v>
      </c>
      <c r="K78" s="12">
        <v>1.0</v>
      </c>
      <c r="L78" s="12">
        <v>1.0</v>
      </c>
      <c r="M78" s="12">
        <v>1.0</v>
      </c>
      <c r="N78" s="12">
        <v>1.0</v>
      </c>
      <c r="O78" s="10"/>
      <c r="P78" s="80">
        <v>1.0</v>
      </c>
      <c r="Q78" s="80">
        <v>1.0</v>
      </c>
      <c r="R78" s="80">
        <v>1.0</v>
      </c>
      <c r="S78" s="80">
        <v>1.0</v>
      </c>
      <c r="T78" s="10"/>
      <c r="U78" s="10"/>
      <c r="V78" s="10"/>
      <c r="W78" s="10"/>
      <c r="X78" s="10"/>
      <c r="Y78" s="10"/>
      <c r="Z78" s="10"/>
      <c r="AA78" s="10"/>
    </row>
    <row r="79">
      <c r="A79" s="55">
        <v>45281.0</v>
      </c>
      <c r="B79" s="12" t="s">
        <v>779</v>
      </c>
      <c r="C79" s="12" t="s">
        <v>11</v>
      </c>
      <c r="D79" s="201">
        <f>69.79-13.99</f>
        <v>55.8</v>
      </c>
      <c r="E79" s="12" t="s">
        <v>13</v>
      </c>
      <c r="F79" s="67">
        <f t="shared" si="4"/>
        <v>5.072727273</v>
      </c>
      <c r="G79" s="10">
        <f t="shared" si="5"/>
        <v>5.072727273</v>
      </c>
      <c r="H79" s="12">
        <v>1.0</v>
      </c>
      <c r="I79" s="12">
        <v>1.0</v>
      </c>
      <c r="J79" s="12">
        <v>1.0</v>
      </c>
      <c r="K79" s="12">
        <v>1.0</v>
      </c>
      <c r="L79" s="12">
        <v>1.0</v>
      </c>
      <c r="M79" s="12">
        <v>1.0</v>
      </c>
      <c r="N79" s="12">
        <v>1.0</v>
      </c>
      <c r="O79" s="10"/>
      <c r="P79" s="80">
        <v>1.0</v>
      </c>
      <c r="Q79" s="80">
        <v>1.0</v>
      </c>
      <c r="R79" s="80">
        <v>1.0</v>
      </c>
      <c r="S79" s="80">
        <v>1.0</v>
      </c>
      <c r="T79" s="10"/>
      <c r="U79" s="10"/>
      <c r="V79" s="10"/>
      <c r="W79" s="10"/>
      <c r="X79" s="10"/>
      <c r="Y79" s="10"/>
      <c r="Z79" s="10"/>
      <c r="AA79" s="10"/>
    </row>
    <row r="80">
      <c r="A80" s="55">
        <v>45281.0</v>
      </c>
      <c r="B80" s="12" t="s">
        <v>252</v>
      </c>
      <c r="C80" s="12" t="s">
        <v>11</v>
      </c>
      <c r="D80" s="12">
        <v>13.99</v>
      </c>
      <c r="E80" s="12" t="s">
        <v>13</v>
      </c>
      <c r="F80" s="67">
        <f t="shared" si="4"/>
        <v>2.798</v>
      </c>
      <c r="G80" s="10">
        <f t="shared" si="5"/>
        <v>2.798</v>
      </c>
      <c r="H80" s="12">
        <v>1.0</v>
      </c>
      <c r="I80" s="12">
        <v>1.0</v>
      </c>
      <c r="J80" s="12">
        <v>1.0</v>
      </c>
      <c r="K80" s="12">
        <v>1.0</v>
      </c>
      <c r="L80" s="10"/>
      <c r="M80" s="10"/>
      <c r="N80" s="12">
        <v>1.0</v>
      </c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</row>
    <row r="81">
      <c r="A81" s="55">
        <v>45285.0</v>
      </c>
      <c r="B81" s="12" t="s">
        <v>399</v>
      </c>
      <c r="C81" s="12" t="s">
        <v>29</v>
      </c>
      <c r="D81" s="12">
        <v>21.51</v>
      </c>
      <c r="E81" s="12" t="s">
        <v>2</v>
      </c>
      <c r="F81" s="67">
        <f t="shared" si="4"/>
        <v>5.3775</v>
      </c>
      <c r="G81" s="10">
        <f t="shared" si="5"/>
        <v>5.3775</v>
      </c>
      <c r="H81" s="12">
        <v>1.0</v>
      </c>
      <c r="I81" s="12">
        <v>1.0</v>
      </c>
      <c r="J81" s="12">
        <v>1.0</v>
      </c>
      <c r="K81" s="12"/>
      <c r="L81" s="10"/>
      <c r="M81" s="10"/>
      <c r="N81" s="12">
        <v>1.0</v>
      </c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</row>
    <row r="82">
      <c r="A82" s="55">
        <v>45285.0</v>
      </c>
      <c r="B82" s="12" t="s">
        <v>399</v>
      </c>
      <c r="C82" s="12" t="s">
        <v>29</v>
      </c>
      <c r="D82" s="12">
        <v>50.84</v>
      </c>
      <c r="E82" s="12" t="s">
        <v>2</v>
      </c>
      <c r="F82" s="67">
        <f t="shared" si="4"/>
        <v>10.168</v>
      </c>
      <c r="G82" s="10">
        <f t="shared" si="5"/>
        <v>10.168</v>
      </c>
      <c r="H82" s="12">
        <v>1.0</v>
      </c>
      <c r="I82" s="12">
        <v>1.0</v>
      </c>
      <c r="J82" s="12">
        <v>1.0</v>
      </c>
      <c r="K82" s="12">
        <v>1.0</v>
      </c>
      <c r="L82" s="10"/>
      <c r="M82" s="10"/>
      <c r="N82" s="12">
        <v>1.0</v>
      </c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</row>
    <row r="83">
      <c r="A83" s="55">
        <v>45284.0</v>
      </c>
      <c r="B83" s="12" t="s">
        <v>678</v>
      </c>
      <c r="C83" s="12" t="s">
        <v>11</v>
      </c>
      <c r="D83" s="12">
        <v>110.0</v>
      </c>
      <c r="E83" s="12" t="s">
        <v>14</v>
      </c>
      <c r="F83" s="67">
        <f t="shared" si="4"/>
        <v>22</v>
      </c>
      <c r="G83" s="10">
        <f t="shared" si="5"/>
        <v>22</v>
      </c>
      <c r="H83" s="12">
        <v>1.0</v>
      </c>
      <c r="I83" s="12">
        <v>1.0</v>
      </c>
      <c r="J83" s="12">
        <v>1.0</v>
      </c>
      <c r="K83" s="12">
        <v>1.0</v>
      </c>
      <c r="L83" s="10"/>
      <c r="M83" s="10"/>
      <c r="N83" s="12">
        <v>1.0</v>
      </c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</row>
    <row r="84">
      <c r="A84" s="59">
        <v>45284.0</v>
      </c>
      <c r="B84" s="12" t="s">
        <v>783</v>
      </c>
      <c r="C84" s="12" t="s">
        <v>23</v>
      </c>
      <c r="D84" s="12">
        <v>3.96</v>
      </c>
      <c r="E84" s="12" t="s">
        <v>13</v>
      </c>
      <c r="F84" s="67">
        <f t="shared" si="4"/>
        <v>0.792</v>
      </c>
      <c r="G84" s="10">
        <f t="shared" si="5"/>
        <v>0.792</v>
      </c>
      <c r="H84" s="12">
        <v>1.0</v>
      </c>
      <c r="I84" s="12">
        <v>1.0</v>
      </c>
      <c r="J84" s="12">
        <v>1.0</v>
      </c>
      <c r="K84" s="12">
        <v>1.0</v>
      </c>
      <c r="L84" s="10"/>
      <c r="M84" s="10"/>
      <c r="N84" s="12">
        <v>1.0</v>
      </c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>
      <c r="A85" s="59">
        <v>45289.0</v>
      </c>
      <c r="B85" s="12" t="s">
        <v>784</v>
      </c>
      <c r="C85" s="12" t="s">
        <v>23</v>
      </c>
      <c r="D85" s="12">
        <f>3.99+3.99+1.04</f>
        <v>9.02</v>
      </c>
      <c r="E85" s="12" t="s">
        <v>7</v>
      </c>
      <c r="F85" s="67">
        <f t="shared" si="4"/>
        <v>1.804</v>
      </c>
      <c r="G85" s="10">
        <f t="shared" si="5"/>
        <v>1.804</v>
      </c>
      <c r="H85" s="12">
        <v>1.0</v>
      </c>
      <c r="I85" s="12">
        <v>1.0</v>
      </c>
      <c r="J85" s="12">
        <v>1.0</v>
      </c>
      <c r="K85" s="12">
        <v>1.0</v>
      </c>
      <c r="L85" s="10"/>
      <c r="M85" s="10"/>
      <c r="N85" s="12">
        <v>1.0</v>
      </c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</row>
    <row r="86">
      <c r="A86" s="59">
        <v>45289.0</v>
      </c>
      <c r="B86" s="12" t="s">
        <v>212</v>
      </c>
      <c r="C86" s="12" t="s">
        <v>11</v>
      </c>
      <c r="D86" s="10">
        <f>3.99+6.29+2.69+3.49+3.79+2.79+8.75+2.04+7.98-10</f>
        <v>31.81</v>
      </c>
      <c r="E86" s="12" t="s">
        <v>7</v>
      </c>
      <c r="F86" s="67">
        <f t="shared" si="4"/>
        <v>6.362</v>
      </c>
      <c r="G86" s="10">
        <f t="shared" si="5"/>
        <v>6.362</v>
      </c>
      <c r="H86" s="12">
        <v>1.0</v>
      </c>
      <c r="I86" s="12">
        <v>1.0</v>
      </c>
      <c r="J86" s="12">
        <v>1.0</v>
      </c>
      <c r="K86" s="12">
        <v>1.0</v>
      </c>
      <c r="L86" s="10"/>
      <c r="M86" s="10"/>
      <c r="N86" s="12">
        <v>1.0</v>
      </c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</row>
    <row r="87">
      <c r="A87" s="59">
        <v>45657.0</v>
      </c>
      <c r="B87" s="12" t="s">
        <v>280</v>
      </c>
      <c r="C87" s="12" t="s">
        <v>33</v>
      </c>
      <c r="D87" s="12">
        <v>5.49</v>
      </c>
      <c r="E87" s="12" t="s">
        <v>7</v>
      </c>
      <c r="F87" s="67">
        <f t="shared" si="4"/>
        <v>5.49</v>
      </c>
      <c r="G87" s="10">
        <f t="shared" si="5"/>
        <v>5.49</v>
      </c>
      <c r="H87" s="10"/>
      <c r="I87" s="12">
        <v>1.0</v>
      </c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</row>
    <row r="88">
      <c r="A88" s="59">
        <v>45653.0</v>
      </c>
      <c r="B88" s="12" t="s">
        <v>785</v>
      </c>
      <c r="C88" s="12" t="s">
        <v>23</v>
      </c>
      <c r="D88" s="12">
        <f>5.49*1.13</f>
        <v>6.2037</v>
      </c>
      <c r="E88" s="12" t="s">
        <v>14</v>
      </c>
      <c r="F88" s="67">
        <f t="shared" si="4"/>
        <v>1.24074</v>
      </c>
      <c r="G88" s="10">
        <f t="shared" si="5"/>
        <v>1.24074</v>
      </c>
      <c r="H88" s="12">
        <v>1.0</v>
      </c>
      <c r="I88" s="12">
        <v>1.0</v>
      </c>
      <c r="J88" s="12">
        <v>1.0</v>
      </c>
      <c r="K88" s="12">
        <v>1.0</v>
      </c>
      <c r="L88" s="10"/>
      <c r="M88" s="10"/>
      <c r="N88" s="12">
        <v>1.0</v>
      </c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</row>
    <row r="89">
      <c r="A89" s="59">
        <v>45653.0</v>
      </c>
      <c r="B89" s="12" t="s">
        <v>786</v>
      </c>
      <c r="C89" s="12" t="s">
        <v>23</v>
      </c>
      <c r="D89" s="12">
        <f>14.95*1.13</f>
        <v>16.8935</v>
      </c>
      <c r="E89" s="12" t="s">
        <v>14</v>
      </c>
      <c r="F89" s="67">
        <f t="shared" si="4"/>
        <v>3.3787</v>
      </c>
      <c r="G89" s="10">
        <f t="shared" si="5"/>
        <v>3.3787</v>
      </c>
      <c r="H89" s="12">
        <v>1.0</v>
      </c>
      <c r="I89" s="12">
        <v>1.0</v>
      </c>
      <c r="J89" s="12">
        <v>1.0</v>
      </c>
      <c r="K89" s="12">
        <v>1.0</v>
      </c>
      <c r="L89" s="10"/>
      <c r="M89" s="10"/>
      <c r="N89" s="12">
        <v>1.0</v>
      </c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</row>
    <row r="90">
      <c r="A90" s="59">
        <v>45656.0</v>
      </c>
      <c r="B90" s="12" t="s">
        <v>52</v>
      </c>
      <c r="C90" s="12" t="s">
        <v>11</v>
      </c>
      <c r="D90" s="10">
        <f>3.45+5.05</f>
        <v>8.5</v>
      </c>
      <c r="E90" s="12" t="s">
        <v>14</v>
      </c>
      <c r="F90" s="67">
        <f t="shared" si="4"/>
        <v>1.0625</v>
      </c>
      <c r="G90" s="10">
        <f t="shared" si="5"/>
        <v>1.0625</v>
      </c>
      <c r="H90" s="12">
        <v>1.0</v>
      </c>
      <c r="I90" s="12">
        <v>1.0</v>
      </c>
      <c r="J90" s="12">
        <v>1.0</v>
      </c>
      <c r="K90" s="12">
        <v>1.0</v>
      </c>
      <c r="L90" s="12">
        <v>1.0</v>
      </c>
      <c r="M90" s="12">
        <v>1.0</v>
      </c>
      <c r="N90" s="12">
        <v>1.0</v>
      </c>
      <c r="O90" s="10"/>
      <c r="P90" s="10"/>
      <c r="Q90" s="10"/>
      <c r="R90" s="10"/>
      <c r="S90" s="80">
        <v>1.0</v>
      </c>
      <c r="T90" s="10"/>
      <c r="U90" s="10"/>
      <c r="V90" s="10"/>
      <c r="W90" s="10"/>
      <c r="X90" s="10"/>
      <c r="Y90" s="10"/>
      <c r="Z90" s="10"/>
      <c r="AA90" s="10"/>
    </row>
    <row r="91">
      <c r="A91" s="59">
        <v>45656.0</v>
      </c>
      <c r="B91" s="12" t="s">
        <v>52</v>
      </c>
      <c r="C91" s="12" t="s">
        <v>11</v>
      </c>
      <c r="D91" s="10">
        <f>6.99+4.74</f>
        <v>11.73</v>
      </c>
      <c r="E91" s="12" t="s">
        <v>14</v>
      </c>
      <c r="F91" s="67">
        <f t="shared" si="4"/>
        <v>2.346</v>
      </c>
      <c r="G91" s="10">
        <f t="shared" si="5"/>
        <v>2.346</v>
      </c>
      <c r="H91" s="12">
        <v>1.0</v>
      </c>
      <c r="I91" s="12">
        <v>1.0</v>
      </c>
      <c r="J91" s="12">
        <v>1.0</v>
      </c>
      <c r="K91" s="12">
        <v>1.0</v>
      </c>
      <c r="L91" s="10"/>
      <c r="M91" s="10"/>
      <c r="N91" s="12">
        <v>1.0</v>
      </c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</row>
    <row r="92">
      <c r="A92" s="59">
        <v>45655.0</v>
      </c>
      <c r="B92" s="12" t="s">
        <v>95</v>
      </c>
      <c r="C92" s="12" t="s">
        <v>11</v>
      </c>
      <c r="D92" s="12">
        <v>2.08</v>
      </c>
      <c r="E92" s="12" t="s">
        <v>14</v>
      </c>
      <c r="F92" s="67">
        <f t="shared" si="4"/>
        <v>0.416</v>
      </c>
      <c r="G92" s="10">
        <f t="shared" si="5"/>
        <v>0.416</v>
      </c>
      <c r="H92" s="12">
        <v>1.0</v>
      </c>
      <c r="I92" s="12">
        <v>1.0</v>
      </c>
      <c r="J92" s="12">
        <v>1.0</v>
      </c>
      <c r="K92" s="12">
        <v>1.0</v>
      </c>
      <c r="L92" s="10"/>
      <c r="M92" s="10"/>
      <c r="N92" s="12">
        <v>1.0</v>
      </c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</row>
    <row r="93">
      <c r="A93" s="59">
        <v>45654.0</v>
      </c>
      <c r="B93" s="12" t="s">
        <v>785</v>
      </c>
      <c r="C93" s="12" t="s">
        <v>23</v>
      </c>
      <c r="D93" s="12">
        <f>4.99*1.13</f>
        <v>5.6387</v>
      </c>
      <c r="E93" s="12" t="s">
        <v>14</v>
      </c>
      <c r="F93" s="67">
        <f t="shared" si="4"/>
        <v>1.12774</v>
      </c>
      <c r="G93" s="10">
        <f t="shared" si="5"/>
        <v>1.12774</v>
      </c>
      <c r="H93" s="12">
        <v>1.0</v>
      </c>
      <c r="I93" s="12">
        <v>1.0</v>
      </c>
      <c r="J93" s="12">
        <v>1.0</v>
      </c>
      <c r="K93" s="12">
        <v>1.0</v>
      </c>
      <c r="L93" s="10"/>
      <c r="M93" s="10"/>
      <c r="N93" s="12">
        <v>1.0</v>
      </c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</row>
    <row r="94">
      <c r="A94" s="59">
        <v>45654.0</v>
      </c>
      <c r="B94" s="12" t="s">
        <v>468</v>
      </c>
      <c r="C94" s="12" t="s">
        <v>11</v>
      </c>
      <c r="D94" s="10">
        <f>4.99*3*1.13</f>
        <v>16.9161</v>
      </c>
      <c r="E94" s="12" t="s">
        <v>14</v>
      </c>
      <c r="F94" s="67">
        <f t="shared" si="4"/>
        <v>5.6387</v>
      </c>
      <c r="G94" s="10">
        <f t="shared" si="5"/>
        <v>5.6387</v>
      </c>
      <c r="H94" s="12">
        <v>1.0</v>
      </c>
      <c r="I94" s="12">
        <v>1.0</v>
      </c>
      <c r="J94" s="10"/>
      <c r="K94" s="12">
        <v>1.0</v>
      </c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</row>
    <row r="95">
      <c r="A95" s="59">
        <v>45654.0</v>
      </c>
      <c r="B95" s="12" t="s">
        <v>272</v>
      </c>
      <c r="C95" s="12" t="s">
        <v>23</v>
      </c>
      <c r="D95" s="10">
        <f>5.79*1.13</f>
        <v>6.5427</v>
      </c>
      <c r="E95" s="12" t="s">
        <v>14</v>
      </c>
      <c r="F95" s="67">
        <f t="shared" si="4"/>
        <v>1.30854</v>
      </c>
      <c r="G95" s="10">
        <f t="shared" si="5"/>
        <v>1.30854</v>
      </c>
      <c r="H95" s="12">
        <v>1.0</v>
      </c>
      <c r="I95" s="12">
        <v>1.0</v>
      </c>
      <c r="J95" s="12">
        <v>1.0</v>
      </c>
      <c r="K95" s="12">
        <v>1.0</v>
      </c>
      <c r="L95" s="10"/>
      <c r="M95" s="10"/>
      <c r="N95" s="12">
        <v>1.0</v>
      </c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</row>
    <row r="96">
      <c r="A96" s="59">
        <v>45654.0</v>
      </c>
      <c r="B96" s="12" t="s">
        <v>272</v>
      </c>
      <c r="C96" s="12" t="s">
        <v>23</v>
      </c>
      <c r="D96" s="10">
        <f>8*1.13</f>
        <v>9.04</v>
      </c>
      <c r="E96" s="12" t="s">
        <v>14</v>
      </c>
      <c r="F96" s="67">
        <f t="shared" si="4"/>
        <v>9.04</v>
      </c>
      <c r="G96" s="10">
        <f t="shared" si="5"/>
        <v>9.04</v>
      </c>
      <c r="H96" s="10"/>
      <c r="I96" s="10"/>
      <c r="J96" s="12">
        <v>1.0</v>
      </c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</row>
    <row r="97">
      <c r="A97" s="59">
        <v>45657.0</v>
      </c>
      <c r="B97" s="12" t="s">
        <v>787</v>
      </c>
      <c r="C97" s="12" t="s">
        <v>139</v>
      </c>
      <c r="D97" s="12">
        <f>29.67*1.13</f>
        <v>33.5271</v>
      </c>
      <c r="E97" s="12" t="s">
        <v>13</v>
      </c>
      <c r="F97" s="67">
        <f t="shared" si="4"/>
        <v>33.5271</v>
      </c>
      <c r="G97" s="10">
        <f t="shared" si="5"/>
        <v>33.5271</v>
      </c>
      <c r="H97" s="10"/>
      <c r="I97" s="10"/>
      <c r="J97" s="12">
        <v>1.0</v>
      </c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</row>
    <row r="98">
      <c r="A98" s="59">
        <v>45657.0</v>
      </c>
      <c r="B98" s="12" t="s">
        <v>787</v>
      </c>
      <c r="C98" s="12" t="s">
        <v>139</v>
      </c>
      <c r="D98" s="10">
        <f>25.14*5*1.13</f>
        <v>142.041</v>
      </c>
      <c r="E98" s="12" t="s">
        <v>13</v>
      </c>
      <c r="F98" s="67">
        <f t="shared" si="4"/>
        <v>28.4082</v>
      </c>
      <c r="G98" s="10">
        <f t="shared" si="5"/>
        <v>28.4082</v>
      </c>
      <c r="H98" s="12">
        <v>1.0</v>
      </c>
      <c r="I98" s="12">
        <v>1.0</v>
      </c>
      <c r="J98" s="10"/>
      <c r="K98" s="12">
        <v>1.0</v>
      </c>
      <c r="L98" s="12">
        <v>1.0</v>
      </c>
      <c r="M98" s="10"/>
      <c r="N98" s="12">
        <v>1.0</v>
      </c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</row>
    <row r="99">
      <c r="A99" s="59">
        <v>45657.0</v>
      </c>
      <c r="B99" s="12" t="s">
        <v>788</v>
      </c>
      <c r="C99" s="12" t="s">
        <v>139</v>
      </c>
      <c r="D99" s="10">
        <f>39.54*1.13</f>
        <v>44.6802</v>
      </c>
      <c r="E99" s="12" t="s">
        <v>13</v>
      </c>
      <c r="F99" s="67">
        <f t="shared" si="4"/>
        <v>44.6802</v>
      </c>
      <c r="G99" s="10">
        <f t="shared" si="5"/>
        <v>44.6802</v>
      </c>
      <c r="H99" s="10"/>
      <c r="I99" s="10"/>
      <c r="J99" s="10"/>
      <c r="K99" s="10"/>
      <c r="L99" s="12">
        <v>1.0</v>
      </c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</row>
    <row r="100">
      <c r="A100" s="59">
        <v>45657.0</v>
      </c>
      <c r="B100" s="12" t="s">
        <v>789</v>
      </c>
      <c r="C100" s="12" t="s">
        <v>23</v>
      </c>
      <c r="D100" s="10">
        <f>7.97*1.13</f>
        <v>9.0061</v>
      </c>
      <c r="E100" s="12" t="s">
        <v>13</v>
      </c>
      <c r="F100" s="67">
        <f t="shared" si="4"/>
        <v>3.002033333</v>
      </c>
      <c r="G100" s="10">
        <f t="shared" si="5"/>
        <v>3.002033333</v>
      </c>
      <c r="H100" s="10"/>
      <c r="I100" s="10"/>
      <c r="J100" s="12">
        <v>1.0</v>
      </c>
      <c r="K100" s="12">
        <v>1.0</v>
      </c>
      <c r="L100" s="10"/>
      <c r="M100" s="10"/>
      <c r="N100" s="12">
        <v>1.0</v>
      </c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</row>
    <row r="101">
      <c r="A101" s="59">
        <v>45657.0</v>
      </c>
      <c r="B101" s="12" t="s">
        <v>788</v>
      </c>
      <c r="C101" s="12" t="s">
        <v>139</v>
      </c>
      <c r="D101" s="10">
        <f>38.63*1.13</f>
        <v>43.6519</v>
      </c>
      <c r="E101" s="12" t="s">
        <v>13</v>
      </c>
      <c r="F101" s="67">
        <f t="shared" si="4"/>
        <v>43.6519</v>
      </c>
      <c r="G101" s="10">
        <f t="shared" si="5"/>
        <v>43.6519</v>
      </c>
      <c r="H101" s="10"/>
      <c r="I101" s="10"/>
      <c r="J101" s="10"/>
      <c r="K101" s="12">
        <v>1.0</v>
      </c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</row>
    <row r="102">
      <c r="A102" s="59">
        <v>45657.0</v>
      </c>
      <c r="B102" s="12" t="s">
        <v>788</v>
      </c>
      <c r="C102" s="12" t="s">
        <v>139</v>
      </c>
      <c r="D102" s="10">
        <f>27.99*1.13*2</f>
        <v>63.2574</v>
      </c>
      <c r="E102" s="12" t="s">
        <v>13</v>
      </c>
      <c r="F102" s="67">
        <f t="shared" si="4"/>
        <v>31.6287</v>
      </c>
      <c r="G102" s="10">
        <f t="shared" si="5"/>
        <v>31.6287</v>
      </c>
      <c r="H102" s="12">
        <v>1.0</v>
      </c>
      <c r="I102" s="12">
        <v>1.0</v>
      </c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</row>
    <row r="103">
      <c r="A103" s="59">
        <v>45657.0</v>
      </c>
      <c r="B103" s="12" t="s">
        <v>790</v>
      </c>
      <c r="C103" s="12" t="s">
        <v>25</v>
      </c>
      <c r="D103" s="10">
        <f>39.99*1.13</f>
        <v>45.1887</v>
      </c>
      <c r="E103" s="12" t="s">
        <v>13</v>
      </c>
      <c r="F103" s="67">
        <f t="shared" si="4"/>
        <v>22.59435</v>
      </c>
      <c r="G103" s="10">
        <f t="shared" si="5"/>
        <v>22.59435</v>
      </c>
      <c r="H103" s="10"/>
      <c r="I103" s="10"/>
      <c r="J103" s="12">
        <v>1.0</v>
      </c>
      <c r="K103" s="10"/>
      <c r="L103" s="10"/>
      <c r="M103" s="10"/>
      <c r="N103" s="12">
        <v>1.0</v>
      </c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</row>
    <row r="104">
      <c r="A104" s="59">
        <v>45653.0</v>
      </c>
      <c r="B104" s="12" t="s">
        <v>52</v>
      </c>
      <c r="C104" s="12" t="s">
        <v>11</v>
      </c>
      <c r="D104" s="12">
        <v>3.75</v>
      </c>
      <c r="E104" s="12" t="s">
        <v>14</v>
      </c>
      <c r="F104" s="67">
        <f t="shared" si="4"/>
        <v>0.9375</v>
      </c>
      <c r="G104" s="10">
        <f t="shared" si="5"/>
        <v>0.9375</v>
      </c>
      <c r="H104" s="12">
        <v>1.0</v>
      </c>
      <c r="I104" s="12">
        <v>1.0</v>
      </c>
      <c r="J104" s="12">
        <v>1.0</v>
      </c>
      <c r="K104" s="12">
        <v>1.0</v>
      </c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</row>
    <row r="105">
      <c r="A105" s="59">
        <v>45654.0</v>
      </c>
      <c r="B105" s="12" t="s">
        <v>791</v>
      </c>
      <c r="C105" s="12" t="s">
        <v>27</v>
      </c>
      <c r="D105" s="12">
        <f>(13+2)*1.13</f>
        <v>16.95</v>
      </c>
      <c r="E105" s="12" t="s">
        <v>13</v>
      </c>
      <c r="F105" s="67">
        <f t="shared" si="4"/>
        <v>3.39</v>
      </c>
      <c r="G105" s="10">
        <f t="shared" si="5"/>
        <v>3.39</v>
      </c>
      <c r="H105" s="12">
        <v>1.0</v>
      </c>
      <c r="I105" s="12">
        <v>1.0</v>
      </c>
      <c r="J105" s="12">
        <v>1.0</v>
      </c>
      <c r="K105" s="12">
        <v>1.0</v>
      </c>
      <c r="L105" s="10"/>
      <c r="M105" s="10"/>
      <c r="N105" s="12">
        <v>1.0</v>
      </c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</row>
    <row r="106">
      <c r="A106" s="59">
        <v>45654.0</v>
      </c>
      <c r="B106" s="12" t="s">
        <v>791</v>
      </c>
      <c r="C106" s="12" t="s">
        <v>139</v>
      </c>
      <c r="D106" s="12">
        <f>(10+25)*1.13+10*1.05</f>
        <v>50.05</v>
      </c>
      <c r="E106" s="12" t="s">
        <v>13</v>
      </c>
      <c r="F106" s="67">
        <f t="shared" si="4"/>
        <v>50.05</v>
      </c>
      <c r="G106" s="10">
        <f t="shared" si="5"/>
        <v>50.05</v>
      </c>
      <c r="H106" s="10"/>
      <c r="I106" s="10"/>
      <c r="J106" s="12">
        <v>1.0</v>
      </c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</row>
    <row r="107">
      <c r="A107" s="59">
        <v>45654.0</v>
      </c>
      <c r="B107" s="12" t="s">
        <v>791</v>
      </c>
      <c r="C107" s="12" t="s">
        <v>139</v>
      </c>
      <c r="D107" s="10">
        <f>25*1.13</f>
        <v>28.25</v>
      </c>
      <c r="E107" s="12" t="s">
        <v>13</v>
      </c>
      <c r="F107" s="67">
        <f t="shared" si="4"/>
        <v>28.25</v>
      </c>
      <c r="G107" s="10">
        <f t="shared" si="5"/>
        <v>28.25</v>
      </c>
      <c r="H107" s="12">
        <v>1.0</v>
      </c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</row>
    <row r="108">
      <c r="A108" s="59">
        <v>45654.0</v>
      </c>
      <c r="B108" s="12" t="s">
        <v>791</v>
      </c>
      <c r="C108" s="12" t="s">
        <v>139</v>
      </c>
      <c r="D108" s="10">
        <f>18+1.4</f>
        <v>19.4</v>
      </c>
      <c r="E108" s="12" t="s">
        <v>13</v>
      </c>
      <c r="F108" s="67">
        <f t="shared" si="4"/>
        <v>19.4</v>
      </c>
      <c r="G108" s="10">
        <f t="shared" si="5"/>
        <v>19.4</v>
      </c>
      <c r="H108" s="10"/>
      <c r="I108" s="12">
        <v>1.0</v>
      </c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>
      <c r="A109" s="59">
        <v>45654.0</v>
      </c>
      <c r="B109" s="12" t="s">
        <v>399</v>
      </c>
      <c r="C109" s="12" t="s">
        <v>29</v>
      </c>
      <c r="D109" s="12">
        <v>29.38</v>
      </c>
      <c r="E109" s="12" t="s">
        <v>2</v>
      </c>
      <c r="F109" s="67">
        <f t="shared" si="4"/>
        <v>5.876</v>
      </c>
      <c r="G109" s="10">
        <f t="shared" si="5"/>
        <v>5.876</v>
      </c>
      <c r="H109" s="12">
        <v>1.0</v>
      </c>
      <c r="I109" s="12">
        <v>1.0</v>
      </c>
      <c r="J109" s="12">
        <v>1.0</v>
      </c>
      <c r="K109" s="12">
        <v>1.0</v>
      </c>
      <c r="L109" s="10"/>
      <c r="M109" s="10"/>
      <c r="N109" s="12">
        <v>1.0</v>
      </c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>
      <c r="A110" s="59">
        <v>45654.0</v>
      </c>
      <c r="B110" s="12" t="s">
        <v>792</v>
      </c>
      <c r="C110" s="12" t="s">
        <v>11</v>
      </c>
      <c r="D110" s="12">
        <v>216.36</v>
      </c>
      <c r="E110" s="12" t="s">
        <v>14</v>
      </c>
      <c r="F110" s="67">
        <f t="shared" si="4"/>
        <v>43.272</v>
      </c>
      <c r="G110" s="10">
        <f t="shared" si="5"/>
        <v>43.272</v>
      </c>
      <c r="H110" s="12">
        <v>1.0</v>
      </c>
      <c r="I110" s="12">
        <v>1.0</v>
      </c>
      <c r="J110" s="12">
        <v>1.0</v>
      </c>
      <c r="K110" s="12">
        <v>1.0</v>
      </c>
      <c r="L110" s="10"/>
      <c r="M110" s="10"/>
      <c r="N110" s="12">
        <v>1.0</v>
      </c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>
      <c r="A111" s="59">
        <v>45641.0</v>
      </c>
      <c r="B111" s="12" t="s">
        <v>793</v>
      </c>
      <c r="C111" s="12" t="s">
        <v>23</v>
      </c>
      <c r="D111" s="10">
        <f>2.99*1.13</f>
        <v>3.3787</v>
      </c>
      <c r="E111" s="12" t="s">
        <v>288</v>
      </c>
      <c r="F111" s="67">
        <f t="shared" si="4"/>
        <v>0.67574</v>
      </c>
      <c r="G111" s="10">
        <f t="shared" si="5"/>
        <v>0.67574</v>
      </c>
      <c r="H111" s="12">
        <v>1.0</v>
      </c>
      <c r="I111" s="12">
        <v>1.0</v>
      </c>
      <c r="J111" s="12">
        <v>1.0</v>
      </c>
      <c r="K111" s="12">
        <v>1.0</v>
      </c>
      <c r="L111" s="10"/>
      <c r="M111" s="10"/>
      <c r="N111" s="12">
        <v>1.0</v>
      </c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>
      <c r="A112" s="59">
        <v>45643.0</v>
      </c>
      <c r="B112" s="12" t="s">
        <v>794</v>
      </c>
      <c r="C112" s="12" t="s">
        <v>23</v>
      </c>
      <c r="D112" s="81">
        <f>5.19+4.47+11.48+4.68+14.69+10.29+3.23</f>
        <v>54.03</v>
      </c>
      <c r="E112" s="12" t="s">
        <v>288</v>
      </c>
      <c r="F112" s="67">
        <f t="shared" si="4"/>
        <v>10.806</v>
      </c>
      <c r="G112" s="10">
        <f t="shared" si="5"/>
        <v>10.806</v>
      </c>
      <c r="H112" s="12">
        <v>1.0</v>
      </c>
      <c r="I112" s="12">
        <v>1.0</v>
      </c>
      <c r="J112" s="12">
        <v>1.0</v>
      </c>
      <c r="K112" s="12">
        <v>1.0</v>
      </c>
      <c r="L112" s="10"/>
      <c r="M112" s="10"/>
      <c r="N112" s="12">
        <v>1.0</v>
      </c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>
      <c r="A113" s="59">
        <v>45643.0</v>
      </c>
      <c r="B113" s="12" t="s">
        <v>795</v>
      </c>
      <c r="C113" s="12" t="s">
        <v>33</v>
      </c>
      <c r="D113" s="118">
        <f>1.78+0.89+1.47+1.48+2.17+2.18</f>
        <v>9.97</v>
      </c>
      <c r="E113" s="12" t="s">
        <v>288</v>
      </c>
      <c r="F113" s="67">
        <f t="shared" si="4"/>
        <v>9.97</v>
      </c>
      <c r="G113" s="10">
        <f t="shared" si="5"/>
        <v>9.97</v>
      </c>
      <c r="H113" s="10"/>
      <c r="I113" s="10"/>
      <c r="J113" s="10"/>
      <c r="K113" s="10"/>
      <c r="L113" s="10"/>
      <c r="M113" s="10"/>
      <c r="N113" s="12">
        <v>1.0</v>
      </c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>
      <c r="A114" s="59">
        <v>45643.0</v>
      </c>
      <c r="B114" s="12" t="s">
        <v>796</v>
      </c>
      <c r="C114" s="12" t="s">
        <v>33</v>
      </c>
      <c r="D114" s="118">
        <f>3.48</f>
        <v>3.48</v>
      </c>
      <c r="E114" s="12" t="s">
        <v>288</v>
      </c>
      <c r="F114" s="67">
        <f t="shared" si="4"/>
        <v>1.74</v>
      </c>
      <c r="G114" s="10">
        <f t="shared" si="5"/>
        <v>1.74</v>
      </c>
      <c r="H114" s="10"/>
      <c r="I114" s="10"/>
      <c r="J114" s="10"/>
      <c r="K114" s="12">
        <v>1.0</v>
      </c>
      <c r="L114" s="10"/>
      <c r="M114" s="10"/>
      <c r="N114" s="12">
        <v>1.0</v>
      </c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>
      <c r="A115" s="59">
        <v>45643.0</v>
      </c>
      <c r="B115" s="12" t="s">
        <v>797</v>
      </c>
      <c r="C115" s="12" t="s">
        <v>25</v>
      </c>
      <c r="D115" s="118">
        <f>16.38</f>
        <v>16.38</v>
      </c>
      <c r="E115" s="12" t="s">
        <v>288</v>
      </c>
      <c r="F115" s="67">
        <f t="shared" si="4"/>
        <v>16.38</v>
      </c>
      <c r="G115" s="10">
        <f t="shared" si="5"/>
        <v>16.38</v>
      </c>
      <c r="H115" s="10"/>
      <c r="I115" s="10"/>
      <c r="J115" s="10"/>
      <c r="K115" s="10"/>
      <c r="L115" s="10"/>
      <c r="M115" s="10"/>
      <c r="N115" s="12">
        <v>1.0</v>
      </c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>
      <c r="A116" s="59">
        <v>45643.0</v>
      </c>
      <c r="B116" s="12" t="s">
        <v>798</v>
      </c>
      <c r="C116" s="12" t="s">
        <v>23</v>
      </c>
      <c r="D116" s="81">
        <f>2.48+3.59+3.59+4.89+15.74+2.98</f>
        <v>33.27</v>
      </c>
      <c r="E116" s="12" t="s">
        <v>288</v>
      </c>
      <c r="F116" s="67">
        <f t="shared" si="4"/>
        <v>33.27</v>
      </c>
      <c r="G116" s="10">
        <f t="shared" si="5"/>
        <v>33.27</v>
      </c>
      <c r="H116" s="10"/>
      <c r="I116" s="10"/>
      <c r="J116" s="10"/>
      <c r="K116" s="12">
        <v>1.0</v>
      </c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>
      <c r="A117" s="59">
        <v>45643.0</v>
      </c>
      <c r="B117" s="12" t="s">
        <v>799</v>
      </c>
      <c r="C117" s="12" t="s">
        <v>23</v>
      </c>
      <c r="D117" s="118">
        <f>0.97</f>
        <v>0.97</v>
      </c>
      <c r="E117" s="12" t="s">
        <v>288</v>
      </c>
      <c r="F117" s="67">
        <f t="shared" ref="F117:F133" si="6">D117/sum(H117:O117)</f>
        <v>0.3233333333</v>
      </c>
      <c r="G117" s="10">
        <f t="shared" si="5"/>
        <v>0.3233333333</v>
      </c>
      <c r="H117" s="10"/>
      <c r="I117" s="10"/>
      <c r="J117" s="12">
        <v>1.0</v>
      </c>
      <c r="K117" s="12">
        <v>1.0</v>
      </c>
      <c r="L117" s="10"/>
      <c r="M117" s="10"/>
      <c r="N117" s="12">
        <v>1.0</v>
      </c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>
      <c r="A118" s="59">
        <v>45643.0</v>
      </c>
      <c r="B118" s="12" t="s">
        <v>800</v>
      </c>
      <c r="C118" s="12" t="s">
        <v>25</v>
      </c>
      <c r="D118" s="118">
        <f>17.48</f>
        <v>17.48</v>
      </c>
      <c r="E118" s="12" t="s">
        <v>288</v>
      </c>
      <c r="F118" s="67">
        <f t="shared" si="6"/>
        <v>17.48</v>
      </c>
      <c r="G118" s="10">
        <f t="shared" si="5"/>
        <v>17.48</v>
      </c>
      <c r="H118" s="10"/>
      <c r="I118" s="10"/>
      <c r="J118" s="10"/>
      <c r="K118" s="10"/>
      <c r="L118" s="10"/>
      <c r="M118" s="10"/>
      <c r="N118" s="12">
        <v>1.0</v>
      </c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>
      <c r="A119" s="59">
        <v>45644.0</v>
      </c>
      <c r="B119" s="12" t="s">
        <v>801</v>
      </c>
      <c r="C119" s="12" t="s">
        <v>33</v>
      </c>
      <c r="D119" s="118">
        <f>0.89*1.13</f>
        <v>1.0057</v>
      </c>
      <c r="E119" s="12" t="s">
        <v>288</v>
      </c>
      <c r="F119" s="67">
        <f t="shared" si="6"/>
        <v>0.3352333333</v>
      </c>
      <c r="G119" s="10">
        <f t="shared" si="5"/>
        <v>0.3352333333</v>
      </c>
      <c r="H119" s="10"/>
      <c r="I119" s="12">
        <v>1.0</v>
      </c>
      <c r="J119" s="10"/>
      <c r="K119" s="12">
        <v>1.0</v>
      </c>
      <c r="L119" s="10"/>
      <c r="M119" s="10"/>
      <c r="N119" s="12">
        <v>1.0</v>
      </c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>
      <c r="A120" s="59">
        <v>45644.0</v>
      </c>
      <c r="B120" s="12" t="s">
        <v>802</v>
      </c>
      <c r="C120" s="12" t="s">
        <v>139</v>
      </c>
      <c r="D120" s="10">
        <f>14.47*2*1.13</f>
        <v>32.7022</v>
      </c>
      <c r="E120" s="12" t="s">
        <v>288</v>
      </c>
      <c r="F120" s="67">
        <f t="shared" si="6"/>
        <v>16.3511</v>
      </c>
      <c r="G120" s="10">
        <f t="shared" si="5"/>
        <v>16.3511</v>
      </c>
      <c r="H120" s="10"/>
      <c r="I120" s="12">
        <v>1.0</v>
      </c>
      <c r="J120" s="10"/>
      <c r="K120" s="12">
        <v>1.0</v>
      </c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>
      <c r="A121" s="59">
        <v>45644.0</v>
      </c>
      <c r="B121" s="12" t="s">
        <v>802</v>
      </c>
      <c r="C121" s="12" t="s">
        <v>139</v>
      </c>
      <c r="D121" s="10">
        <f>9.47*1.13</f>
        <v>10.7011</v>
      </c>
      <c r="E121" s="12" t="s">
        <v>288</v>
      </c>
      <c r="F121" s="67">
        <f t="shared" si="6"/>
        <v>10.7011</v>
      </c>
      <c r="G121" s="10">
        <f t="shared" si="5"/>
        <v>10.7011</v>
      </c>
      <c r="H121" s="12">
        <v>1.0</v>
      </c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>
      <c r="A122" s="59">
        <v>45644.0</v>
      </c>
      <c r="B122" s="12" t="s">
        <v>803</v>
      </c>
      <c r="C122" s="12" t="s">
        <v>33</v>
      </c>
      <c r="D122" s="12">
        <f>6.36*1.13</f>
        <v>7.1868</v>
      </c>
      <c r="E122" s="12" t="s">
        <v>14</v>
      </c>
      <c r="F122" s="67">
        <f t="shared" si="6"/>
        <v>7.1868</v>
      </c>
      <c r="G122" s="10">
        <f t="shared" ref="G122:G133" si="7">D122/sum(H122:O122)</f>
        <v>7.1868</v>
      </c>
      <c r="H122" s="10"/>
      <c r="I122" s="12">
        <v>1.0</v>
      </c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>
      <c r="A123" s="59">
        <v>45644.0</v>
      </c>
      <c r="B123" s="12" t="s">
        <v>803</v>
      </c>
      <c r="C123" s="12" t="s">
        <v>33</v>
      </c>
      <c r="D123" s="12">
        <f>3.74*1.13</f>
        <v>4.2262</v>
      </c>
      <c r="E123" s="12" t="s">
        <v>14</v>
      </c>
      <c r="F123" s="67">
        <f t="shared" si="6"/>
        <v>4.2262</v>
      </c>
      <c r="G123" s="10">
        <f t="shared" si="7"/>
        <v>4.2262</v>
      </c>
      <c r="H123" s="10"/>
      <c r="I123" s="10"/>
      <c r="J123" s="10"/>
      <c r="K123" s="10"/>
      <c r="L123" s="10"/>
      <c r="M123" s="10"/>
      <c r="N123" s="12">
        <v>1.0</v>
      </c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>
      <c r="A124" s="59">
        <v>45644.0</v>
      </c>
      <c r="B124" s="12" t="s">
        <v>803</v>
      </c>
      <c r="C124" s="12" t="s">
        <v>33</v>
      </c>
      <c r="D124" s="12">
        <f>4.85*2*1.13</f>
        <v>10.961</v>
      </c>
      <c r="E124" s="12" t="s">
        <v>14</v>
      </c>
      <c r="F124" s="67">
        <f t="shared" si="6"/>
        <v>10.961</v>
      </c>
      <c r="G124" s="10">
        <f t="shared" si="7"/>
        <v>10.961</v>
      </c>
      <c r="H124" s="10"/>
      <c r="I124" s="10"/>
      <c r="J124" s="10"/>
      <c r="K124" s="12">
        <v>1.0</v>
      </c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>
      <c r="A125" s="59">
        <v>45644.0</v>
      </c>
      <c r="B125" s="12" t="s">
        <v>138</v>
      </c>
      <c r="C125" s="12" t="s">
        <v>139</v>
      </c>
      <c r="D125" s="10">
        <f>3.68*1.13</f>
        <v>4.1584</v>
      </c>
      <c r="E125" s="12" t="s">
        <v>14</v>
      </c>
      <c r="F125" s="67">
        <f t="shared" si="6"/>
        <v>4.1584</v>
      </c>
      <c r="G125" s="10">
        <f t="shared" si="7"/>
        <v>4.1584</v>
      </c>
      <c r="H125" s="10"/>
      <c r="I125" s="10"/>
      <c r="J125" s="10"/>
      <c r="K125" s="12">
        <v>1.0</v>
      </c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>
      <c r="A126" s="59">
        <v>45644.0</v>
      </c>
      <c r="B126" s="12" t="s">
        <v>804</v>
      </c>
      <c r="C126" s="12" t="s">
        <v>33</v>
      </c>
      <c r="D126" s="10">
        <f>2.97*1.13</f>
        <v>3.3561</v>
      </c>
      <c r="E126" s="12" t="s">
        <v>14</v>
      </c>
      <c r="F126" s="67">
        <f t="shared" si="6"/>
        <v>1.67805</v>
      </c>
      <c r="G126" s="10">
        <f t="shared" si="7"/>
        <v>1.67805</v>
      </c>
      <c r="H126" s="10"/>
      <c r="I126" s="10"/>
      <c r="J126" s="12">
        <v>1.0</v>
      </c>
      <c r="K126" s="12">
        <v>1.0</v>
      </c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>
      <c r="A127" s="59">
        <v>45644.0</v>
      </c>
      <c r="B127" s="12" t="s">
        <v>805</v>
      </c>
      <c r="C127" s="12" t="s">
        <v>27</v>
      </c>
      <c r="D127" s="10">
        <f>6.48*1.13</f>
        <v>7.3224</v>
      </c>
      <c r="E127" s="12" t="s">
        <v>14</v>
      </c>
      <c r="F127" s="67">
        <f t="shared" si="6"/>
        <v>1.46448</v>
      </c>
      <c r="G127" s="10">
        <f t="shared" si="7"/>
        <v>1.46448</v>
      </c>
      <c r="H127" s="12">
        <v>1.0</v>
      </c>
      <c r="I127" s="12">
        <v>1.0</v>
      </c>
      <c r="J127" s="12">
        <v>1.0</v>
      </c>
      <c r="K127" s="12">
        <v>1.0</v>
      </c>
      <c r="L127" s="10"/>
      <c r="M127" s="10"/>
      <c r="N127" s="12">
        <v>1.0</v>
      </c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>
      <c r="A128" s="59">
        <v>45644.0</v>
      </c>
      <c r="B128" s="12" t="s">
        <v>806</v>
      </c>
      <c r="C128" s="12" t="s">
        <v>33</v>
      </c>
      <c r="D128" s="10">
        <f>9.29*1.13</f>
        <v>10.4977</v>
      </c>
      <c r="E128" s="12" t="s">
        <v>14</v>
      </c>
      <c r="F128" s="67">
        <f t="shared" si="6"/>
        <v>10.4977</v>
      </c>
      <c r="G128" s="10">
        <f t="shared" si="7"/>
        <v>10.4977</v>
      </c>
      <c r="H128" s="12">
        <v>1.0</v>
      </c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>
      <c r="A129" s="59">
        <v>45644.0</v>
      </c>
      <c r="B129" s="12" t="s">
        <v>807</v>
      </c>
      <c r="C129" s="12" t="s">
        <v>23</v>
      </c>
      <c r="D129" s="10">
        <f>(10.37+8.6)*1.13</f>
        <v>21.4361</v>
      </c>
      <c r="E129" s="12" t="s">
        <v>14</v>
      </c>
      <c r="F129" s="67">
        <f t="shared" si="6"/>
        <v>21.4361</v>
      </c>
      <c r="G129" s="10">
        <f t="shared" si="7"/>
        <v>21.4361</v>
      </c>
      <c r="H129" s="10"/>
      <c r="I129" s="12">
        <v>1.0</v>
      </c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>
      <c r="A130" s="10"/>
      <c r="B130" s="10"/>
      <c r="C130" s="10"/>
      <c r="D130" s="10"/>
      <c r="E130" s="10"/>
      <c r="F130" s="67" t="str">
        <f t="shared" si="6"/>
        <v>#DIV/0!</v>
      </c>
      <c r="G130" s="10" t="str">
        <f t="shared" si="7"/>
        <v>#DIV/0!</v>
      </c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>
      <c r="A131" s="10"/>
      <c r="B131" s="10"/>
      <c r="C131" s="10"/>
      <c r="D131" s="10"/>
      <c r="E131" s="10"/>
      <c r="F131" s="67" t="str">
        <f t="shared" si="6"/>
        <v>#DIV/0!</v>
      </c>
      <c r="G131" s="10" t="str">
        <f t="shared" si="7"/>
        <v>#DIV/0!</v>
      </c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>
      <c r="A132" s="10"/>
      <c r="B132" s="10"/>
      <c r="C132" s="10"/>
      <c r="D132" s="10"/>
      <c r="E132" s="10"/>
      <c r="F132" s="67" t="str">
        <f t="shared" si="6"/>
        <v>#DIV/0!</v>
      </c>
      <c r="G132" s="10" t="str">
        <f t="shared" si="7"/>
        <v>#DIV/0!</v>
      </c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>
      <c r="A133" s="10"/>
      <c r="B133" s="10"/>
      <c r="C133" s="10"/>
      <c r="D133" s="10"/>
      <c r="E133" s="10"/>
      <c r="F133" s="67" t="str">
        <f t="shared" si="6"/>
        <v>#DIV/0!</v>
      </c>
      <c r="G133" s="10" t="str">
        <f t="shared" si="7"/>
        <v>#DIV/0!</v>
      </c>
      <c r="H133" s="10"/>
      <c r="I133" s="10"/>
      <c r="J133" s="10"/>
      <c r="K133" s="10"/>
      <c r="L133" s="10"/>
      <c r="M133" s="10"/>
      <c r="N133" s="10"/>
      <c r="O133" s="10"/>
      <c r="P133" s="12" t="s">
        <v>157</v>
      </c>
      <c r="Q133" s="12" t="s">
        <v>464</v>
      </c>
      <c r="R133" s="12" t="s">
        <v>774</v>
      </c>
      <c r="S133" s="12" t="s">
        <v>775</v>
      </c>
      <c r="T133" s="12" t="s">
        <v>776</v>
      </c>
      <c r="U133" s="12" t="s">
        <v>777</v>
      </c>
      <c r="V133" s="12" t="s">
        <v>778</v>
      </c>
      <c r="W133" s="12" t="s">
        <v>404</v>
      </c>
      <c r="X133" s="10"/>
      <c r="Y133" s="10"/>
      <c r="Z133" s="10"/>
      <c r="AA133" s="10"/>
    </row>
    <row r="134">
      <c r="A134" s="244">
        <v>45284.0</v>
      </c>
      <c r="B134" s="245" t="s">
        <v>808</v>
      </c>
      <c r="C134" s="65" t="s">
        <v>11</v>
      </c>
      <c r="D134" s="245">
        <v>150.97</v>
      </c>
      <c r="E134" s="245" t="s">
        <v>4</v>
      </c>
      <c r="F134" s="245">
        <f t="shared" ref="F134:F140" si="8">D134/sum(H134:Z134)</f>
        <v>15.097</v>
      </c>
      <c r="G134" s="246"/>
      <c r="H134" s="247">
        <v>1.0</v>
      </c>
      <c r="I134" s="248">
        <v>1.0</v>
      </c>
      <c r="J134" s="248">
        <v>1.0</v>
      </c>
      <c r="K134" s="248">
        <v>1.0</v>
      </c>
      <c r="L134" s="57"/>
      <c r="M134" s="57"/>
      <c r="N134" s="248">
        <v>1.0</v>
      </c>
      <c r="O134" s="57"/>
      <c r="P134" s="248">
        <v>1.0</v>
      </c>
      <c r="Q134" s="245">
        <v>1.0</v>
      </c>
      <c r="R134" s="248">
        <v>1.0</v>
      </c>
      <c r="S134" s="57"/>
      <c r="T134" s="248">
        <v>1.0</v>
      </c>
      <c r="U134" s="248">
        <v>1.0</v>
      </c>
      <c r="V134" s="57"/>
      <c r="W134" s="57"/>
      <c r="X134" s="57"/>
      <c r="Y134" s="57"/>
      <c r="Z134" s="57"/>
      <c r="AA134" s="57"/>
    </row>
    <row r="135">
      <c r="A135" s="249">
        <v>45284.0</v>
      </c>
      <c r="B135" s="245" t="s">
        <v>808</v>
      </c>
      <c r="C135" s="65" t="s">
        <v>11</v>
      </c>
      <c r="D135" s="250">
        <f>8.92+8.31+4.58*1.13</f>
        <v>22.4054</v>
      </c>
      <c r="E135" s="245" t="s">
        <v>13</v>
      </c>
      <c r="F135" s="245">
        <f t="shared" si="8"/>
        <v>2.24054</v>
      </c>
      <c r="G135" s="245"/>
      <c r="H135" s="248">
        <v>1.0</v>
      </c>
      <c r="I135" s="248">
        <v>1.0</v>
      </c>
      <c r="J135" s="248">
        <v>1.0</v>
      </c>
      <c r="K135" s="248">
        <v>1.0</v>
      </c>
      <c r="L135" s="57"/>
      <c r="M135" s="57"/>
      <c r="N135" s="248">
        <v>1.0</v>
      </c>
      <c r="O135" s="57"/>
      <c r="P135" s="248">
        <v>1.0</v>
      </c>
      <c r="Q135" s="245">
        <v>1.0</v>
      </c>
      <c r="R135" s="248">
        <v>1.0</v>
      </c>
      <c r="S135" s="57"/>
      <c r="T135" s="248">
        <v>1.0</v>
      </c>
      <c r="U135" s="248">
        <v>1.0</v>
      </c>
      <c r="V135" s="57"/>
      <c r="W135" s="57"/>
      <c r="X135" s="57"/>
      <c r="Y135" s="57"/>
      <c r="Z135" s="57"/>
      <c r="AA135" s="57"/>
    </row>
    <row r="136">
      <c r="A136" s="251">
        <v>45289.0</v>
      </c>
      <c r="B136" s="252" t="s">
        <v>808</v>
      </c>
      <c r="C136" s="65" t="s">
        <v>11</v>
      </c>
      <c r="D136" s="248">
        <f>10.99+4.49+7.99+1.43+2.99+7.09</f>
        <v>34.98</v>
      </c>
      <c r="E136" s="252" t="s">
        <v>7</v>
      </c>
      <c r="F136" s="252">
        <f t="shared" si="8"/>
        <v>3.18</v>
      </c>
      <c r="G136" s="252"/>
      <c r="H136" s="248">
        <v>1.0</v>
      </c>
      <c r="I136" s="248">
        <v>1.0</v>
      </c>
      <c r="J136" s="248">
        <v>1.0</v>
      </c>
      <c r="K136" s="248">
        <v>1.0</v>
      </c>
      <c r="L136" s="248">
        <v>1.0</v>
      </c>
      <c r="M136" s="248">
        <v>1.0</v>
      </c>
      <c r="N136" s="248">
        <v>1.0</v>
      </c>
      <c r="O136" s="248">
        <v>1.0</v>
      </c>
      <c r="P136" s="64"/>
      <c r="Q136" s="64"/>
      <c r="R136" s="64"/>
      <c r="S136" s="248">
        <v>1.0</v>
      </c>
      <c r="T136" s="64"/>
      <c r="U136" s="64"/>
      <c r="V136" s="248">
        <v>1.0</v>
      </c>
      <c r="W136" s="248">
        <v>1.0</v>
      </c>
      <c r="X136" s="64"/>
      <c r="Y136" s="64"/>
      <c r="Z136" s="64"/>
      <c r="AA136" s="64"/>
    </row>
    <row r="137">
      <c r="A137" s="251">
        <v>45655.0</v>
      </c>
      <c r="B137" s="252" t="s">
        <v>808</v>
      </c>
      <c r="C137" s="65" t="s">
        <v>11</v>
      </c>
      <c r="D137" s="252">
        <v>7.92</v>
      </c>
      <c r="E137" s="252" t="s">
        <v>14</v>
      </c>
      <c r="F137" s="252">
        <f t="shared" si="8"/>
        <v>0.72</v>
      </c>
      <c r="G137" s="252"/>
      <c r="H137" s="248">
        <v>1.0</v>
      </c>
      <c r="I137" s="248">
        <v>1.0</v>
      </c>
      <c r="J137" s="248">
        <v>1.0</v>
      </c>
      <c r="K137" s="248">
        <v>1.0</v>
      </c>
      <c r="L137" s="248">
        <v>1.0</v>
      </c>
      <c r="M137" s="248">
        <v>1.0</v>
      </c>
      <c r="N137" s="248">
        <v>1.0</v>
      </c>
      <c r="O137" s="248">
        <v>1.0</v>
      </c>
      <c r="P137" s="64"/>
      <c r="Q137" s="64"/>
      <c r="R137" s="64"/>
      <c r="S137" s="248">
        <v>1.0</v>
      </c>
      <c r="T137" s="64"/>
      <c r="U137" s="64"/>
      <c r="V137" s="248">
        <v>1.0</v>
      </c>
      <c r="W137" s="248">
        <v>1.0</v>
      </c>
      <c r="X137" s="64"/>
      <c r="Y137" s="64"/>
      <c r="Z137" s="64"/>
      <c r="AA137" s="64"/>
    </row>
    <row r="138">
      <c r="A138" s="251">
        <v>45654.0</v>
      </c>
      <c r="B138" s="252" t="s">
        <v>808</v>
      </c>
      <c r="C138" s="65" t="s">
        <v>11</v>
      </c>
      <c r="D138" s="252">
        <f>4.49*1.13+7*1.13+3.79+1.79+2.49*1.13+7.99+6.99+16.59*1.13+0.2*1.13+10.88+28.94+17.01+6.99+7.49+9.99+0.99+0.7*1.13</f>
        <v>138.4111</v>
      </c>
      <c r="E138" s="252" t="s">
        <v>14</v>
      </c>
      <c r="F138" s="252">
        <f t="shared" si="8"/>
        <v>12.58282727</v>
      </c>
      <c r="G138" s="252"/>
      <c r="H138" s="248">
        <v>1.0</v>
      </c>
      <c r="I138" s="248">
        <v>1.0</v>
      </c>
      <c r="J138" s="248">
        <v>1.0</v>
      </c>
      <c r="K138" s="248">
        <v>1.0</v>
      </c>
      <c r="L138" s="248">
        <v>1.0</v>
      </c>
      <c r="M138" s="248">
        <v>1.0</v>
      </c>
      <c r="N138" s="248">
        <v>1.0</v>
      </c>
      <c r="O138" s="248">
        <v>1.0</v>
      </c>
      <c r="P138" s="64"/>
      <c r="Q138" s="64"/>
      <c r="R138" s="64"/>
      <c r="S138" s="248">
        <v>1.0</v>
      </c>
      <c r="T138" s="64"/>
      <c r="U138" s="64"/>
      <c r="V138" s="248">
        <v>1.0</v>
      </c>
      <c r="W138" s="248">
        <v>1.0</v>
      </c>
      <c r="X138" s="64"/>
      <c r="Y138" s="64"/>
      <c r="Z138" s="64"/>
      <c r="AA138" s="64"/>
    </row>
    <row r="139">
      <c r="A139" s="251">
        <v>45655.0</v>
      </c>
      <c r="B139" s="252" t="s">
        <v>809</v>
      </c>
      <c r="C139" s="65" t="s">
        <v>11</v>
      </c>
      <c r="D139" s="248">
        <v>41.6</v>
      </c>
      <c r="E139" s="252" t="s">
        <v>8</v>
      </c>
      <c r="F139" s="252">
        <f t="shared" si="8"/>
        <v>3.781818182</v>
      </c>
      <c r="G139" s="252"/>
      <c r="H139" s="248">
        <v>1.0</v>
      </c>
      <c r="I139" s="248">
        <v>1.0</v>
      </c>
      <c r="J139" s="248">
        <v>1.0</v>
      </c>
      <c r="K139" s="248">
        <v>1.0</v>
      </c>
      <c r="L139" s="248">
        <v>1.0</v>
      </c>
      <c r="M139" s="248">
        <v>1.0</v>
      </c>
      <c r="N139" s="248">
        <v>1.0</v>
      </c>
      <c r="O139" s="248">
        <v>1.0</v>
      </c>
      <c r="P139" s="64"/>
      <c r="Q139" s="64"/>
      <c r="R139" s="64"/>
      <c r="S139" s="248">
        <v>1.0</v>
      </c>
      <c r="T139" s="64"/>
      <c r="U139" s="64"/>
      <c r="V139" s="248">
        <v>1.0</v>
      </c>
      <c r="W139" s="248">
        <v>1.0</v>
      </c>
      <c r="X139" s="64"/>
      <c r="Y139" s="64"/>
      <c r="Z139" s="64"/>
      <c r="AA139" s="64"/>
    </row>
    <row r="140">
      <c r="A140" s="249">
        <v>45650.0</v>
      </c>
      <c r="B140" s="245" t="s">
        <v>810</v>
      </c>
      <c r="C140" s="65" t="s">
        <v>11</v>
      </c>
      <c r="D140" s="245">
        <f>51.56+4.59</f>
        <v>56.15</v>
      </c>
      <c r="E140" s="245" t="s">
        <v>733</v>
      </c>
      <c r="F140" s="245">
        <f t="shared" si="8"/>
        <v>5.615</v>
      </c>
      <c r="G140" s="245"/>
      <c r="H140" s="248">
        <v>1.0</v>
      </c>
      <c r="I140" s="248">
        <v>1.0</v>
      </c>
      <c r="J140" s="248">
        <v>1.0</v>
      </c>
      <c r="K140" s="248">
        <v>1.0</v>
      </c>
      <c r="L140" s="57"/>
      <c r="M140" s="57"/>
      <c r="N140" s="248">
        <v>1.0</v>
      </c>
      <c r="O140" s="57"/>
      <c r="P140" s="248">
        <v>1.0</v>
      </c>
      <c r="Q140" s="245">
        <v>1.0</v>
      </c>
      <c r="R140" s="248">
        <v>1.0</v>
      </c>
      <c r="S140" s="57"/>
      <c r="T140" s="248">
        <v>1.0</v>
      </c>
      <c r="U140" s="248">
        <v>1.0</v>
      </c>
      <c r="V140" s="57"/>
      <c r="W140" s="57"/>
      <c r="X140" s="57"/>
      <c r="Y140" s="57"/>
      <c r="Z140" s="57"/>
      <c r="AA140" s="57"/>
    </row>
    <row r="141">
      <c r="A141" s="10"/>
      <c r="B141" s="10"/>
      <c r="C141" s="10"/>
      <c r="D141" s="10"/>
      <c r="E141" s="10"/>
      <c r="F141" s="67" t="str">
        <f t="shared" ref="F141:F183" si="9">D141/sum(H141:O141)</f>
        <v>#DIV/0!</v>
      </c>
      <c r="G141" s="10" t="str">
        <f t="shared" ref="G141:G145" si="10">D141/sum(H141:O141)</f>
        <v>#DIV/0!</v>
      </c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>
      <c r="A142" s="10"/>
      <c r="B142" s="10"/>
      <c r="C142" s="10"/>
      <c r="D142" s="10"/>
      <c r="E142" s="10"/>
      <c r="F142" s="67" t="str">
        <f t="shared" si="9"/>
        <v>#DIV/0!</v>
      </c>
      <c r="G142" s="10" t="str">
        <f t="shared" si="10"/>
        <v>#DIV/0!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>
      <c r="A143" s="10"/>
      <c r="B143" s="10"/>
      <c r="C143" s="10"/>
      <c r="D143" s="10"/>
      <c r="E143" s="10"/>
      <c r="F143" s="67" t="str">
        <f t="shared" si="9"/>
        <v>#DIV/0!</v>
      </c>
      <c r="G143" s="10" t="str">
        <f t="shared" si="10"/>
        <v>#DIV/0!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>
      <c r="A144" s="10"/>
      <c r="B144" s="10"/>
      <c r="C144" s="10"/>
      <c r="D144" s="10"/>
      <c r="E144" s="10"/>
      <c r="F144" s="67" t="str">
        <f t="shared" si="9"/>
        <v>#DIV/0!</v>
      </c>
      <c r="G144" s="10" t="str">
        <f t="shared" si="10"/>
        <v>#DIV/0!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>
      <c r="A145" s="10"/>
      <c r="B145" s="10"/>
      <c r="C145" s="10"/>
      <c r="D145" s="10"/>
      <c r="E145" s="10"/>
      <c r="F145" s="67" t="str">
        <f t="shared" si="9"/>
        <v>#DIV/0!</v>
      </c>
      <c r="G145" s="10" t="str">
        <f t="shared" si="10"/>
        <v>#DIV/0!</v>
      </c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>
      <c r="A146" s="10"/>
      <c r="B146" s="10"/>
      <c r="C146" s="10"/>
      <c r="D146" s="10"/>
      <c r="E146" s="10"/>
      <c r="F146" s="67" t="str">
        <f t="shared" si="9"/>
        <v>#DIV/0!</v>
      </c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>
      <c r="A147" s="10"/>
      <c r="B147" s="10"/>
      <c r="C147" s="10"/>
      <c r="D147" s="10"/>
      <c r="E147" s="10"/>
      <c r="F147" s="67" t="str">
        <f t="shared" si="9"/>
        <v>#DIV/0!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>
      <c r="A148" s="10"/>
      <c r="B148" s="10"/>
      <c r="C148" s="10"/>
      <c r="D148" s="10"/>
      <c r="E148" s="10"/>
      <c r="F148" s="67" t="str">
        <f t="shared" si="9"/>
        <v>#DIV/0!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>
      <c r="A149" s="10"/>
      <c r="B149" s="10"/>
      <c r="C149" s="10"/>
      <c r="D149" s="10"/>
      <c r="E149" s="10"/>
      <c r="F149" s="67" t="str">
        <f t="shared" si="9"/>
        <v>#DIV/0!</v>
      </c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>
      <c r="A150" s="10"/>
      <c r="B150" s="10"/>
      <c r="C150" s="10"/>
      <c r="D150" s="10"/>
      <c r="E150" s="10"/>
      <c r="F150" s="67" t="str">
        <f t="shared" si="9"/>
        <v>#DIV/0!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>
      <c r="A151" s="10"/>
      <c r="B151" s="10"/>
      <c r="C151" s="10"/>
      <c r="D151" s="10"/>
      <c r="E151" s="10"/>
      <c r="F151" s="67" t="str">
        <f t="shared" si="9"/>
        <v>#DIV/0!</v>
      </c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>
      <c r="A152" s="10"/>
      <c r="B152" s="10"/>
      <c r="C152" s="10"/>
      <c r="D152" s="10"/>
      <c r="E152" s="10"/>
      <c r="F152" s="67" t="str">
        <f t="shared" si="9"/>
        <v>#DIV/0!</v>
      </c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>
      <c r="A153" s="10"/>
      <c r="B153" s="10"/>
      <c r="C153" s="10"/>
      <c r="D153" s="10"/>
      <c r="E153" s="10"/>
      <c r="F153" s="67" t="str">
        <f t="shared" si="9"/>
        <v>#DIV/0!</v>
      </c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>
      <c r="A154" s="10"/>
      <c r="B154" s="10"/>
      <c r="C154" s="10"/>
      <c r="D154" s="10"/>
      <c r="E154" s="10"/>
      <c r="F154" s="67" t="str">
        <f t="shared" si="9"/>
        <v>#DIV/0!</v>
      </c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>
      <c r="A155" s="10"/>
      <c r="B155" s="10"/>
      <c r="C155" s="10"/>
      <c r="D155" s="10"/>
      <c r="E155" s="10"/>
      <c r="F155" s="67" t="str">
        <f t="shared" si="9"/>
        <v>#DIV/0!</v>
      </c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>
      <c r="A156" s="10"/>
      <c r="B156" s="10"/>
      <c r="C156" s="10"/>
      <c r="D156" s="10"/>
      <c r="E156" s="10"/>
      <c r="F156" s="67" t="str">
        <f t="shared" si="9"/>
        <v>#DIV/0!</v>
      </c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>
      <c r="A157" s="10"/>
      <c r="B157" s="10"/>
      <c r="C157" s="10"/>
      <c r="D157" s="10"/>
      <c r="E157" s="10"/>
      <c r="F157" s="67" t="str">
        <f t="shared" si="9"/>
        <v>#DIV/0!</v>
      </c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>
      <c r="A158" s="10"/>
      <c r="B158" s="10"/>
      <c r="C158" s="10"/>
      <c r="D158" s="10"/>
      <c r="E158" s="10"/>
      <c r="F158" s="67" t="str">
        <f t="shared" si="9"/>
        <v>#DIV/0!</v>
      </c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>
      <c r="A159" s="10"/>
      <c r="B159" s="10"/>
      <c r="C159" s="10"/>
      <c r="D159" s="10"/>
      <c r="E159" s="10"/>
      <c r="F159" s="67" t="str">
        <f t="shared" si="9"/>
        <v>#DIV/0!</v>
      </c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>
      <c r="A160" s="10"/>
      <c r="B160" s="10"/>
      <c r="C160" s="10"/>
      <c r="D160" s="10"/>
      <c r="E160" s="10"/>
      <c r="F160" s="67" t="str">
        <f t="shared" si="9"/>
        <v>#DIV/0!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>
      <c r="A161" s="10"/>
      <c r="B161" s="10"/>
      <c r="C161" s="10"/>
      <c r="D161" s="10"/>
      <c r="E161" s="10"/>
      <c r="F161" s="67" t="str">
        <f t="shared" si="9"/>
        <v>#DIV/0!</v>
      </c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>
      <c r="A162" s="10"/>
      <c r="B162" s="10"/>
      <c r="C162" s="10"/>
      <c r="D162" s="10"/>
      <c r="E162" s="10"/>
      <c r="F162" s="67" t="str">
        <f t="shared" si="9"/>
        <v>#DIV/0!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>
      <c r="A163" s="10"/>
      <c r="B163" s="10"/>
      <c r="C163" s="10"/>
      <c r="D163" s="10"/>
      <c r="E163" s="10"/>
      <c r="F163" s="67" t="str">
        <f t="shared" si="9"/>
        <v>#DIV/0!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>
      <c r="A164" s="10"/>
      <c r="B164" s="10"/>
      <c r="C164" s="10"/>
      <c r="D164" s="10"/>
      <c r="E164" s="10"/>
      <c r="F164" s="67" t="str">
        <f t="shared" si="9"/>
        <v>#DIV/0!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>
      <c r="A165" s="10"/>
      <c r="B165" s="10"/>
      <c r="C165" s="10"/>
      <c r="D165" s="10"/>
      <c r="E165" s="10"/>
      <c r="F165" s="67" t="str">
        <f t="shared" si="9"/>
        <v>#DIV/0!</v>
      </c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>
      <c r="A166" s="10"/>
      <c r="B166" s="10"/>
      <c r="C166" s="10"/>
      <c r="D166" s="10"/>
      <c r="E166" s="10"/>
      <c r="F166" s="67" t="str">
        <f t="shared" si="9"/>
        <v>#DIV/0!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>
      <c r="A167" s="10"/>
      <c r="B167" s="10"/>
      <c r="C167" s="10"/>
      <c r="D167" s="10"/>
      <c r="E167" s="10"/>
      <c r="F167" s="67" t="str">
        <f t="shared" si="9"/>
        <v>#DIV/0!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>
      <c r="A168" s="10"/>
      <c r="B168" s="10"/>
      <c r="C168" s="10"/>
      <c r="D168" s="10"/>
      <c r="E168" s="10"/>
      <c r="F168" s="67" t="str">
        <f t="shared" si="9"/>
        <v>#DIV/0!</v>
      </c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>
      <c r="A169" s="10"/>
      <c r="B169" s="10"/>
      <c r="C169" s="10"/>
      <c r="D169" s="10"/>
      <c r="E169" s="10"/>
      <c r="F169" s="67" t="str">
        <f t="shared" si="9"/>
        <v>#DIV/0!</v>
      </c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>
      <c r="A170" s="10"/>
      <c r="B170" s="10"/>
      <c r="C170" s="10"/>
      <c r="D170" s="10"/>
      <c r="E170" s="10"/>
      <c r="F170" s="67" t="str">
        <f t="shared" si="9"/>
        <v>#DIV/0!</v>
      </c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>
      <c r="A171" s="10"/>
      <c r="B171" s="10"/>
      <c r="C171" s="10"/>
      <c r="D171" s="10"/>
      <c r="E171" s="10"/>
      <c r="F171" s="67" t="str">
        <f t="shared" si="9"/>
        <v>#DIV/0!</v>
      </c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>
      <c r="A172" s="10"/>
      <c r="B172" s="10"/>
      <c r="C172" s="10"/>
      <c r="D172" s="10"/>
      <c r="E172" s="10"/>
      <c r="F172" s="67" t="str">
        <f t="shared" si="9"/>
        <v>#DIV/0!</v>
      </c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>
      <c r="A173" s="10"/>
      <c r="B173" s="10"/>
      <c r="C173" s="10"/>
      <c r="D173" s="10"/>
      <c r="E173" s="10"/>
      <c r="F173" s="67" t="str">
        <f t="shared" si="9"/>
        <v>#DIV/0!</v>
      </c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>
      <c r="A174" s="10"/>
      <c r="B174" s="10"/>
      <c r="C174" s="10"/>
      <c r="D174" s="10"/>
      <c r="E174" s="10"/>
      <c r="F174" s="67" t="str">
        <f t="shared" si="9"/>
        <v>#DIV/0!</v>
      </c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>
      <c r="A175" s="10"/>
      <c r="B175" s="10"/>
      <c r="C175" s="10"/>
      <c r="D175" s="10"/>
      <c r="E175" s="10"/>
      <c r="F175" s="67" t="str">
        <f t="shared" si="9"/>
        <v>#DIV/0!</v>
      </c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>
      <c r="A176" s="10"/>
      <c r="B176" s="10"/>
      <c r="C176" s="10"/>
      <c r="D176" s="10"/>
      <c r="E176" s="10"/>
      <c r="F176" s="67" t="str">
        <f t="shared" si="9"/>
        <v>#DIV/0!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>
      <c r="A177" s="10"/>
      <c r="B177" s="10"/>
      <c r="C177" s="10"/>
      <c r="D177" s="10"/>
      <c r="E177" s="10"/>
      <c r="F177" s="67" t="str">
        <f t="shared" si="9"/>
        <v>#DIV/0!</v>
      </c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>
      <c r="A178" s="10"/>
      <c r="B178" s="10"/>
      <c r="C178" s="10"/>
      <c r="D178" s="10"/>
      <c r="E178" s="10"/>
      <c r="F178" s="67" t="str">
        <f t="shared" si="9"/>
        <v>#DIV/0!</v>
      </c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>
      <c r="A179" s="10"/>
      <c r="B179" s="10"/>
      <c r="C179" s="10"/>
      <c r="D179" s="10"/>
      <c r="E179" s="10"/>
      <c r="F179" s="67" t="str">
        <f t="shared" si="9"/>
        <v>#DIV/0!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>
      <c r="A180" s="10"/>
      <c r="B180" s="10"/>
      <c r="C180" s="10"/>
      <c r="D180" s="10"/>
      <c r="E180" s="10"/>
      <c r="F180" s="67" t="str">
        <f t="shared" si="9"/>
        <v>#DIV/0!</v>
      </c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>
      <c r="A181" s="10"/>
      <c r="B181" s="10"/>
      <c r="C181" s="10"/>
      <c r="D181" s="10"/>
      <c r="E181" s="10"/>
      <c r="F181" s="67" t="str">
        <f t="shared" si="9"/>
        <v>#DIV/0!</v>
      </c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>
      <c r="A182" s="10"/>
      <c r="B182" s="10"/>
      <c r="C182" s="10"/>
      <c r="D182" s="10"/>
      <c r="E182" s="10"/>
      <c r="F182" s="67" t="str">
        <f t="shared" si="9"/>
        <v>#DIV/0!</v>
      </c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>
      <c r="A183" s="10"/>
      <c r="B183" s="10"/>
      <c r="C183" s="10"/>
      <c r="D183" s="10"/>
      <c r="E183" s="10"/>
      <c r="F183" s="67" t="str">
        <f t="shared" si="9"/>
        <v>#DIV/0!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>
      <c r="A184" s="10"/>
      <c r="B184" s="10"/>
      <c r="C184" s="10"/>
      <c r="D184" s="10"/>
      <c r="E184" s="10"/>
      <c r="F184" s="67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>
      <c r="A185" s="10"/>
      <c r="B185" s="10"/>
      <c r="C185" s="10"/>
      <c r="D185" s="10"/>
      <c r="E185" s="10"/>
      <c r="F185" s="67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>
      <c r="A186" s="10"/>
      <c r="B186" s="10"/>
      <c r="C186" s="10"/>
      <c r="D186" s="10"/>
      <c r="E186" s="10"/>
      <c r="F186" s="67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>
      <c r="A187" s="10"/>
      <c r="B187" s="10"/>
      <c r="C187" s="10"/>
      <c r="D187" s="10"/>
      <c r="E187" s="10"/>
      <c r="F187" s="67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>
      <c r="A188" s="10"/>
      <c r="B188" s="10"/>
      <c r="C188" s="10"/>
      <c r="D188" s="10"/>
      <c r="E188" s="10"/>
      <c r="F188" s="67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>
      <c r="A189" s="10"/>
      <c r="B189" s="10"/>
      <c r="C189" s="10"/>
      <c r="D189" s="10"/>
      <c r="E189" s="10"/>
      <c r="F189" s="67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>
      <c r="A190" s="10"/>
      <c r="B190" s="10"/>
      <c r="C190" s="10"/>
      <c r="D190" s="10"/>
      <c r="E190" s="10"/>
      <c r="F190" s="67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>
      <c r="A191" s="10"/>
      <c r="B191" s="10"/>
      <c r="C191" s="10"/>
      <c r="D191" s="10"/>
      <c r="E191" s="10"/>
      <c r="F191" s="67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>
      <c r="A192" s="10"/>
      <c r="B192" s="10"/>
      <c r="C192" s="10"/>
      <c r="D192" s="10"/>
      <c r="E192" s="10"/>
      <c r="F192" s="67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>
      <c r="A193" s="10"/>
      <c r="B193" s="10"/>
      <c r="C193" s="10"/>
      <c r="D193" s="10"/>
      <c r="E193" s="10"/>
      <c r="F193" s="67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>
      <c r="A194" s="10"/>
      <c r="B194" s="10"/>
      <c r="C194" s="10"/>
      <c r="D194" s="10"/>
      <c r="E194" s="10"/>
      <c r="F194" s="67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>
      <c r="A195" s="10"/>
      <c r="B195" s="10"/>
      <c r="C195" s="10"/>
      <c r="D195" s="10"/>
      <c r="E195" s="10"/>
      <c r="F195" s="67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>
      <c r="A196" s="10"/>
      <c r="B196" s="10"/>
      <c r="C196" s="10"/>
      <c r="D196" s="10"/>
      <c r="E196" s="10"/>
      <c r="F196" s="67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>
      <c r="A197" s="10"/>
      <c r="B197" s="10"/>
      <c r="C197" s="10"/>
      <c r="D197" s="10"/>
      <c r="E197" s="10"/>
      <c r="F197" s="67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>
      <c r="A198" s="10"/>
      <c r="B198" s="10"/>
      <c r="C198" s="10"/>
      <c r="D198" s="10"/>
      <c r="E198" s="10"/>
      <c r="F198" s="67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>
      <c r="A199" s="10"/>
      <c r="B199" s="10"/>
      <c r="C199" s="10"/>
      <c r="D199" s="10"/>
      <c r="E199" s="10"/>
      <c r="F199" s="67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>
      <c r="A200" s="10"/>
      <c r="B200" s="10"/>
      <c r="C200" s="10"/>
      <c r="D200" s="10"/>
      <c r="E200" s="10"/>
      <c r="F200" s="67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>
      <c r="A201" s="10"/>
      <c r="B201" s="10"/>
      <c r="C201" s="10"/>
      <c r="D201" s="10"/>
      <c r="E201" s="10"/>
      <c r="F201" s="67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>
      <c r="A202" s="10"/>
      <c r="B202" s="10"/>
      <c r="C202" s="10"/>
      <c r="D202" s="10"/>
      <c r="E202" s="10"/>
      <c r="F202" s="67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>
      <c r="A203" s="10"/>
      <c r="B203" s="10"/>
      <c r="C203" s="10"/>
      <c r="D203" s="10"/>
      <c r="E203" s="10"/>
      <c r="F203" s="67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>
      <c r="A204" s="10"/>
      <c r="B204" s="10"/>
      <c r="C204" s="10"/>
      <c r="D204" s="10"/>
      <c r="E204" s="10"/>
      <c r="F204" s="67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>
      <c r="A205" s="10"/>
      <c r="B205" s="10"/>
      <c r="C205" s="10"/>
      <c r="D205" s="10"/>
      <c r="E205" s="10"/>
      <c r="F205" s="67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>
      <c r="A206" s="10"/>
      <c r="B206" s="10"/>
      <c r="C206" s="10"/>
      <c r="D206" s="10"/>
      <c r="E206" s="10"/>
      <c r="F206" s="67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>
      <c r="A207" s="10"/>
      <c r="B207" s="10"/>
      <c r="C207" s="10"/>
      <c r="D207" s="10"/>
      <c r="E207" s="10"/>
      <c r="F207" s="67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>
      <c r="A208" s="10"/>
      <c r="B208" s="10"/>
      <c r="C208" s="10"/>
      <c r="D208" s="10"/>
      <c r="E208" s="10"/>
      <c r="F208" s="67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>
      <c r="A209" s="10"/>
      <c r="B209" s="10"/>
      <c r="C209" s="10"/>
      <c r="D209" s="10"/>
      <c r="E209" s="10"/>
      <c r="F209" s="67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>
      <c r="A210" s="10"/>
      <c r="B210" s="10"/>
      <c r="C210" s="10"/>
      <c r="D210" s="10"/>
      <c r="E210" s="10"/>
      <c r="F210" s="67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>
      <c r="A995" s="55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</sheetData>
  <mergeCells count="12">
    <mergeCell ref="C7:E7"/>
    <mergeCell ref="C8:E8"/>
    <mergeCell ref="C9:E9"/>
    <mergeCell ref="C10:E10"/>
    <mergeCell ref="A11:E11"/>
    <mergeCell ref="A1:E1"/>
    <mergeCell ref="G1:O1"/>
    <mergeCell ref="C2:E2"/>
    <mergeCell ref="C3:E3"/>
    <mergeCell ref="C4:E4"/>
    <mergeCell ref="C5:E5"/>
    <mergeCell ref="C6:E6"/>
  </mergeCells>
  <dataValidations>
    <dataValidation type="list" allowBlank="1" showErrorMessage="1" sqref="C13:C151">
      <formula1>"食物,飲品,衣服,居家,電子產品,娛樂,醫藥,交通,其他"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9.63"/>
  </cols>
  <sheetData>
    <row r="1">
      <c r="A1" s="119" t="s">
        <v>811</v>
      </c>
      <c r="B1" s="4"/>
      <c r="C1" s="4"/>
      <c r="D1" s="4"/>
      <c r="E1" s="4"/>
      <c r="F1" s="5"/>
    </row>
    <row r="2">
      <c r="A2" s="120" t="s">
        <v>326</v>
      </c>
      <c r="B2" s="121" t="s">
        <v>2</v>
      </c>
      <c r="C2" s="122" t="s">
        <v>4</v>
      </c>
      <c r="D2" s="123" t="s">
        <v>43</v>
      </c>
      <c r="E2" s="124" t="s">
        <v>14</v>
      </c>
      <c r="F2" s="125" t="s">
        <v>7</v>
      </c>
      <c r="G2" s="18"/>
    </row>
    <row r="3">
      <c r="A3" s="126" t="s">
        <v>11</v>
      </c>
      <c r="B3" s="6">
        <f>SUMIFS($F$26:$F1517,$C$26:$C1517,"食物",$H$26:$H1517,"1")</f>
        <v>393.5107123</v>
      </c>
      <c r="C3" s="6">
        <f>SUMIFS($F$26:$F1517,$C$26:$C1517,"食物",$I$26:$I1517,"1")</f>
        <v>388.6707123</v>
      </c>
      <c r="D3" s="6">
        <f>SUMIFS($F$26:$F1517,$C$26:$C1517,"食物",$J$26:$J1517,"1")</f>
        <v>375.4270123</v>
      </c>
      <c r="E3" s="6">
        <f>SUMIFS($F$26:$F1517,$C$26:$C1517,"食物",$K$26:$K1517,"1")</f>
        <v>392.6457123</v>
      </c>
      <c r="F3" s="127">
        <f>SUMIFS($F$26:$F1517,$C$26:$C1517,"食物",$N$26:$N1517,"1")</f>
        <v>376.4878456</v>
      </c>
    </row>
    <row r="4">
      <c r="A4" s="126" t="s">
        <v>19</v>
      </c>
      <c r="B4" s="6">
        <f>SUMIFS($F$26:$F1517,$C$26:$C1517,"飲品",$H$26:$H1517,"1")</f>
        <v>5.57014</v>
      </c>
      <c r="C4" s="6">
        <f>SUMIFS($F$26:$F1517,$C$26:$C1517,"飲品",$I$26:$I1517,"1")</f>
        <v>5.57014</v>
      </c>
      <c r="D4" s="6">
        <f>SUMIFS($F$26:$F1517,$C$26:$C1517,"飲品",$J$26:$J1517,"1")</f>
        <v>5.57014</v>
      </c>
      <c r="E4" s="6">
        <f>SUMIFS($F$26:$F1517,$C$26:$C1517,"飲品",$K$26:$K1517,"1")</f>
        <v>5.57014</v>
      </c>
      <c r="F4" s="127">
        <f>SUMIFS($F$26:$F1517,$C$26:$C1517,"飲品",$N$26:$N1517,"1")</f>
        <v>5.57014</v>
      </c>
    </row>
    <row r="5">
      <c r="A5" s="126" t="s">
        <v>21</v>
      </c>
      <c r="B5" s="6">
        <f>SUMIFS($F$26:$F1517,$C$26:$C1517,"衣物",$H$26:$H1517,"1")</f>
        <v>0</v>
      </c>
      <c r="C5" s="6">
        <f>SUMIFS($F$26:$F1517,$C$26:$C1517,"衣物",$I$26:$I1517,"1")</f>
        <v>0</v>
      </c>
      <c r="D5" s="6">
        <f>SUMIFS($F$26:$F1517,$C$26:$C1517,"衣物",$J$26:$J1517,"1")</f>
        <v>0</v>
      </c>
      <c r="E5" s="6">
        <f>SUMIFS($F$26:$F1517,$C$26:$C1517,"衣物",$K$26:$K1517,"1")</f>
        <v>0</v>
      </c>
      <c r="F5" s="127">
        <f>SUMIFS($F$26:$F1517,$C$26:$C1517,"衣物",$N$26:$N1517,"1")</f>
        <v>0</v>
      </c>
    </row>
    <row r="6">
      <c r="A6" s="126" t="s">
        <v>327</v>
      </c>
      <c r="B6" s="6">
        <f>SUMIFS($F$26:$F1517,$C$26:$C1517,"居家",$H$26:$H1517,"1")+SUM(T43:T47)</f>
        <v>871.10494</v>
      </c>
      <c r="C6" s="6">
        <f>SUMIFS($F$26:$F1517,$C$26:$C1517,"居家",$I$26:$I1517,"1")+SUM(T43:T47)</f>
        <v>910.03104</v>
      </c>
      <c r="D6" s="6">
        <f>SUMIFS($F$26:$F1517,$C$26:$C1517,"居家",$J$26:$J1517,"1")+SUM(T43:T47)</f>
        <v>896.07734</v>
      </c>
      <c r="E6" s="6">
        <f>SUMIFS($F$26:$F1517,$C$26:$C1517,"居家",$K$26:$K1517,"1")+SUM(T43:T47)</f>
        <v>920.30734</v>
      </c>
      <c r="F6" s="127">
        <f>SUMIFS($F$26:$F1517,$C$26:$C1517,"居家",$N$26:$N1517,"1")+SUM(T43:T47)</f>
        <v>887.03734</v>
      </c>
    </row>
    <row r="7">
      <c r="A7" s="126" t="s">
        <v>25</v>
      </c>
      <c r="B7" s="6">
        <f>SUMIFS($F$26:$F1517,$C$26:$C1517,"電子產品",$H$26:$H1517,"1")</f>
        <v>0</v>
      </c>
      <c r="C7" s="6">
        <f>SUMIFS($F$26:$F1517,$C$26:$C1517,"電子產品",$I$26:$I1517,"1")</f>
        <v>0</v>
      </c>
      <c r="D7" s="6">
        <f>SUMIFS($F$26:$F1517,$C$26:$C1517,"電子產品",$J$26:$J1517,"1")</f>
        <v>22.59435</v>
      </c>
      <c r="E7" s="6">
        <f>SUMIFS($F$26:$F1517,$C$26:$C1517,"電子產品",$K$26:$K1517,"1")</f>
        <v>0</v>
      </c>
      <c r="F7" s="127">
        <f>SUMIFS($F$26:$F1517,$C$26:$C1517,"電子產品",$N$26:$N1517,"1")</f>
        <v>56.45435</v>
      </c>
    </row>
    <row r="8">
      <c r="A8" s="126" t="s">
        <v>27</v>
      </c>
      <c r="B8" s="6">
        <f>SUMIFS($F$26:$F1517,$C$26:$C1517,"娛樂",$H$26:$H1517,"1")</f>
        <v>4.85448</v>
      </c>
      <c r="C8" s="6">
        <f>SUMIFS($F$26:$F1517,$C$26:$C1517,"娛樂",$I$26:$I1517,"1")</f>
        <v>4.85448</v>
      </c>
      <c r="D8" s="6">
        <f>SUMIFS($F$26:$F1517,$C$26:$C1517,"娛樂",$J$26:$J1517,"1")</f>
        <v>4.85448</v>
      </c>
      <c r="E8" s="6">
        <f>SUMIFS($F$26:$F1517,$C$26:$C1517,"娛樂",$K$26:$K1517,"1")</f>
        <v>4.85448</v>
      </c>
      <c r="F8" s="127">
        <f>SUMIFS($F$26:$F1517,$C$26:$C1517,"娛樂",$N$26:$N1517,"1")</f>
        <v>4.85448</v>
      </c>
    </row>
    <row r="9">
      <c r="A9" s="126" t="s">
        <v>29</v>
      </c>
      <c r="B9" s="6">
        <f>SUMIFS($F$26:$F1517,$C$26:$C1517,"交通",$H$26:$H1517,"1")</f>
        <v>26.7795</v>
      </c>
      <c r="C9" s="6">
        <f>SUMIFS($F$26:$F1517,$C$26:$C1517,"交通",$I$26:$I1517,"1")</f>
        <v>26.7795</v>
      </c>
      <c r="D9" s="6">
        <f>SUMIFS($F$26:$F1517,$C$26:$C1517,"交通",$J$26:$J1517,"1")</f>
        <v>26.7795</v>
      </c>
      <c r="E9" s="6">
        <f>SUMIFS($F$26:$F1517,$C$26:$C1517,"交通",$K$26:$K1517,"1")</f>
        <v>21.402</v>
      </c>
      <c r="F9" s="127">
        <f>SUMIFS($F$26:$F1517,$C$26:$C1517,"交通",$N$26:$N1517,"1")</f>
        <v>26.7795</v>
      </c>
    </row>
    <row r="10">
      <c r="A10" s="126" t="s">
        <v>31</v>
      </c>
      <c r="B10" s="6">
        <f>SUMIFS($F$26:$F1517,$C$26:$C1517,"醫藥",$H$26:$H1517,"1")</f>
        <v>0</v>
      </c>
      <c r="C10" s="6">
        <f>SUMIFS($F$26:$F1517,$C$26:$C1517,"醫藥",$I$26:$I1517,"1")</f>
        <v>0</v>
      </c>
      <c r="D10" s="6">
        <f>SUMIFS($F$26:$F1517,$C$26:$C1517,"醫藥",$J$26:$J1517,"1")</f>
        <v>22.5887</v>
      </c>
      <c r="E10" s="6">
        <f>SUMIFS($F$26:$F1517,$C$26:$C1517,"醫藥",$K$26:$K1517,"1")</f>
        <v>0</v>
      </c>
      <c r="F10" s="127">
        <f>SUMIFS($F$26:$F1517,$C$26:$C1517,"醫藥",$N$26:$N1517,"1")</f>
        <v>0</v>
      </c>
    </row>
    <row r="11">
      <c r="A11" s="128" t="s">
        <v>33</v>
      </c>
      <c r="B11" s="129">
        <f>SUMIFS($F$26:$F1517,$C$26:$C1517,"其他",$H$26:$H1517,"1")</f>
        <v>10.4977</v>
      </c>
      <c r="C11" s="129">
        <f>SUMIFS($F$26:$F1517,$C$26:$C1517,"其他",$I$26:$I1517,"1")</f>
        <v>13.01203333</v>
      </c>
      <c r="D11" s="129">
        <f>SUMIFS($F$26:$F1517,$C$26:$C1517,"其他",$J$26:$J1517,"1")</f>
        <v>1.67805</v>
      </c>
      <c r="E11" s="129">
        <f>SUMIFS($F$26:$F1517,$C$26:$C1517,"其他",$K$26:$K1517,"1")</f>
        <v>33.39428333</v>
      </c>
      <c r="F11" s="130">
        <f>SUMIFS($F$26:$F1517,$C$26:$C1517,"其他",$N$26:$N1517,"1")</f>
        <v>34.95143333</v>
      </c>
    </row>
    <row r="12">
      <c r="A12" s="131" t="s">
        <v>328</v>
      </c>
      <c r="B12" s="6">
        <f t="shared" ref="B12:F12" si="1">SUM(B2:B11)</f>
        <v>1312.317472</v>
      </c>
      <c r="C12" s="6">
        <f t="shared" si="1"/>
        <v>1348.917906</v>
      </c>
      <c r="D12" s="6">
        <f t="shared" si="1"/>
        <v>1355.569572</v>
      </c>
      <c r="E12" s="6">
        <f t="shared" si="1"/>
        <v>1378.173956</v>
      </c>
      <c r="F12" s="6">
        <f t="shared" si="1"/>
        <v>1392.135089</v>
      </c>
    </row>
    <row r="25">
      <c r="A25" s="132" t="str">
        <f>IFERROR(__xludf.DUMMYFUNCTION("IMPORTRANGE(""https://docs.google.com/spreadsheets/d/1dZpkWD3REnvVALQwbfOZZpKYnujFN1S_8pHjXVTirOc/edit#gid=1351137677"", ""Daily Expense_Dec!A12:N"")
"),"Date")</f>
        <v>Date</v>
      </c>
      <c r="B25" s="132" t="str">
        <f>IFERROR(__xludf.DUMMYFUNCTION("""COMPUTED_VALUE"""),"Item")</f>
        <v>Item</v>
      </c>
      <c r="C25" s="132" t="str">
        <f>IFERROR(__xludf.DUMMYFUNCTION("""COMPUTED_VALUE"""),"Type")</f>
        <v>Type</v>
      </c>
      <c r="D25" s="132" t="str">
        <f>IFERROR(__xludf.DUMMYFUNCTION("""COMPUTED_VALUE"""),"Price")</f>
        <v>Price</v>
      </c>
      <c r="E25" s="132" t="str">
        <f>IFERROR(__xludf.DUMMYFUNCTION("""COMPUTED_VALUE"""),"Paid by")</f>
        <v>Paid by</v>
      </c>
      <c r="F25" s="132" t="str">
        <f>IFERROR(__xludf.DUMMYFUNCTION("""COMPUTED_VALUE"""),"For Record 請勿清除")</f>
        <v>For Record 請勿清除</v>
      </c>
      <c r="G25" s="132" t="str">
        <f>IFERROR(__xludf.DUMMYFUNCTION("""COMPUTED_VALUE"""),"Average 清算後可清除")</f>
        <v>Average 清算後可清除</v>
      </c>
      <c r="H25" s="132" t="str">
        <f>IFERROR(__xludf.DUMMYFUNCTION("""COMPUTED_VALUE"""),"Timothy")</f>
        <v>Timothy</v>
      </c>
      <c r="I25" s="132" t="str">
        <f>IFERROR(__xludf.DUMMYFUNCTION("""COMPUTED_VALUE"""),"Rachel")</f>
        <v>Rachel</v>
      </c>
      <c r="J25" s="132" t="str">
        <f>IFERROR(__xludf.DUMMYFUNCTION("""COMPUTED_VALUE"""),"Bryan")</f>
        <v>Bryan</v>
      </c>
      <c r="K25" s="132" t="str">
        <f>IFERROR(__xludf.DUMMYFUNCTION("""COMPUTED_VALUE"""),"Pigskin")</f>
        <v>Pigskin</v>
      </c>
      <c r="L25" s="132" t="str">
        <f>IFERROR(__xludf.DUMMYFUNCTION("""COMPUTED_VALUE"""),"Angel")</f>
        <v>Angel</v>
      </c>
      <c r="M25" s="132" t="str">
        <f>IFERROR(__xludf.DUMMYFUNCTION("""COMPUTED_VALUE"""),"Ivan")</f>
        <v>Ivan</v>
      </c>
      <c r="N25" s="132" t="str">
        <f>IFERROR(__xludf.DUMMYFUNCTION("""COMPUTED_VALUE"""),"Esther")</f>
        <v>Esther</v>
      </c>
      <c r="O25" s="132"/>
      <c r="P25" s="132"/>
      <c r="Q25" s="132" t="str">
        <f>IFERROR(__xludf.DUMMYFUNCTION("IMPORTRANGE(""https://docs.google.com/spreadsheets/d/1dZpkWD3REnvVALQwbfOZZpKYnujFN1S_8pHjXVTirOc/edit#gid=1388060777"", ""Monthly Constant Expense!A:I"")"),"Month")</f>
        <v>Month</v>
      </c>
      <c r="R25" s="132" t="str">
        <f>IFERROR(__xludf.DUMMYFUNCTION("""COMPUTED_VALUE"""),"Item")</f>
        <v>Item</v>
      </c>
      <c r="S25" s="132" t="str">
        <f>IFERROR(__xludf.DUMMYFUNCTION("""COMPUTED_VALUE"""),"Total Price")</f>
        <v>Total Price</v>
      </c>
      <c r="T25" s="132" t="str">
        <f>IFERROR(__xludf.DUMMYFUNCTION("""COMPUTED_VALUE"""),"Per person")</f>
        <v>Per person</v>
      </c>
      <c r="U25" s="132" t="str">
        <f>IFERROR(__xludf.DUMMYFUNCTION("""COMPUTED_VALUE"""),"Timothy")</f>
        <v>Timothy</v>
      </c>
      <c r="V25" s="132" t="str">
        <f>IFERROR(__xludf.DUMMYFUNCTION("""COMPUTED_VALUE"""),"Rachel")</f>
        <v>Rachel</v>
      </c>
      <c r="W25" s="132" t="str">
        <f>IFERROR(__xludf.DUMMYFUNCTION("""COMPUTED_VALUE"""),"Bryan")</f>
        <v>Bryan</v>
      </c>
      <c r="X25" s="132" t="str">
        <f>IFERROR(__xludf.DUMMYFUNCTION("""COMPUTED_VALUE"""),"Pigskin")</f>
        <v>Pigskin</v>
      </c>
      <c r="Y25" s="132" t="str">
        <f>IFERROR(__xludf.DUMMYFUNCTION("""COMPUTED_VALUE"""),"Apple")</f>
        <v>Apple</v>
      </c>
      <c r="Z25" s="132"/>
    </row>
    <row r="26">
      <c r="A26" s="235">
        <f>IFERROR(__xludf.DUMMYFUNCTION("""COMPUTED_VALUE"""),45261.0)</f>
        <v>45261</v>
      </c>
      <c r="B26" s="132" t="str">
        <f>IFERROR(__xludf.DUMMYFUNCTION("""COMPUTED_VALUE"""),"買餸")</f>
        <v>買餸</v>
      </c>
      <c r="C26" s="132" t="str">
        <f>IFERROR(__xludf.DUMMYFUNCTION("""COMPUTED_VALUE"""),"食物")</f>
        <v>食物</v>
      </c>
      <c r="D26" s="132">
        <f>IFERROR(__xludf.DUMMYFUNCTION("""COMPUTED_VALUE"""),49.41)</f>
        <v>49.41</v>
      </c>
      <c r="E26" s="132" t="str">
        <f>IFERROR(__xludf.DUMMYFUNCTION("""COMPUTED_VALUE"""),"Esther")</f>
        <v>Esther</v>
      </c>
      <c r="F26" s="132">
        <f>IFERROR(__xludf.DUMMYFUNCTION("""COMPUTED_VALUE"""),7.058571428571428)</f>
        <v>7.058571429</v>
      </c>
      <c r="G26" s="132">
        <f>IFERROR(__xludf.DUMMYFUNCTION("""COMPUTED_VALUE"""),7.058571428571428)</f>
        <v>7.058571429</v>
      </c>
      <c r="H26" s="132">
        <f>IFERROR(__xludf.DUMMYFUNCTION("""COMPUTED_VALUE"""),1.0)</f>
        <v>1</v>
      </c>
      <c r="I26" s="132">
        <f>IFERROR(__xludf.DUMMYFUNCTION("""COMPUTED_VALUE"""),1.0)</f>
        <v>1</v>
      </c>
      <c r="J26" s="132">
        <f>IFERROR(__xludf.DUMMYFUNCTION("""COMPUTED_VALUE"""),1.0)</f>
        <v>1</v>
      </c>
      <c r="K26" s="132">
        <f>IFERROR(__xludf.DUMMYFUNCTION("""COMPUTED_VALUE"""),1.0)</f>
        <v>1</v>
      </c>
      <c r="L26" s="132">
        <f>IFERROR(__xludf.DUMMYFUNCTION("""COMPUTED_VALUE"""),1.0)</f>
        <v>1</v>
      </c>
      <c r="M26" s="132">
        <f>IFERROR(__xludf.DUMMYFUNCTION("""COMPUTED_VALUE"""),1.0)</f>
        <v>1</v>
      </c>
      <c r="N26" s="132">
        <f>IFERROR(__xludf.DUMMYFUNCTION("""COMPUTED_VALUE"""),1.0)</f>
        <v>1</v>
      </c>
      <c r="O26" s="132"/>
      <c r="P26" s="132"/>
      <c r="Q26" s="134">
        <f>IFERROR(__xludf.DUMMYFUNCTION("""COMPUTED_VALUE"""),45200.0)</f>
        <v>45200</v>
      </c>
      <c r="R26" s="132" t="str">
        <f>IFERROR(__xludf.DUMMYFUNCTION("""COMPUTED_VALUE"""),"2 months rent")</f>
        <v>2 months rent</v>
      </c>
      <c r="S26" s="132">
        <f>IFERROR(__xludf.DUMMYFUNCTION("""COMPUTED_VALUE"""),7200.0)</f>
        <v>7200</v>
      </c>
      <c r="T26" s="132">
        <f>IFERROR(__xludf.DUMMYFUNCTION("""COMPUTED_VALUE"""),1440.0)</f>
        <v>1440</v>
      </c>
      <c r="U26" s="132" t="str">
        <f>IFERROR(__xludf.DUMMYFUNCTION("""COMPUTED_VALUE"""),"Paid")</f>
        <v>Paid</v>
      </c>
      <c r="V26" s="132" t="str">
        <f>IFERROR(__xludf.DUMMYFUNCTION("""COMPUTED_VALUE"""),"Paid")</f>
        <v>Paid</v>
      </c>
      <c r="W26" s="132" t="str">
        <f>IFERROR(__xludf.DUMMYFUNCTION("""COMPUTED_VALUE"""),"Paid")</f>
        <v>Paid</v>
      </c>
      <c r="X26" s="132" t="str">
        <f>IFERROR(__xludf.DUMMYFUNCTION("""COMPUTED_VALUE"""),"Paid")</f>
        <v>Paid</v>
      </c>
      <c r="Y26" s="132" t="str">
        <f>IFERROR(__xludf.DUMMYFUNCTION("""COMPUTED_VALUE"""),"Paid")</f>
        <v>Paid</v>
      </c>
      <c r="Z26" s="132"/>
    </row>
    <row r="27">
      <c r="A27" s="235">
        <f>IFERROR(__xludf.DUMMYFUNCTION("""COMPUTED_VALUE"""),45261.0)</f>
        <v>45261</v>
      </c>
      <c r="B27" s="132" t="str">
        <f>IFERROR(__xludf.DUMMYFUNCTION("""COMPUTED_VALUE"""),"糖")</f>
        <v>糖</v>
      </c>
      <c r="C27" s="132" t="str">
        <f>IFERROR(__xludf.DUMMYFUNCTION("""COMPUTED_VALUE"""),"食物")</f>
        <v>食物</v>
      </c>
      <c r="D27" s="132">
        <f>IFERROR(__xludf.DUMMYFUNCTION("""COMPUTED_VALUE"""),3.0)</f>
        <v>3</v>
      </c>
      <c r="E27" s="132" t="str">
        <f>IFERROR(__xludf.DUMMYFUNCTION("""COMPUTED_VALUE"""),"Esther")</f>
        <v>Esther</v>
      </c>
      <c r="F27" s="132">
        <f>IFERROR(__xludf.DUMMYFUNCTION("""COMPUTED_VALUE"""),3.0)</f>
        <v>3</v>
      </c>
      <c r="G27" s="132">
        <f>IFERROR(__xludf.DUMMYFUNCTION("""COMPUTED_VALUE"""),3.0)</f>
        <v>3</v>
      </c>
      <c r="H27" s="132"/>
      <c r="I27" s="132">
        <f>IFERROR(__xludf.DUMMYFUNCTION("""COMPUTED_VALUE"""),1.0)</f>
        <v>1</v>
      </c>
      <c r="J27" s="132"/>
      <c r="K27" s="132"/>
      <c r="L27" s="132"/>
      <c r="M27" s="132"/>
      <c r="N27" s="132"/>
      <c r="O27" s="132"/>
      <c r="P27" s="132"/>
      <c r="Q27" s="132"/>
      <c r="R27" s="132" t="str">
        <f>IFERROR(__xludf.DUMMYFUNCTION("""COMPUTED_VALUE"""),"Housing Insurance")</f>
        <v>Housing Insurance</v>
      </c>
      <c r="S27" s="132">
        <f>IFERROR(__xludf.DUMMYFUNCTION("""COMPUTED_VALUE"""),676.3)</f>
        <v>676.3</v>
      </c>
      <c r="T27" s="132">
        <f>IFERROR(__xludf.DUMMYFUNCTION("""COMPUTED_VALUE"""),135.26)</f>
        <v>135.26</v>
      </c>
      <c r="U27" s="132" t="str">
        <f>IFERROR(__xludf.DUMMYFUNCTION("""COMPUTED_VALUE"""),"Paid")</f>
        <v>Paid</v>
      </c>
      <c r="V27" s="132" t="str">
        <f>IFERROR(__xludf.DUMMYFUNCTION("""COMPUTED_VALUE"""),"Paid")</f>
        <v>Paid</v>
      </c>
      <c r="W27" s="132" t="str">
        <f>IFERROR(__xludf.DUMMYFUNCTION("""COMPUTED_VALUE"""),"Paid")</f>
        <v>Paid</v>
      </c>
      <c r="X27" s="132" t="str">
        <f>IFERROR(__xludf.DUMMYFUNCTION("""COMPUTED_VALUE"""),"Paid")</f>
        <v>Paid</v>
      </c>
      <c r="Y27" s="132"/>
      <c r="Z27" s="132"/>
    </row>
    <row r="28">
      <c r="A28" s="136">
        <f>IFERROR(__xludf.DUMMYFUNCTION("""COMPUTED_VALUE"""),45261.0)</f>
        <v>45261</v>
      </c>
      <c r="B28" s="132" t="str">
        <f>IFERROR(__xludf.DUMMYFUNCTION("""COMPUTED_VALUE"""),"紫米露")</f>
        <v>紫米露</v>
      </c>
      <c r="C28" s="132" t="str">
        <f>IFERROR(__xludf.DUMMYFUNCTION("""COMPUTED_VALUE"""),"食物")</f>
        <v>食物</v>
      </c>
      <c r="D28" s="132">
        <f>IFERROR(__xludf.DUMMYFUNCTION("""COMPUTED_VALUE"""),17.67)</f>
        <v>17.67</v>
      </c>
      <c r="E28" s="132" t="str">
        <f>IFERROR(__xludf.DUMMYFUNCTION("""COMPUTED_VALUE"""),"Rachel")</f>
        <v>Rachel</v>
      </c>
      <c r="F28" s="132">
        <f>IFERROR(__xludf.DUMMYFUNCTION("""COMPUTED_VALUE"""),3.5340000000000003)</f>
        <v>3.534</v>
      </c>
      <c r="G28" s="132">
        <f>IFERROR(__xludf.DUMMYFUNCTION("""COMPUTED_VALUE"""),3.5340000000000003)</f>
        <v>3.534</v>
      </c>
      <c r="H28" s="132">
        <f>IFERROR(__xludf.DUMMYFUNCTION("""COMPUTED_VALUE"""),1.0)</f>
        <v>1</v>
      </c>
      <c r="I28" s="132">
        <f>IFERROR(__xludf.DUMMYFUNCTION("""COMPUTED_VALUE"""),1.0)</f>
        <v>1</v>
      </c>
      <c r="J28" s="132">
        <f>IFERROR(__xludf.DUMMYFUNCTION("""COMPUTED_VALUE"""),1.0)</f>
        <v>1</v>
      </c>
      <c r="K28" s="132">
        <f>IFERROR(__xludf.DUMMYFUNCTION("""COMPUTED_VALUE"""),1.0)</f>
        <v>1</v>
      </c>
      <c r="L28" s="132"/>
      <c r="M28" s="132"/>
      <c r="N28" s="132">
        <f>IFERROR(__xludf.DUMMYFUNCTION("""COMPUTED_VALUE"""),1.0)</f>
        <v>1</v>
      </c>
      <c r="O28" s="132"/>
      <c r="P28" s="132"/>
      <c r="Q28" s="132"/>
      <c r="R28" s="132" t="str">
        <f>IFERROR(__xludf.DUMMYFUNCTION("""COMPUTED_VALUE"""),"Rent (up-front)")</f>
        <v>Rent (up-front)</v>
      </c>
      <c r="S28" s="132">
        <f>IFERROR(__xludf.DUMMYFUNCTION("""COMPUTED_VALUE"""),14400.0)</f>
        <v>14400</v>
      </c>
      <c r="T28" s="132">
        <f>IFERROR(__xludf.DUMMYFUNCTION("""COMPUTED_VALUE"""),2880.0)</f>
        <v>2880</v>
      </c>
      <c r="U28" s="132" t="str">
        <f>IFERROR(__xludf.DUMMYFUNCTION("""COMPUTED_VALUE"""),"Paid")</f>
        <v>Paid</v>
      </c>
      <c r="V28" s="132" t="str">
        <f>IFERROR(__xludf.DUMMYFUNCTION("""COMPUTED_VALUE"""),"Paid")</f>
        <v>Paid</v>
      </c>
      <c r="W28" s="132" t="str">
        <f>IFERROR(__xludf.DUMMYFUNCTION("""COMPUTED_VALUE"""),"Paid")</f>
        <v>Paid</v>
      </c>
      <c r="X28" s="132" t="str">
        <f>IFERROR(__xludf.DUMMYFUNCTION("""COMPUTED_VALUE"""),"Paid")</f>
        <v>Paid</v>
      </c>
      <c r="Y28" s="132" t="str">
        <f>IFERROR(__xludf.DUMMYFUNCTION("""COMPUTED_VALUE"""),"Paid")</f>
        <v>Paid</v>
      </c>
      <c r="Z28" s="132"/>
    </row>
    <row r="29">
      <c r="A29" s="136">
        <f>IFERROR(__xludf.DUMMYFUNCTION("""COMPUTED_VALUE"""),45261.0)</f>
        <v>45261</v>
      </c>
      <c r="B29" s="132" t="str">
        <f>IFERROR(__xludf.DUMMYFUNCTION("""COMPUTED_VALUE"""),"即食麵")</f>
        <v>即食麵</v>
      </c>
      <c r="C29" s="132" t="str">
        <f>IFERROR(__xludf.DUMMYFUNCTION("""COMPUTED_VALUE"""),"食物")</f>
        <v>食物</v>
      </c>
      <c r="D29" s="132">
        <f>IFERROR(__xludf.DUMMYFUNCTION("""COMPUTED_VALUE"""),2.0)</f>
        <v>2</v>
      </c>
      <c r="E29" s="132" t="str">
        <f>IFERROR(__xludf.DUMMYFUNCTION("""COMPUTED_VALUE"""),"BL")</f>
        <v>BL</v>
      </c>
      <c r="F29" s="132">
        <f>IFERROR(__xludf.DUMMYFUNCTION("""COMPUTED_VALUE"""),0.4)</f>
        <v>0.4</v>
      </c>
      <c r="G29" s="132">
        <f>IFERROR(__xludf.DUMMYFUNCTION("""COMPUTED_VALUE"""),0.4)</f>
        <v>0.4</v>
      </c>
      <c r="H29" s="132">
        <f>IFERROR(__xludf.DUMMYFUNCTION("""COMPUTED_VALUE"""),1.0)</f>
        <v>1</v>
      </c>
      <c r="I29" s="132">
        <f>IFERROR(__xludf.DUMMYFUNCTION("""COMPUTED_VALUE"""),1.0)</f>
        <v>1</v>
      </c>
      <c r="J29" s="132">
        <f>IFERROR(__xludf.DUMMYFUNCTION("""COMPUTED_VALUE"""),1.0)</f>
        <v>1</v>
      </c>
      <c r="K29" s="132">
        <f>IFERROR(__xludf.DUMMYFUNCTION("""COMPUTED_VALUE"""),1.0)</f>
        <v>1</v>
      </c>
      <c r="L29" s="132"/>
      <c r="M29" s="132"/>
      <c r="N29" s="132">
        <f>IFERROR(__xludf.DUMMYFUNCTION("""COMPUTED_VALUE"""),1.0)</f>
        <v>1</v>
      </c>
      <c r="O29" s="132"/>
      <c r="P29" s="132"/>
      <c r="Q29" s="132"/>
      <c r="R29" s="132" t="str">
        <f>IFERROR(__xludf.DUMMYFUNCTION("""COMPUTED_VALUE"""),"Key Deposit")</f>
        <v>Key Deposit</v>
      </c>
      <c r="S29" s="132">
        <f>IFERROR(__xludf.DUMMYFUNCTION("""COMPUTED_VALUE"""),200.0)</f>
        <v>200</v>
      </c>
      <c r="T29" s="132">
        <f>IFERROR(__xludf.DUMMYFUNCTION("""COMPUTED_VALUE"""),40.0)</f>
        <v>40</v>
      </c>
      <c r="U29" s="132" t="str">
        <f>IFERROR(__xludf.DUMMYFUNCTION("""COMPUTED_VALUE"""),"Paid")</f>
        <v>Paid</v>
      </c>
      <c r="V29" s="132" t="str">
        <f>IFERROR(__xludf.DUMMYFUNCTION("""COMPUTED_VALUE"""),"Paid")</f>
        <v>Paid</v>
      </c>
      <c r="W29" s="132" t="str">
        <f>IFERROR(__xludf.DUMMYFUNCTION("""COMPUTED_VALUE"""),"Paid")</f>
        <v>Paid</v>
      </c>
      <c r="X29" s="132" t="str">
        <f>IFERROR(__xludf.DUMMYFUNCTION("""COMPUTED_VALUE"""),"Paid")</f>
        <v>Paid</v>
      </c>
      <c r="Y29" s="132" t="str">
        <f>IFERROR(__xludf.DUMMYFUNCTION("""COMPUTED_VALUE"""),"Paid")</f>
        <v>Paid</v>
      </c>
      <c r="Z29" s="132"/>
    </row>
    <row r="30">
      <c r="A30" s="136">
        <f>IFERROR(__xludf.DUMMYFUNCTION("""COMPUTED_VALUE"""),45261.0)</f>
        <v>45261</v>
      </c>
      <c r="B30" s="132" t="str">
        <f>IFERROR(__xludf.DUMMYFUNCTION("""COMPUTED_VALUE"""),"Orange")</f>
        <v>Orange</v>
      </c>
      <c r="C30" s="132" t="str">
        <f>IFERROR(__xludf.DUMMYFUNCTION("""COMPUTED_VALUE"""),"食物")</f>
        <v>食物</v>
      </c>
      <c r="D30" s="132">
        <f>IFERROR(__xludf.DUMMYFUNCTION("""COMPUTED_VALUE"""),4.0)</f>
        <v>4</v>
      </c>
      <c r="E30" s="132" t="str">
        <f>IFERROR(__xludf.DUMMYFUNCTION("""COMPUTED_VALUE"""),"Rachel")</f>
        <v>Rachel</v>
      </c>
      <c r="F30" s="132">
        <f>IFERROR(__xludf.DUMMYFUNCTION("""COMPUTED_VALUE"""),0.8)</f>
        <v>0.8</v>
      </c>
      <c r="G30" s="132">
        <f>IFERROR(__xludf.DUMMYFUNCTION("""COMPUTED_VALUE"""),0.8)</f>
        <v>0.8</v>
      </c>
      <c r="H30" s="132">
        <f>IFERROR(__xludf.DUMMYFUNCTION("""COMPUTED_VALUE"""),1.0)</f>
        <v>1</v>
      </c>
      <c r="I30" s="132">
        <f>IFERROR(__xludf.DUMMYFUNCTION("""COMPUTED_VALUE"""),1.0)</f>
        <v>1</v>
      </c>
      <c r="J30" s="132">
        <f>IFERROR(__xludf.DUMMYFUNCTION("""COMPUTED_VALUE"""),1.0)</f>
        <v>1</v>
      </c>
      <c r="K30" s="132">
        <f>IFERROR(__xludf.DUMMYFUNCTION("""COMPUTED_VALUE"""),1.0)</f>
        <v>1</v>
      </c>
      <c r="L30" s="132"/>
      <c r="M30" s="132"/>
      <c r="N30" s="132">
        <f>IFERROR(__xludf.DUMMYFUNCTION("""COMPUTED_VALUE"""),1.0)</f>
        <v>1</v>
      </c>
      <c r="O30" s="132"/>
      <c r="P30" s="132"/>
      <c r="Q30" s="132"/>
      <c r="R30" s="132" t="str">
        <f>IFERROR(__xludf.DUMMYFUNCTION("""COMPUTED_VALUE"""),"Furniture Deposit")</f>
        <v>Furniture Deposit</v>
      </c>
      <c r="S30" s="132">
        <f>IFERROR(__xludf.DUMMYFUNCTION("""COMPUTED_VALUE"""),800.0)</f>
        <v>800</v>
      </c>
      <c r="T30" s="132">
        <f>IFERROR(__xludf.DUMMYFUNCTION("""COMPUTED_VALUE"""),160.0)</f>
        <v>160</v>
      </c>
      <c r="U30" s="132" t="str">
        <f>IFERROR(__xludf.DUMMYFUNCTION("""COMPUTED_VALUE"""),"Paid")</f>
        <v>Paid</v>
      </c>
      <c r="V30" s="132" t="str">
        <f>IFERROR(__xludf.DUMMYFUNCTION("""COMPUTED_VALUE"""),"Paid")</f>
        <v>Paid</v>
      </c>
      <c r="W30" s="132" t="str">
        <f>IFERROR(__xludf.DUMMYFUNCTION("""COMPUTED_VALUE"""),"Paid")</f>
        <v>Paid</v>
      </c>
      <c r="X30" s="132" t="str">
        <f>IFERROR(__xludf.DUMMYFUNCTION("""COMPUTED_VALUE"""),"Paid")</f>
        <v>Paid</v>
      </c>
      <c r="Y30" s="132" t="str">
        <f>IFERROR(__xludf.DUMMYFUNCTION("""COMPUTED_VALUE"""),"Paid")</f>
        <v>Paid</v>
      </c>
      <c r="Z30" s="132"/>
    </row>
    <row r="31">
      <c r="A31" s="136">
        <f>IFERROR(__xludf.DUMMYFUNCTION("""COMPUTED_VALUE"""),45262.0)</f>
        <v>45262</v>
      </c>
      <c r="B31" s="132" t="str">
        <f>IFERROR(__xludf.DUMMYFUNCTION("""COMPUTED_VALUE"""),"Bald head")</f>
        <v>Bald head</v>
      </c>
      <c r="C31" s="132" t="str">
        <f>IFERROR(__xludf.DUMMYFUNCTION("""COMPUTED_VALUE"""),"食物")</f>
        <v>食物</v>
      </c>
      <c r="D31" s="132">
        <f>IFERROR(__xludf.DUMMYFUNCTION("""COMPUTED_VALUE"""),10.0)</f>
        <v>10</v>
      </c>
      <c r="E31" s="132" t="str">
        <f>IFERROR(__xludf.DUMMYFUNCTION("""COMPUTED_VALUE"""),"BL")</f>
        <v>BL</v>
      </c>
      <c r="F31" s="132">
        <f>IFERROR(__xludf.DUMMYFUNCTION("""COMPUTED_VALUE"""),10.0)</f>
        <v>10</v>
      </c>
      <c r="G31" s="132">
        <f>IFERROR(__xludf.DUMMYFUNCTION("""COMPUTED_VALUE"""),10.0)</f>
        <v>10</v>
      </c>
      <c r="H31" s="132">
        <f>IFERROR(__xludf.DUMMYFUNCTION("""COMPUTED_VALUE"""),1.0)</f>
        <v>1</v>
      </c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2"/>
      <c r="T31" s="132"/>
      <c r="U31" s="132"/>
      <c r="V31" s="132"/>
      <c r="W31" s="132"/>
      <c r="X31" s="132"/>
      <c r="Y31" s="132"/>
      <c r="Z31" s="132"/>
    </row>
    <row r="32">
      <c r="A32" s="136">
        <f>IFERROR(__xludf.DUMMYFUNCTION("""COMPUTED_VALUE"""),45262.0)</f>
        <v>45262</v>
      </c>
      <c r="B32" s="132" t="str">
        <f>IFERROR(__xludf.DUMMYFUNCTION("""COMPUTED_VALUE"""),"腸粉")</f>
        <v>腸粉</v>
      </c>
      <c r="C32" s="132" t="str">
        <f>IFERROR(__xludf.DUMMYFUNCTION("""COMPUTED_VALUE"""),"食物")</f>
        <v>食物</v>
      </c>
      <c r="D32" s="132">
        <f>IFERROR(__xludf.DUMMYFUNCTION("""COMPUTED_VALUE"""),9.0)</f>
        <v>9</v>
      </c>
      <c r="E32" s="132" t="str">
        <f>IFERROR(__xludf.DUMMYFUNCTION("""COMPUTED_VALUE"""),"BL")</f>
        <v>BL</v>
      </c>
      <c r="F32" s="132">
        <f>IFERROR(__xludf.DUMMYFUNCTION("""COMPUTED_VALUE"""),1.5)</f>
        <v>1.5</v>
      </c>
      <c r="G32" s="132">
        <f>IFERROR(__xludf.DUMMYFUNCTION("""COMPUTED_VALUE"""),1.5)</f>
        <v>1.5</v>
      </c>
      <c r="H32" s="132">
        <f>IFERROR(__xludf.DUMMYFUNCTION("""COMPUTED_VALUE"""),1.0)</f>
        <v>1</v>
      </c>
      <c r="I32" s="132"/>
      <c r="J32" s="132">
        <f>IFERROR(__xludf.DUMMYFUNCTION("""COMPUTED_VALUE"""),1.0)</f>
        <v>1</v>
      </c>
      <c r="K32" s="132">
        <f>IFERROR(__xludf.DUMMYFUNCTION("""COMPUTED_VALUE"""),1.0)</f>
        <v>1</v>
      </c>
      <c r="L32" s="132">
        <f>IFERROR(__xludf.DUMMYFUNCTION("""COMPUTED_VALUE"""),1.0)</f>
        <v>1</v>
      </c>
      <c r="M32" s="132">
        <f>IFERROR(__xludf.DUMMYFUNCTION("""COMPUTED_VALUE"""),1.0)</f>
        <v>1</v>
      </c>
      <c r="N32" s="132">
        <f>IFERROR(__xludf.DUMMYFUNCTION("""COMPUTED_VALUE"""),1.0)</f>
        <v>1</v>
      </c>
      <c r="O32" s="132"/>
      <c r="P32" s="132"/>
      <c r="Q32" s="132"/>
      <c r="R32" s="132"/>
      <c r="S32" s="132"/>
      <c r="T32" s="132"/>
      <c r="U32" s="132"/>
      <c r="V32" s="132"/>
      <c r="W32" s="132"/>
      <c r="X32" s="132"/>
      <c r="Y32" s="132"/>
      <c r="Z32" s="132"/>
    </row>
    <row r="33">
      <c r="A33" s="136">
        <f>IFERROR(__xludf.DUMMYFUNCTION("""COMPUTED_VALUE"""),45262.0)</f>
        <v>45262</v>
      </c>
      <c r="B33" s="132" t="str">
        <f>IFERROR(__xludf.DUMMYFUNCTION("""COMPUTED_VALUE"""),"Egg tart")</f>
        <v>Egg tart</v>
      </c>
      <c r="C33" s="132" t="str">
        <f>IFERROR(__xludf.DUMMYFUNCTION("""COMPUTED_VALUE"""),"食物")</f>
        <v>食物</v>
      </c>
      <c r="D33" s="132">
        <f>IFERROR(__xludf.DUMMYFUNCTION("""COMPUTED_VALUE"""),50.0)</f>
        <v>50</v>
      </c>
      <c r="E33" s="132" t="str">
        <f>IFERROR(__xludf.DUMMYFUNCTION("""COMPUTED_VALUE"""),"BL")</f>
        <v>BL</v>
      </c>
      <c r="F33" s="132">
        <f>IFERROR(__xludf.DUMMYFUNCTION("""COMPUTED_VALUE"""),7.142857142857143)</f>
        <v>7.142857143</v>
      </c>
      <c r="G33" s="132">
        <f>IFERROR(__xludf.DUMMYFUNCTION("""COMPUTED_VALUE"""),7.142857142857143)</f>
        <v>7.142857143</v>
      </c>
      <c r="H33" s="132">
        <f>IFERROR(__xludf.DUMMYFUNCTION("""COMPUTED_VALUE"""),1.0)</f>
        <v>1</v>
      </c>
      <c r="I33" s="132">
        <f>IFERROR(__xludf.DUMMYFUNCTION("""COMPUTED_VALUE"""),1.0)</f>
        <v>1</v>
      </c>
      <c r="J33" s="132">
        <f>IFERROR(__xludf.DUMMYFUNCTION("""COMPUTED_VALUE"""),1.0)</f>
        <v>1</v>
      </c>
      <c r="K33" s="132">
        <f>IFERROR(__xludf.DUMMYFUNCTION("""COMPUTED_VALUE"""),1.0)</f>
        <v>1</v>
      </c>
      <c r="L33" s="132">
        <f>IFERROR(__xludf.DUMMYFUNCTION("""COMPUTED_VALUE"""),1.0)</f>
        <v>1</v>
      </c>
      <c r="M33" s="132">
        <f>IFERROR(__xludf.DUMMYFUNCTION("""COMPUTED_VALUE"""),1.0)</f>
        <v>1</v>
      </c>
      <c r="N33" s="132">
        <f>IFERROR(__xludf.DUMMYFUNCTION("""COMPUTED_VALUE"""),1.0)</f>
        <v>1</v>
      </c>
      <c r="O33" s="132"/>
      <c r="P33" s="132"/>
      <c r="Q33" s="132"/>
      <c r="R33" s="132"/>
      <c r="S33" s="132"/>
      <c r="T33" s="132"/>
      <c r="U33" s="132"/>
      <c r="V33" s="132"/>
      <c r="W33" s="132"/>
      <c r="X33" s="132"/>
      <c r="Y33" s="132"/>
      <c r="Z33" s="132"/>
    </row>
    <row r="34">
      <c r="A34" s="136">
        <f>IFERROR(__xludf.DUMMYFUNCTION("""COMPUTED_VALUE"""),45263.0)</f>
        <v>45263</v>
      </c>
      <c r="B34" s="132" t="str">
        <f>IFERROR(__xludf.DUMMYFUNCTION("""COMPUTED_VALUE"""),"Pizza")</f>
        <v>Pizza</v>
      </c>
      <c r="C34" s="132" t="str">
        <f>IFERROR(__xludf.DUMMYFUNCTION("""COMPUTED_VALUE"""),"食物")</f>
        <v>食物</v>
      </c>
      <c r="D34" s="132">
        <f>IFERROR(__xludf.DUMMYFUNCTION("""COMPUTED_VALUE"""),42.92)</f>
        <v>42.92</v>
      </c>
      <c r="E34" s="132" t="str">
        <f>IFERROR(__xludf.DUMMYFUNCTION("""COMPUTED_VALUE"""),"Ivan")</f>
        <v>Ivan</v>
      </c>
      <c r="F34" s="132">
        <f>IFERROR(__xludf.DUMMYFUNCTION("""COMPUTED_VALUE"""),6.131428571428572)</f>
        <v>6.131428571</v>
      </c>
      <c r="G34" s="132">
        <f>IFERROR(__xludf.DUMMYFUNCTION("""COMPUTED_VALUE"""),6.131428571428572)</f>
        <v>6.131428571</v>
      </c>
      <c r="H34" s="132">
        <f>IFERROR(__xludf.DUMMYFUNCTION("""COMPUTED_VALUE"""),1.0)</f>
        <v>1</v>
      </c>
      <c r="I34" s="132">
        <f>IFERROR(__xludf.DUMMYFUNCTION("""COMPUTED_VALUE"""),1.0)</f>
        <v>1</v>
      </c>
      <c r="J34" s="132">
        <f>IFERROR(__xludf.DUMMYFUNCTION("""COMPUTED_VALUE"""),1.0)</f>
        <v>1</v>
      </c>
      <c r="K34" s="132">
        <f>IFERROR(__xludf.DUMMYFUNCTION("""COMPUTED_VALUE"""),1.0)</f>
        <v>1</v>
      </c>
      <c r="L34" s="132">
        <f>IFERROR(__xludf.DUMMYFUNCTION("""COMPUTED_VALUE"""),1.0)</f>
        <v>1</v>
      </c>
      <c r="M34" s="132">
        <f>IFERROR(__xludf.DUMMYFUNCTION("""COMPUTED_VALUE"""),1.0)</f>
        <v>1</v>
      </c>
      <c r="N34" s="132">
        <f>IFERROR(__xludf.DUMMYFUNCTION("""COMPUTED_VALUE"""),1.0)</f>
        <v>1</v>
      </c>
      <c r="O34" s="132"/>
      <c r="P34" s="132"/>
      <c r="Q34" s="132"/>
      <c r="R34" s="132"/>
      <c r="S34" s="132">
        <f>IFERROR(__xludf.DUMMYFUNCTION("""COMPUTED_VALUE"""),23276.3)</f>
        <v>23276.3</v>
      </c>
      <c r="T34" s="132">
        <f>IFERROR(__xludf.DUMMYFUNCTION("""COMPUTED_VALUE"""),4655.26)</f>
        <v>4655.26</v>
      </c>
      <c r="U34" s="132"/>
      <c r="V34" s="132"/>
      <c r="W34" s="132"/>
      <c r="X34" s="132"/>
      <c r="Y34" s="132"/>
      <c r="Z34" s="132"/>
    </row>
    <row r="35">
      <c r="A35" s="136">
        <f>IFERROR(__xludf.DUMMYFUNCTION("""COMPUTED_VALUE"""),45264.0)</f>
        <v>45264</v>
      </c>
      <c r="B35" s="132" t="str">
        <f>IFERROR(__xludf.DUMMYFUNCTION("""COMPUTED_VALUE"""),"Metro - Snack")</f>
        <v>Metro - Snack</v>
      </c>
      <c r="C35" s="132" t="str">
        <f>IFERROR(__xludf.DUMMYFUNCTION("""COMPUTED_VALUE"""),"食物")</f>
        <v>食物</v>
      </c>
      <c r="D35" s="132">
        <f>IFERROR(__xludf.DUMMYFUNCTION("""COMPUTED_VALUE"""),30.9)</f>
        <v>30.9</v>
      </c>
      <c r="E35" s="132" t="str">
        <f>IFERROR(__xludf.DUMMYFUNCTION("""COMPUTED_VALUE"""),"Timothy")</f>
        <v>Timothy</v>
      </c>
      <c r="F35" s="132">
        <f>IFERROR(__xludf.DUMMYFUNCTION("""COMPUTED_VALUE"""),6.18)</f>
        <v>6.18</v>
      </c>
      <c r="G35" s="132">
        <f>IFERROR(__xludf.DUMMYFUNCTION("""COMPUTED_VALUE"""),6.18)</f>
        <v>6.18</v>
      </c>
      <c r="H35" s="132">
        <f>IFERROR(__xludf.DUMMYFUNCTION("""COMPUTED_VALUE"""),1.0)</f>
        <v>1</v>
      </c>
      <c r="I35" s="132">
        <f>IFERROR(__xludf.DUMMYFUNCTION("""COMPUTED_VALUE"""),1.0)</f>
        <v>1</v>
      </c>
      <c r="J35" s="132">
        <f>IFERROR(__xludf.DUMMYFUNCTION("""COMPUTED_VALUE"""),1.0)</f>
        <v>1</v>
      </c>
      <c r="K35" s="132">
        <f>IFERROR(__xludf.DUMMYFUNCTION("""COMPUTED_VALUE"""),1.0)</f>
        <v>1</v>
      </c>
      <c r="L35" s="132"/>
      <c r="M35" s="132"/>
      <c r="N35" s="132">
        <f>IFERROR(__xludf.DUMMYFUNCTION("""COMPUTED_VALUE"""),1.0)</f>
        <v>1</v>
      </c>
      <c r="O35" s="132"/>
      <c r="P35" s="132"/>
      <c r="Q35" s="134"/>
      <c r="R35" s="132"/>
      <c r="S35" s="132"/>
      <c r="T35" s="132"/>
      <c r="U35" s="132"/>
      <c r="V35" s="132"/>
      <c r="W35" s="132"/>
      <c r="X35" s="132"/>
      <c r="Y35" s="132"/>
      <c r="Z35" s="132"/>
    </row>
    <row r="36">
      <c r="A36" s="136">
        <f>IFERROR(__xludf.DUMMYFUNCTION("""COMPUTED_VALUE"""),45265.0)</f>
        <v>45265</v>
      </c>
      <c r="B36" s="132" t="str">
        <f>IFERROR(__xludf.DUMMYFUNCTION("""COMPUTED_VALUE"""),"T&amp;T")</f>
        <v>T&amp;T</v>
      </c>
      <c r="C36" s="132" t="str">
        <f>IFERROR(__xludf.DUMMYFUNCTION("""COMPUTED_VALUE"""),"食物")</f>
        <v>食物</v>
      </c>
      <c r="D36" s="132">
        <f>IFERROR(__xludf.DUMMYFUNCTION("""COMPUTED_VALUE"""),8.37)</f>
        <v>8.37</v>
      </c>
      <c r="E36" s="132" t="str">
        <f>IFERROR(__xludf.DUMMYFUNCTION("""COMPUTED_VALUE"""),"Esther")</f>
        <v>Esther</v>
      </c>
      <c r="F36" s="132">
        <f>IFERROR(__xludf.DUMMYFUNCTION("""COMPUTED_VALUE"""),1.674)</f>
        <v>1.674</v>
      </c>
      <c r="G36" s="132">
        <f>IFERROR(__xludf.DUMMYFUNCTION("""COMPUTED_VALUE"""),1.674)</f>
        <v>1.674</v>
      </c>
      <c r="H36" s="132">
        <f>IFERROR(__xludf.DUMMYFUNCTION("""COMPUTED_VALUE"""),1.0)</f>
        <v>1</v>
      </c>
      <c r="I36" s="132">
        <f>IFERROR(__xludf.DUMMYFUNCTION("""COMPUTED_VALUE"""),1.0)</f>
        <v>1</v>
      </c>
      <c r="J36" s="132">
        <f>IFERROR(__xludf.DUMMYFUNCTION("""COMPUTED_VALUE"""),1.0)</f>
        <v>1</v>
      </c>
      <c r="K36" s="132">
        <f>IFERROR(__xludf.DUMMYFUNCTION("""COMPUTED_VALUE"""),1.0)</f>
        <v>1</v>
      </c>
      <c r="L36" s="132"/>
      <c r="M36" s="132"/>
      <c r="N36" s="132">
        <f>IFERROR(__xludf.DUMMYFUNCTION("""COMPUTED_VALUE"""),1.0)</f>
        <v>1</v>
      </c>
      <c r="O36" s="132"/>
      <c r="P36" s="132"/>
      <c r="Q36" s="134">
        <f>IFERROR(__xludf.DUMMYFUNCTION("""COMPUTED_VALUE"""),45231.0)</f>
        <v>45231</v>
      </c>
      <c r="R36" s="132" t="str">
        <f>IFERROR(__xludf.DUMMYFUNCTION("""COMPUTED_VALUE"""),"Rent")</f>
        <v>Rent</v>
      </c>
      <c r="S36" s="132">
        <f>IFERROR(__xludf.DUMMYFUNCTION("""COMPUTED_VALUE"""),3600.0)</f>
        <v>3600</v>
      </c>
      <c r="T36" s="132">
        <f>IFERROR(__xludf.DUMMYFUNCTION("""COMPUTED_VALUE"""),720.0)</f>
        <v>720</v>
      </c>
      <c r="U36" s="132" t="str">
        <f>IFERROR(__xludf.DUMMYFUNCTION("""COMPUTED_VALUE"""),"Paid")</f>
        <v>Paid</v>
      </c>
      <c r="V36" s="132" t="str">
        <f>IFERROR(__xludf.DUMMYFUNCTION("""COMPUTED_VALUE"""),"Paid")</f>
        <v>Paid</v>
      </c>
      <c r="W36" s="132" t="str">
        <f>IFERROR(__xludf.DUMMYFUNCTION("""COMPUTED_VALUE"""),"Paid")</f>
        <v>Paid</v>
      </c>
      <c r="X36" s="132" t="str">
        <f>IFERROR(__xludf.DUMMYFUNCTION("""COMPUTED_VALUE"""),"Paid")</f>
        <v>Paid</v>
      </c>
      <c r="Y36" s="132" t="str">
        <f>IFERROR(__xludf.DUMMYFUNCTION("""COMPUTED_VALUE"""),"Paid")</f>
        <v>Paid</v>
      </c>
      <c r="Z36" s="132"/>
    </row>
    <row r="37">
      <c r="A37" s="136">
        <f>IFERROR(__xludf.DUMMYFUNCTION("""COMPUTED_VALUE"""),45265.0)</f>
        <v>45265</v>
      </c>
      <c r="B37" s="132" t="str">
        <f>IFERROR(__xludf.DUMMYFUNCTION("""COMPUTED_VALUE"""),"Foody")</f>
        <v>Foody</v>
      </c>
      <c r="C37" s="132" t="str">
        <f>IFERROR(__xludf.DUMMYFUNCTION("""COMPUTED_VALUE"""),"食物")</f>
        <v>食物</v>
      </c>
      <c r="D37" s="132">
        <f>IFERROR(__xludf.DUMMYFUNCTION("""COMPUTED_VALUE"""),14.69)</f>
        <v>14.69</v>
      </c>
      <c r="E37" s="132" t="str">
        <f>IFERROR(__xludf.DUMMYFUNCTION("""COMPUTED_VALUE"""),"Timothy")</f>
        <v>Timothy</v>
      </c>
      <c r="F37" s="132">
        <f>IFERROR(__xludf.DUMMYFUNCTION("""COMPUTED_VALUE"""),2.9379999999999997)</f>
        <v>2.938</v>
      </c>
      <c r="G37" s="132">
        <f>IFERROR(__xludf.DUMMYFUNCTION("""COMPUTED_VALUE"""),2.9379999999999997)</f>
        <v>2.938</v>
      </c>
      <c r="H37" s="132">
        <f>IFERROR(__xludf.DUMMYFUNCTION("""COMPUTED_VALUE"""),1.0)</f>
        <v>1</v>
      </c>
      <c r="I37" s="132">
        <f>IFERROR(__xludf.DUMMYFUNCTION("""COMPUTED_VALUE"""),1.0)</f>
        <v>1</v>
      </c>
      <c r="J37" s="132">
        <f>IFERROR(__xludf.DUMMYFUNCTION("""COMPUTED_VALUE"""),1.0)</f>
        <v>1</v>
      </c>
      <c r="K37" s="132">
        <f>IFERROR(__xludf.DUMMYFUNCTION("""COMPUTED_VALUE"""),1.0)</f>
        <v>1</v>
      </c>
      <c r="L37" s="132"/>
      <c r="M37" s="132"/>
      <c r="N37" s="132">
        <f>IFERROR(__xludf.DUMMYFUNCTION("""COMPUTED_VALUE"""),1.0)</f>
        <v>1</v>
      </c>
      <c r="O37" s="132"/>
      <c r="P37" s="132"/>
      <c r="Q37" s="132"/>
      <c r="R37" s="132" t="str">
        <f>IFERROR(__xludf.DUMMYFUNCTION("""COMPUTED_VALUE"""),"Water")</f>
        <v>Water</v>
      </c>
      <c r="S37" s="132"/>
      <c r="T37" s="132"/>
      <c r="U37" s="132"/>
      <c r="V37" s="132"/>
      <c r="W37" s="132"/>
      <c r="X37" s="132"/>
      <c r="Y37" s="132"/>
      <c r="Z37" s="132"/>
    </row>
    <row r="38">
      <c r="A38" s="136">
        <f>IFERROR(__xludf.DUMMYFUNCTION("""COMPUTED_VALUE"""),45269.0)</f>
        <v>45269</v>
      </c>
      <c r="B38" s="132" t="str">
        <f>IFERROR(__xludf.DUMMYFUNCTION("""COMPUTED_VALUE"""),"Foody Binno")</f>
        <v>Foody Binno</v>
      </c>
      <c r="C38" s="132" t="str">
        <f>IFERROR(__xludf.DUMMYFUNCTION("""COMPUTED_VALUE"""),"食物")</f>
        <v>食物</v>
      </c>
      <c r="D38" s="132">
        <f>IFERROR(__xludf.DUMMYFUNCTION("""COMPUTED_VALUE"""),102.68)</f>
        <v>102.68</v>
      </c>
      <c r="E38" s="132" t="str">
        <f>IFERROR(__xludf.DUMMYFUNCTION("""COMPUTED_VALUE"""),"Timothy")</f>
        <v>Timothy</v>
      </c>
      <c r="F38" s="132">
        <f>IFERROR(__xludf.DUMMYFUNCTION("""COMPUTED_VALUE"""),14.668571428571429)</f>
        <v>14.66857143</v>
      </c>
      <c r="G38" s="132">
        <f>IFERROR(__xludf.DUMMYFUNCTION("""COMPUTED_VALUE"""),14.668571428571429)</f>
        <v>14.66857143</v>
      </c>
      <c r="H38" s="132">
        <f>IFERROR(__xludf.DUMMYFUNCTION("""COMPUTED_VALUE"""),1.0)</f>
        <v>1</v>
      </c>
      <c r="I38" s="132">
        <f>IFERROR(__xludf.DUMMYFUNCTION("""COMPUTED_VALUE"""),1.0)</f>
        <v>1</v>
      </c>
      <c r="J38" s="132">
        <f>IFERROR(__xludf.DUMMYFUNCTION("""COMPUTED_VALUE"""),1.0)</f>
        <v>1</v>
      </c>
      <c r="K38" s="132">
        <f>IFERROR(__xludf.DUMMYFUNCTION("""COMPUTED_VALUE"""),1.0)</f>
        <v>1</v>
      </c>
      <c r="L38" s="132">
        <f>IFERROR(__xludf.DUMMYFUNCTION("""COMPUTED_VALUE"""),1.0)</f>
        <v>1</v>
      </c>
      <c r="M38" s="132">
        <f>IFERROR(__xludf.DUMMYFUNCTION("""COMPUTED_VALUE"""),1.0)</f>
        <v>1</v>
      </c>
      <c r="N38" s="132">
        <f>IFERROR(__xludf.DUMMYFUNCTION("""COMPUTED_VALUE"""),1.0)</f>
        <v>1</v>
      </c>
      <c r="O38" s="132"/>
      <c r="P38" s="132"/>
      <c r="Q38" s="132"/>
      <c r="R38" s="132" t="str">
        <f>IFERROR(__xludf.DUMMYFUNCTION("""COMPUTED_VALUE"""),"Heat (19/10-16/11)")</f>
        <v>Heat (19/10-16/11)</v>
      </c>
      <c r="S38" s="132">
        <f>IFERROR(__xludf.DUMMYFUNCTION("""COMPUTED_VALUE"""),136.95000000000002)</f>
        <v>136.95</v>
      </c>
      <c r="T38" s="132"/>
      <c r="U38" s="132">
        <f>IFERROR(__xludf.DUMMYFUNCTION("""COMPUTED_VALUE"""),40.53)</f>
        <v>40.53</v>
      </c>
      <c r="V38" s="132">
        <f>IFERROR(__xludf.DUMMYFUNCTION("""COMPUTED_VALUE"""),40.53)</f>
        <v>40.53</v>
      </c>
      <c r="W38" s="132">
        <f>IFERROR(__xludf.DUMMYFUNCTION("""COMPUTED_VALUE"""),25.15)</f>
        <v>25.15</v>
      </c>
      <c r="X38" s="132">
        <f>IFERROR(__xludf.DUMMYFUNCTION("""COMPUTED_VALUE"""),25.15)</f>
        <v>25.15</v>
      </c>
      <c r="Y38" s="132">
        <f>IFERROR(__xludf.DUMMYFUNCTION("""COMPUTED_VALUE"""),5.59)</f>
        <v>5.59</v>
      </c>
      <c r="Z38" s="132"/>
    </row>
    <row r="39">
      <c r="A39" s="136">
        <f>IFERROR(__xludf.DUMMYFUNCTION("""COMPUTED_VALUE"""),45266.0)</f>
        <v>45266</v>
      </c>
      <c r="B39" s="132" t="str">
        <f>IFERROR(__xludf.DUMMYFUNCTION("""COMPUTED_VALUE"""),"Turkish Dinner")</f>
        <v>Turkish Dinner</v>
      </c>
      <c r="C39" s="132" t="str">
        <f>IFERROR(__xludf.DUMMYFUNCTION("""COMPUTED_VALUE"""),"食物")</f>
        <v>食物</v>
      </c>
      <c r="D39" s="132">
        <f>IFERROR(__xludf.DUMMYFUNCTION("""COMPUTED_VALUE"""),241.24)</f>
        <v>241.24</v>
      </c>
      <c r="E39" s="132" t="str">
        <f>IFERROR(__xludf.DUMMYFUNCTION("""COMPUTED_VALUE"""),"BL")</f>
        <v>BL</v>
      </c>
      <c r="F39" s="132">
        <f>IFERROR(__xludf.DUMMYFUNCTION("""COMPUTED_VALUE"""),40.20666666666667)</f>
        <v>40.20666667</v>
      </c>
      <c r="G39" s="132">
        <f>IFERROR(__xludf.DUMMYFUNCTION("""COMPUTED_VALUE"""),40.20666666666667)</f>
        <v>40.20666667</v>
      </c>
      <c r="H39" s="132">
        <f>IFERROR(__xludf.DUMMYFUNCTION("""COMPUTED_VALUE"""),1.0)</f>
        <v>1</v>
      </c>
      <c r="I39" s="132">
        <f>IFERROR(__xludf.DUMMYFUNCTION("""COMPUTED_VALUE"""),1.0)</f>
        <v>1</v>
      </c>
      <c r="J39" s="132">
        <f>IFERROR(__xludf.DUMMYFUNCTION("""COMPUTED_VALUE"""),1.0)</f>
        <v>1</v>
      </c>
      <c r="K39" s="132">
        <f>IFERROR(__xludf.DUMMYFUNCTION("""COMPUTED_VALUE"""),1.0)</f>
        <v>1</v>
      </c>
      <c r="L39" s="132"/>
      <c r="M39" s="132">
        <f>IFERROR(__xludf.DUMMYFUNCTION("""COMPUTED_VALUE"""),1.0)</f>
        <v>1</v>
      </c>
      <c r="N39" s="132">
        <f>IFERROR(__xludf.DUMMYFUNCTION("""COMPUTED_VALUE"""),1.0)</f>
        <v>1</v>
      </c>
      <c r="O39" s="132"/>
      <c r="P39" s="132"/>
      <c r="Q39" s="132"/>
      <c r="R39" s="132" t="str">
        <f>IFERROR(__xludf.DUMMYFUNCTION("""COMPUTED_VALUE"""),"Electricity")</f>
        <v>Electricity</v>
      </c>
      <c r="S39" s="132"/>
      <c r="T39" s="132"/>
      <c r="U39" s="132" t="str">
        <f>IFERROR(__xludf.DUMMYFUNCTION("""COMPUTED_VALUE"""),"Paid")</f>
        <v>Paid</v>
      </c>
      <c r="V39" s="132" t="str">
        <f>IFERROR(__xludf.DUMMYFUNCTION("""COMPUTED_VALUE"""),"Paid")</f>
        <v>Paid</v>
      </c>
      <c r="W39" s="132" t="str">
        <f>IFERROR(__xludf.DUMMYFUNCTION("""COMPUTED_VALUE"""),"Paid")</f>
        <v>Paid</v>
      </c>
      <c r="X39" s="132" t="str">
        <f>IFERROR(__xludf.DUMMYFUNCTION("""COMPUTED_VALUE"""),"Paid")</f>
        <v>Paid</v>
      </c>
      <c r="Y39" s="132" t="str">
        <f>IFERROR(__xludf.DUMMYFUNCTION("""COMPUTED_VALUE"""),"Paid")</f>
        <v>Paid</v>
      </c>
      <c r="Z39" s="132"/>
    </row>
    <row r="40">
      <c r="A40" s="136">
        <f>IFERROR(__xludf.DUMMYFUNCTION("""COMPUTED_VALUE"""),45269.0)</f>
        <v>45269</v>
      </c>
      <c r="B40" s="132" t="str">
        <f>IFERROR(__xludf.DUMMYFUNCTION("""COMPUTED_VALUE"""),"梅頭肉")</f>
        <v>梅頭肉</v>
      </c>
      <c r="C40" s="132" t="str">
        <f>IFERROR(__xludf.DUMMYFUNCTION("""COMPUTED_VALUE"""),"食物")</f>
        <v>食物</v>
      </c>
      <c r="D40" s="132">
        <f>IFERROR(__xludf.DUMMYFUNCTION("""COMPUTED_VALUE"""),20.0)</f>
        <v>20</v>
      </c>
      <c r="E40" s="132" t="str">
        <f>IFERROR(__xludf.DUMMYFUNCTION("""COMPUTED_VALUE"""),"Rachel")</f>
        <v>Rachel</v>
      </c>
      <c r="F40" s="132">
        <f>IFERROR(__xludf.DUMMYFUNCTION("""COMPUTED_VALUE"""),2.857142857142857)</f>
        <v>2.857142857</v>
      </c>
      <c r="G40" s="132">
        <f>IFERROR(__xludf.DUMMYFUNCTION("""COMPUTED_VALUE"""),2.857142857142857)</f>
        <v>2.857142857</v>
      </c>
      <c r="H40" s="132">
        <f>IFERROR(__xludf.DUMMYFUNCTION("""COMPUTED_VALUE"""),1.0)</f>
        <v>1</v>
      </c>
      <c r="I40" s="132">
        <f>IFERROR(__xludf.DUMMYFUNCTION("""COMPUTED_VALUE"""),1.0)</f>
        <v>1</v>
      </c>
      <c r="J40" s="132">
        <f>IFERROR(__xludf.DUMMYFUNCTION("""COMPUTED_VALUE"""),1.0)</f>
        <v>1</v>
      </c>
      <c r="K40" s="132">
        <f>IFERROR(__xludf.DUMMYFUNCTION("""COMPUTED_VALUE"""),1.0)</f>
        <v>1</v>
      </c>
      <c r="L40" s="132">
        <f>IFERROR(__xludf.DUMMYFUNCTION("""COMPUTED_VALUE"""),1.0)</f>
        <v>1</v>
      </c>
      <c r="M40" s="132">
        <f>IFERROR(__xludf.DUMMYFUNCTION("""COMPUTED_VALUE"""),1.0)</f>
        <v>1</v>
      </c>
      <c r="N40" s="132">
        <f>IFERROR(__xludf.DUMMYFUNCTION("""COMPUTED_VALUE"""),1.0)</f>
        <v>1</v>
      </c>
      <c r="O40" s="132"/>
      <c r="P40" s="132"/>
      <c r="Q40" s="132"/>
      <c r="R40" s="132" t="str">
        <f>IFERROR(__xludf.DUMMYFUNCTION("""COMPUTED_VALUE"""),"Internet")</f>
        <v>Internet</v>
      </c>
      <c r="S40" s="132">
        <f>IFERROR(__xludf.DUMMYFUNCTION("""COMPUTED_VALUE"""),56.5)</f>
        <v>56.5</v>
      </c>
      <c r="T40" s="132"/>
      <c r="U40" s="132" t="str">
        <f>IFERROR(__xludf.DUMMYFUNCTION("""COMPUTED_VALUE"""),"Paid")</f>
        <v>Paid</v>
      </c>
      <c r="V40" s="132" t="str">
        <f>IFERROR(__xludf.DUMMYFUNCTION("""COMPUTED_VALUE"""),"Paid")</f>
        <v>Paid</v>
      </c>
      <c r="W40" s="132" t="str">
        <f>IFERROR(__xludf.DUMMYFUNCTION("""COMPUTED_VALUE"""),"Paid")</f>
        <v>Paid</v>
      </c>
      <c r="X40" s="132" t="str">
        <f>IFERROR(__xludf.DUMMYFUNCTION("""COMPUTED_VALUE"""),"Paid")</f>
        <v>Paid</v>
      </c>
      <c r="Y40" s="132" t="str">
        <f>IFERROR(__xludf.DUMMYFUNCTION("""COMPUTED_VALUE"""),"Paid")</f>
        <v>Paid</v>
      </c>
      <c r="Z40" s="132"/>
    </row>
    <row r="41">
      <c r="A41" s="136">
        <f>IFERROR(__xludf.DUMMYFUNCTION("""COMPUTED_VALUE"""),45268.0)</f>
        <v>45268</v>
      </c>
      <c r="B41" s="132" t="str">
        <f>IFERROR(__xludf.DUMMYFUNCTION("""COMPUTED_VALUE"""),"Tnt Dinner")</f>
        <v>Tnt Dinner</v>
      </c>
      <c r="C41" s="132" t="str">
        <f>IFERROR(__xludf.DUMMYFUNCTION("""COMPUTED_VALUE"""),"食物")</f>
        <v>食物</v>
      </c>
      <c r="D41" s="132">
        <f>IFERROR(__xludf.DUMMYFUNCTION("""COMPUTED_VALUE"""),20.46)</f>
        <v>20.46</v>
      </c>
      <c r="E41" s="132" t="str">
        <f>IFERROR(__xludf.DUMMYFUNCTION("""COMPUTED_VALUE"""),"Pigskin")</f>
        <v>Pigskin</v>
      </c>
      <c r="F41" s="132">
        <f>IFERROR(__xludf.DUMMYFUNCTION("""COMPUTED_VALUE"""),4.0920000000000005)</f>
        <v>4.092</v>
      </c>
      <c r="G41" s="132">
        <f>IFERROR(__xludf.DUMMYFUNCTION("""COMPUTED_VALUE"""),4.0920000000000005)</f>
        <v>4.092</v>
      </c>
      <c r="H41" s="132">
        <f>IFERROR(__xludf.DUMMYFUNCTION("""COMPUTED_VALUE"""),1.0)</f>
        <v>1</v>
      </c>
      <c r="I41" s="132">
        <f>IFERROR(__xludf.DUMMYFUNCTION("""COMPUTED_VALUE"""),1.0)</f>
        <v>1</v>
      </c>
      <c r="J41" s="132">
        <f>IFERROR(__xludf.DUMMYFUNCTION("""COMPUTED_VALUE"""),1.0)</f>
        <v>1</v>
      </c>
      <c r="K41" s="132">
        <f>IFERROR(__xludf.DUMMYFUNCTION("""COMPUTED_VALUE"""),1.0)</f>
        <v>1</v>
      </c>
      <c r="L41" s="132"/>
      <c r="M41" s="132"/>
      <c r="N41" s="132">
        <f>IFERROR(__xludf.DUMMYFUNCTION("""COMPUTED_VALUE"""),1.0)</f>
        <v>1</v>
      </c>
      <c r="O41" s="132"/>
      <c r="P41" s="132"/>
      <c r="Q41" s="132"/>
      <c r="R41" s="132"/>
      <c r="S41" s="132">
        <f>IFERROR(__xludf.DUMMYFUNCTION("""COMPUTED_VALUE"""),3793.45)</f>
        <v>3793.45</v>
      </c>
      <c r="T41" s="132">
        <f>IFERROR(__xludf.DUMMYFUNCTION("""COMPUTED_VALUE"""),720.0)</f>
        <v>720</v>
      </c>
      <c r="U41" s="132"/>
      <c r="V41" s="132"/>
      <c r="W41" s="132"/>
      <c r="X41" s="132"/>
      <c r="Y41" s="132"/>
      <c r="Z41" s="132"/>
    </row>
    <row r="42">
      <c r="A42" s="136">
        <f>IFERROR(__xludf.DUMMYFUNCTION("""COMPUTED_VALUE"""),45268.0)</f>
        <v>45268</v>
      </c>
      <c r="B42" s="132" t="str">
        <f>IFERROR(__xludf.DUMMYFUNCTION("""COMPUTED_VALUE"""),"Salmon")</f>
        <v>Salmon</v>
      </c>
      <c r="C42" s="132" t="str">
        <f>IFERROR(__xludf.DUMMYFUNCTION("""COMPUTED_VALUE"""),"食物")</f>
        <v>食物</v>
      </c>
      <c r="D42" s="132">
        <f>IFERROR(__xludf.DUMMYFUNCTION("""COMPUTED_VALUE"""),24.67)</f>
        <v>24.67</v>
      </c>
      <c r="E42" s="132" t="str">
        <f>IFERROR(__xludf.DUMMYFUNCTION("""COMPUTED_VALUE"""),"Pigskin")</f>
        <v>Pigskin</v>
      </c>
      <c r="F42" s="132">
        <f>IFERROR(__xludf.DUMMYFUNCTION("""COMPUTED_VALUE"""),3.5242857142857145)</f>
        <v>3.524285714</v>
      </c>
      <c r="G42" s="132">
        <f>IFERROR(__xludf.DUMMYFUNCTION("""COMPUTED_VALUE"""),3.5242857142857145)</f>
        <v>3.524285714</v>
      </c>
      <c r="H42" s="132">
        <f>IFERROR(__xludf.DUMMYFUNCTION("""COMPUTED_VALUE"""),1.0)</f>
        <v>1</v>
      </c>
      <c r="I42" s="132">
        <f>IFERROR(__xludf.DUMMYFUNCTION("""COMPUTED_VALUE"""),1.0)</f>
        <v>1</v>
      </c>
      <c r="J42" s="132">
        <f>IFERROR(__xludf.DUMMYFUNCTION("""COMPUTED_VALUE"""),1.0)</f>
        <v>1</v>
      </c>
      <c r="K42" s="132">
        <f>IFERROR(__xludf.DUMMYFUNCTION("""COMPUTED_VALUE"""),1.0)</f>
        <v>1</v>
      </c>
      <c r="L42" s="132">
        <f>IFERROR(__xludf.DUMMYFUNCTION("""COMPUTED_VALUE"""),1.0)</f>
        <v>1</v>
      </c>
      <c r="M42" s="132">
        <f>IFERROR(__xludf.DUMMYFUNCTION("""COMPUTED_VALUE"""),1.0)</f>
        <v>1</v>
      </c>
      <c r="N42" s="132">
        <f>IFERROR(__xludf.DUMMYFUNCTION("""COMPUTED_VALUE"""),1.0)</f>
        <v>1</v>
      </c>
      <c r="O42" s="132"/>
      <c r="P42" s="132"/>
      <c r="Q42" s="132"/>
      <c r="R42" s="132"/>
      <c r="S42" s="132"/>
      <c r="T42" s="132"/>
      <c r="U42" s="132"/>
      <c r="V42" s="132"/>
      <c r="W42" s="132"/>
      <c r="X42" s="132"/>
      <c r="Y42" s="132"/>
      <c r="Z42" s="132"/>
    </row>
    <row r="43">
      <c r="A43" s="136">
        <f>IFERROR(__xludf.DUMMYFUNCTION("""COMPUTED_VALUE"""),45268.0)</f>
        <v>45268</v>
      </c>
      <c r="B43" s="132" t="str">
        <f>IFERROR(__xludf.DUMMYFUNCTION("""COMPUTED_VALUE"""),"雞肉")</f>
        <v>雞肉</v>
      </c>
      <c r="C43" s="132" t="str">
        <f>IFERROR(__xludf.DUMMYFUNCTION("""COMPUTED_VALUE"""),"食物")</f>
        <v>食物</v>
      </c>
      <c r="D43" s="132">
        <f>IFERROR(__xludf.DUMMYFUNCTION("""COMPUTED_VALUE"""),8.62)</f>
        <v>8.62</v>
      </c>
      <c r="E43" s="132" t="str">
        <f>IFERROR(__xludf.DUMMYFUNCTION("""COMPUTED_VALUE"""),"Pigskin")</f>
        <v>Pigskin</v>
      </c>
      <c r="F43" s="132">
        <f>IFERROR(__xludf.DUMMYFUNCTION("""COMPUTED_VALUE"""),1.2314285714285713)</f>
        <v>1.231428571</v>
      </c>
      <c r="G43" s="132">
        <f>IFERROR(__xludf.DUMMYFUNCTION("""COMPUTED_VALUE"""),1.2314285714285713)</f>
        <v>1.231428571</v>
      </c>
      <c r="H43" s="132">
        <f>IFERROR(__xludf.DUMMYFUNCTION("""COMPUTED_VALUE"""),1.0)</f>
        <v>1</v>
      </c>
      <c r="I43" s="132">
        <f>IFERROR(__xludf.DUMMYFUNCTION("""COMPUTED_VALUE"""),1.0)</f>
        <v>1</v>
      </c>
      <c r="J43" s="132">
        <f>IFERROR(__xludf.DUMMYFUNCTION("""COMPUTED_VALUE"""),1.0)</f>
        <v>1</v>
      </c>
      <c r="K43" s="132">
        <f>IFERROR(__xludf.DUMMYFUNCTION("""COMPUTED_VALUE"""),1.0)</f>
        <v>1</v>
      </c>
      <c r="L43" s="132">
        <f>IFERROR(__xludf.DUMMYFUNCTION("""COMPUTED_VALUE"""),1.0)</f>
        <v>1</v>
      </c>
      <c r="M43" s="132">
        <f>IFERROR(__xludf.DUMMYFUNCTION("""COMPUTED_VALUE"""),1.0)</f>
        <v>1</v>
      </c>
      <c r="N43" s="132">
        <f>IFERROR(__xludf.DUMMYFUNCTION("""COMPUTED_VALUE"""),1.0)</f>
        <v>1</v>
      </c>
      <c r="O43" s="132"/>
      <c r="P43" s="132"/>
      <c r="Q43" s="134">
        <f>IFERROR(__xludf.DUMMYFUNCTION("""COMPUTED_VALUE"""),45261.0)</f>
        <v>45261</v>
      </c>
      <c r="R43" s="132" t="str">
        <f>IFERROR(__xludf.DUMMYFUNCTION("""COMPUTED_VALUE"""),"Rent")</f>
        <v>Rent</v>
      </c>
      <c r="S43" s="132">
        <f>IFERROR(__xludf.DUMMYFUNCTION("""COMPUTED_VALUE"""),3600.0)</f>
        <v>3600</v>
      </c>
      <c r="T43" s="132">
        <f>IFERROR(__xludf.DUMMYFUNCTION("""COMPUTED_VALUE"""),720.0)</f>
        <v>720</v>
      </c>
      <c r="U43" s="132" t="str">
        <f>IFERROR(__xludf.DUMMYFUNCTION("""COMPUTED_VALUE"""),"Paid")</f>
        <v>Paid</v>
      </c>
      <c r="V43" s="132" t="str">
        <f>IFERROR(__xludf.DUMMYFUNCTION("""COMPUTED_VALUE"""),"Paid")</f>
        <v>Paid</v>
      </c>
      <c r="W43" s="132" t="str">
        <f>IFERROR(__xludf.DUMMYFUNCTION("""COMPUTED_VALUE"""),"Paid")</f>
        <v>Paid</v>
      </c>
      <c r="X43" s="132" t="str">
        <f>IFERROR(__xludf.DUMMYFUNCTION("""COMPUTED_VALUE"""),"Paid")</f>
        <v>Paid</v>
      </c>
      <c r="Y43" s="132" t="str">
        <f>IFERROR(__xludf.DUMMYFUNCTION("""COMPUTED_VALUE"""),"Paid")</f>
        <v>Paid</v>
      </c>
      <c r="Z43" s="132"/>
    </row>
    <row r="44">
      <c r="A44" s="136">
        <f>IFERROR(__xludf.DUMMYFUNCTION("""COMPUTED_VALUE"""),45267.0)</f>
        <v>45267</v>
      </c>
      <c r="B44" s="132" t="str">
        <f>IFERROR(__xludf.DUMMYFUNCTION("""COMPUTED_VALUE"""),"Dinner")</f>
        <v>Dinner</v>
      </c>
      <c r="C44" s="132" t="str">
        <f>IFERROR(__xludf.DUMMYFUNCTION("""COMPUTED_VALUE"""),"食物")</f>
        <v>食物</v>
      </c>
      <c r="D44" s="132">
        <f>IFERROR(__xludf.DUMMYFUNCTION("""COMPUTED_VALUE"""),14.69)</f>
        <v>14.69</v>
      </c>
      <c r="E44" s="132" t="str">
        <f>IFERROR(__xludf.DUMMYFUNCTION("""COMPUTED_VALUE"""),"Timothy")</f>
        <v>Timothy</v>
      </c>
      <c r="F44" s="132">
        <f>IFERROR(__xludf.DUMMYFUNCTION("""COMPUTED_VALUE"""),2.9379999999999997)</f>
        <v>2.938</v>
      </c>
      <c r="G44" s="132">
        <f>IFERROR(__xludf.DUMMYFUNCTION("""COMPUTED_VALUE"""),2.9379999999999997)</f>
        <v>2.938</v>
      </c>
      <c r="H44" s="132">
        <f>IFERROR(__xludf.DUMMYFUNCTION("""COMPUTED_VALUE"""),1.0)</f>
        <v>1</v>
      </c>
      <c r="I44" s="132">
        <f>IFERROR(__xludf.DUMMYFUNCTION("""COMPUTED_VALUE"""),1.0)</f>
        <v>1</v>
      </c>
      <c r="J44" s="132">
        <f>IFERROR(__xludf.DUMMYFUNCTION("""COMPUTED_VALUE"""),1.0)</f>
        <v>1</v>
      </c>
      <c r="K44" s="132">
        <f>IFERROR(__xludf.DUMMYFUNCTION("""COMPUTED_VALUE"""),1.0)</f>
        <v>1</v>
      </c>
      <c r="L44" s="132"/>
      <c r="M44" s="132"/>
      <c r="N44" s="132">
        <f>IFERROR(__xludf.DUMMYFUNCTION("""COMPUTED_VALUE"""),1.0)</f>
        <v>1</v>
      </c>
      <c r="O44" s="132"/>
      <c r="P44" s="132"/>
      <c r="Q44" s="132"/>
      <c r="R44" s="132" t="str">
        <f>IFERROR(__xludf.DUMMYFUNCTION("""COMPUTED_VALUE"""),"Water")</f>
        <v>Water</v>
      </c>
      <c r="S44" s="132">
        <f>IFERROR(__xludf.DUMMYFUNCTION("""COMPUTED_VALUE"""),284.24)</f>
        <v>284.24</v>
      </c>
      <c r="T44" s="132">
        <f>IFERROR(__xludf.DUMMYFUNCTION("""COMPUTED_VALUE"""),56.848)</f>
        <v>56.848</v>
      </c>
      <c r="U44" s="132" t="str">
        <f>IFERROR(__xludf.DUMMYFUNCTION("""COMPUTED_VALUE"""),"Paid")</f>
        <v>Paid</v>
      </c>
      <c r="V44" s="132" t="str">
        <f>IFERROR(__xludf.DUMMYFUNCTION("""COMPUTED_VALUE"""),"Paid")</f>
        <v>Paid</v>
      </c>
      <c r="W44" s="132" t="str">
        <f>IFERROR(__xludf.DUMMYFUNCTION("""COMPUTED_VALUE"""),"Paid")</f>
        <v>Paid</v>
      </c>
      <c r="X44" s="132" t="str">
        <f>IFERROR(__xludf.DUMMYFUNCTION("""COMPUTED_VALUE"""),"Paid")</f>
        <v>Paid</v>
      </c>
      <c r="Y44" s="132" t="str">
        <f>IFERROR(__xludf.DUMMYFUNCTION("""COMPUTED_VALUE"""),"Paid")</f>
        <v>Paid</v>
      </c>
      <c r="Z44" s="132"/>
    </row>
    <row r="45">
      <c r="A45" s="136"/>
      <c r="B45" s="132" t="str">
        <f>IFERROR(__xludf.DUMMYFUNCTION("""COMPUTED_VALUE"""),"Mcflurry")</f>
        <v>Mcflurry</v>
      </c>
      <c r="C45" s="132" t="str">
        <f>IFERROR(__xludf.DUMMYFUNCTION("""COMPUTED_VALUE"""),"食物")</f>
        <v>食物</v>
      </c>
      <c r="D45" s="132">
        <f>IFERROR(__xludf.DUMMYFUNCTION("""COMPUTED_VALUE"""),3.66)</f>
        <v>3.66</v>
      </c>
      <c r="E45" s="132" t="str">
        <f>IFERROR(__xludf.DUMMYFUNCTION("""COMPUTED_VALUE"""),"Ivan")</f>
        <v>Ivan</v>
      </c>
      <c r="F45" s="132">
        <f>IFERROR(__xludf.DUMMYFUNCTION("""COMPUTED_VALUE"""),3.66)</f>
        <v>3.66</v>
      </c>
      <c r="G45" s="132">
        <f>IFERROR(__xludf.DUMMYFUNCTION("""COMPUTED_VALUE"""),3.66)</f>
        <v>3.66</v>
      </c>
      <c r="H45" s="132"/>
      <c r="I45" s="132">
        <f>IFERROR(__xludf.DUMMYFUNCTION("""COMPUTED_VALUE"""),1.0)</f>
        <v>1</v>
      </c>
      <c r="J45" s="132"/>
      <c r="K45" s="132"/>
      <c r="L45" s="132"/>
      <c r="M45" s="132"/>
      <c r="N45" s="132"/>
      <c r="O45" s="132"/>
      <c r="P45" s="132"/>
      <c r="Q45" s="132"/>
      <c r="R45" s="132" t="str">
        <f>IFERROR(__xludf.DUMMYFUNCTION("""COMPUTED_VALUE"""),"Heat(17/11-14/12)")</f>
        <v>Heat(17/11-14/12)</v>
      </c>
      <c r="S45" s="132">
        <f>IFERROR(__xludf.DUMMYFUNCTION("""COMPUTED_VALUE"""),149.7)</f>
        <v>149.7</v>
      </c>
      <c r="T45" s="132">
        <f>IFERROR(__xludf.DUMMYFUNCTION("""COMPUTED_VALUE"""),29.939999999999998)</f>
        <v>29.94</v>
      </c>
      <c r="U45" s="132" t="str">
        <f>IFERROR(__xludf.DUMMYFUNCTION("""COMPUTED_VALUE"""),"Paid")</f>
        <v>Paid</v>
      </c>
      <c r="V45" s="132" t="str">
        <f>IFERROR(__xludf.DUMMYFUNCTION("""COMPUTED_VALUE"""),"Paid")</f>
        <v>Paid</v>
      </c>
      <c r="W45" s="132" t="str">
        <f>IFERROR(__xludf.DUMMYFUNCTION("""COMPUTED_VALUE"""),"Paid")</f>
        <v>Paid</v>
      </c>
      <c r="X45" s="132" t="str">
        <f>IFERROR(__xludf.DUMMYFUNCTION("""COMPUTED_VALUE"""),"Paid")</f>
        <v>Paid</v>
      </c>
      <c r="Y45" s="132" t="str">
        <f>IFERROR(__xludf.DUMMYFUNCTION("""COMPUTED_VALUE"""),"Paid")</f>
        <v>Paid</v>
      </c>
      <c r="Z45" s="132"/>
    </row>
    <row r="46">
      <c r="A46" s="136">
        <f>IFERROR(__xludf.DUMMYFUNCTION("""COMPUTED_VALUE"""),45270.0)</f>
        <v>45270</v>
      </c>
      <c r="B46" s="132" t="str">
        <f>IFERROR(__xludf.DUMMYFUNCTION("""COMPUTED_VALUE"""),"Foody Dinner")</f>
        <v>Foody Dinner</v>
      </c>
      <c r="C46" s="132" t="str">
        <f>IFERROR(__xludf.DUMMYFUNCTION("""COMPUTED_VALUE"""),"食物")</f>
        <v>食物</v>
      </c>
      <c r="D46" s="132">
        <f>IFERROR(__xludf.DUMMYFUNCTION("""COMPUTED_VALUE"""),32.08)</f>
        <v>32.08</v>
      </c>
      <c r="E46" s="132" t="str">
        <f>IFERROR(__xludf.DUMMYFUNCTION("""COMPUTED_VALUE"""),"Rachel")</f>
        <v>Rachel</v>
      </c>
      <c r="F46" s="132">
        <f>IFERROR(__xludf.DUMMYFUNCTION("""COMPUTED_VALUE"""),5.346666666666667)</f>
        <v>5.346666667</v>
      </c>
      <c r="G46" s="132">
        <f>IFERROR(__xludf.DUMMYFUNCTION("""COMPUTED_VALUE"""),5.346666666666667)</f>
        <v>5.346666667</v>
      </c>
      <c r="H46" s="132">
        <f>IFERROR(__xludf.DUMMYFUNCTION("""COMPUTED_VALUE"""),1.0)</f>
        <v>1</v>
      </c>
      <c r="I46" s="132">
        <f>IFERROR(__xludf.DUMMYFUNCTION("""COMPUTED_VALUE"""),1.0)</f>
        <v>1</v>
      </c>
      <c r="J46" s="132">
        <f>IFERROR(__xludf.DUMMYFUNCTION("""COMPUTED_VALUE"""),1.0)</f>
        <v>1</v>
      </c>
      <c r="K46" s="132">
        <f>IFERROR(__xludf.DUMMYFUNCTION("""COMPUTED_VALUE"""),1.0)</f>
        <v>1</v>
      </c>
      <c r="L46" s="132">
        <f>IFERROR(__xludf.DUMMYFUNCTION("""COMPUTED_VALUE"""),1.0)</f>
        <v>1</v>
      </c>
      <c r="M46" s="132">
        <f>IFERROR(__xludf.DUMMYFUNCTION("""COMPUTED_VALUE"""),1.0)</f>
        <v>1</v>
      </c>
      <c r="N46" s="132"/>
      <c r="O46" s="132"/>
      <c r="P46" s="132"/>
      <c r="Q46" s="132"/>
      <c r="R46" s="132" t="str">
        <f>IFERROR(__xludf.DUMMYFUNCTION("""COMPUTED_VALUE"""),"Electricity")</f>
        <v>Electricity</v>
      </c>
      <c r="S46" s="132">
        <f>IFERROR(__xludf.DUMMYFUNCTION("""COMPUTED_VALUE"""),107.46)</f>
        <v>107.46</v>
      </c>
      <c r="T46" s="132">
        <f>IFERROR(__xludf.DUMMYFUNCTION("""COMPUTED_VALUE"""),21.491999999999997)</f>
        <v>21.492</v>
      </c>
      <c r="U46" s="132" t="str">
        <f>IFERROR(__xludf.DUMMYFUNCTION("""COMPUTED_VALUE"""),"Paid")</f>
        <v>Paid</v>
      </c>
      <c r="V46" s="132" t="str">
        <f>IFERROR(__xludf.DUMMYFUNCTION("""COMPUTED_VALUE"""),"Paid")</f>
        <v>Paid</v>
      </c>
      <c r="W46" s="132" t="str">
        <f>IFERROR(__xludf.DUMMYFUNCTION("""COMPUTED_VALUE"""),"Paid")</f>
        <v>Paid</v>
      </c>
      <c r="X46" s="132" t="str">
        <f>IFERROR(__xludf.DUMMYFUNCTION("""COMPUTED_VALUE"""),"Paid")</f>
        <v>Paid</v>
      </c>
      <c r="Y46" s="132" t="str">
        <f>IFERROR(__xludf.DUMMYFUNCTION("""COMPUTED_VALUE"""),"Paid")</f>
        <v>Paid</v>
      </c>
      <c r="Z46" s="132"/>
    </row>
    <row r="47">
      <c r="A47" s="136">
        <f>IFERROR(__xludf.DUMMYFUNCTION("""COMPUTED_VALUE"""),45272.0)</f>
        <v>45272</v>
      </c>
      <c r="B47" s="132" t="str">
        <f>IFERROR(__xludf.DUMMYFUNCTION("""COMPUTED_VALUE"""),"炒麵")</f>
        <v>炒麵</v>
      </c>
      <c r="C47" s="132" t="str">
        <f>IFERROR(__xludf.DUMMYFUNCTION("""COMPUTED_VALUE"""),"食物")</f>
        <v>食物</v>
      </c>
      <c r="D47" s="132">
        <f>IFERROR(__xludf.DUMMYFUNCTION("""COMPUTED_VALUE"""),7.35)</f>
        <v>7.35</v>
      </c>
      <c r="E47" s="132" t="str">
        <f>IFERROR(__xludf.DUMMYFUNCTION("""COMPUTED_VALUE"""),"Esther")</f>
        <v>Esther</v>
      </c>
      <c r="F47" s="132">
        <f>IFERROR(__xludf.DUMMYFUNCTION("""COMPUTED_VALUE"""),3.675)</f>
        <v>3.675</v>
      </c>
      <c r="G47" s="132">
        <f>IFERROR(__xludf.DUMMYFUNCTION("""COMPUTED_VALUE"""),3.675)</f>
        <v>3.675</v>
      </c>
      <c r="H47" s="132"/>
      <c r="I47" s="132"/>
      <c r="J47" s="132"/>
      <c r="K47" s="132">
        <f>IFERROR(__xludf.DUMMYFUNCTION("""COMPUTED_VALUE"""),1.0)</f>
        <v>1</v>
      </c>
      <c r="L47" s="132"/>
      <c r="M47" s="132"/>
      <c r="N47" s="132">
        <f>IFERROR(__xludf.DUMMYFUNCTION("""COMPUTED_VALUE"""),1.0)</f>
        <v>1</v>
      </c>
      <c r="O47" s="132"/>
      <c r="P47" s="132"/>
      <c r="Q47" s="132"/>
      <c r="R47" s="132" t="str">
        <f>IFERROR(__xludf.DUMMYFUNCTION("""COMPUTED_VALUE"""),"Internet")</f>
        <v>Internet</v>
      </c>
      <c r="S47" s="132">
        <f>IFERROR(__xludf.DUMMYFUNCTION("""COMPUTED_VALUE"""),56.5)</f>
        <v>56.5</v>
      </c>
      <c r="T47" s="132">
        <f>IFERROR(__xludf.DUMMYFUNCTION("""COMPUTED_VALUE"""),11.3)</f>
        <v>11.3</v>
      </c>
      <c r="U47" s="132" t="str">
        <f>IFERROR(__xludf.DUMMYFUNCTION("""COMPUTED_VALUE"""),"Paid")</f>
        <v>Paid</v>
      </c>
      <c r="V47" s="132" t="str">
        <f>IFERROR(__xludf.DUMMYFUNCTION("""COMPUTED_VALUE"""),"Paid")</f>
        <v>Paid</v>
      </c>
      <c r="W47" s="132" t="str">
        <f>IFERROR(__xludf.DUMMYFUNCTION("""COMPUTED_VALUE"""),"Paid")</f>
        <v>Paid</v>
      </c>
      <c r="X47" s="132" t="str">
        <f>IFERROR(__xludf.DUMMYFUNCTION("""COMPUTED_VALUE"""),"Paid")</f>
        <v>Paid</v>
      </c>
      <c r="Y47" s="132" t="str">
        <f>IFERROR(__xludf.DUMMYFUNCTION("""COMPUTED_VALUE"""),"Paid")</f>
        <v>Paid</v>
      </c>
      <c r="Z47" s="132"/>
    </row>
    <row r="48">
      <c r="A48" s="136">
        <f>IFERROR(__xludf.DUMMYFUNCTION("""COMPUTED_VALUE"""),45241.0)</f>
        <v>45241</v>
      </c>
      <c r="B48" s="132" t="str">
        <f>IFERROR(__xludf.DUMMYFUNCTION("""COMPUTED_VALUE"""),"Tnt Dinner")</f>
        <v>Tnt Dinner</v>
      </c>
      <c r="C48" s="132" t="str">
        <f>IFERROR(__xludf.DUMMYFUNCTION("""COMPUTED_VALUE"""),"食物")</f>
        <v>食物</v>
      </c>
      <c r="D48" s="132">
        <f>IFERROR(__xludf.DUMMYFUNCTION("""COMPUTED_VALUE"""),40.96)</f>
        <v>40.96</v>
      </c>
      <c r="E48" s="132" t="str">
        <f>IFERROR(__xludf.DUMMYFUNCTION("""COMPUTED_VALUE"""),"Pigskin")</f>
        <v>Pigskin</v>
      </c>
      <c r="F48" s="132">
        <f>IFERROR(__xludf.DUMMYFUNCTION("""COMPUTED_VALUE"""),8.192)</f>
        <v>8.192</v>
      </c>
      <c r="G48" s="132">
        <f>IFERROR(__xludf.DUMMYFUNCTION("""COMPUTED_VALUE"""),8.192)</f>
        <v>8.192</v>
      </c>
      <c r="H48" s="132">
        <f>IFERROR(__xludf.DUMMYFUNCTION("""COMPUTED_VALUE"""),1.0)</f>
        <v>1</v>
      </c>
      <c r="I48" s="132">
        <f>IFERROR(__xludf.DUMMYFUNCTION("""COMPUTED_VALUE"""),1.0)</f>
        <v>1</v>
      </c>
      <c r="J48" s="132">
        <f>IFERROR(__xludf.DUMMYFUNCTION("""COMPUTED_VALUE"""),1.0)</f>
        <v>1</v>
      </c>
      <c r="K48" s="132">
        <f>IFERROR(__xludf.DUMMYFUNCTION("""COMPUTED_VALUE"""),1.0)</f>
        <v>1</v>
      </c>
      <c r="L48" s="132"/>
      <c r="M48" s="132"/>
      <c r="N48" s="132">
        <f>IFERROR(__xludf.DUMMYFUNCTION("""COMPUTED_VALUE"""),1.0)</f>
        <v>1</v>
      </c>
      <c r="O48" s="132"/>
      <c r="P48" s="132"/>
      <c r="Q48" s="132"/>
      <c r="R48" s="132"/>
      <c r="S48" s="132">
        <f>IFERROR(__xludf.DUMMYFUNCTION("""COMPUTED_VALUE"""),4197.9)</f>
        <v>4197.9</v>
      </c>
      <c r="T48" s="132">
        <f>IFERROR(__xludf.DUMMYFUNCTION("""COMPUTED_VALUE"""),839.5799999999999)</f>
        <v>839.58</v>
      </c>
      <c r="U48" s="132"/>
      <c r="V48" s="132"/>
      <c r="W48" s="132"/>
      <c r="X48" s="132"/>
      <c r="Y48" s="132"/>
      <c r="Z48" s="132"/>
    </row>
    <row r="49">
      <c r="A49" s="136">
        <f>IFERROR(__xludf.DUMMYFUNCTION("""COMPUTED_VALUE"""),45272.0)</f>
        <v>45272</v>
      </c>
      <c r="B49" s="132" t="str">
        <f>IFERROR(__xludf.DUMMYFUNCTION("""COMPUTED_VALUE"""),"Tnt Dinner")</f>
        <v>Tnt Dinner</v>
      </c>
      <c r="C49" s="132" t="str">
        <f>IFERROR(__xludf.DUMMYFUNCTION("""COMPUTED_VALUE"""),"食物")</f>
        <v>食物</v>
      </c>
      <c r="D49" s="132">
        <f>IFERROR(__xludf.DUMMYFUNCTION("""COMPUTED_VALUE"""),70.67)</f>
        <v>70.67</v>
      </c>
      <c r="E49" s="132" t="str">
        <f>IFERROR(__xludf.DUMMYFUNCTION("""COMPUTED_VALUE"""),"Pigskin")</f>
        <v>Pigskin</v>
      </c>
      <c r="F49" s="132">
        <f>IFERROR(__xludf.DUMMYFUNCTION("""COMPUTED_VALUE"""),14.134)</f>
        <v>14.134</v>
      </c>
      <c r="G49" s="132">
        <f>IFERROR(__xludf.DUMMYFUNCTION("""COMPUTED_VALUE"""),14.134)</f>
        <v>14.134</v>
      </c>
      <c r="H49" s="132">
        <f>IFERROR(__xludf.DUMMYFUNCTION("""COMPUTED_VALUE"""),1.0)</f>
        <v>1</v>
      </c>
      <c r="I49" s="132">
        <f>IFERROR(__xludf.DUMMYFUNCTION("""COMPUTED_VALUE"""),1.0)</f>
        <v>1</v>
      </c>
      <c r="J49" s="132">
        <f>IFERROR(__xludf.DUMMYFUNCTION("""COMPUTED_VALUE"""),1.0)</f>
        <v>1</v>
      </c>
      <c r="K49" s="132">
        <f>IFERROR(__xludf.DUMMYFUNCTION("""COMPUTED_VALUE"""),1.0)</f>
        <v>1</v>
      </c>
      <c r="L49" s="132"/>
      <c r="M49" s="132"/>
      <c r="N49" s="132">
        <f>IFERROR(__xludf.DUMMYFUNCTION("""COMPUTED_VALUE"""),1.0)</f>
        <v>1</v>
      </c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</row>
    <row r="50">
      <c r="A50" s="136">
        <f>IFERROR(__xludf.DUMMYFUNCTION("""COMPUTED_VALUE"""),45272.0)</f>
        <v>45272</v>
      </c>
      <c r="B50" s="132" t="str">
        <f>IFERROR(__xludf.DUMMYFUNCTION("""COMPUTED_VALUE"""),"Foody Dinner")</f>
        <v>Foody Dinner</v>
      </c>
      <c r="C50" s="132" t="str">
        <f>IFERROR(__xludf.DUMMYFUNCTION("""COMPUTED_VALUE"""),"食物")</f>
        <v>食物</v>
      </c>
      <c r="D50" s="132">
        <f>IFERROR(__xludf.DUMMYFUNCTION("""COMPUTED_VALUE"""),44.83)</f>
        <v>44.83</v>
      </c>
      <c r="E50" s="132" t="str">
        <f>IFERROR(__xludf.DUMMYFUNCTION("""COMPUTED_VALUE"""),"BL")</f>
        <v>BL</v>
      </c>
      <c r="F50" s="132">
        <f>IFERROR(__xludf.DUMMYFUNCTION("""COMPUTED_VALUE"""),8.966)</f>
        <v>8.966</v>
      </c>
      <c r="G50" s="132">
        <f>IFERROR(__xludf.DUMMYFUNCTION("""COMPUTED_VALUE"""),8.966)</f>
        <v>8.966</v>
      </c>
      <c r="H50" s="132">
        <f>IFERROR(__xludf.DUMMYFUNCTION("""COMPUTED_VALUE"""),1.0)</f>
        <v>1</v>
      </c>
      <c r="I50" s="132">
        <f>IFERROR(__xludf.DUMMYFUNCTION("""COMPUTED_VALUE"""),1.0)</f>
        <v>1</v>
      </c>
      <c r="J50" s="132">
        <f>IFERROR(__xludf.DUMMYFUNCTION("""COMPUTED_VALUE"""),1.0)</f>
        <v>1</v>
      </c>
      <c r="K50" s="132">
        <f>IFERROR(__xludf.DUMMYFUNCTION("""COMPUTED_VALUE"""),1.0)</f>
        <v>1</v>
      </c>
      <c r="L50" s="132"/>
      <c r="M50" s="132"/>
      <c r="N50" s="132">
        <f>IFERROR(__xludf.DUMMYFUNCTION("""COMPUTED_VALUE"""),1.0)</f>
        <v>1</v>
      </c>
      <c r="O50" s="132"/>
      <c r="P50" s="132"/>
      <c r="Q50" s="134">
        <f>IFERROR(__xludf.DUMMYFUNCTION("""COMPUTED_VALUE"""),45292.0)</f>
        <v>45292</v>
      </c>
      <c r="R50" s="132" t="str">
        <f>IFERROR(__xludf.DUMMYFUNCTION("""COMPUTED_VALUE"""),"Rent")</f>
        <v>Rent</v>
      </c>
      <c r="S50" s="132">
        <f>IFERROR(__xludf.DUMMYFUNCTION("""COMPUTED_VALUE"""),3600.0)</f>
        <v>3600</v>
      </c>
      <c r="T50" s="132">
        <f>IFERROR(__xludf.DUMMYFUNCTION("""COMPUTED_VALUE"""),720.0)</f>
        <v>720</v>
      </c>
      <c r="U50" s="132" t="str">
        <f>IFERROR(__xludf.DUMMYFUNCTION("""COMPUTED_VALUE"""),"Paid")</f>
        <v>Paid</v>
      </c>
      <c r="V50" s="132" t="str">
        <f>IFERROR(__xludf.DUMMYFUNCTION("""COMPUTED_VALUE"""),"Paid")</f>
        <v>Paid</v>
      </c>
      <c r="W50" s="132" t="str">
        <f>IFERROR(__xludf.DUMMYFUNCTION("""COMPUTED_VALUE"""),"Paid")</f>
        <v>Paid</v>
      </c>
      <c r="X50" s="132" t="str">
        <f>IFERROR(__xludf.DUMMYFUNCTION("""COMPUTED_VALUE"""),"Paid")</f>
        <v>Paid</v>
      </c>
      <c r="Y50" s="132" t="str">
        <f>IFERROR(__xludf.DUMMYFUNCTION("""COMPUTED_VALUE"""),"Paid")</f>
        <v>Paid</v>
      </c>
      <c r="Z50" s="132"/>
    </row>
    <row r="51">
      <c r="A51" s="136">
        <f>IFERROR(__xludf.DUMMYFUNCTION("""COMPUTED_VALUE"""),45273.0)</f>
        <v>45273</v>
      </c>
      <c r="B51" s="132" t="str">
        <f>IFERROR(__xludf.DUMMYFUNCTION("""COMPUTED_VALUE"""),"Yum Cha")</f>
        <v>Yum Cha</v>
      </c>
      <c r="C51" s="132" t="str">
        <f>IFERROR(__xludf.DUMMYFUNCTION("""COMPUTED_VALUE"""),"食物")</f>
        <v>食物</v>
      </c>
      <c r="D51" s="132">
        <f>IFERROR(__xludf.DUMMYFUNCTION("""COMPUTED_VALUE"""),119.81)</f>
        <v>119.81</v>
      </c>
      <c r="E51" s="132" t="str">
        <f>IFERROR(__xludf.DUMMYFUNCTION("""COMPUTED_VALUE"""),"Rachel")</f>
        <v>Rachel</v>
      </c>
      <c r="F51" s="132">
        <f>IFERROR(__xludf.DUMMYFUNCTION("""COMPUTED_VALUE"""),17.115714285714287)</f>
        <v>17.11571429</v>
      </c>
      <c r="G51" s="132">
        <f>IFERROR(__xludf.DUMMYFUNCTION("""COMPUTED_VALUE"""),17.115714285714287)</f>
        <v>17.11571429</v>
      </c>
      <c r="H51" s="132">
        <f>IFERROR(__xludf.DUMMYFUNCTION("""COMPUTED_VALUE"""),1.0)</f>
        <v>1</v>
      </c>
      <c r="I51" s="132">
        <f>IFERROR(__xludf.DUMMYFUNCTION("""COMPUTED_VALUE"""),1.0)</f>
        <v>1</v>
      </c>
      <c r="J51" s="132">
        <f>IFERROR(__xludf.DUMMYFUNCTION("""COMPUTED_VALUE"""),1.0)</f>
        <v>1</v>
      </c>
      <c r="K51" s="132">
        <f>IFERROR(__xludf.DUMMYFUNCTION("""COMPUTED_VALUE"""),1.0)</f>
        <v>1</v>
      </c>
      <c r="L51" s="132">
        <f>IFERROR(__xludf.DUMMYFUNCTION("""COMPUTED_VALUE"""),1.0)</f>
        <v>1</v>
      </c>
      <c r="M51" s="132">
        <f>IFERROR(__xludf.DUMMYFUNCTION("""COMPUTED_VALUE"""),1.0)</f>
        <v>1</v>
      </c>
      <c r="N51" s="132">
        <f>IFERROR(__xludf.DUMMYFUNCTION("""COMPUTED_VALUE"""),1.0)</f>
        <v>1</v>
      </c>
      <c r="O51" s="132"/>
      <c r="P51" s="132"/>
      <c r="Q51" s="132"/>
      <c r="R51" s="132" t="str">
        <f>IFERROR(__xludf.DUMMYFUNCTION("""COMPUTED_VALUE"""),"Water")</f>
        <v>Water</v>
      </c>
      <c r="S51" s="132"/>
      <c r="T51" s="132"/>
      <c r="U51" s="132"/>
      <c r="V51" s="132"/>
      <c r="W51" s="132"/>
      <c r="X51" s="132"/>
      <c r="Y51" s="132"/>
      <c r="Z51" s="132"/>
    </row>
    <row r="52">
      <c r="A52" s="136">
        <f>IFERROR(__xludf.DUMMYFUNCTION("""COMPUTED_VALUE"""),45273.0)</f>
        <v>45273</v>
      </c>
      <c r="B52" s="132" t="str">
        <f>IFERROR(__xludf.DUMMYFUNCTION("""COMPUTED_VALUE"""),"Uber")</f>
        <v>Uber</v>
      </c>
      <c r="C52" s="132" t="str">
        <f>IFERROR(__xludf.DUMMYFUNCTION("""COMPUTED_VALUE"""),"交通")</f>
        <v>交通</v>
      </c>
      <c r="D52" s="132">
        <f>IFERROR(__xludf.DUMMYFUNCTION("""COMPUTED_VALUE"""),26.79)</f>
        <v>26.79</v>
      </c>
      <c r="E52" s="132" t="str">
        <f>IFERROR(__xludf.DUMMYFUNCTION("""COMPUTED_VALUE"""),"Pigskin")</f>
        <v>Pigskin</v>
      </c>
      <c r="F52" s="132">
        <f>IFERROR(__xludf.DUMMYFUNCTION("""COMPUTED_VALUE"""),5.358)</f>
        <v>5.358</v>
      </c>
      <c r="G52" s="132">
        <f>IFERROR(__xludf.DUMMYFUNCTION("""COMPUTED_VALUE"""),5.358)</f>
        <v>5.358</v>
      </c>
      <c r="H52" s="132">
        <f>IFERROR(__xludf.DUMMYFUNCTION("""COMPUTED_VALUE"""),1.0)</f>
        <v>1</v>
      </c>
      <c r="I52" s="132">
        <f>IFERROR(__xludf.DUMMYFUNCTION("""COMPUTED_VALUE"""),1.0)</f>
        <v>1</v>
      </c>
      <c r="J52" s="132">
        <f>IFERROR(__xludf.DUMMYFUNCTION("""COMPUTED_VALUE"""),1.0)</f>
        <v>1</v>
      </c>
      <c r="K52" s="132">
        <f>IFERROR(__xludf.DUMMYFUNCTION("""COMPUTED_VALUE"""),1.0)</f>
        <v>1</v>
      </c>
      <c r="L52" s="132"/>
      <c r="M52" s="132"/>
      <c r="N52" s="132">
        <f>IFERROR(__xludf.DUMMYFUNCTION("""COMPUTED_VALUE"""),1.0)</f>
        <v>1</v>
      </c>
      <c r="O52" s="132"/>
      <c r="P52" s="132"/>
      <c r="Q52" s="132"/>
      <c r="R52" s="132" t="str">
        <f>IFERROR(__xludf.DUMMYFUNCTION("""COMPUTED_VALUE"""),"Heat")</f>
        <v>Heat</v>
      </c>
      <c r="S52" s="132">
        <f>IFERROR(__xludf.DUMMYFUNCTION("""COMPUTED_VALUE"""),210.09)</f>
        <v>210.09</v>
      </c>
      <c r="T52" s="132">
        <f>IFERROR(__xludf.DUMMYFUNCTION("""COMPUTED_VALUE"""),42.018)</f>
        <v>42.018</v>
      </c>
      <c r="U52" s="132" t="str">
        <f>IFERROR(__xludf.DUMMYFUNCTION("""COMPUTED_VALUE"""),"Paid")</f>
        <v>Paid</v>
      </c>
      <c r="V52" s="132" t="str">
        <f>IFERROR(__xludf.DUMMYFUNCTION("""COMPUTED_VALUE"""),"Paid")</f>
        <v>Paid</v>
      </c>
      <c r="W52" s="132" t="str">
        <f>IFERROR(__xludf.DUMMYFUNCTION("""COMPUTED_VALUE"""),"Paid")</f>
        <v>Paid</v>
      </c>
      <c r="X52" s="132" t="str">
        <f>IFERROR(__xludf.DUMMYFUNCTION("""COMPUTED_VALUE"""),"Paid")</f>
        <v>Paid</v>
      </c>
      <c r="Y52" s="132" t="str">
        <f>IFERROR(__xludf.DUMMYFUNCTION("""COMPUTED_VALUE"""),"Paid")</f>
        <v>Paid</v>
      </c>
      <c r="Z52" s="132"/>
    </row>
    <row r="53">
      <c r="A53" s="136">
        <f>IFERROR(__xludf.DUMMYFUNCTION("""COMPUTED_VALUE"""),45273.0)</f>
        <v>45273</v>
      </c>
      <c r="B53" s="132" t="str">
        <f>IFERROR(__xludf.DUMMYFUNCTION("""COMPUTED_VALUE"""),"Coke Zero")</f>
        <v>Coke Zero</v>
      </c>
      <c r="C53" s="132" t="str">
        <f>IFERROR(__xludf.DUMMYFUNCTION("""COMPUTED_VALUE"""),"飲品")</f>
        <v>飲品</v>
      </c>
      <c r="D53" s="132">
        <f>IFERROR(__xludf.DUMMYFUNCTION("""COMPUTED_VALUE"""),16.2607)</f>
        <v>16.2607</v>
      </c>
      <c r="E53" s="132" t="str">
        <f>IFERROR(__xludf.DUMMYFUNCTION("""COMPUTED_VALUE"""),"Timothy")</f>
        <v>Timothy</v>
      </c>
      <c r="F53" s="132">
        <f>IFERROR(__xludf.DUMMYFUNCTION("""COMPUTED_VALUE"""),3.25214)</f>
        <v>3.25214</v>
      </c>
      <c r="G53" s="132">
        <f>IFERROR(__xludf.DUMMYFUNCTION("""COMPUTED_VALUE"""),3.25214)</f>
        <v>3.25214</v>
      </c>
      <c r="H53" s="132">
        <f>IFERROR(__xludf.DUMMYFUNCTION("""COMPUTED_VALUE"""),1.0)</f>
        <v>1</v>
      </c>
      <c r="I53" s="132">
        <f>IFERROR(__xludf.DUMMYFUNCTION("""COMPUTED_VALUE"""),1.0)</f>
        <v>1</v>
      </c>
      <c r="J53" s="132">
        <f>IFERROR(__xludf.DUMMYFUNCTION("""COMPUTED_VALUE"""),1.0)</f>
        <v>1</v>
      </c>
      <c r="K53" s="132">
        <f>IFERROR(__xludf.DUMMYFUNCTION("""COMPUTED_VALUE"""),1.0)</f>
        <v>1</v>
      </c>
      <c r="L53" s="132"/>
      <c r="M53" s="132"/>
      <c r="N53" s="132">
        <f>IFERROR(__xludf.DUMMYFUNCTION("""COMPUTED_VALUE"""),1.0)</f>
        <v>1</v>
      </c>
      <c r="O53" s="132"/>
      <c r="P53" s="132"/>
      <c r="Q53" s="132"/>
      <c r="R53" s="132" t="str">
        <f>IFERROR(__xludf.DUMMYFUNCTION("""COMPUTED_VALUE"""),"Electricity")</f>
        <v>Electricity</v>
      </c>
      <c r="S53" s="132">
        <f>IFERROR(__xludf.DUMMYFUNCTION("""COMPUTED_VALUE"""),111.7)</f>
        <v>111.7</v>
      </c>
      <c r="T53" s="132">
        <f>IFERROR(__xludf.DUMMYFUNCTION("""COMPUTED_VALUE"""),22.34)</f>
        <v>22.34</v>
      </c>
      <c r="U53" s="132" t="str">
        <f>IFERROR(__xludf.DUMMYFUNCTION("""COMPUTED_VALUE"""),"Paid")</f>
        <v>Paid</v>
      </c>
      <c r="V53" s="132" t="str">
        <f>IFERROR(__xludf.DUMMYFUNCTION("""COMPUTED_VALUE"""),"Paid")</f>
        <v>Paid</v>
      </c>
      <c r="W53" s="132" t="str">
        <f>IFERROR(__xludf.DUMMYFUNCTION("""COMPUTED_VALUE"""),"Paid")</f>
        <v>Paid</v>
      </c>
      <c r="X53" s="132" t="str">
        <f>IFERROR(__xludf.DUMMYFUNCTION("""COMPUTED_VALUE"""),"Paid")</f>
        <v>Paid</v>
      </c>
      <c r="Y53" s="132" t="str">
        <f>IFERROR(__xludf.DUMMYFUNCTION("""COMPUTED_VALUE"""),"Paid")</f>
        <v>Paid</v>
      </c>
      <c r="Z53" s="132"/>
    </row>
    <row r="54">
      <c r="A54" s="136">
        <f>IFERROR(__xludf.DUMMYFUNCTION("""COMPUTED_VALUE"""),45273.0)</f>
        <v>45273</v>
      </c>
      <c r="B54" s="132" t="str">
        <f>IFERROR(__xludf.DUMMYFUNCTION("""COMPUTED_VALUE"""),"Nestea")</f>
        <v>Nestea</v>
      </c>
      <c r="C54" s="132" t="str">
        <f>IFERROR(__xludf.DUMMYFUNCTION("""COMPUTED_VALUE"""),"飲品")</f>
        <v>飲品</v>
      </c>
      <c r="D54" s="132">
        <f>IFERROR(__xludf.DUMMYFUNCTION("""COMPUTED_VALUE"""),11.59)</f>
        <v>11.59</v>
      </c>
      <c r="E54" s="132" t="str">
        <f>IFERROR(__xludf.DUMMYFUNCTION("""COMPUTED_VALUE"""),"Timothy")</f>
        <v>Timothy</v>
      </c>
      <c r="F54" s="132">
        <f>IFERROR(__xludf.DUMMYFUNCTION("""COMPUTED_VALUE"""),2.318)</f>
        <v>2.318</v>
      </c>
      <c r="G54" s="132">
        <f>IFERROR(__xludf.DUMMYFUNCTION("""COMPUTED_VALUE"""),2.318)</f>
        <v>2.318</v>
      </c>
      <c r="H54" s="132">
        <f>IFERROR(__xludf.DUMMYFUNCTION("""COMPUTED_VALUE"""),1.0)</f>
        <v>1</v>
      </c>
      <c r="I54" s="132">
        <f>IFERROR(__xludf.DUMMYFUNCTION("""COMPUTED_VALUE"""),1.0)</f>
        <v>1</v>
      </c>
      <c r="J54" s="132">
        <f>IFERROR(__xludf.DUMMYFUNCTION("""COMPUTED_VALUE"""),1.0)</f>
        <v>1</v>
      </c>
      <c r="K54" s="132">
        <f>IFERROR(__xludf.DUMMYFUNCTION("""COMPUTED_VALUE"""),1.0)</f>
        <v>1</v>
      </c>
      <c r="L54" s="132"/>
      <c r="M54" s="132"/>
      <c r="N54" s="132">
        <f>IFERROR(__xludf.DUMMYFUNCTION("""COMPUTED_VALUE"""),1.0)</f>
        <v>1</v>
      </c>
      <c r="O54" s="132"/>
      <c r="P54" s="132"/>
      <c r="Q54" s="132"/>
      <c r="R54" s="132" t="str">
        <f>IFERROR(__xludf.DUMMYFUNCTION("""COMPUTED_VALUE"""),"Internet")</f>
        <v>Internet</v>
      </c>
      <c r="S54" s="132">
        <f>IFERROR(__xludf.DUMMYFUNCTION("""COMPUTED_VALUE"""),56.5)</f>
        <v>56.5</v>
      </c>
      <c r="T54" s="132">
        <f>IFERROR(__xludf.DUMMYFUNCTION("""COMPUTED_VALUE"""),11.3)</f>
        <v>11.3</v>
      </c>
      <c r="U54" s="132" t="str">
        <f>IFERROR(__xludf.DUMMYFUNCTION("""COMPUTED_VALUE"""),"Paid")</f>
        <v>Paid</v>
      </c>
      <c r="V54" s="132" t="str">
        <f>IFERROR(__xludf.DUMMYFUNCTION("""COMPUTED_VALUE"""),"Paid")</f>
        <v>Paid</v>
      </c>
      <c r="W54" s="132" t="str">
        <f>IFERROR(__xludf.DUMMYFUNCTION("""COMPUTED_VALUE"""),"Paid")</f>
        <v>Paid</v>
      </c>
      <c r="X54" s="132" t="str">
        <f>IFERROR(__xludf.DUMMYFUNCTION("""COMPUTED_VALUE"""),"Paid")</f>
        <v>Paid</v>
      </c>
      <c r="Y54" s="132" t="str">
        <f>IFERROR(__xludf.DUMMYFUNCTION("""COMPUTED_VALUE"""),"Paid")</f>
        <v>Paid</v>
      </c>
      <c r="Z54" s="132"/>
    </row>
    <row r="55">
      <c r="A55" s="136">
        <f>IFERROR(__xludf.DUMMYFUNCTION("""COMPUTED_VALUE"""),45273.0)</f>
        <v>45273</v>
      </c>
      <c r="B55" s="132" t="str">
        <f>IFERROR(__xludf.DUMMYFUNCTION("""COMPUTED_VALUE"""),"Egg")</f>
        <v>Egg</v>
      </c>
      <c r="C55" s="132" t="str">
        <f>IFERROR(__xludf.DUMMYFUNCTION("""COMPUTED_VALUE"""),"食物")</f>
        <v>食物</v>
      </c>
      <c r="D55" s="132">
        <f>IFERROR(__xludf.DUMMYFUNCTION("""COMPUTED_VALUE"""),17.38)</f>
        <v>17.38</v>
      </c>
      <c r="E55" s="132" t="str">
        <f>IFERROR(__xludf.DUMMYFUNCTION("""COMPUTED_VALUE"""),"Timothy")</f>
        <v>Timothy</v>
      </c>
      <c r="F55" s="132">
        <f>IFERROR(__xludf.DUMMYFUNCTION("""COMPUTED_VALUE"""),3.476)</f>
        <v>3.476</v>
      </c>
      <c r="G55" s="132">
        <f>IFERROR(__xludf.DUMMYFUNCTION("""COMPUTED_VALUE"""),3.476)</f>
        <v>3.476</v>
      </c>
      <c r="H55" s="132">
        <f>IFERROR(__xludf.DUMMYFUNCTION("""COMPUTED_VALUE"""),1.0)</f>
        <v>1</v>
      </c>
      <c r="I55" s="132">
        <f>IFERROR(__xludf.DUMMYFUNCTION("""COMPUTED_VALUE"""),1.0)</f>
        <v>1</v>
      </c>
      <c r="J55" s="132">
        <f>IFERROR(__xludf.DUMMYFUNCTION("""COMPUTED_VALUE"""),1.0)</f>
        <v>1</v>
      </c>
      <c r="K55" s="132">
        <f>IFERROR(__xludf.DUMMYFUNCTION("""COMPUTED_VALUE"""),1.0)</f>
        <v>1</v>
      </c>
      <c r="L55" s="132"/>
      <c r="M55" s="132"/>
      <c r="N55" s="132">
        <f>IFERROR(__xludf.DUMMYFUNCTION("""COMPUTED_VALUE"""),1.0)</f>
        <v>1</v>
      </c>
      <c r="O55" s="132"/>
      <c r="P55" s="132"/>
      <c r="Q55" s="132"/>
      <c r="R55" s="132"/>
      <c r="S55" s="132">
        <f>IFERROR(__xludf.DUMMYFUNCTION("""COMPUTED_VALUE"""),3978.29)</f>
        <v>3978.29</v>
      </c>
      <c r="T55" s="132">
        <f>IFERROR(__xludf.DUMMYFUNCTION("""COMPUTED_VALUE"""),795.658)</f>
        <v>795.658</v>
      </c>
      <c r="U55" s="132"/>
      <c r="V55" s="132"/>
      <c r="W55" s="132"/>
      <c r="X55" s="132"/>
      <c r="Y55" s="132"/>
      <c r="Z55" s="132"/>
    </row>
    <row r="56">
      <c r="A56" s="136">
        <f>IFERROR(__xludf.DUMMYFUNCTION("""COMPUTED_VALUE"""),45273.0)</f>
        <v>45273</v>
      </c>
      <c r="B56" s="132" t="str">
        <f>IFERROR(__xludf.DUMMYFUNCTION("""COMPUTED_VALUE"""),"Tide")</f>
        <v>Tide</v>
      </c>
      <c r="C56" s="132" t="str">
        <f>IFERROR(__xludf.DUMMYFUNCTION("""COMPUTED_VALUE"""),"居家")</f>
        <v>居家</v>
      </c>
      <c r="D56" s="132">
        <f>IFERROR(__xludf.DUMMYFUNCTION("""COMPUTED_VALUE"""),47.43739999999999)</f>
        <v>47.4374</v>
      </c>
      <c r="E56" s="132" t="str">
        <f>IFERROR(__xludf.DUMMYFUNCTION("""COMPUTED_VALUE"""),"Timothy")</f>
        <v>Timothy</v>
      </c>
      <c r="F56" s="132">
        <f>IFERROR(__xludf.DUMMYFUNCTION("""COMPUTED_VALUE"""),9.487479999999998)</f>
        <v>9.48748</v>
      </c>
      <c r="G56" s="132">
        <f>IFERROR(__xludf.DUMMYFUNCTION("""COMPUTED_VALUE"""),9.487479999999998)</f>
        <v>9.48748</v>
      </c>
      <c r="H56" s="132">
        <f>IFERROR(__xludf.DUMMYFUNCTION("""COMPUTED_VALUE"""),1.0)</f>
        <v>1</v>
      </c>
      <c r="I56" s="132">
        <f>IFERROR(__xludf.DUMMYFUNCTION("""COMPUTED_VALUE"""),1.0)</f>
        <v>1</v>
      </c>
      <c r="J56" s="132">
        <f>IFERROR(__xludf.DUMMYFUNCTION("""COMPUTED_VALUE"""),1.0)</f>
        <v>1</v>
      </c>
      <c r="K56" s="132">
        <f>IFERROR(__xludf.DUMMYFUNCTION("""COMPUTED_VALUE"""),1.0)</f>
        <v>1</v>
      </c>
      <c r="L56" s="132"/>
      <c r="M56" s="132"/>
      <c r="N56" s="132">
        <f>IFERROR(__xludf.DUMMYFUNCTION("""COMPUTED_VALUE"""),1.0)</f>
        <v>1</v>
      </c>
      <c r="O56" s="132"/>
      <c r="P56" s="132"/>
      <c r="Q56" s="132"/>
      <c r="R56" s="132"/>
      <c r="S56" s="132"/>
      <c r="T56" s="132"/>
      <c r="U56" s="132"/>
      <c r="V56" s="132"/>
      <c r="W56" s="132"/>
      <c r="X56" s="132"/>
      <c r="Y56" s="132"/>
      <c r="Z56" s="132"/>
    </row>
    <row r="57">
      <c r="A57" s="136">
        <f>IFERROR(__xludf.DUMMYFUNCTION("""COMPUTED_VALUE"""),45273.0)</f>
        <v>45273</v>
      </c>
      <c r="B57" s="132" t="str">
        <f>IFERROR(__xludf.DUMMYFUNCTION("""COMPUTED_VALUE"""),"Supplement Blueberry")</f>
        <v>Supplement Blueberry</v>
      </c>
      <c r="C57" s="132" t="str">
        <f>IFERROR(__xludf.DUMMYFUNCTION("""COMPUTED_VALUE"""),"醫藥")</f>
        <v>醫藥</v>
      </c>
      <c r="D57" s="132">
        <f>IFERROR(__xludf.DUMMYFUNCTION("""COMPUTED_VALUE"""),22.588699999999996)</f>
        <v>22.5887</v>
      </c>
      <c r="E57" s="132" t="str">
        <f>IFERROR(__xludf.DUMMYFUNCTION("""COMPUTED_VALUE"""),"Timothy")</f>
        <v>Timothy</v>
      </c>
      <c r="F57" s="132">
        <f>IFERROR(__xludf.DUMMYFUNCTION("""COMPUTED_VALUE"""),22.588699999999996)</f>
        <v>22.5887</v>
      </c>
      <c r="G57" s="132">
        <f>IFERROR(__xludf.DUMMYFUNCTION("""COMPUTED_VALUE"""),22.588699999999996)</f>
        <v>22.5887</v>
      </c>
      <c r="H57" s="132"/>
      <c r="I57" s="132"/>
      <c r="J57" s="132">
        <f>IFERROR(__xludf.DUMMYFUNCTION("""COMPUTED_VALUE"""),1.0)</f>
        <v>1</v>
      </c>
      <c r="K57" s="132"/>
      <c r="L57" s="132"/>
      <c r="M57" s="132"/>
      <c r="N57" s="132"/>
      <c r="O57" s="132"/>
      <c r="P57" s="132"/>
      <c r="Q57" s="134">
        <f>IFERROR(__xludf.DUMMYFUNCTION("""COMPUTED_VALUE"""),45323.0)</f>
        <v>45323</v>
      </c>
      <c r="R57" s="132" t="str">
        <f>IFERROR(__xludf.DUMMYFUNCTION("""COMPUTED_VALUE"""),"Rent")</f>
        <v>Rent</v>
      </c>
      <c r="S57" s="132">
        <f>IFERROR(__xludf.DUMMYFUNCTION("""COMPUTED_VALUE"""),3600.0)</f>
        <v>3600</v>
      </c>
      <c r="T57" s="132">
        <f>IFERROR(__xludf.DUMMYFUNCTION("""COMPUTED_VALUE"""),720.0)</f>
        <v>720</v>
      </c>
      <c r="U57" s="132" t="str">
        <f>IFERROR(__xludf.DUMMYFUNCTION("""COMPUTED_VALUE"""),"Paid")</f>
        <v>Paid</v>
      </c>
      <c r="V57" s="132" t="str">
        <f>IFERROR(__xludf.DUMMYFUNCTION("""COMPUTED_VALUE"""),"Paid")</f>
        <v>Paid</v>
      </c>
      <c r="W57" s="132" t="str">
        <f>IFERROR(__xludf.DUMMYFUNCTION("""COMPUTED_VALUE"""),"Paid")</f>
        <v>Paid</v>
      </c>
      <c r="X57" s="132" t="str">
        <f>IFERROR(__xludf.DUMMYFUNCTION("""COMPUTED_VALUE"""),"Paid")</f>
        <v>Paid</v>
      </c>
      <c r="Y57" s="132" t="str">
        <f>IFERROR(__xludf.DUMMYFUNCTION("""COMPUTED_VALUE"""),"Paid")</f>
        <v>Paid</v>
      </c>
      <c r="Z57" s="132"/>
    </row>
    <row r="58">
      <c r="A58" s="136">
        <f>IFERROR(__xludf.DUMMYFUNCTION("""COMPUTED_VALUE"""),45273.0)</f>
        <v>45273</v>
      </c>
      <c r="B58" s="132" t="str">
        <f>IFERROR(__xludf.DUMMYFUNCTION("""COMPUTED_VALUE"""),"Conditioner")</f>
        <v>Conditioner</v>
      </c>
      <c r="C58" s="132" t="str">
        <f>IFERROR(__xludf.DUMMYFUNCTION("""COMPUTED_VALUE"""),"居家")</f>
        <v>居家</v>
      </c>
      <c r="D58" s="132">
        <f>IFERROR(__xludf.DUMMYFUNCTION("""COMPUTED_VALUE"""),15.243699999999999)</f>
        <v>15.2437</v>
      </c>
      <c r="E58" s="132" t="str">
        <f>IFERROR(__xludf.DUMMYFUNCTION("""COMPUTED_VALUE"""),"Timothy")</f>
        <v>Timothy</v>
      </c>
      <c r="F58" s="132">
        <f>IFERROR(__xludf.DUMMYFUNCTION("""COMPUTED_VALUE"""),5.081233333333333)</f>
        <v>5.081233333</v>
      </c>
      <c r="G58" s="132">
        <f>IFERROR(__xludf.DUMMYFUNCTION("""COMPUTED_VALUE"""),5.081233333333333)</f>
        <v>5.081233333</v>
      </c>
      <c r="H58" s="132"/>
      <c r="I58" s="132"/>
      <c r="J58" s="132">
        <f>IFERROR(__xludf.DUMMYFUNCTION("""COMPUTED_VALUE"""),1.0)</f>
        <v>1</v>
      </c>
      <c r="K58" s="132">
        <f>IFERROR(__xludf.DUMMYFUNCTION("""COMPUTED_VALUE"""),1.0)</f>
        <v>1</v>
      </c>
      <c r="L58" s="132"/>
      <c r="M58" s="132"/>
      <c r="N58" s="132">
        <f>IFERROR(__xludf.DUMMYFUNCTION("""COMPUTED_VALUE"""),1.0)</f>
        <v>1</v>
      </c>
      <c r="O58" s="132"/>
      <c r="P58" s="132"/>
      <c r="Q58" s="132"/>
      <c r="R58" s="132" t="str">
        <f>IFERROR(__xludf.DUMMYFUNCTION("""COMPUTED_VALUE"""),"Water")</f>
        <v>Water</v>
      </c>
      <c r="S58" s="132"/>
      <c r="T58" s="132"/>
      <c r="U58" s="132"/>
      <c r="V58" s="132"/>
      <c r="W58" s="132"/>
      <c r="X58" s="132"/>
      <c r="Y58" s="132"/>
      <c r="Z58" s="132"/>
    </row>
    <row r="59">
      <c r="A59" s="136">
        <f>IFERROR(__xludf.DUMMYFUNCTION("""COMPUTED_VALUE"""),45273.0)</f>
        <v>45273</v>
      </c>
      <c r="B59" s="132" t="str">
        <f>IFERROR(__xludf.DUMMYFUNCTION("""COMPUTED_VALUE"""),"Shampoo")</f>
        <v>Shampoo</v>
      </c>
      <c r="C59" s="132" t="str">
        <f>IFERROR(__xludf.DUMMYFUNCTION("""COMPUTED_VALUE"""),"居家")</f>
        <v>居家</v>
      </c>
      <c r="D59" s="132">
        <f>IFERROR(__xludf.DUMMYFUNCTION("""COMPUTED_VALUE"""),22.577399999999997)</f>
        <v>22.5774</v>
      </c>
      <c r="E59" s="132" t="str">
        <f>IFERROR(__xludf.DUMMYFUNCTION("""COMPUTED_VALUE"""),"Timothy")</f>
        <v>Timothy</v>
      </c>
      <c r="F59" s="132">
        <f>IFERROR(__xludf.DUMMYFUNCTION("""COMPUTED_VALUE"""),7.525799999999999)</f>
        <v>7.5258</v>
      </c>
      <c r="G59" s="132">
        <f>IFERROR(__xludf.DUMMYFUNCTION("""COMPUTED_VALUE"""),7.525799999999999)</f>
        <v>7.5258</v>
      </c>
      <c r="H59" s="132"/>
      <c r="I59" s="132"/>
      <c r="J59" s="132">
        <f>IFERROR(__xludf.DUMMYFUNCTION("""COMPUTED_VALUE"""),1.0)</f>
        <v>1</v>
      </c>
      <c r="K59" s="132">
        <f>IFERROR(__xludf.DUMMYFUNCTION("""COMPUTED_VALUE"""),1.0)</f>
        <v>1</v>
      </c>
      <c r="L59" s="132"/>
      <c r="M59" s="132"/>
      <c r="N59" s="132">
        <f>IFERROR(__xludf.DUMMYFUNCTION("""COMPUTED_VALUE"""),1.0)</f>
        <v>1</v>
      </c>
      <c r="O59" s="132"/>
      <c r="P59" s="132"/>
      <c r="Q59" s="132"/>
      <c r="R59" s="132" t="str">
        <f>IFERROR(__xludf.DUMMYFUNCTION("""COMPUTED_VALUE"""),"Heat")</f>
        <v>Heat</v>
      </c>
      <c r="S59" s="132">
        <f>IFERROR(__xludf.DUMMYFUNCTION("""COMPUTED_VALUE"""),198.76)</f>
        <v>198.76</v>
      </c>
      <c r="T59" s="135">
        <f>IFERROR(__xludf.DUMMYFUNCTION("""COMPUTED_VALUE"""),33.126666666666665)</f>
        <v>33.12666667</v>
      </c>
      <c r="U59" s="132" t="str">
        <f>IFERROR(__xludf.DUMMYFUNCTION("""COMPUTED_VALUE"""),"Paid")</f>
        <v>Paid</v>
      </c>
      <c r="V59" s="132" t="str">
        <f>IFERROR(__xludf.DUMMYFUNCTION("""COMPUTED_VALUE"""),"Paid")</f>
        <v>Paid</v>
      </c>
      <c r="W59" s="132" t="str">
        <f>IFERROR(__xludf.DUMMYFUNCTION("""COMPUTED_VALUE"""),"Paid")</f>
        <v>Paid</v>
      </c>
      <c r="X59" s="132" t="str">
        <f>IFERROR(__xludf.DUMMYFUNCTION("""COMPUTED_VALUE"""),"Paid")</f>
        <v>Paid</v>
      </c>
      <c r="Y59" s="132" t="str">
        <f>IFERROR(__xludf.DUMMYFUNCTION("""COMPUTED_VALUE"""),"Paid")</f>
        <v>Paid</v>
      </c>
      <c r="Z59" s="132"/>
    </row>
    <row r="60">
      <c r="A60" s="136">
        <f>IFERROR(__xludf.DUMMYFUNCTION("""COMPUTED_VALUE"""),45273.0)</f>
        <v>45273</v>
      </c>
      <c r="B60" s="132" t="str">
        <f>IFERROR(__xludf.DUMMYFUNCTION("""COMPUTED_VALUE"""),"Biscuits")</f>
        <v>Biscuits</v>
      </c>
      <c r="C60" s="132" t="str">
        <f>IFERROR(__xludf.DUMMYFUNCTION("""COMPUTED_VALUE"""),"食物")</f>
        <v>食物</v>
      </c>
      <c r="D60" s="132">
        <f>IFERROR(__xludf.DUMMYFUNCTION("""COMPUTED_VALUE"""),13.99)</f>
        <v>13.99</v>
      </c>
      <c r="E60" s="132" t="str">
        <f>IFERROR(__xludf.DUMMYFUNCTION("""COMPUTED_VALUE"""),"Timothy")</f>
        <v>Timothy</v>
      </c>
      <c r="F60" s="132">
        <f>IFERROR(__xludf.DUMMYFUNCTION("""COMPUTED_VALUE"""),1.9985714285714287)</f>
        <v>1.998571429</v>
      </c>
      <c r="G60" s="132">
        <f>IFERROR(__xludf.DUMMYFUNCTION("""COMPUTED_VALUE"""),1.9985714285714287)</f>
        <v>1.998571429</v>
      </c>
      <c r="H60" s="132">
        <f>IFERROR(__xludf.DUMMYFUNCTION("""COMPUTED_VALUE"""),1.0)</f>
        <v>1</v>
      </c>
      <c r="I60" s="132">
        <f>IFERROR(__xludf.DUMMYFUNCTION("""COMPUTED_VALUE"""),1.0)</f>
        <v>1</v>
      </c>
      <c r="J60" s="132">
        <f>IFERROR(__xludf.DUMMYFUNCTION("""COMPUTED_VALUE"""),1.0)</f>
        <v>1</v>
      </c>
      <c r="K60" s="132">
        <f>IFERROR(__xludf.DUMMYFUNCTION("""COMPUTED_VALUE"""),1.0)</f>
        <v>1</v>
      </c>
      <c r="L60" s="132">
        <f>IFERROR(__xludf.DUMMYFUNCTION("""COMPUTED_VALUE"""),1.0)</f>
        <v>1</v>
      </c>
      <c r="M60" s="132">
        <f>IFERROR(__xludf.DUMMYFUNCTION("""COMPUTED_VALUE"""),1.0)</f>
        <v>1</v>
      </c>
      <c r="N60" s="132">
        <f>IFERROR(__xludf.DUMMYFUNCTION("""COMPUTED_VALUE"""),1.0)</f>
        <v>1</v>
      </c>
      <c r="O60" s="132"/>
      <c r="P60" s="132"/>
      <c r="Q60" s="132"/>
      <c r="R60" s="132" t="str">
        <f>IFERROR(__xludf.DUMMYFUNCTION("""COMPUTED_VALUE"""),"Electricity")</f>
        <v>Electricity</v>
      </c>
      <c r="S60" s="132">
        <f>IFERROR(__xludf.DUMMYFUNCTION("""COMPUTED_VALUE"""),117.83)</f>
        <v>117.83</v>
      </c>
      <c r="T60" s="135">
        <f>IFERROR(__xludf.DUMMYFUNCTION("""COMPUTED_VALUE"""),19.638333333333332)</f>
        <v>19.63833333</v>
      </c>
      <c r="U60" s="132" t="str">
        <f>IFERROR(__xludf.DUMMYFUNCTION("""COMPUTED_VALUE"""),"Paid")</f>
        <v>Paid</v>
      </c>
      <c r="V60" s="132" t="str">
        <f>IFERROR(__xludf.DUMMYFUNCTION("""COMPUTED_VALUE"""),"Paid")</f>
        <v>Paid</v>
      </c>
      <c r="W60" s="132" t="str">
        <f>IFERROR(__xludf.DUMMYFUNCTION("""COMPUTED_VALUE"""),"Paid")</f>
        <v>Paid</v>
      </c>
      <c r="X60" s="132" t="str">
        <f>IFERROR(__xludf.DUMMYFUNCTION("""COMPUTED_VALUE"""),"Paid")</f>
        <v>Paid</v>
      </c>
      <c r="Y60" s="132" t="str">
        <f>IFERROR(__xludf.DUMMYFUNCTION("""COMPUTED_VALUE"""),"Paid")</f>
        <v>Paid</v>
      </c>
      <c r="Z60" s="132"/>
    </row>
    <row r="61">
      <c r="A61" s="136">
        <f>IFERROR(__xludf.DUMMYFUNCTION("""COMPUTED_VALUE"""),45273.0)</f>
        <v>45273</v>
      </c>
      <c r="B61" s="132" t="str">
        <f>IFERROR(__xludf.DUMMYFUNCTION("""COMPUTED_VALUE"""),"Biscuits")</f>
        <v>Biscuits</v>
      </c>
      <c r="C61" s="132" t="str">
        <f>IFERROR(__xludf.DUMMYFUNCTION("""COMPUTED_VALUE"""),"食物")</f>
        <v>食物</v>
      </c>
      <c r="D61" s="132">
        <f>IFERROR(__xludf.DUMMYFUNCTION("""COMPUTED_VALUE"""),13.99)</f>
        <v>13.99</v>
      </c>
      <c r="E61" s="132" t="str">
        <f>IFERROR(__xludf.DUMMYFUNCTION("""COMPUTED_VALUE"""),"Timothy")</f>
        <v>Timothy</v>
      </c>
      <c r="F61" s="132">
        <f>IFERROR(__xludf.DUMMYFUNCTION("""COMPUTED_VALUE"""),2.798)</f>
        <v>2.798</v>
      </c>
      <c r="G61" s="132">
        <f>IFERROR(__xludf.DUMMYFUNCTION("""COMPUTED_VALUE"""),2.798)</f>
        <v>2.798</v>
      </c>
      <c r="H61" s="132">
        <f>IFERROR(__xludf.DUMMYFUNCTION("""COMPUTED_VALUE"""),1.0)</f>
        <v>1</v>
      </c>
      <c r="I61" s="132">
        <f>IFERROR(__xludf.DUMMYFUNCTION("""COMPUTED_VALUE"""),1.0)</f>
        <v>1</v>
      </c>
      <c r="J61" s="132">
        <f>IFERROR(__xludf.DUMMYFUNCTION("""COMPUTED_VALUE"""),1.0)</f>
        <v>1</v>
      </c>
      <c r="K61" s="132">
        <f>IFERROR(__xludf.DUMMYFUNCTION("""COMPUTED_VALUE"""),1.0)</f>
        <v>1</v>
      </c>
      <c r="L61" s="132"/>
      <c r="M61" s="132"/>
      <c r="N61" s="132">
        <f>IFERROR(__xludf.DUMMYFUNCTION("""COMPUTED_VALUE"""),1.0)</f>
        <v>1</v>
      </c>
      <c r="O61" s="132"/>
      <c r="P61" s="132"/>
      <c r="Q61" s="132"/>
      <c r="R61" s="132" t="str">
        <f>IFERROR(__xludf.DUMMYFUNCTION("""COMPUTED_VALUE"""),"Internet")</f>
        <v>Internet</v>
      </c>
      <c r="S61" s="132">
        <f>IFERROR(__xludf.DUMMYFUNCTION("""COMPUTED_VALUE"""),56.5)</f>
        <v>56.5</v>
      </c>
      <c r="T61" s="135">
        <f>IFERROR(__xludf.DUMMYFUNCTION("""COMPUTED_VALUE"""),9.416666666666666)</f>
        <v>9.416666667</v>
      </c>
      <c r="U61" s="132" t="str">
        <f>IFERROR(__xludf.DUMMYFUNCTION("""COMPUTED_VALUE"""),"Paid")</f>
        <v>Paid</v>
      </c>
      <c r="V61" s="132" t="str">
        <f>IFERROR(__xludf.DUMMYFUNCTION("""COMPUTED_VALUE"""),"Paid")</f>
        <v>Paid</v>
      </c>
      <c r="W61" s="132" t="str">
        <f>IFERROR(__xludf.DUMMYFUNCTION("""COMPUTED_VALUE"""),"Paid")</f>
        <v>Paid</v>
      </c>
      <c r="X61" s="132" t="str">
        <f>IFERROR(__xludf.DUMMYFUNCTION("""COMPUTED_VALUE"""),"Paid")</f>
        <v>Paid</v>
      </c>
      <c r="Y61" s="132" t="str">
        <f>IFERROR(__xludf.DUMMYFUNCTION("""COMPUTED_VALUE"""),"Paid")</f>
        <v>Paid</v>
      </c>
      <c r="Z61" s="132"/>
    </row>
    <row r="62">
      <c r="A62" s="136">
        <f>IFERROR(__xludf.DUMMYFUNCTION("""COMPUTED_VALUE"""),45273.0)</f>
        <v>45273</v>
      </c>
      <c r="B62" s="132" t="str">
        <f>IFERROR(__xludf.DUMMYFUNCTION("""COMPUTED_VALUE"""),"Always ")</f>
        <v>Always </v>
      </c>
      <c r="C62" s="132" t="str">
        <f>IFERROR(__xludf.DUMMYFUNCTION("""COMPUTED_VALUE"""),"居家")</f>
        <v>居家</v>
      </c>
      <c r="D62" s="132">
        <f>IFERROR(__xludf.DUMMYFUNCTION("""COMPUTED_VALUE"""),17.49)</f>
        <v>17.49</v>
      </c>
      <c r="E62" s="132" t="str">
        <f>IFERROR(__xludf.DUMMYFUNCTION("""COMPUTED_VALUE"""),"Timothy")</f>
        <v>Timothy</v>
      </c>
      <c r="F62" s="132">
        <f>IFERROR(__xludf.DUMMYFUNCTION("""COMPUTED_VALUE"""),17.49)</f>
        <v>17.49</v>
      </c>
      <c r="G62" s="132">
        <f>IFERROR(__xludf.DUMMYFUNCTION("""COMPUTED_VALUE"""),17.49)</f>
        <v>17.49</v>
      </c>
      <c r="H62" s="132"/>
      <c r="I62" s="132">
        <f>IFERROR(__xludf.DUMMYFUNCTION("""COMPUTED_VALUE"""),1.0)</f>
        <v>1</v>
      </c>
      <c r="J62" s="132"/>
      <c r="K62" s="132"/>
      <c r="L62" s="132"/>
      <c r="M62" s="132"/>
      <c r="N62" s="132"/>
      <c r="O62" s="132"/>
      <c r="P62" s="132"/>
      <c r="Q62" s="132"/>
      <c r="R62" s="132"/>
      <c r="S62" s="132">
        <f>IFERROR(__xludf.DUMMYFUNCTION("""COMPUTED_VALUE"""),3973.09)</f>
        <v>3973.09</v>
      </c>
      <c r="T62" s="132">
        <f>IFERROR(__xludf.DUMMYFUNCTION("""COMPUTED_VALUE"""),782.1816666666666)</f>
        <v>782.1816667</v>
      </c>
      <c r="U62" s="132"/>
      <c r="V62" s="132"/>
      <c r="W62" s="132"/>
      <c r="X62" s="132"/>
      <c r="Y62" s="132"/>
      <c r="Z62" s="132"/>
    </row>
    <row r="63">
      <c r="A63" s="136">
        <f>IFERROR(__xludf.DUMMYFUNCTION("""COMPUTED_VALUE"""),45273.0)</f>
        <v>45273</v>
      </c>
      <c r="B63" s="132" t="str">
        <f>IFERROR(__xludf.DUMMYFUNCTION("""COMPUTED_VALUE"""),"Shrimp")</f>
        <v>Shrimp</v>
      </c>
      <c r="C63" s="132" t="str">
        <f>IFERROR(__xludf.DUMMYFUNCTION("""COMPUTED_VALUE"""),"食物")</f>
        <v>食物</v>
      </c>
      <c r="D63" s="132">
        <f>IFERROR(__xludf.DUMMYFUNCTION("""COMPUTED_VALUE"""),14.99)</f>
        <v>14.99</v>
      </c>
      <c r="E63" s="132" t="str">
        <f>IFERROR(__xludf.DUMMYFUNCTION("""COMPUTED_VALUE"""),"Timothy")</f>
        <v>Timothy</v>
      </c>
      <c r="F63" s="132">
        <f>IFERROR(__xludf.DUMMYFUNCTION("""COMPUTED_VALUE"""),14.99)</f>
        <v>14.99</v>
      </c>
      <c r="G63" s="132">
        <f>IFERROR(__xludf.DUMMYFUNCTION("""COMPUTED_VALUE"""),14.99)</f>
        <v>14.99</v>
      </c>
      <c r="H63" s="132"/>
      <c r="I63" s="132"/>
      <c r="J63" s="132"/>
      <c r="K63" s="132"/>
      <c r="L63" s="132">
        <f>IFERROR(__xludf.DUMMYFUNCTION("""COMPUTED_VALUE"""),1.0)</f>
        <v>1</v>
      </c>
      <c r="M63" s="132"/>
      <c r="N63" s="132"/>
      <c r="O63" s="132"/>
      <c r="P63" s="132"/>
      <c r="Q63" s="132"/>
      <c r="R63" s="132"/>
      <c r="S63" s="132"/>
      <c r="T63" s="132"/>
      <c r="U63" s="132"/>
      <c r="V63" s="132"/>
      <c r="W63" s="132"/>
      <c r="X63" s="132"/>
      <c r="Y63" s="132"/>
      <c r="Z63" s="132"/>
    </row>
    <row r="64">
      <c r="A64" s="136">
        <f>IFERROR(__xludf.DUMMYFUNCTION("""COMPUTED_VALUE"""),45273.0)</f>
        <v>45273</v>
      </c>
      <c r="B64" s="132" t="str">
        <f>IFERROR(__xludf.DUMMYFUNCTION("""COMPUTED_VALUE"""),"Shrimp")</f>
        <v>Shrimp</v>
      </c>
      <c r="C64" s="132" t="str">
        <f>IFERROR(__xludf.DUMMYFUNCTION("""COMPUTED_VALUE"""),"食物")</f>
        <v>食物</v>
      </c>
      <c r="D64" s="132">
        <f>IFERROR(__xludf.DUMMYFUNCTION("""COMPUTED_VALUE"""),10.99)</f>
        <v>10.99</v>
      </c>
      <c r="E64" s="132" t="str">
        <f>IFERROR(__xludf.DUMMYFUNCTION("""COMPUTED_VALUE"""),"Timothy")</f>
        <v>Timothy</v>
      </c>
      <c r="F64" s="132">
        <f>IFERROR(__xludf.DUMMYFUNCTION("""COMPUTED_VALUE"""),2.198)</f>
        <v>2.198</v>
      </c>
      <c r="G64" s="132">
        <f>IFERROR(__xludf.DUMMYFUNCTION("""COMPUTED_VALUE"""),2.198)</f>
        <v>2.198</v>
      </c>
      <c r="H64" s="132">
        <f>IFERROR(__xludf.DUMMYFUNCTION("""COMPUTED_VALUE"""),1.0)</f>
        <v>1</v>
      </c>
      <c r="I64" s="132">
        <f>IFERROR(__xludf.DUMMYFUNCTION("""COMPUTED_VALUE"""),1.0)</f>
        <v>1</v>
      </c>
      <c r="J64" s="132">
        <f>IFERROR(__xludf.DUMMYFUNCTION("""COMPUTED_VALUE"""),1.0)</f>
        <v>1</v>
      </c>
      <c r="K64" s="132">
        <f>IFERROR(__xludf.DUMMYFUNCTION("""COMPUTED_VALUE"""),1.0)</f>
        <v>1</v>
      </c>
      <c r="L64" s="132"/>
      <c r="M64" s="132"/>
      <c r="N64" s="132">
        <f>IFERROR(__xludf.DUMMYFUNCTION("""COMPUTED_VALUE"""),1.0)</f>
        <v>1</v>
      </c>
      <c r="O64" s="132"/>
      <c r="P64" s="132"/>
      <c r="Q64" s="134">
        <f>IFERROR(__xludf.DUMMYFUNCTION("""COMPUTED_VALUE"""),45352.0)</f>
        <v>45352</v>
      </c>
      <c r="R64" s="132" t="str">
        <f>IFERROR(__xludf.DUMMYFUNCTION("""COMPUTED_VALUE"""),"Rent")</f>
        <v>Rent</v>
      </c>
      <c r="S64" s="132">
        <f>IFERROR(__xludf.DUMMYFUNCTION("""COMPUTED_VALUE"""),3600.0)</f>
        <v>3600</v>
      </c>
      <c r="T64" s="132">
        <f>IFERROR(__xludf.DUMMYFUNCTION("""COMPUTED_VALUE"""),720.0)</f>
        <v>720</v>
      </c>
      <c r="U64" s="132" t="str">
        <f>IFERROR(__xludf.DUMMYFUNCTION("""COMPUTED_VALUE"""),"Paid")</f>
        <v>Paid</v>
      </c>
      <c r="V64" s="132" t="str">
        <f>IFERROR(__xludf.DUMMYFUNCTION("""COMPUTED_VALUE"""),"Paid")</f>
        <v>Paid</v>
      </c>
      <c r="W64" s="132" t="str">
        <f>IFERROR(__xludf.DUMMYFUNCTION("""COMPUTED_VALUE"""),"Paid")</f>
        <v>Paid</v>
      </c>
      <c r="X64" s="132" t="str">
        <f>IFERROR(__xludf.DUMMYFUNCTION("""COMPUTED_VALUE"""),"Paid")</f>
        <v>Paid</v>
      </c>
      <c r="Y64" s="132" t="str">
        <f>IFERROR(__xludf.DUMMYFUNCTION("""COMPUTED_VALUE"""),"Paid")</f>
        <v>Paid</v>
      </c>
      <c r="Z64" s="132"/>
    </row>
    <row r="65">
      <c r="A65" s="136">
        <f>IFERROR(__xludf.DUMMYFUNCTION("""COMPUTED_VALUE"""),45273.0)</f>
        <v>45273</v>
      </c>
      <c r="B65" s="132" t="str">
        <f>IFERROR(__xludf.DUMMYFUNCTION("""COMPUTED_VALUE"""),"Sausage")</f>
        <v>Sausage</v>
      </c>
      <c r="C65" s="132" t="str">
        <f>IFERROR(__xludf.DUMMYFUNCTION("""COMPUTED_VALUE"""),"食物")</f>
        <v>食物</v>
      </c>
      <c r="D65" s="132">
        <f>IFERROR(__xludf.DUMMYFUNCTION("""COMPUTED_VALUE"""),14.99)</f>
        <v>14.99</v>
      </c>
      <c r="E65" s="132" t="str">
        <f>IFERROR(__xludf.DUMMYFUNCTION("""COMPUTED_VALUE"""),"Timothy")</f>
        <v>Timothy</v>
      </c>
      <c r="F65" s="132">
        <f>IFERROR(__xludf.DUMMYFUNCTION("""COMPUTED_VALUE"""),2.998)</f>
        <v>2.998</v>
      </c>
      <c r="G65" s="132">
        <f>IFERROR(__xludf.DUMMYFUNCTION("""COMPUTED_VALUE"""),2.998)</f>
        <v>2.998</v>
      </c>
      <c r="H65" s="132">
        <f>IFERROR(__xludf.DUMMYFUNCTION("""COMPUTED_VALUE"""),1.0)</f>
        <v>1</v>
      </c>
      <c r="I65" s="132">
        <f>IFERROR(__xludf.DUMMYFUNCTION("""COMPUTED_VALUE"""),1.0)</f>
        <v>1</v>
      </c>
      <c r="J65" s="132">
        <f>IFERROR(__xludf.DUMMYFUNCTION("""COMPUTED_VALUE"""),1.0)</f>
        <v>1</v>
      </c>
      <c r="K65" s="132">
        <f>IFERROR(__xludf.DUMMYFUNCTION("""COMPUTED_VALUE"""),1.0)</f>
        <v>1</v>
      </c>
      <c r="L65" s="132"/>
      <c r="M65" s="132"/>
      <c r="N65" s="132">
        <f>IFERROR(__xludf.DUMMYFUNCTION("""COMPUTED_VALUE"""),1.0)</f>
        <v>1</v>
      </c>
      <c r="O65" s="132"/>
      <c r="P65" s="132"/>
      <c r="Q65" s="132"/>
      <c r="R65" s="132" t="str">
        <f>IFERROR(__xludf.DUMMYFUNCTION("""COMPUTED_VALUE"""),"Water")</f>
        <v>Water</v>
      </c>
      <c r="S65" s="132"/>
      <c r="T65" s="132">
        <f>IFERROR(__xludf.DUMMYFUNCTION("""COMPUTED_VALUE"""),0.0)</f>
        <v>0</v>
      </c>
      <c r="U65" s="132"/>
      <c r="V65" s="132"/>
      <c r="W65" s="132"/>
      <c r="X65" s="132"/>
      <c r="Y65" s="132"/>
      <c r="Z65" s="132"/>
    </row>
    <row r="66">
      <c r="A66" s="136">
        <f>IFERROR(__xludf.DUMMYFUNCTION("""COMPUTED_VALUE"""),45273.0)</f>
        <v>45273</v>
      </c>
      <c r="B66" s="132" t="str">
        <f>IFERROR(__xludf.DUMMYFUNCTION("""COMPUTED_VALUE"""),"Socks")</f>
        <v>Socks</v>
      </c>
      <c r="C66" s="132" t="str">
        <f>IFERROR(__xludf.DUMMYFUNCTION("""COMPUTED_VALUE"""),"衣服")</f>
        <v>衣服</v>
      </c>
      <c r="D66" s="132">
        <f>IFERROR(__xludf.DUMMYFUNCTION("""COMPUTED_VALUE"""),22.588699999999996)</f>
        <v>22.5887</v>
      </c>
      <c r="E66" s="132" t="str">
        <f>IFERROR(__xludf.DUMMYFUNCTION("""COMPUTED_VALUE"""),"Timothy")</f>
        <v>Timothy</v>
      </c>
      <c r="F66" s="132">
        <f>IFERROR(__xludf.DUMMYFUNCTION("""COMPUTED_VALUE"""),11.294349999999998)</f>
        <v>11.29435</v>
      </c>
      <c r="G66" s="132">
        <f>IFERROR(__xludf.DUMMYFUNCTION("""COMPUTED_VALUE"""),11.294349999999998)</f>
        <v>11.29435</v>
      </c>
      <c r="H66" s="132">
        <f>IFERROR(__xludf.DUMMYFUNCTION("""COMPUTED_VALUE"""),1.0)</f>
        <v>1</v>
      </c>
      <c r="I66" s="132"/>
      <c r="J66" s="132"/>
      <c r="K66" s="132"/>
      <c r="L66" s="132">
        <f>IFERROR(__xludf.DUMMYFUNCTION("""COMPUTED_VALUE"""),1.0)</f>
        <v>1</v>
      </c>
      <c r="M66" s="132"/>
      <c r="N66" s="132"/>
      <c r="O66" s="132"/>
      <c r="P66" s="132"/>
      <c r="Q66" s="132"/>
      <c r="R66" s="132" t="str">
        <f>IFERROR(__xludf.DUMMYFUNCTION("""COMPUTED_VALUE"""),"Heat")</f>
        <v>Heat</v>
      </c>
      <c r="S66" s="132">
        <f>IFERROR(__xludf.DUMMYFUNCTION("""COMPUTED_VALUE"""),173.22)</f>
        <v>173.22</v>
      </c>
      <c r="T66" s="132">
        <f>IFERROR(__xludf.DUMMYFUNCTION("""COMPUTED_VALUE"""),34.644)</f>
        <v>34.644</v>
      </c>
      <c r="U66" s="132" t="str">
        <f>IFERROR(__xludf.DUMMYFUNCTION("""COMPUTED_VALUE"""),"Paid")</f>
        <v>Paid</v>
      </c>
      <c r="V66" s="132" t="str">
        <f>IFERROR(__xludf.DUMMYFUNCTION("""COMPUTED_VALUE"""),"Paid")</f>
        <v>Paid</v>
      </c>
      <c r="W66" s="132" t="str">
        <f>IFERROR(__xludf.DUMMYFUNCTION("""COMPUTED_VALUE"""),"Paid")</f>
        <v>Paid</v>
      </c>
      <c r="X66" s="132" t="str">
        <f>IFERROR(__xludf.DUMMYFUNCTION("""COMPUTED_VALUE"""),"Paid")</f>
        <v>Paid</v>
      </c>
      <c r="Y66" s="132" t="str">
        <f>IFERROR(__xludf.DUMMYFUNCTION("""COMPUTED_VALUE"""),"Paid")</f>
        <v>Paid</v>
      </c>
      <c r="Z66" s="132"/>
    </row>
    <row r="67">
      <c r="A67" s="136">
        <f>IFERROR(__xludf.DUMMYFUNCTION("""COMPUTED_VALUE"""),45273.0)</f>
        <v>45273</v>
      </c>
      <c r="B67" s="132" t="str">
        <f>IFERROR(__xludf.DUMMYFUNCTION("""COMPUTED_VALUE"""),"Butter Biscuits")</f>
        <v>Butter Biscuits</v>
      </c>
      <c r="C67" s="132" t="str">
        <f>IFERROR(__xludf.DUMMYFUNCTION("""COMPUTED_VALUE"""),"食物")</f>
        <v>食物</v>
      </c>
      <c r="D67" s="132">
        <f>IFERROR(__xludf.DUMMYFUNCTION("""COMPUTED_VALUE"""),11.99)</f>
        <v>11.99</v>
      </c>
      <c r="E67" s="132" t="str">
        <f>IFERROR(__xludf.DUMMYFUNCTION("""COMPUTED_VALUE"""),"Timothy")</f>
        <v>Timothy</v>
      </c>
      <c r="F67" s="132">
        <f>IFERROR(__xludf.DUMMYFUNCTION("""COMPUTED_VALUE"""),2.398)</f>
        <v>2.398</v>
      </c>
      <c r="G67" s="132">
        <f>IFERROR(__xludf.DUMMYFUNCTION("""COMPUTED_VALUE"""),2.398)</f>
        <v>2.398</v>
      </c>
      <c r="H67" s="132">
        <f>IFERROR(__xludf.DUMMYFUNCTION("""COMPUTED_VALUE"""),1.0)</f>
        <v>1</v>
      </c>
      <c r="I67" s="132">
        <f>IFERROR(__xludf.DUMMYFUNCTION("""COMPUTED_VALUE"""),1.0)</f>
        <v>1</v>
      </c>
      <c r="J67" s="132">
        <f>IFERROR(__xludf.DUMMYFUNCTION("""COMPUTED_VALUE"""),1.0)</f>
        <v>1</v>
      </c>
      <c r="K67" s="132">
        <f>IFERROR(__xludf.DUMMYFUNCTION("""COMPUTED_VALUE"""),1.0)</f>
        <v>1</v>
      </c>
      <c r="L67" s="132"/>
      <c r="M67" s="132"/>
      <c r="N67" s="132">
        <f>IFERROR(__xludf.DUMMYFUNCTION("""COMPUTED_VALUE"""),1.0)</f>
        <v>1</v>
      </c>
      <c r="O67" s="132"/>
      <c r="P67" s="132"/>
      <c r="Q67" s="132"/>
      <c r="R67" s="132" t="str">
        <f>IFERROR(__xludf.DUMMYFUNCTION("""COMPUTED_VALUE"""),"Electricity")</f>
        <v>Electricity</v>
      </c>
      <c r="S67" s="132">
        <f>IFERROR(__xludf.DUMMYFUNCTION("""COMPUTED_VALUE"""),97.82)</f>
        <v>97.82</v>
      </c>
      <c r="T67" s="132">
        <f>IFERROR(__xludf.DUMMYFUNCTION("""COMPUTED_VALUE"""),19.564)</f>
        <v>19.564</v>
      </c>
      <c r="U67" s="132" t="str">
        <f>IFERROR(__xludf.DUMMYFUNCTION("""COMPUTED_VALUE"""),"Paid")</f>
        <v>Paid</v>
      </c>
      <c r="V67" s="132" t="str">
        <f>IFERROR(__xludf.DUMMYFUNCTION("""COMPUTED_VALUE"""),"Paid")</f>
        <v>Paid</v>
      </c>
      <c r="W67" s="132" t="str">
        <f>IFERROR(__xludf.DUMMYFUNCTION("""COMPUTED_VALUE"""),"Paid")</f>
        <v>Paid</v>
      </c>
      <c r="X67" s="132" t="str">
        <f>IFERROR(__xludf.DUMMYFUNCTION("""COMPUTED_VALUE"""),"Paid")</f>
        <v>Paid</v>
      </c>
      <c r="Y67" s="132" t="str">
        <f>IFERROR(__xludf.DUMMYFUNCTION("""COMPUTED_VALUE"""),"Paid")</f>
        <v>Paid</v>
      </c>
      <c r="Z67" s="132"/>
    </row>
    <row r="68">
      <c r="A68" s="136">
        <f>IFERROR(__xludf.DUMMYFUNCTION("""COMPUTED_VALUE"""),45273.0)</f>
        <v>45273</v>
      </c>
      <c r="B68" s="132" t="str">
        <f>IFERROR(__xludf.DUMMYFUNCTION("""COMPUTED_VALUE"""),"Walnuts")</f>
        <v>Walnuts</v>
      </c>
      <c r="C68" s="132" t="str">
        <f>IFERROR(__xludf.DUMMYFUNCTION("""COMPUTED_VALUE"""),"食物")</f>
        <v>食物</v>
      </c>
      <c r="D68" s="132">
        <f>IFERROR(__xludf.DUMMYFUNCTION("""COMPUTED_VALUE"""),11.99)</f>
        <v>11.99</v>
      </c>
      <c r="E68" s="132" t="str">
        <f>IFERROR(__xludf.DUMMYFUNCTION("""COMPUTED_VALUE"""),"Timothy")</f>
        <v>Timothy</v>
      </c>
      <c r="F68" s="132">
        <f>IFERROR(__xludf.DUMMYFUNCTION("""COMPUTED_VALUE"""),11.99)</f>
        <v>11.99</v>
      </c>
      <c r="G68" s="132">
        <f>IFERROR(__xludf.DUMMYFUNCTION("""COMPUTED_VALUE"""),11.99)</f>
        <v>11.99</v>
      </c>
      <c r="H68" s="132"/>
      <c r="I68" s="132"/>
      <c r="J68" s="132"/>
      <c r="K68" s="132"/>
      <c r="L68" s="132">
        <f>IFERROR(__xludf.DUMMYFUNCTION("""COMPUTED_VALUE"""),1.0)</f>
        <v>1</v>
      </c>
      <c r="M68" s="132"/>
      <c r="N68" s="132"/>
      <c r="O68" s="132"/>
      <c r="P68" s="132"/>
      <c r="Q68" s="132"/>
      <c r="R68" s="132" t="str">
        <f>IFERROR(__xludf.DUMMYFUNCTION("""COMPUTED_VALUE"""),"Internet")</f>
        <v>Internet</v>
      </c>
      <c r="S68" s="132">
        <f>IFERROR(__xludf.DUMMYFUNCTION("""COMPUTED_VALUE"""),56.5)</f>
        <v>56.5</v>
      </c>
      <c r="T68" s="132">
        <f>IFERROR(__xludf.DUMMYFUNCTION("""COMPUTED_VALUE"""),11.3)</f>
        <v>11.3</v>
      </c>
      <c r="U68" s="132" t="str">
        <f>IFERROR(__xludf.DUMMYFUNCTION("""COMPUTED_VALUE"""),"Paid")</f>
        <v>Paid</v>
      </c>
      <c r="V68" s="132" t="str">
        <f>IFERROR(__xludf.DUMMYFUNCTION("""COMPUTED_VALUE"""),"Paid")</f>
        <v>Paid</v>
      </c>
      <c r="W68" s="132" t="str">
        <f>IFERROR(__xludf.DUMMYFUNCTION("""COMPUTED_VALUE"""),"Paid")</f>
        <v>Paid</v>
      </c>
      <c r="X68" s="132" t="str">
        <f>IFERROR(__xludf.DUMMYFUNCTION("""COMPUTED_VALUE"""),"Paid")</f>
        <v>Paid</v>
      </c>
      <c r="Y68" s="132" t="str">
        <f>IFERROR(__xludf.DUMMYFUNCTION("""COMPUTED_VALUE"""),"Paid")</f>
        <v>Paid</v>
      </c>
      <c r="Z68" s="132"/>
    </row>
    <row r="69">
      <c r="A69" s="136">
        <f>IFERROR(__xludf.DUMMYFUNCTION("""COMPUTED_VALUE"""),45273.0)</f>
        <v>45273</v>
      </c>
      <c r="B69" s="132" t="str">
        <f>IFERROR(__xludf.DUMMYFUNCTION("""COMPUTED_VALUE"""),"Vitamin")</f>
        <v>Vitamin</v>
      </c>
      <c r="C69" s="132" t="str">
        <f>IFERROR(__xludf.DUMMYFUNCTION("""COMPUTED_VALUE"""),"醫藥")</f>
        <v>醫藥</v>
      </c>
      <c r="D69" s="132">
        <f>IFERROR(__xludf.DUMMYFUNCTION("""COMPUTED_VALUE"""),12.4187)</f>
        <v>12.4187</v>
      </c>
      <c r="E69" s="132" t="str">
        <f>IFERROR(__xludf.DUMMYFUNCTION("""COMPUTED_VALUE"""),"Timothy")</f>
        <v>Timothy</v>
      </c>
      <c r="F69" s="132">
        <f>IFERROR(__xludf.DUMMYFUNCTION("""COMPUTED_VALUE"""),12.4187)</f>
        <v>12.4187</v>
      </c>
      <c r="G69" s="132">
        <f>IFERROR(__xludf.DUMMYFUNCTION("""COMPUTED_VALUE"""),12.4187)</f>
        <v>12.4187</v>
      </c>
      <c r="H69" s="132"/>
      <c r="I69" s="132"/>
      <c r="J69" s="132"/>
      <c r="K69" s="132"/>
      <c r="L69" s="132">
        <f>IFERROR(__xludf.DUMMYFUNCTION("""COMPUTED_VALUE"""),1.0)</f>
        <v>1</v>
      </c>
      <c r="M69" s="132"/>
      <c r="N69" s="132"/>
      <c r="O69" s="132"/>
      <c r="P69" s="132"/>
      <c r="Q69" s="132"/>
      <c r="R69" s="132"/>
      <c r="S69" s="132">
        <f>IFERROR(__xludf.DUMMYFUNCTION("""COMPUTED_VALUE"""),3927.54)</f>
        <v>3927.54</v>
      </c>
      <c r="T69" s="132">
        <f>IFERROR(__xludf.DUMMYFUNCTION("""COMPUTED_VALUE"""),785.5079999999999)</f>
        <v>785.508</v>
      </c>
      <c r="U69" s="132"/>
      <c r="V69" s="132"/>
      <c r="W69" s="132"/>
      <c r="X69" s="132"/>
      <c r="Y69" s="132"/>
      <c r="Z69" s="132"/>
    </row>
    <row r="70">
      <c r="A70" s="136">
        <f>IFERROR(__xludf.DUMMYFUNCTION("""COMPUTED_VALUE"""),45273.0)</f>
        <v>45273</v>
      </c>
      <c r="B70" s="132" t="str">
        <f>IFERROR(__xludf.DUMMYFUNCTION("""COMPUTED_VALUE"""),"Tiramisu")</f>
        <v>Tiramisu</v>
      </c>
      <c r="C70" s="132" t="str">
        <f>IFERROR(__xludf.DUMMYFUNCTION("""COMPUTED_VALUE"""),"食物")</f>
        <v>食物</v>
      </c>
      <c r="D70" s="132">
        <f>IFERROR(__xludf.DUMMYFUNCTION("""COMPUTED_VALUE"""),9.99)</f>
        <v>9.99</v>
      </c>
      <c r="E70" s="132" t="str">
        <f>IFERROR(__xludf.DUMMYFUNCTION("""COMPUTED_VALUE"""),"Timothy")</f>
        <v>Timothy</v>
      </c>
      <c r="F70" s="132">
        <f>IFERROR(__xludf.DUMMYFUNCTION("""COMPUTED_VALUE"""),1.665)</f>
        <v>1.665</v>
      </c>
      <c r="G70" s="132">
        <f>IFERROR(__xludf.DUMMYFUNCTION("""COMPUTED_VALUE"""),1.665)</f>
        <v>1.665</v>
      </c>
      <c r="H70" s="132">
        <f>IFERROR(__xludf.DUMMYFUNCTION("""COMPUTED_VALUE"""),1.0)</f>
        <v>1</v>
      </c>
      <c r="I70" s="132">
        <f>IFERROR(__xludf.DUMMYFUNCTION("""COMPUTED_VALUE"""),1.0)</f>
        <v>1</v>
      </c>
      <c r="J70" s="132">
        <f>IFERROR(__xludf.DUMMYFUNCTION("""COMPUTED_VALUE"""),1.0)</f>
        <v>1</v>
      </c>
      <c r="K70" s="132">
        <f>IFERROR(__xludf.DUMMYFUNCTION("""COMPUTED_VALUE"""),1.0)</f>
        <v>1</v>
      </c>
      <c r="L70" s="132"/>
      <c r="M70" s="132">
        <f>IFERROR(__xludf.DUMMYFUNCTION("""COMPUTED_VALUE"""),1.0)</f>
        <v>1</v>
      </c>
      <c r="N70" s="132">
        <f>IFERROR(__xludf.DUMMYFUNCTION("""COMPUTED_VALUE"""),1.0)</f>
        <v>1</v>
      </c>
      <c r="O70" s="132"/>
      <c r="P70" s="132"/>
      <c r="Q70" s="132"/>
      <c r="R70" s="132"/>
      <c r="S70" s="132"/>
      <c r="T70" s="132"/>
      <c r="U70" s="132"/>
      <c r="V70" s="132"/>
      <c r="W70" s="132"/>
      <c r="X70" s="132"/>
      <c r="Y70" s="132"/>
      <c r="Z70" s="132"/>
    </row>
    <row r="71">
      <c r="A71" s="136">
        <f>IFERROR(__xludf.DUMMYFUNCTION("""COMPUTED_VALUE"""),45273.0)</f>
        <v>45273</v>
      </c>
      <c r="B71" s="132" t="str">
        <f>IFERROR(__xludf.DUMMYFUNCTION("""COMPUTED_VALUE"""),"Lotus")</f>
        <v>Lotus</v>
      </c>
      <c r="C71" s="132" t="str">
        <f>IFERROR(__xludf.DUMMYFUNCTION("""COMPUTED_VALUE"""),"食物")</f>
        <v>食物</v>
      </c>
      <c r="D71" s="132">
        <f>IFERROR(__xludf.DUMMYFUNCTION("""COMPUTED_VALUE"""),11.99)</f>
        <v>11.99</v>
      </c>
      <c r="E71" s="132" t="str">
        <f>IFERROR(__xludf.DUMMYFUNCTION("""COMPUTED_VALUE"""),"Timothy")</f>
        <v>Timothy</v>
      </c>
      <c r="F71" s="132">
        <f>IFERROR(__xludf.DUMMYFUNCTION("""COMPUTED_VALUE"""),2.398)</f>
        <v>2.398</v>
      </c>
      <c r="G71" s="132">
        <f>IFERROR(__xludf.DUMMYFUNCTION("""COMPUTED_VALUE"""),2.398)</f>
        <v>2.398</v>
      </c>
      <c r="H71" s="132">
        <f>IFERROR(__xludf.DUMMYFUNCTION("""COMPUTED_VALUE"""),1.0)</f>
        <v>1</v>
      </c>
      <c r="I71" s="132">
        <f>IFERROR(__xludf.DUMMYFUNCTION("""COMPUTED_VALUE"""),1.0)</f>
        <v>1</v>
      </c>
      <c r="J71" s="132">
        <f>IFERROR(__xludf.DUMMYFUNCTION("""COMPUTED_VALUE"""),1.0)</f>
        <v>1</v>
      </c>
      <c r="K71" s="132">
        <f>IFERROR(__xludf.DUMMYFUNCTION("""COMPUTED_VALUE"""),1.0)</f>
        <v>1</v>
      </c>
      <c r="L71" s="132"/>
      <c r="M71" s="132"/>
      <c r="N71" s="132">
        <f>IFERROR(__xludf.DUMMYFUNCTION("""COMPUTED_VALUE"""),1.0)</f>
        <v>1</v>
      </c>
      <c r="O71" s="132"/>
      <c r="P71" s="132"/>
      <c r="Q71" s="134">
        <f>IFERROR(__xludf.DUMMYFUNCTION("""COMPUTED_VALUE"""),45383.0)</f>
        <v>45383</v>
      </c>
      <c r="R71" s="132" t="str">
        <f>IFERROR(__xludf.DUMMYFUNCTION("""COMPUTED_VALUE"""),"Rent")</f>
        <v>Rent</v>
      </c>
      <c r="S71" s="132">
        <f>IFERROR(__xludf.DUMMYFUNCTION("""COMPUTED_VALUE"""),3600.0)</f>
        <v>3600</v>
      </c>
      <c r="T71" s="132">
        <f>IFERROR(__xludf.DUMMYFUNCTION("""COMPUTED_VALUE"""),720.0)</f>
        <v>720</v>
      </c>
      <c r="U71" s="132" t="str">
        <f>IFERROR(__xludf.DUMMYFUNCTION("""COMPUTED_VALUE"""),"Paid")</f>
        <v>Paid</v>
      </c>
      <c r="V71" s="132" t="str">
        <f>IFERROR(__xludf.DUMMYFUNCTION("""COMPUTED_VALUE"""),"Paid")</f>
        <v>Paid</v>
      </c>
      <c r="W71" s="132" t="str">
        <f>IFERROR(__xludf.DUMMYFUNCTION("""COMPUTED_VALUE"""),"Paid")</f>
        <v>Paid</v>
      </c>
      <c r="X71" s="132" t="str">
        <f>IFERROR(__xludf.DUMMYFUNCTION("""COMPUTED_VALUE"""),"Paid")</f>
        <v>Paid</v>
      </c>
      <c r="Y71" s="132" t="str">
        <f>IFERROR(__xludf.DUMMYFUNCTION("""COMPUTED_VALUE"""),"Paid")</f>
        <v>Paid</v>
      </c>
      <c r="Z71" s="132"/>
    </row>
    <row r="72">
      <c r="A72" s="136">
        <f>IFERROR(__xludf.DUMMYFUNCTION("""COMPUTED_VALUE"""),45275.0)</f>
        <v>45275</v>
      </c>
      <c r="B72" s="132" t="str">
        <f>IFERROR(__xludf.DUMMYFUNCTION("""COMPUTED_VALUE"""),"濃湯寶")</f>
        <v>濃湯寶</v>
      </c>
      <c r="C72" s="132" t="str">
        <f>IFERROR(__xludf.DUMMYFUNCTION("""COMPUTED_VALUE"""),"食物")</f>
        <v>食物</v>
      </c>
      <c r="D72" s="132">
        <f>IFERROR(__xludf.DUMMYFUNCTION("""COMPUTED_VALUE"""),3.99)</f>
        <v>3.99</v>
      </c>
      <c r="E72" s="132" t="str">
        <f>IFERROR(__xludf.DUMMYFUNCTION("""COMPUTED_VALUE"""),"Timothy")</f>
        <v>Timothy</v>
      </c>
      <c r="F72" s="132">
        <f>IFERROR(__xludf.DUMMYFUNCTION("""COMPUTED_VALUE"""),0.5700000000000001)</f>
        <v>0.57</v>
      </c>
      <c r="G72" s="132">
        <f>IFERROR(__xludf.DUMMYFUNCTION("""COMPUTED_VALUE"""),0.5700000000000001)</f>
        <v>0.57</v>
      </c>
      <c r="H72" s="132">
        <f>IFERROR(__xludf.DUMMYFUNCTION("""COMPUTED_VALUE"""),1.0)</f>
        <v>1</v>
      </c>
      <c r="I72" s="132">
        <f>IFERROR(__xludf.DUMMYFUNCTION("""COMPUTED_VALUE"""),1.0)</f>
        <v>1</v>
      </c>
      <c r="J72" s="132">
        <f>IFERROR(__xludf.DUMMYFUNCTION("""COMPUTED_VALUE"""),1.0)</f>
        <v>1</v>
      </c>
      <c r="K72" s="132">
        <f>IFERROR(__xludf.DUMMYFUNCTION("""COMPUTED_VALUE"""),1.0)</f>
        <v>1</v>
      </c>
      <c r="L72" s="132">
        <f>IFERROR(__xludf.DUMMYFUNCTION("""COMPUTED_VALUE"""),1.0)</f>
        <v>1</v>
      </c>
      <c r="M72" s="132">
        <f>IFERROR(__xludf.DUMMYFUNCTION("""COMPUTED_VALUE"""),1.0)</f>
        <v>1</v>
      </c>
      <c r="N72" s="132">
        <f>IFERROR(__xludf.DUMMYFUNCTION("""COMPUTED_VALUE"""),1.0)</f>
        <v>1</v>
      </c>
      <c r="O72" s="132"/>
      <c r="P72" s="132"/>
      <c r="Q72" s="132"/>
      <c r="R72" s="132" t="str">
        <f>IFERROR(__xludf.DUMMYFUNCTION("""COMPUTED_VALUE"""),"o")</f>
        <v>o</v>
      </c>
      <c r="S72" s="132"/>
      <c r="T72" s="132"/>
      <c r="U72" s="132"/>
      <c r="V72" s="132"/>
      <c r="W72" s="132"/>
      <c r="X72" s="132"/>
      <c r="Y72" s="132"/>
      <c r="Z72" s="132"/>
    </row>
    <row r="73">
      <c r="A73" s="136">
        <f>IFERROR(__xludf.DUMMYFUNCTION("""COMPUTED_VALUE"""),45277.0)</f>
        <v>45277</v>
      </c>
      <c r="B73" s="132" t="str">
        <f>IFERROR(__xludf.DUMMYFUNCTION("""COMPUTED_VALUE"""),"垃圾袋")</f>
        <v>垃圾袋</v>
      </c>
      <c r="C73" s="132" t="str">
        <f>IFERROR(__xludf.DUMMYFUNCTION("""COMPUTED_VALUE"""),"居家")</f>
        <v>居家</v>
      </c>
      <c r="D73" s="132">
        <f>IFERROR(__xludf.DUMMYFUNCTION("""COMPUTED_VALUE"""),4.52)</f>
        <v>4.52</v>
      </c>
      <c r="E73" s="132" t="str">
        <f>IFERROR(__xludf.DUMMYFUNCTION("""COMPUTED_VALUE"""),"Timothy")</f>
        <v>Timothy</v>
      </c>
      <c r="F73" s="132">
        <f>IFERROR(__xludf.DUMMYFUNCTION("""COMPUTED_VALUE"""),0.9039999999999999)</f>
        <v>0.904</v>
      </c>
      <c r="G73" s="132">
        <f>IFERROR(__xludf.DUMMYFUNCTION("""COMPUTED_VALUE"""),0.9039999999999999)</f>
        <v>0.904</v>
      </c>
      <c r="H73" s="132">
        <f>IFERROR(__xludf.DUMMYFUNCTION("""COMPUTED_VALUE"""),1.0)</f>
        <v>1</v>
      </c>
      <c r="I73" s="132">
        <f>IFERROR(__xludf.DUMMYFUNCTION("""COMPUTED_VALUE"""),1.0)</f>
        <v>1</v>
      </c>
      <c r="J73" s="132">
        <f>IFERROR(__xludf.DUMMYFUNCTION("""COMPUTED_VALUE"""),1.0)</f>
        <v>1</v>
      </c>
      <c r="K73" s="132">
        <f>IFERROR(__xludf.DUMMYFUNCTION("""COMPUTED_VALUE"""),1.0)</f>
        <v>1</v>
      </c>
      <c r="L73" s="132"/>
      <c r="M73" s="132"/>
      <c r="N73" s="132">
        <f>IFERROR(__xludf.DUMMYFUNCTION("""COMPUTED_VALUE"""),1.0)</f>
        <v>1</v>
      </c>
      <c r="O73" s="132"/>
      <c r="P73" s="132"/>
      <c r="Q73" s="132"/>
      <c r="R73" s="132" t="str">
        <f>IFERROR(__xludf.DUMMYFUNCTION("""COMPUTED_VALUE"""),"Heat")</f>
        <v>Heat</v>
      </c>
      <c r="S73" s="132">
        <f>IFERROR(__xludf.DUMMYFUNCTION("""COMPUTED_VALUE"""),169.33)</f>
        <v>169.33</v>
      </c>
      <c r="T73" s="132">
        <f>IFERROR(__xludf.DUMMYFUNCTION("""COMPUTED_VALUE"""),33.866)</f>
        <v>33.866</v>
      </c>
      <c r="U73" s="132" t="str">
        <f>IFERROR(__xludf.DUMMYFUNCTION("""COMPUTED_VALUE"""),"Paid")</f>
        <v>Paid</v>
      </c>
      <c r="V73" s="132" t="str">
        <f>IFERROR(__xludf.DUMMYFUNCTION("""COMPUTED_VALUE"""),"Paid")</f>
        <v>Paid</v>
      </c>
      <c r="W73" s="132" t="str">
        <f>IFERROR(__xludf.DUMMYFUNCTION("""COMPUTED_VALUE"""),"Paid")</f>
        <v>Paid</v>
      </c>
      <c r="X73" s="132" t="str">
        <f>IFERROR(__xludf.DUMMYFUNCTION("""COMPUTED_VALUE"""),"Paid")</f>
        <v>Paid</v>
      </c>
      <c r="Y73" s="132" t="str">
        <f>IFERROR(__xludf.DUMMYFUNCTION("""COMPUTED_VALUE"""),"Paid")</f>
        <v>Paid</v>
      </c>
      <c r="Z73" s="132"/>
    </row>
    <row r="74">
      <c r="A74" s="136">
        <f>IFERROR(__xludf.DUMMYFUNCTION("""COMPUTED_VALUE"""),45277.0)</f>
        <v>45277</v>
      </c>
      <c r="B74" s="132" t="str">
        <f>IFERROR(__xludf.DUMMYFUNCTION("""COMPUTED_VALUE"""),"Snack")</f>
        <v>Snack</v>
      </c>
      <c r="C74" s="132" t="str">
        <f>IFERROR(__xludf.DUMMYFUNCTION("""COMPUTED_VALUE"""),"食物")</f>
        <v>食物</v>
      </c>
      <c r="D74" s="132">
        <f>IFERROR(__xludf.DUMMYFUNCTION("""COMPUTED_VALUE"""),4.89)</f>
        <v>4.89</v>
      </c>
      <c r="E74" s="132" t="str">
        <f>IFERROR(__xludf.DUMMYFUNCTION("""COMPUTED_VALUE"""),"Timothy")</f>
        <v>Timothy</v>
      </c>
      <c r="F74" s="132">
        <f>IFERROR(__xludf.DUMMYFUNCTION("""COMPUTED_VALUE"""),2.445)</f>
        <v>2.445</v>
      </c>
      <c r="G74" s="132">
        <f>IFERROR(__xludf.DUMMYFUNCTION("""COMPUTED_VALUE"""),2.445)</f>
        <v>2.445</v>
      </c>
      <c r="H74" s="132">
        <f>IFERROR(__xludf.DUMMYFUNCTION("""COMPUTED_VALUE"""),1.0)</f>
        <v>1</v>
      </c>
      <c r="I74" s="132">
        <f>IFERROR(__xludf.DUMMYFUNCTION("""COMPUTED_VALUE"""),1.0)</f>
        <v>1</v>
      </c>
      <c r="J74" s="132"/>
      <c r="K74" s="132"/>
      <c r="L74" s="132"/>
      <c r="M74" s="132"/>
      <c r="N74" s="132"/>
      <c r="O74" s="132"/>
      <c r="P74" s="132"/>
      <c r="Q74" s="132"/>
      <c r="R74" s="132" t="str">
        <f>IFERROR(__xludf.DUMMYFUNCTION("""COMPUTED_VALUE"""),"Electricity")</f>
        <v>Electricity</v>
      </c>
      <c r="S74" s="132">
        <f>IFERROR(__xludf.DUMMYFUNCTION("""COMPUTED_VALUE"""),104.26)</f>
        <v>104.26</v>
      </c>
      <c r="T74" s="132">
        <f>IFERROR(__xludf.DUMMYFUNCTION("""COMPUTED_VALUE"""),20.852)</f>
        <v>20.852</v>
      </c>
      <c r="U74" s="132" t="str">
        <f>IFERROR(__xludf.DUMMYFUNCTION("""COMPUTED_VALUE"""),"Paid")</f>
        <v>Paid</v>
      </c>
      <c r="V74" s="132" t="str">
        <f>IFERROR(__xludf.DUMMYFUNCTION("""COMPUTED_VALUE"""),"Paid")</f>
        <v>Paid</v>
      </c>
      <c r="W74" s="132" t="str">
        <f>IFERROR(__xludf.DUMMYFUNCTION("""COMPUTED_VALUE"""),"Paid")</f>
        <v>Paid</v>
      </c>
      <c r="X74" s="132" t="str">
        <f>IFERROR(__xludf.DUMMYFUNCTION("""COMPUTED_VALUE"""),"Paid")</f>
        <v>Paid</v>
      </c>
      <c r="Y74" s="132" t="str">
        <f>IFERROR(__xludf.DUMMYFUNCTION("""COMPUTED_VALUE"""),"Paid")</f>
        <v>Paid</v>
      </c>
      <c r="Z74" s="132"/>
    </row>
    <row r="75">
      <c r="A75" s="136">
        <f>IFERROR(__xludf.DUMMYFUNCTION("""COMPUTED_VALUE"""),45277.0)</f>
        <v>45277</v>
      </c>
      <c r="B75" s="132" t="str">
        <f>IFERROR(__xludf.DUMMYFUNCTION("""COMPUTED_VALUE"""),"Dinner")</f>
        <v>Dinner</v>
      </c>
      <c r="C75" s="132" t="str">
        <f>IFERROR(__xludf.DUMMYFUNCTION("""COMPUTED_VALUE"""),"食物")</f>
        <v>食物</v>
      </c>
      <c r="D75" s="132">
        <f>IFERROR(__xludf.DUMMYFUNCTION("""COMPUTED_VALUE"""),16.94)</f>
        <v>16.94</v>
      </c>
      <c r="E75" s="132" t="str">
        <f>IFERROR(__xludf.DUMMYFUNCTION("""COMPUTED_VALUE"""),"Timothy")</f>
        <v>Timothy</v>
      </c>
      <c r="F75" s="132">
        <f>IFERROR(__xludf.DUMMYFUNCTION("""COMPUTED_VALUE"""),4.235)</f>
        <v>4.235</v>
      </c>
      <c r="G75" s="132">
        <f>IFERROR(__xludf.DUMMYFUNCTION("""COMPUTED_VALUE"""),4.235)</f>
        <v>4.235</v>
      </c>
      <c r="H75" s="132">
        <f>IFERROR(__xludf.DUMMYFUNCTION("""COMPUTED_VALUE"""),1.0)</f>
        <v>1</v>
      </c>
      <c r="I75" s="132">
        <f>IFERROR(__xludf.DUMMYFUNCTION("""COMPUTED_VALUE"""),1.0)</f>
        <v>1</v>
      </c>
      <c r="J75" s="132">
        <f>IFERROR(__xludf.DUMMYFUNCTION("""COMPUTED_VALUE"""),1.0)</f>
        <v>1</v>
      </c>
      <c r="K75" s="132">
        <f>IFERROR(__xludf.DUMMYFUNCTION("""COMPUTED_VALUE"""),1.0)</f>
        <v>1</v>
      </c>
      <c r="L75" s="132"/>
      <c r="M75" s="132"/>
      <c r="N75" s="132"/>
      <c r="O75" s="132"/>
      <c r="P75" s="132"/>
      <c r="Q75" s="132"/>
      <c r="R75" s="132" t="str">
        <f>IFERROR(__xludf.DUMMYFUNCTION("""COMPUTED_VALUE"""),"Internet")</f>
        <v>Internet</v>
      </c>
      <c r="S75" s="132">
        <f>IFERROR(__xludf.DUMMYFUNCTION("""COMPUTED_VALUE"""),56.5)</f>
        <v>56.5</v>
      </c>
      <c r="T75" s="132">
        <f>IFERROR(__xludf.DUMMYFUNCTION("""COMPUTED_VALUE"""),11.3)</f>
        <v>11.3</v>
      </c>
      <c r="U75" s="132" t="str">
        <f>IFERROR(__xludf.DUMMYFUNCTION("""COMPUTED_VALUE"""),"Paid")</f>
        <v>Paid</v>
      </c>
      <c r="V75" s="132" t="str">
        <f>IFERROR(__xludf.DUMMYFUNCTION("""COMPUTED_VALUE"""),"Paid")</f>
        <v>Paid</v>
      </c>
      <c r="W75" s="132" t="str">
        <f>IFERROR(__xludf.DUMMYFUNCTION("""COMPUTED_VALUE"""),"Paid")</f>
        <v>Paid</v>
      </c>
      <c r="X75" s="132" t="str">
        <f>IFERROR(__xludf.DUMMYFUNCTION("""COMPUTED_VALUE"""),"Paid")</f>
        <v>Paid</v>
      </c>
      <c r="Y75" s="132" t="str">
        <f>IFERROR(__xludf.DUMMYFUNCTION("""COMPUTED_VALUE"""),"Paid")</f>
        <v>Paid</v>
      </c>
      <c r="Z75" s="132"/>
    </row>
    <row r="76">
      <c r="A76" s="136">
        <f>IFERROR(__xludf.DUMMYFUNCTION("""COMPUTED_VALUE"""),45277.0)</f>
        <v>45277</v>
      </c>
      <c r="B76" s="132" t="str">
        <f>IFERROR(__xludf.DUMMYFUNCTION("""COMPUTED_VALUE"""),"Snack")</f>
        <v>Snack</v>
      </c>
      <c r="C76" s="132" t="str">
        <f>IFERROR(__xludf.DUMMYFUNCTION("""COMPUTED_VALUE"""),"食物")</f>
        <v>食物</v>
      </c>
      <c r="D76" s="132">
        <f>IFERROR(__xludf.DUMMYFUNCTION("""COMPUTED_VALUE"""),17.15)</f>
        <v>17.15</v>
      </c>
      <c r="E76" s="132" t="str">
        <f>IFERROR(__xludf.DUMMYFUNCTION("""COMPUTED_VALUE"""),"Timothy")</f>
        <v>Timothy</v>
      </c>
      <c r="F76" s="132">
        <f>IFERROR(__xludf.DUMMYFUNCTION("""COMPUTED_VALUE"""),3.4299999999999997)</f>
        <v>3.43</v>
      </c>
      <c r="G76" s="132">
        <f>IFERROR(__xludf.DUMMYFUNCTION("""COMPUTED_VALUE"""),3.4299999999999997)</f>
        <v>3.43</v>
      </c>
      <c r="H76" s="132">
        <f>IFERROR(__xludf.DUMMYFUNCTION("""COMPUTED_VALUE"""),1.0)</f>
        <v>1</v>
      </c>
      <c r="I76" s="132">
        <f>IFERROR(__xludf.DUMMYFUNCTION("""COMPUTED_VALUE"""),1.0)</f>
        <v>1</v>
      </c>
      <c r="J76" s="132">
        <f>IFERROR(__xludf.DUMMYFUNCTION("""COMPUTED_VALUE"""),1.0)</f>
        <v>1</v>
      </c>
      <c r="K76" s="132">
        <f>IFERROR(__xludf.DUMMYFUNCTION("""COMPUTED_VALUE"""),1.0)</f>
        <v>1</v>
      </c>
      <c r="L76" s="132"/>
      <c r="M76" s="132"/>
      <c r="N76" s="132">
        <f>IFERROR(__xludf.DUMMYFUNCTION("""COMPUTED_VALUE"""),1.0)</f>
        <v>1</v>
      </c>
      <c r="O76" s="132"/>
      <c r="P76" s="132"/>
      <c r="Q76" s="132"/>
      <c r="R76" s="132"/>
      <c r="S76" s="132">
        <f>IFERROR(__xludf.DUMMYFUNCTION("""COMPUTED_VALUE"""),3930.09)</f>
        <v>3930.09</v>
      </c>
      <c r="T76" s="132">
        <f>IFERROR(__xludf.DUMMYFUNCTION("""COMPUTED_VALUE"""),786.0179999999999)</f>
        <v>786.018</v>
      </c>
      <c r="U76" s="132"/>
      <c r="V76" s="132"/>
      <c r="W76" s="132"/>
      <c r="X76" s="132"/>
      <c r="Y76" s="132"/>
      <c r="Z76" s="132"/>
    </row>
    <row r="77">
      <c r="A77" s="136">
        <f>IFERROR(__xludf.DUMMYFUNCTION("""COMPUTED_VALUE"""),45277.0)</f>
        <v>45277</v>
      </c>
      <c r="B77" s="132" t="str">
        <f>IFERROR(__xludf.DUMMYFUNCTION("""COMPUTED_VALUE"""),"Produce")</f>
        <v>Produce</v>
      </c>
      <c r="C77" s="132" t="str">
        <f>IFERROR(__xludf.DUMMYFUNCTION("""COMPUTED_VALUE"""),"食物")</f>
        <v>食物</v>
      </c>
      <c r="D77" s="132">
        <f>IFERROR(__xludf.DUMMYFUNCTION("""COMPUTED_VALUE"""),5.71)</f>
        <v>5.71</v>
      </c>
      <c r="E77" s="132" t="str">
        <f>IFERROR(__xludf.DUMMYFUNCTION("""COMPUTED_VALUE"""),"Timothy")</f>
        <v>Timothy</v>
      </c>
      <c r="F77" s="132">
        <f>IFERROR(__xludf.DUMMYFUNCTION("""COMPUTED_VALUE"""),1.142)</f>
        <v>1.142</v>
      </c>
      <c r="G77" s="132">
        <f>IFERROR(__xludf.DUMMYFUNCTION("""COMPUTED_VALUE"""),1.142)</f>
        <v>1.142</v>
      </c>
      <c r="H77" s="132">
        <f>IFERROR(__xludf.DUMMYFUNCTION("""COMPUTED_VALUE"""),1.0)</f>
        <v>1</v>
      </c>
      <c r="I77" s="132">
        <f>IFERROR(__xludf.DUMMYFUNCTION("""COMPUTED_VALUE"""),1.0)</f>
        <v>1</v>
      </c>
      <c r="J77" s="132">
        <f>IFERROR(__xludf.DUMMYFUNCTION("""COMPUTED_VALUE"""),1.0)</f>
        <v>1</v>
      </c>
      <c r="K77" s="132">
        <f>IFERROR(__xludf.DUMMYFUNCTION("""COMPUTED_VALUE"""),1.0)</f>
        <v>1</v>
      </c>
      <c r="L77" s="132"/>
      <c r="M77" s="132"/>
      <c r="N77" s="132">
        <f>IFERROR(__xludf.DUMMYFUNCTION("""COMPUTED_VALUE"""),1.0)</f>
        <v>1</v>
      </c>
      <c r="O77" s="132"/>
      <c r="P77" s="132"/>
      <c r="Q77" s="132"/>
      <c r="R77" s="132"/>
      <c r="S77" s="132"/>
      <c r="T77" s="132"/>
      <c r="U77" s="132"/>
      <c r="V77" s="132"/>
      <c r="W77" s="132"/>
      <c r="X77" s="132"/>
      <c r="Y77" s="132"/>
      <c r="Z77" s="132"/>
    </row>
    <row r="78">
      <c r="A78" s="136">
        <f>IFERROR(__xludf.DUMMYFUNCTION("""COMPUTED_VALUE"""),45274.0)</f>
        <v>45274</v>
      </c>
      <c r="B78" s="132" t="str">
        <f>IFERROR(__xludf.DUMMYFUNCTION("""COMPUTED_VALUE"""),"Soup")</f>
        <v>Soup</v>
      </c>
      <c r="C78" s="132" t="str">
        <f>IFERROR(__xludf.DUMMYFUNCTION("""COMPUTED_VALUE"""),"食物")</f>
        <v>食物</v>
      </c>
      <c r="D78" s="132">
        <f>IFERROR(__xludf.DUMMYFUNCTION("""COMPUTED_VALUE"""),29.15)</f>
        <v>29.15</v>
      </c>
      <c r="E78" s="132" t="str">
        <f>IFERROR(__xludf.DUMMYFUNCTION("""COMPUTED_VALUE"""),"Pigskin")</f>
        <v>Pigskin</v>
      </c>
      <c r="F78" s="132">
        <f>IFERROR(__xludf.DUMMYFUNCTION("""COMPUTED_VALUE"""),4.164285714285714)</f>
        <v>4.164285714</v>
      </c>
      <c r="G78" s="132">
        <f>IFERROR(__xludf.DUMMYFUNCTION("""COMPUTED_VALUE"""),4.164285714285714)</f>
        <v>4.164285714</v>
      </c>
      <c r="H78" s="132">
        <f>IFERROR(__xludf.DUMMYFUNCTION("""COMPUTED_VALUE"""),1.0)</f>
        <v>1</v>
      </c>
      <c r="I78" s="132">
        <f>IFERROR(__xludf.DUMMYFUNCTION("""COMPUTED_VALUE"""),1.0)</f>
        <v>1</v>
      </c>
      <c r="J78" s="132">
        <f>IFERROR(__xludf.DUMMYFUNCTION("""COMPUTED_VALUE"""),1.0)</f>
        <v>1</v>
      </c>
      <c r="K78" s="132">
        <f>IFERROR(__xludf.DUMMYFUNCTION("""COMPUTED_VALUE"""),1.0)</f>
        <v>1</v>
      </c>
      <c r="L78" s="132">
        <f>IFERROR(__xludf.DUMMYFUNCTION("""COMPUTED_VALUE"""),1.0)</f>
        <v>1</v>
      </c>
      <c r="M78" s="132">
        <f>IFERROR(__xludf.DUMMYFUNCTION("""COMPUTED_VALUE"""),1.0)</f>
        <v>1</v>
      </c>
      <c r="N78" s="132">
        <f>IFERROR(__xludf.DUMMYFUNCTION("""COMPUTED_VALUE"""),1.0)</f>
        <v>1</v>
      </c>
      <c r="O78" s="132"/>
      <c r="P78" s="132"/>
      <c r="Q78" s="134">
        <f>IFERROR(__xludf.DUMMYFUNCTION("""COMPUTED_VALUE"""),45413.0)</f>
        <v>45413</v>
      </c>
      <c r="R78" s="132"/>
      <c r="S78" s="132"/>
      <c r="T78" s="132"/>
      <c r="U78" s="132"/>
      <c r="V78" s="132"/>
      <c r="W78" s="132"/>
      <c r="X78" s="132"/>
      <c r="Y78" s="132"/>
      <c r="Z78" s="132"/>
    </row>
    <row r="79">
      <c r="A79" s="136">
        <f>IFERROR(__xludf.DUMMYFUNCTION("""COMPUTED_VALUE"""),45274.0)</f>
        <v>45274</v>
      </c>
      <c r="B79" s="132" t="str">
        <f>IFERROR(__xludf.DUMMYFUNCTION("""COMPUTED_VALUE"""),"Dinner")</f>
        <v>Dinner</v>
      </c>
      <c r="C79" s="132" t="str">
        <f>IFERROR(__xludf.DUMMYFUNCTION("""COMPUTED_VALUE"""),"食物")</f>
        <v>食物</v>
      </c>
      <c r="D79" s="132">
        <f>IFERROR(__xludf.DUMMYFUNCTION("""COMPUTED_VALUE"""),26.240000000000002)</f>
        <v>26.24</v>
      </c>
      <c r="E79" s="132" t="str">
        <f>IFERROR(__xludf.DUMMYFUNCTION("""COMPUTED_VALUE"""),"Pigskin")</f>
        <v>Pigskin</v>
      </c>
      <c r="F79" s="132">
        <f>IFERROR(__xludf.DUMMYFUNCTION("""COMPUTED_VALUE"""),5.248)</f>
        <v>5.248</v>
      </c>
      <c r="G79" s="132">
        <f>IFERROR(__xludf.DUMMYFUNCTION("""COMPUTED_VALUE"""),5.248)</f>
        <v>5.248</v>
      </c>
      <c r="H79" s="132">
        <f>IFERROR(__xludf.DUMMYFUNCTION("""COMPUTED_VALUE"""),1.0)</f>
        <v>1</v>
      </c>
      <c r="I79" s="132">
        <f>IFERROR(__xludf.DUMMYFUNCTION("""COMPUTED_VALUE"""),1.0)</f>
        <v>1</v>
      </c>
      <c r="J79" s="132">
        <f>IFERROR(__xludf.DUMMYFUNCTION("""COMPUTED_VALUE"""),1.0)</f>
        <v>1</v>
      </c>
      <c r="K79" s="132">
        <f>IFERROR(__xludf.DUMMYFUNCTION("""COMPUTED_VALUE"""),1.0)</f>
        <v>1</v>
      </c>
      <c r="L79" s="132"/>
      <c r="M79" s="132"/>
      <c r="N79" s="132">
        <f>IFERROR(__xludf.DUMMYFUNCTION("""COMPUTED_VALUE"""),1.0)</f>
        <v>1</v>
      </c>
      <c r="O79" s="132"/>
      <c r="P79" s="132"/>
      <c r="Q79" s="132"/>
      <c r="R79" s="132" t="str">
        <f>IFERROR(__xludf.DUMMYFUNCTION("""COMPUTED_VALUE"""),"Water")</f>
        <v>Water</v>
      </c>
      <c r="S79" s="132">
        <f>IFERROR(__xludf.DUMMYFUNCTION("""COMPUTED_VALUE"""),428.7)</f>
        <v>428.7</v>
      </c>
      <c r="T79" s="132">
        <f>IFERROR(__xludf.DUMMYFUNCTION("""COMPUTED_VALUE"""),85.74)</f>
        <v>85.74</v>
      </c>
      <c r="U79" s="132" t="str">
        <f>IFERROR(__xludf.DUMMYFUNCTION("""COMPUTED_VALUE"""),"Paid")</f>
        <v>Paid</v>
      </c>
      <c r="V79" s="132" t="str">
        <f>IFERROR(__xludf.DUMMYFUNCTION("""COMPUTED_VALUE"""),"Paid")</f>
        <v>Paid</v>
      </c>
      <c r="W79" s="132" t="str">
        <f>IFERROR(__xludf.DUMMYFUNCTION("""COMPUTED_VALUE"""),"Paid")</f>
        <v>Paid</v>
      </c>
      <c r="X79" s="132" t="str">
        <f>IFERROR(__xludf.DUMMYFUNCTION("""COMPUTED_VALUE"""),"Paid")</f>
        <v>Paid</v>
      </c>
      <c r="Y79" s="132" t="str">
        <f>IFERROR(__xludf.DUMMYFUNCTION("""COMPUTED_VALUE"""),"Paid")</f>
        <v>Paid</v>
      </c>
      <c r="Z79" s="132"/>
    </row>
    <row r="80">
      <c r="A80" s="133">
        <f>IFERROR(__xludf.DUMMYFUNCTION("""COMPUTED_VALUE"""),45276.0)</f>
        <v>45276</v>
      </c>
      <c r="B80" s="132" t="str">
        <f>IFERROR(__xludf.DUMMYFUNCTION("""COMPUTED_VALUE"""),"Veg")</f>
        <v>Veg</v>
      </c>
      <c r="C80" s="132" t="str">
        <f>IFERROR(__xludf.DUMMYFUNCTION("""COMPUTED_VALUE"""),"食物")</f>
        <v>食物</v>
      </c>
      <c r="D80" s="132">
        <f>IFERROR(__xludf.DUMMYFUNCTION("""COMPUTED_VALUE"""),1.62)</f>
        <v>1.62</v>
      </c>
      <c r="E80" s="132" t="str">
        <f>IFERROR(__xludf.DUMMYFUNCTION("""COMPUTED_VALUE"""),"Pigskin")</f>
        <v>Pigskin</v>
      </c>
      <c r="F80" s="132">
        <f>IFERROR(__xludf.DUMMYFUNCTION("""COMPUTED_VALUE"""),0.324)</f>
        <v>0.324</v>
      </c>
      <c r="G80" s="132">
        <f>IFERROR(__xludf.DUMMYFUNCTION("""COMPUTED_VALUE"""),0.324)</f>
        <v>0.324</v>
      </c>
      <c r="H80" s="132">
        <f>IFERROR(__xludf.DUMMYFUNCTION("""COMPUTED_VALUE"""),1.0)</f>
        <v>1</v>
      </c>
      <c r="I80" s="132">
        <f>IFERROR(__xludf.DUMMYFUNCTION("""COMPUTED_VALUE"""),1.0)</f>
        <v>1</v>
      </c>
      <c r="J80" s="132">
        <f>IFERROR(__xludf.DUMMYFUNCTION("""COMPUTED_VALUE"""),1.0)</f>
        <v>1</v>
      </c>
      <c r="K80" s="132">
        <f>IFERROR(__xludf.DUMMYFUNCTION("""COMPUTED_VALUE"""),1.0)</f>
        <v>1</v>
      </c>
      <c r="L80" s="132"/>
      <c r="M80" s="132"/>
      <c r="N80" s="132">
        <f>IFERROR(__xludf.DUMMYFUNCTION("""COMPUTED_VALUE"""),1.0)</f>
        <v>1</v>
      </c>
      <c r="O80" s="132"/>
      <c r="P80" s="132"/>
      <c r="Q80" s="132"/>
      <c r="R80" s="132" t="str">
        <f>IFERROR(__xludf.DUMMYFUNCTION("""COMPUTED_VALUE"""),"Heat")</f>
        <v>Heat</v>
      </c>
      <c r="S80" s="132">
        <f>IFERROR(__xludf.DUMMYFUNCTION("""COMPUTED_VALUE"""),109.38)</f>
        <v>109.38</v>
      </c>
      <c r="T80" s="132">
        <f>IFERROR(__xludf.DUMMYFUNCTION("""COMPUTED_VALUE"""),21.875999999999998)</f>
        <v>21.876</v>
      </c>
      <c r="U80" s="132" t="str">
        <f>IFERROR(__xludf.DUMMYFUNCTION("""COMPUTED_VALUE"""),"Paid")</f>
        <v>Paid</v>
      </c>
      <c r="V80" s="132" t="str">
        <f>IFERROR(__xludf.DUMMYFUNCTION("""COMPUTED_VALUE"""),"Paid")</f>
        <v>Paid</v>
      </c>
      <c r="W80" s="132" t="str">
        <f>IFERROR(__xludf.DUMMYFUNCTION("""COMPUTED_VALUE"""),"Paid")</f>
        <v>Paid</v>
      </c>
      <c r="X80" s="132" t="str">
        <f>IFERROR(__xludf.DUMMYFUNCTION("""COMPUTED_VALUE"""),"Paid")</f>
        <v>Paid</v>
      </c>
      <c r="Y80" s="132" t="str">
        <f>IFERROR(__xludf.DUMMYFUNCTION("""COMPUTED_VALUE"""),"Paid")</f>
        <v>Paid</v>
      </c>
      <c r="Z80" s="132"/>
    </row>
    <row r="81">
      <c r="A81" s="136">
        <f>IFERROR(__xludf.DUMMYFUNCTION("""COMPUTED_VALUE"""),45276.0)</f>
        <v>45276</v>
      </c>
      <c r="B81" s="132" t="str">
        <f>IFERROR(__xludf.DUMMYFUNCTION("""COMPUTED_VALUE"""),"Banana, Honey")</f>
        <v>Banana, Honey</v>
      </c>
      <c r="C81" s="132" t="str">
        <f>IFERROR(__xludf.DUMMYFUNCTION("""COMPUTED_VALUE"""),"食物")</f>
        <v>食物</v>
      </c>
      <c r="D81" s="132">
        <f>IFERROR(__xludf.DUMMYFUNCTION("""COMPUTED_VALUE"""),16.56)</f>
        <v>16.56</v>
      </c>
      <c r="E81" s="132" t="str">
        <f>IFERROR(__xludf.DUMMYFUNCTION("""COMPUTED_VALUE"""),"Pigskin")</f>
        <v>Pigskin</v>
      </c>
      <c r="F81" s="132">
        <f>IFERROR(__xludf.DUMMYFUNCTION("""COMPUTED_VALUE"""),3.312)</f>
        <v>3.312</v>
      </c>
      <c r="G81" s="132">
        <f>IFERROR(__xludf.DUMMYFUNCTION("""COMPUTED_VALUE"""),3.312)</f>
        <v>3.312</v>
      </c>
      <c r="H81" s="132">
        <f>IFERROR(__xludf.DUMMYFUNCTION("""COMPUTED_VALUE"""),1.0)</f>
        <v>1</v>
      </c>
      <c r="I81" s="132">
        <f>IFERROR(__xludf.DUMMYFUNCTION("""COMPUTED_VALUE"""),1.0)</f>
        <v>1</v>
      </c>
      <c r="J81" s="132">
        <f>IFERROR(__xludf.DUMMYFUNCTION("""COMPUTED_VALUE"""),1.0)</f>
        <v>1</v>
      </c>
      <c r="K81" s="132">
        <f>IFERROR(__xludf.DUMMYFUNCTION("""COMPUTED_VALUE"""),1.0)</f>
        <v>1</v>
      </c>
      <c r="L81" s="132"/>
      <c r="M81" s="132"/>
      <c r="N81" s="132">
        <f>IFERROR(__xludf.DUMMYFUNCTION("""COMPUTED_VALUE"""),1.0)</f>
        <v>1</v>
      </c>
      <c r="O81" s="132"/>
      <c r="P81" s="132"/>
      <c r="Q81" s="132"/>
      <c r="R81" s="132" t="str">
        <f>IFERROR(__xludf.DUMMYFUNCTION("""COMPUTED_VALUE"""),"Electricity")</f>
        <v>Electricity</v>
      </c>
      <c r="S81" s="132">
        <f>IFERROR(__xludf.DUMMYFUNCTION("""COMPUTED_VALUE"""),97.82)</f>
        <v>97.82</v>
      </c>
      <c r="T81" s="132">
        <f>IFERROR(__xludf.DUMMYFUNCTION("""COMPUTED_VALUE"""),19.564)</f>
        <v>19.564</v>
      </c>
      <c r="U81" s="132" t="str">
        <f>IFERROR(__xludf.DUMMYFUNCTION("""COMPUTED_VALUE"""),"Paid")</f>
        <v>Paid</v>
      </c>
      <c r="V81" s="132" t="str">
        <f>IFERROR(__xludf.DUMMYFUNCTION("""COMPUTED_VALUE"""),"Paid")</f>
        <v>Paid</v>
      </c>
      <c r="W81" s="132" t="str">
        <f>IFERROR(__xludf.DUMMYFUNCTION("""COMPUTED_VALUE"""),"Paid")</f>
        <v>Paid</v>
      </c>
      <c r="X81" s="132" t="str">
        <f>IFERROR(__xludf.DUMMYFUNCTION("""COMPUTED_VALUE"""),"Paid")</f>
        <v>Paid</v>
      </c>
      <c r="Y81" s="132" t="str">
        <f>IFERROR(__xludf.DUMMYFUNCTION("""COMPUTED_VALUE"""),"Paid")</f>
        <v>Paid</v>
      </c>
      <c r="Z81" s="132"/>
    </row>
    <row r="82">
      <c r="A82" s="136">
        <f>IFERROR(__xludf.DUMMYFUNCTION("""COMPUTED_VALUE"""),45280.0)</f>
        <v>45280</v>
      </c>
      <c r="B82" s="132" t="str">
        <f>IFERROR(__xludf.DUMMYFUNCTION("""COMPUTED_VALUE"""),"眼睫毛膏")</f>
        <v>眼睫毛膏</v>
      </c>
      <c r="C82" s="132" t="str">
        <f>IFERROR(__xludf.DUMMYFUNCTION("""COMPUTED_VALUE"""),"其他")</f>
        <v>其他</v>
      </c>
      <c r="D82" s="132">
        <f>IFERROR(__xludf.DUMMYFUNCTION("""COMPUTED_VALUE"""),37.36)</f>
        <v>37.36</v>
      </c>
      <c r="E82" s="132" t="str">
        <f>IFERROR(__xludf.DUMMYFUNCTION("""COMPUTED_VALUE"""),"Esther")</f>
        <v>Esther</v>
      </c>
      <c r="F82" s="132">
        <f>IFERROR(__xludf.DUMMYFUNCTION("""COMPUTED_VALUE"""),18.68)</f>
        <v>18.68</v>
      </c>
      <c r="G82" s="132">
        <f>IFERROR(__xludf.DUMMYFUNCTION("""COMPUTED_VALUE"""),18.68)</f>
        <v>18.68</v>
      </c>
      <c r="H82" s="132"/>
      <c r="I82" s="132"/>
      <c r="J82" s="132"/>
      <c r="K82" s="132">
        <f>IFERROR(__xludf.DUMMYFUNCTION("""COMPUTED_VALUE"""),1.0)</f>
        <v>1</v>
      </c>
      <c r="L82" s="132"/>
      <c r="M82" s="132"/>
      <c r="N82" s="132">
        <f>IFERROR(__xludf.DUMMYFUNCTION("""COMPUTED_VALUE"""),1.0)</f>
        <v>1</v>
      </c>
      <c r="O82" s="132"/>
      <c r="P82" s="132"/>
      <c r="Q82" s="132"/>
      <c r="R82" s="132" t="str">
        <f>IFERROR(__xludf.DUMMYFUNCTION("""COMPUTED_VALUE"""),"Internet")</f>
        <v>Internet</v>
      </c>
      <c r="S82" s="132">
        <f>IFERROR(__xludf.DUMMYFUNCTION("""COMPUTED_VALUE"""),56.5)</f>
        <v>56.5</v>
      </c>
      <c r="T82" s="132">
        <f>IFERROR(__xludf.DUMMYFUNCTION("""COMPUTED_VALUE"""),11.3)</f>
        <v>11.3</v>
      </c>
      <c r="U82" s="132" t="str">
        <f>IFERROR(__xludf.DUMMYFUNCTION("""COMPUTED_VALUE"""),"Paid")</f>
        <v>Paid</v>
      </c>
      <c r="V82" s="132" t="str">
        <f>IFERROR(__xludf.DUMMYFUNCTION("""COMPUTED_VALUE"""),"Paid")</f>
        <v>Paid</v>
      </c>
      <c r="W82" s="132" t="str">
        <f>IFERROR(__xludf.DUMMYFUNCTION("""COMPUTED_VALUE"""),"Paid")</f>
        <v>Paid</v>
      </c>
      <c r="X82" s="132" t="str">
        <f>IFERROR(__xludf.DUMMYFUNCTION("""COMPUTED_VALUE"""),"Paid")</f>
        <v>Paid</v>
      </c>
      <c r="Y82" s="132" t="str">
        <f>IFERROR(__xludf.DUMMYFUNCTION("""COMPUTED_VALUE"""),"Paid")</f>
        <v>Paid</v>
      </c>
      <c r="Z82" s="132"/>
    </row>
    <row r="83">
      <c r="A83" s="136">
        <f>IFERROR(__xludf.DUMMYFUNCTION("""COMPUTED_VALUE"""),45275.0)</f>
        <v>45275</v>
      </c>
      <c r="B83" s="132" t="str">
        <f>IFERROR(__xludf.DUMMYFUNCTION("""COMPUTED_VALUE"""),"米線Dinner")</f>
        <v>米線Dinner</v>
      </c>
      <c r="C83" s="132" t="str">
        <f>IFERROR(__xludf.DUMMYFUNCTION("""COMPUTED_VALUE"""),"食物")</f>
        <v>食物</v>
      </c>
      <c r="D83" s="132">
        <f>IFERROR(__xludf.DUMMYFUNCTION("""COMPUTED_VALUE"""),85.61)</f>
        <v>85.61</v>
      </c>
      <c r="E83" s="132" t="str">
        <f>IFERROR(__xludf.DUMMYFUNCTION("""COMPUTED_VALUE"""),"Esther")</f>
        <v>Esther</v>
      </c>
      <c r="F83" s="132">
        <f>IFERROR(__xludf.DUMMYFUNCTION("""COMPUTED_VALUE"""),12.23)</f>
        <v>12.23</v>
      </c>
      <c r="G83" s="132">
        <f>IFERROR(__xludf.DUMMYFUNCTION("""COMPUTED_VALUE"""),12.23)</f>
        <v>12.23</v>
      </c>
      <c r="H83" s="132">
        <f>IFERROR(__xludf.DUMMYFUNCTION("""COMPUTED_VALUE"""),1.0)</f>
        <v>1</v>
      </c>
      <c r="I83" s="132">
        <f>IFERROR(__xludf.DUMMYFUNCTION("""COMPUTED_VALUE"""),1.0)</f>
        <v>1</v>
      </c>
      <c r="J83" s="132">
        <f>IFERROR(__xludf.DUMMYFUNCTION("""COMPUTED_VALUE"""),1.0)</f>
        <v>1</v>
      </c>
      <c r="K83" s="132">
        <f>IFERROR(__xludf.DUMMYFUNCTION("""COMPUTED_VALUE"""),1.0)</f>
        <v>1</v>
      </c>
      <c r="L83" s="132">
        <f>IFERROR(__xludf.DUMMYFUNCTION("""COMPUTED_VALUE"""),1.0)</f>
        <v>1</v>
      </c>
      <c r="M83" s="132">
        <f>IFERROR(__xludf.DUMMYFUNCTION("""COMPUTED_VALUE"""),1.0)</f>
        <v>1</v>
      </c>
      <c r="N83" s="132">
        <f>IFERROR(__xludf.DUMMYFUNCTION("""COMPUTED_VALUE"""),1.0)</f>
        <v>1</v>
      </c>
      <c r="O83" s="132"/>
      <c r="P83" s="132"/>
      <c r="Q83" s="132"/>
      <c r="R83" s="132"/>
      <c r="S83" s="132">
        <f>IFERROR(__xludf.DUMMYFUNCTION("""COMPUTED_VALUE"""),692.3999999999999)</f>
        <v>692.4</v>
      </c>
      <c r="T83" s="132">
        <f>IFERROR(__xludf.DUMMYFUNCTION("""COMPUTED_VALUE"""),138.48)</f>
        <v>138.48</v>
      </c>
      <c r="U83" s="132"/>
      <c r="V83" s="132"/>
      <c r="W83" s="132"/>
      <c r="X83" s="132"/>
      <c r="Y83" s="132"/>
      <c r="Z83" s="132"/>
    </row>
    <row r="84">
      <c r="A84" s="136">
        <f>IFERROR(__xludf.DUMMYFUNCTION("""COMPUTED_VALUE"""),45279.0)</f>
        <v>45279</v>
      </c>
      <c r="B84" s="132" t="str">
        <f>IFERROR(__xludf.DUMMYFUNCTION("""COMPUTED_VALUE"""),"Dinner")</f>
        <v>Dinner</v>
      </c>
      <c r="C84" s="132" t="str">
        <f>IFERROR(__xludf.DUMMYFUNCTION("""COMPUTED_VALUE"""),"食物")</f>
        <v>食物</v>
      </c>
      <c r="D84" s="132">
        <f>IFERROR(__xludf.DUMMYFUNCTION("""COMPUTED_VALUE"""),41.2)</f>
        <v>41.2</v>
      </c>
      <c r="E84" s="132" t="str">
        <f>IFERROR(__xludf.DUMMYFUNCTION("""COMPUTED_VALUE"""),"Pigskin")</f>
        <v>Pigskin</v>
      </c>
      <c r="F84" s="132">
        <f>IFERROR(__xludf.DUMMYFUNCTION("""COMPUTED_VALUE"""),8.24)</f>
        <v>8.24</v>
      </c>
      <c r="G84" s="132">
        <f>IFERROR(__xludf.DUMMYFUNCTION("""COMPUTED_VALUE"""),8.24)</f>
        <v>8.24</v>
      </c>
      <c r="H84" s="132">
        <f>IFERROR(__xludf.DUMMYFUNCTION("""COMPUTED_VALUE"""),1.0)</f>
        <v>1</v>
      </c>
      <c r="I84" s="132">
        <f>IFERROR(__xludf.DUMMYFUNCTION("""COMPUTED_VALUE"""),1.0)</f>
        <v>1</v>
      </c>
      <c r="J84" s="132">
        <f>IFERROR(__xludf.DUMMYFUNCTION("""COMPUTED_VALUE"""),1.0)</f>
        <v>1</v>
      </c>
      <c r="K84" s="132">
        <f>IFERROR(__xludf.DUMMYFUNCTION("""COMPUTED_VALUE"""),1.0)</f>
        <v>1</v>
      </c>
      <c r="L84" s="132"/>
      <c r="M84" s="132"/>
      <c r="N84" s="132">
        <f>IFERROR(__xludf.DUMMYFUNCTION("""COMPUTED_VALUE"""),1.0)</f>
        <v>1</v>
      </c>
      <c r="O84" s="132"/>
      <c r="P84" s="132"/>
      <c r="Q84" s="134">
        <f>IFERROR(__xludf.DUMMYFUNCTION("""COMPUTED_VALUE"""),45444.0)</f>
        <v>45444</v>
      </c>
      <c r="R84" s="132"/>
      <c r="S84" s="132"/>
      <c r="T84" s="132"/>
      <c r="U84" s="132"/>
      <c r="V84" s="132"/>
      <c r="W84" s="132"/>
      <c r="X84" s="132"/>
      <c r="Y84" s="132"/>
      <c r="Z84" s="132"/>
    </row>
    <row r="85">
      <c r="A85" s="133">
        <f>IFERROR(__xludf.DUMMYFUNCTION("""COMPUTED_VALUE"""),45280.0)</f>
        <v>45280</v>
      </c>
      <c r="B85" s="132" t="str">
        <f>IFERROR(__xludf.DUMMYFUNCTION("""COMPUTED_VALUE"""),"Jianbing")</f>
        <v>Jianbing</v>
      </c>
      <c r="C85" s="132" t="str">
        <f>IFERROR(__xludf.DUMMYFUNCTION("""COMPUTED_VALUE"""),"食物")</f>
        <v>食物</v>
      </c>
      <c r="D85" s="132">
        <f>IFERROR(__xludf.DUMMYFUNCTION("""COMPUTED_VALUE"""),15.81)</f>
        <v>15.81</v>
      </c>
      <c r="E85" s="132" t="str">
        <f>IFERROR(__xludf.DUMMYFUNCTION("""COMPUTED_VALUE"""),"Pigskin")</f>
        <v>Pigskin</v>
      </c>
      <c r="F85" s="132">
        <f>IFERROR(__xludf.DUMMYFUNCTION("""COMPUTED_VALUE"""),7.905)</f>
        <v>7.905</v>
      </c>
      <c r="G85" s="132">
        <f>IFERROR(__xludf.DUMMYFUNCTION("""COMPUTED_VALUE"""),7.905)</f>
        <v>7.905</v>
      </c>
      <c r="H85" s="132"/>
      <c r="I85" s="132"/>
      <c r="J85" s="132"/>
      <c r="K85" s="132">
        <f>IFERROR(__xludf.DUMMYFUNCTION("""COMPUTED_VALUE"""),1.0)</f>
        <v>1</v>
      </c>
      <c r="L85" s="132"/>
      <c r="M85" s="132"/>
      <c r="N85" s="132">
        <f>IFERROR(__xludf.DUMMYFUNCTION("""COMPUTED_VALUE"""),1.0)</f>
        <v>1</v>
      </c>
      <c r="O85" s="132"/>
      <c r="P85" s="132"/>
      <c r="Q85" s="132"/>
      <c r="R85" s="132" t="str">
        <f>IFERROR(__xludf.DUMMYFUNCTION("""COMPUTED_VALUE"""),"Water")</f>
        <v>Water</v>
      </c>
      <c r="S85" s="132"/>
      <c r="T85" s="132">
        <f>IFERROR(__xludf.DUMMYFUNCTION("""COMPUTED_VALUE"""),0.0)</f>
        <v>0</v>
      </c>
      <c r="U85" s="132"/>
      <c r="V85" s="132"/>
      <c r="W85" s="132"/>
      <c r="X85" s="132"/>
      <c r="Y85" s="132"/>
      <c r="Z85" s="132"/>
    </row>
    <row r="86">
      <c r="A86" s="133">
        <f>IFERROR(__xludf.DUMMYFUNCTION("""COMPUTED_VALUE"""),45280.0)</f>
        <v>45280</v>
      </c>
      <c r="B86" s="132" t="str">
        <f>IFERROR(__xludf.DUMMYFUNCTION("""COMPUTED_VALUE"""),"做冬Dinner")</f>
        <v>做冬Dinner</v>
      </c>
      <c r="C86" s="132" t="str">
        <f>IFERROR(__xludf.DUMMYFUNCTION("""COMPUTED_VALUE"""),"食物")</f>
        <v>食物</v>
      </c>
      <c r="D86" s="132">
        <f>IFERROR(__xludf.DUMMYFUNCTION("""COMPUTED_VALUE"""),15.170000000000002)</f>
        <v>15.17</v>
      </c>
      <c r="E86" s="132" t="str">
        <f>IFERROR(__xludf.DUMMYFUNCTION("""COMPUTED_VALUE"""),"Pigskin")</f>
        <v>Pigskin</v>
      </c>
      <c r="F86" s="132">
        <f>IFERROR(__xludf.DUMMYFUNCTION("""COMPUTED_VALUE"""),1.3790909090909091)</f>
        <v>1.379090909</v>
      </c>
      <c r="G86" s="132">
        <f>IFERROR(__xludf.DUMMYFUNCTION("""COMPUTED_VALUE"""),1.3790909090909091)</f>
        <v>1.379090909</v>
      </c>
      <c r="H86" s="132">
        <f>IFERROR(__xludf.DUMMYFUNCTION("""COMPUTED_VALUE"""),1.0)</f>
        <v>1</v>
      </c>
      <c r="I86" s="132">
        <f>IFERROR(__xludf.DUMMYFUNCTION("""COMPUTED_VALUE"""),1.0)</f>
        <v>1</v>
      </c>
      <c r="J86" s="132">
        <f>IFERROR(__xludf.DUMMYFUNCTION("""COMPUTED_VALUE"""),1.0)</f>
        <v>1</v>
      </c>
      <c r="K86" s="132">
        <f>IFERROR(__xludf.DUMMYFUNCTION("""COMPUTED_VALUE"""),1.0)</f>
        <v>1</v>
      </c>
      <c r="L86" s="132">
        <f>IFERROR(__xludf.DUMMYFUNCTION("""COMPUTED_VALUE"""),1.0)</f>
        <v>1</v>
      </c>
      <c r="M86" s="132">
        <f>IFERROR(__xludf.DUMMYFUNCTION("""COMPUTED_VALUE"""),1.0)</f>
        <v>1</v>
      </c>
      <c r="N86" s="132">
        <f>IFERROR(__xludf.DUMMYFUNCTION("""COMPUTED_VALUE"""),1.0)</f>
        <v>1</v>
      </c>
      <c r="O86" s="132"/>
      <c r="P86" s="132"/>
      <c r="Q86" s="132"/>
      <c r="R86" s="132" t="str">
        <f>IFERROR(__xludf.DUMMYFUNCTION("""COMPUTED_VALUE"""),"Heat")</f>
        <v>Heat</v>
      </c>
      <c r="S86" s="132">
        <f>IFERROR(__xludf.DUMMYFUNCTION("""COMPUTED_VALUE"""),91.03)</f>
        <v>91.03</v>
      </c>
      <c r="T86" s="132">
        <f>IFERROR(__xludf.DUMMYFUNCTION("""COMPUTED_VALUE"""),18.206)</f>
        <v>18.206</v>
      </c>
      <c r="U86" s="132" t="str">
        <f>IFERROR(__xludf.DUMMYFUNCTION("""COMPUTED_VALUE"""),"Paid")</f>
        <v>Paid</v>
      </c>
      <c r="V86" s="132" t="str">
        <f>IFERROR(__xludf.DUMMYFUNCTION("""COMPUTED_VALUE"""),"Paid")</f>
        <v>Paid</v>
      </c>
      <c r="W86" s="132" t="str">
        <f>IFERROR(__xludf.DUMMYFUNCTION("""COMPUTED_VALUE"""),"Paid")</f>
        <v>Paid</v>
      </c>
      <c r="X86" s="132" t="str">
        <f>IFERROR(__xludf.DUMMYFUNCTION("""COMPUTED_VALUE"""),"Paid")</f>
        <v>Paid</v>
      </c>
      <c r="Y86" s="132" t="str">
        <f>IFERROR(__xludf.DUMMYFUNCTION("""COMPUTED_VALUE"""),"Paid")</f>
        <v>Paid</v>
      </c>
      <c r="Z86" s="132"/>
    </row>
    <row r="87">
      <c r="A87" s="133">
        <f>IFERROR(__xludf.DUMMYFUNCTION("""COMPUTED_VALUE"""),45280.0)</f>
        <v>45280</v>
      </c>
      <c r="B87" s="132" t="str">
        <f>IFERROR(__xludf.DUMMYFUNCTION("""COMPUTED_VALUE"""),"Grapes")</f>
        <v>Grapes</v>
      </c>
      <c r="C87" s="132" t="str">
        <f>IFERROR(__xludf.DUMMYFUNCTION("""COMPUTED_VALUE"""),"食物")</f>
        <v>食物</v>
      </c>
      <c r="D87" s="132">
        <f>IFERROR(__xludf.DUMMYFUNCTION("""COMPUTED_VALUE"""),7.91)</f>
        <v>7.91</v>
      </c>
      <c r="E87" s="132" t="str">
        <f>IFERROR(__xludf.DUMMYFUNCTION("""COMPUTED_VALUE"""),"Pigskin")</f>
        <v>Pigskin</v>
      </c>
      <c r="F87" s="132">
        <f>IFERROR(__xludf.DUMMYFUNCTION("""COMPUTED_VALUE"""),1.582)</f>
        <v>1.582</v>
      </c>
      <c r="G87" s="132">
        <f>IFERROR(__xludf.DUMMYFUNCTION("""COMPUTED_VALUE"""),1.582)</f>
        <v>1.582</v>
      </c>
      <c r="H87" s="132">
        <f>IFERROR(__xludf.DUMMYFUNCTION("""COMPUTED_VALUE"""),1.0)</f>
        <v>1</v>
      </c>
      <c r="I87" s="132">
        <f>IFERROR(__xludf.DUMMYFUNCTION("""COMPUTED_VALUE"""),1.0)</f>
        <v>1</v>
      </c>
      <c r="J87" s="132">
        <f>IFERROR(__xludf.DUMMYFUNCTION("""COMPUTED_VALUE"""),1.0)</f>
        <v>1</v>
      </c>
      <c r="K87" s="132">
        <f>IFERROR(__xludf.DUMMYFUNCTION("""COMPUTED_VALUE"""),1.0)</f>
        <v>1</v>
      </c>
      <c r="L87" s="132"/>
      <c r="M87" s="132"/>
      <c r="N87" s="132">
        <f>IFERROR(__xludf.DUMMYFUNCTION("""COMPUTED_VALUE"""),1.0)</f>
        <v>1</v>
      </c>
      <c r="O87" s="132"/>
      <c r="P87" s="132"/>
      <c r="Q87" s="132"/>
      <c r="R87" s="132" t="str">
        <f>IFERROR(__xludf.DUMMYFUNCTION("""COMPUTED_VALUE"""),"Electricity")</f>
        <v>Electricity</v>
      </c>
      <c r="S87" s="132">
        <f>IFERROR(__xludf.DUMMYFUNCTION("""COMPUTED_VALUE"""),122.11)</f>
        <v>122.11</v>
      </c>
      <c r="T87" s="132">
        <f>IFERROR(__xludf.DUMMYFUNCTION("""COMPUTED_VALUE"""),24.422)</f>
        <v>24.422</v>
      </c>
      <c r="U87" s="132" t="str">
        <f>IFERROR(__xludf.DUMMYFUNCTION("""COMPUTED_VALUE"""),"Paid")</f>
        <v>Paid</v>
      </c>
      <c r="V87" s="132" t="str">
        <f>IFERROR(__xludf.DUMMYFUNCTION("""COMPUTED_VALUE"""),"Paid")</f>
        <v>Paid</v>
      </c>
      <c r="W87" s="132" t="str">
        <f>IFERROR(__xludf.DUMMYFUNCTION("""COMPUTED_VALUE"""),"Paid")</f>
        <v>Paid</v>
      </c>
      <c r="X87" s="132" t="str">
        <f>IFERROR(__xludf.DUMMYFUNCTION("""COMPUTED_VALUE"""),"Paid")</f>
        <v>Paid</v>
      </c>
      <c r="Y87" s="132" t="str">
        <f>IFERROR(__xludf.DUMMYFUNCTION("""COMPUTED_VALUE"""),"Paid")</f>
        <v>Paid</v>
      </c>
      <c r="Z87" s="132"/>
    </row>
    <row r="88">
      <c r="A88" s="133">
        <f>IFERROR(__xludf.DUMMYFUNCTION("""COMPUTED_VALUE"""),45280.0)</f>
        <v>45280</v>
      </c>
      <c r="B88" s="132" t="str">
        <f>IFERROR(__xludf.DUMMYFUNCTION("""COMPUTED_VALUE"""),"做冬Dinner")</f>
        <v>做冬Dinner</v>
      </c>
      <c r="C88" s="132" t="str">
        <f>IFERROR(__xludf.DUMMYFUNCTION("""COMPUTED_VALUE"""),"食物")</f>
        <v>食物</v>
      </c>
      <c r="D88" s="132">
        <f>IFERROR(__xludf.DUMMYFUNCTION("""COMPUTED_VALUE"""),40.5)</f>
        <v>40.5</v>
      </c>
      <c r="E88" s="132" t="str">
        <f>IFERROR(__xludf.DUMMYFUNCTION("""COMPUTED_VALUE"""),"Pigskin")</f>
        <v>Pigskin</v>
      </c>
      <c r="F88" s="132">
        <f>IFERROR(__xludf.DUMMYFUNCTION("""COMPUTED_VALUE"""),3.6818181818181817)</f>
        <v>3.681818182</v>
      </c>
      <c r="G88" s="132">
        <f>IFERROR(__xludf.DUMMYFUNCTION("""COMPUTED_VALUE"""),3.6818181818181817)</f>
        <v>3.681818182</v>
      </c>
      <c r="H88" s="132">
        <f>IFERROR(__xludf.DUMMYFUNCTION("""COMPUTED_VALUE"""),1.0)</f>
        <v>1</v>
      </c>
      <c r="I88" s="132">
        <f>IFERROR(__xludf.DUMMYFUNCTION("""COMPUTED_VALUE"""),1.0)</f>
        <v>1</v>
      </c>
      <c r="J88" s="132">
        <f>IFERROR(__xludf.DUMMYFUNCTION("""COMPUTED_VALUE"""),1.0)</f>
        <v>1</v>
      </c>
      <c r="K88" s="132">
        <f>IFERROR(__xludf.DUMMYFUNCTION("""COMPUTED_VALUE"""),1.0)</f>
        <v>1</v>
      </c>
      <c r="L88" s="132">
        <f>IFERROR(__xludf.DUMMYFUNCTION("""COMPUTED_VALUE"""),1.0)</f>
        <v>1</v>
      </c>
      <c r="M88" s="132">
        <f>IFERROR(__xludf.DUMMYFUNCTION("""COMPUTED_VALUE"""),1.0)</f>
        <v>1</v>
      </c>
      <c r="N88" s="132">
        <f>IFERROR(__xludf.DUMMYFUNCTION("""COMPUTED_VALUE"""),1.0)</f>
        <v>1</v>
      </c>
      <c r="O88" s="132"/>
      <c r="P88" s="132"/>
      <c r="Q88" s="132"/>
      <c r="R88" s="132" t="str">
        <f>IFERROR(__xludf.DUMMYFUNCTION("""COMPUTED_VALUE"""),"Internet")</f>
        <v>Internet</v>
      </c>
      <c r="S88" s="132">
        <f>IFERROR(__xludf.DUMMYFUNCTION("""COMPUTED_VALUE"""),56.5)</f>
        <v>56.5</v>
      </c>
      <c r="T88" s="132">
        <f>IFERROR(__xludf.DUMMYFUNCTION("""COMPUTED_VALUE"""),11.3)</f>
        <v>11.3</v>
      </c>
      <c r="U88" s="132" t="str">
        <f>IFERROR(__xludf.DUMMYFUNCTION("""COMPUTED_VALUE"""),"Paid")</f>
        <v>Paid</v>
      </c>
      <c r="V88" s="132" t="str">
        <f>IFERROR(__xludf.DUMMYFUNCTION("""COMPUTED_VALUE"""),"Paid")</f>
        <v>Paid</v>
      </c>
      <c r="W88" s="132" t="str">
        <f>IFERROR(__xludf.DUMMYFUNCTION("""COMPUTED_VALUE"""),"Paid")</f>
        <v>Paid</v>
      </c>
      <c r="X88" s="132" t="str">
        <f>IFERROR(__xludf.DUMMYFUNCTION("""COMPUTED_VALUE"""),"Paid")</f>
        <v>Paid</v>
      </c>
      <c r="Y88" s="132" t="str">
        <f>IFERROR(__xludf.DUMMYFUNCTION("""COMPUTED_VALUE"""),"Paid")</f>
        <v>Paid</v>
      </c>
      <c r="Z88" s="132"/>
    </row>
    <row r="89">
      <c r="A89" s="133">
        <f>IFERROR(__xludf.DUMMYFUNCTION("""COMPUTED_VALUE"""),45280.0)</f>
        <v>45280</v>
      </c>
      <c r="B89" s="132" t="str">
        <f>IFERROR(__xludf.DUMMYFUNCTION("""COMPUTED_VALUE"""),"Grocery in Bestco")</f>
        <v>Grocery in Bestco</v>
      </c>
      <c r="C89" s="132" t="str">
        <f>IFERROR(__xludf.DUMMYFUNCTION("""COMPUTED_VALUE"""),"食物")</f>
        <v>食物</v>
      </c>
      <c r="D89" s="132">
        <f>IFERROR(__xludf.DUMMYFUNCTION("""COMPUTED_VALUE"""),49.84000000000001)</f>
        <v>49.84</v>
      </c>
      <c r="E89" s="132" t="str">
        <f>IFERROR(__xludf.DUMMYFUNCTION("""COMPUTED_VALUE"""),"Pigskin")</f>
        <v>Pigskin</v>
      </c>
      <c r="F89" s="132">
        <f>IFERROR(__xludf.DUMMYFUNCTION("""COMPUTED_VALUE"""),9.968000000000002)</f>
        <v>9.968</v>
      </c>
      <c r="G89" s="132">
        <f>IFERROR(__xludf.DUMMYFUNCTION("""COMPUTED_VALUE"""),9.968000000000002)</f>
        <v>9.968</v>
      </c>
      <c r="H89" s="132">
        <f>IFERROR(__xludf.DUMMYFUNCTION("""COMPUTED_VALUE"""),1.0)</f>
        <v>1</v>
      </c>
      <c r="I89" s="132">
        <f>IFERROR(__xludf.DUMMYFUNCTION("""COMPUTED_VALUE"""),1.0)</f>
        <v>1</v>
      </c>
      <c r="J89" s="132">
        <f>IFERROR(__xludf.DUMMYFUNCTION("""COMPUTED_VALUE"""),1.0)</f>
        <v>1</v>
      </c>
      <c r="K89" s="132">
        <f>IFERROR(__xludf.DUMMYFUNCTION("""COMPUTED_VALUE"""),1.0)</f>
        <v>1</v>
      </c>
      <c r="L89" s="132"/>
      <c r="M89" s="132"/>
      <c r="N89" s="132">
        <f>IFERROR(__xludf.DUMMYFUNCTION("""COMPUTED_VALUE"""),1.0)</f>
        <v>1</v>
      </c>
      <c r="O89" s="132"/>
      <c r="P89" s="132"/>
      <c r="Q89" s="132"/>
      <c r="R89" s="132"/>
      <c r="S89" s="132">
        <f>IFERROR(__xludf.DUMMYFUNCTION("""COMPUTED_VALUE"""),269.64)</f>
        <v>269.64</v>
      </c>
      <c r="T89" s="132">
        <f>IFERROR(__xludf.DUMMYFUNCTION("""COMPUTED_VALUE"""),53.928)</f>
        <v>53.928</v>
      </c>
      <c r="U89" s="132"/>
      <c r="V89" s="132"/>
      <c r="W89" s="132"/>
      <c r="X89" s="132"/>
      <c r="Y89" s="132"/>
      <c r="Z89" s="132"/>
    </row>
    <row r="90">
      <c r="A90" s="133">
        <f>IFERROR(__xludf.DUMMYFUNCTION("""COMPUTED_VALUE"""),45282.0)</f>
        <v>45282</v>
      </c>
      <c r="B90" s="132" t="str">
        <f>IFERROR(__xludf.DUMMYFUNCTION("""COMPUTED_VALUE"""),"Foody")</f>
        <v>Foody</v>
      </c>
      <c r="C90" s="132" t="str">
        <f>IFERROR(__xludf.DUMMYFUNCTION("""COMPUTED_VALUE"""),"食物")</f>
        <v>食物</v>
      </c>
      <c r="D90" s="132">
        <f>IFERROR(__xludf.DUMMYFUNCTION("""COMPUTED_VALUE"""),20.03)</f>
        <v>20.03</v>
      </c>
      <c r="E90" s="132" t="str">
        <f>IFERROR(__xludf.DUMMYFUNCTION("""COMPUTED_VALUE"""),"Timothy")</f>
        <v>Timothy</v>
      </c>
      <c r="F90" s="132">
        <f>IFERROR(__xludf.DUMMYFUNCTION("""COMPUTED_VALUE"""),4.006)</f>
        <v>4.006</v>
      </c>
      <c r="G90" s="132">
        <f>IFERROR(__xludf.DUMMYFUNCTION("""COMPUTED_VALUE"""),4.006)</f>
        <v>4.006</v>
      </c>
      <c r="H90" s="132">
        <f>IFERROR(__xludf.DUMMYFUNCTION("""COMPUTED_VALUE"""),1.0)</f>
        <v>1</v>
      </c>
      <c r="I90" s="132">
        <f>IFERROR(__xludf.DUMMYFUNCTION("""COMPUTED_VALUE"""),1.0)</f>
        <v>1</v>
      </c>
      <c r="J90" s="132">
        <f>IFERROR(__xludf.DUMMYFUNCTION("""COMPUTED_VALUE"""),1.0)</f>
        <v>1</v>
      </c>
      <c r="K90" s="132">
        <f>IFERROR(__xludf.DUMMYFUNCTION("""COMPUTED_VALUE"""),1.0)</f>
        <v>1</v>
      </c>
      <c r="L90" s="132"/>
      <c r="M90" s="132"/>
      <c r="N90" s="132">
        <f>IFERROR(__xludf.DUMMYFUNCTION("""COMPUTED_VALUE"""),1.0)</f>
        <v>1</v>
      </c>
      <c r="O90" s="132"/>
      <c r="P90" s="132"/>
      <c r="Q90" s="132"/>
      <c r="R90" s="132"/>
      <c r="S90" s="132"/>
      <c r="T90" s="132"/>
      <c r="U90" s="132"/>
      <c r="V90" s="132"/>
      <c r="W90" s="132"/>
      <c r="X90" s="132"/>
      <c r="Y90" s="132"/>
      <c r="Z90" s="132"/>
    </row>
    <row r="91">
      <c r="A91" s="132" t="str">
        <f>IFERROR(__xludf.DUMMYFUNCTION("""COMPUTED_VALUE"""),"21/23")</f>
        <v>21/23</v>
      </c>
      <c r="B91" s="132" t="str">
        <f>IFERROR(__xludf.DUMMYFUNCTION("""COMPUTED_VALUE"""),"做冬Dinner")</f>
        <v>做冬Dinner</v>
      </c>
      <c r="C91" s="132" t="str">
        <f>IFERROR(__xludf.DUMMYFUNCTION("""COMPUTED_VALUE"""),"食物")</f>
        <v>食物</v>
      </c>
      <c r="D91" s="132">
        <f>IFERROR(__xludf.DUMMYFUNCTION("""COMPUTED_VALUE"""),42.57)</f>
        <v>42.57</v>
      </c>
      <c r="E91" s="132" t="str">
        <f>IFERROR(__xludf.DUMMYFUNCTION("""COMPUTED_VALUE"""),"Pigskin")</f>
        <v>Pigskin</v>
      </c>
      <c r="F91" s="132">
        <f>IFERROR(__xludf.DUMMYFUNCTION("""COMPUTED_VALUE"""),3.87)</f>
        <v>3.87</v>
      </c>
      <c r="G91" s="132">
        <f>IFERROR(__xludf.DUMMYFUNCTION("""COMPUTED_VALUE"""),3.87)</f>
        <v>3.87</v>
      </c>
      <c r="H91" s="132">
        <f>IFERROR(__xludf.DUMMYFUNCTION("""COMPUTED_VALUE"""),1.0)</f>
        <v>1</v>
      </c>
      <c r="I91" s="132">
        <f>IFERROR(__xludf.DUMMYFUNCTION("""COMPUTED_VALUE"""),1.0)</f>
        <v>1</v>
      </c>
      <c r="J91" s="132">
        <f>IFERROR(__xludf.DUMMYFUNCTION("""COMPUTED_VALUE"""),1.0)</f>
        <v>1</v>
      </c>
      <c r="K91" s="132">
        <f>IFERROR(__xludf.DUMMYFUNCTION("""COMPUTED_VALUE"""),1.0)</f>
        <v>1</v>
      </c>
      <c r="L91" s="132">
        <f>IFERROR(__xludf.DUMMYFUNCTION("""COMPUTED_VALUE"""),1.0)</f>
        <v>1</v>
      </c>
      <c r="M91" s="132">
        <f>IFERROR(__xludf.DUMMYFUNCTION("""COMPUTED_VALUE"""),1.0)</f>
        <v>1</v>
      </c>
      <c r="N91" s="132">
        <f>IFERROR(__xludf.DUMMYFUNCTION("""COMPUTED_VALUE"""),1.0)</f>
        <v>1</v>
      </c>
      <c r="O91" s="132"/>
      <c r="P91" s="132"/>
      <c r="Q91" s="134">
        <f>IFERROR(__xludf.DUMMYFUNCTION("""COMPUTED_VALUE"""),45474.0)</f>
        <v>45474</v>
      </c>
      <c r="R91" s="132"/>
      <c r="S91" s="132"/>
      <c r="T91" s="132"/>
      <c r="U91" s="132"/>
      <c r="V91" s="132"/>
      <c r="W91" s="132"/>
      <c r="X91" s="132"/>
      <c r="Y91" s="132"/>
      <c r="Z91" s="132"/>
    </row>
    <row r="92">
      <c r="A92" s="136">
        <f>IFERROR(__xludf.DUMMYFUNCTION("""COMPUTED_VALUE"""),45281.0)</f>
        <v>45281</v>
      </c>
      <c r="B92" s="132" t="str">
        <f>IFERROR(__xludf.DUMMYFUNCTION("""COMPUTED_VALUE"""),"做冬Dinner")</f>
        <v>做冬Dinner</v>
      </c>
      <c r="C92" s="132" t="str">
        <f>IFERROR(__xludf.DUMMYFUNCTION("""COMPUTED_VALUE"""),"食物")</f>
        <v>食物</v>
      </c>
      <c r="D92" s="132">
        <f>IFERROR(__xludf.DUMMYFUNCTION("""COMPUTED_VALUE"""),55.800000000000004)</f>
        <v>55.8</v>
      </c>
      <c r="E92" s="132" t="str">
        <f>IFERROR(__xludf.DUMMYFUNCTION("""COMPUTED_VALUE"""),"BL")</f>
        <v>BL</v>
      </c>
      <c r="F92" s="132">
        <f>IFERROR(__xludf.DUMMYFUNCTION("""COMPUTED_VALUE"""),5.072727272727273)</f>
        <v>5.072727273</v>
      </c>
      <c r="G92" s="132">
        <f>IFERROR(__xludf.DUMMYFUNCTION("""COMPUTED_VALUE"""),5.072727272727273)</f>
        <v>5.072727273</v>
      </c>
      <c r="H92" s="132">
        <f>IFERROR(__xludf.DUMMYFUNCTION("""COMPUTED_VALUE"""),1.0)</f>
        <v>1</v>
      </c>
      <c r="I92" s="132">
        <f>IFERROR(__xludf.DUMMYFUNCTION("""COMPUTED_VALUE"""),1.0)</f>
        <v>1</v>
      </c>
      <c r="J92" s="132">
        <f>IFERROR(__xludf.DUMMYFUNCTION("""COMPUTED_VALUE"""),1.0)</f>
        <v>1</v>
      </c>
      <c r="K92" s="132">
        <f>IFERROR(__xludf.DUMMYFUNCTION("""COMPUTED_VALUE"""),1.0)</f>
        <v>1</v>
      </c>
      <c r="L92" s="132">
        <f>IFERROR(__xludf.DUMMYFUNCTION("""COMPUTED_VALUE"""),1.0)</f>
        <v>1</v>
      </c>
      <c r="M92" s="132">
        <f>IFERROR(__xludf.DUMMYFUNCTION("""COMPUTED_VALUE"""),1.0)</f>
        <v>1</v>
      </c>
      <c r="N92" s="132">
        <f>IFERROR(__xludf.DUMMYFUNCTION("""COMPUTED_VALUE"""),1.0)</f>
        <v>1</v>
      </c>
      <c r="O92" s="132"/>
      <c r="P92" s="132"/>
      <c r="Q92" s="132"/>
      <c r="R92" s="132" t="str">
        <f>IFERROR(__xludf.DUMMYFUNCTION("""COMPUTED_VALUE"""),"Water")</f>
        <v>Water</v>
      </c>
      <c r="S92" s="132"/>
      <c r="T92" s="132">
        <f>IFERROR(__xludf.DUMMYFUNCTION("""COMPUTED_VALUE"""),0.0)</f>
        <v>0</v>
      </c>
      <c r="U92" s="132"/>
      <c r="V92" s="132"/>
      <c r="W92" s="132"/>
      <c r="X92" s="132"/>
      <c r="Y92" s="132"/>
      <c r="Z92" s="132"/>
    </row>
    <row r="93">
      <c r="A93" s="136">
        <f>IFERROR(__xludf.DUMMYFUNCTION("""COMPUTED_VALUE"""),45281.0)</f>
        <v>45281</v>
      </c>
      <c r="B93" s="132" t="str">
        <f>IFERROR(__xludf.DUMMYFUNCTION("""COMPUTED_VALUE"""),"Rice")</f>
        <v>Rice</v>
      </c>
      <c r="C93" s="132" t="str">
        <f>IFERROR(__xludf.DUMMYFUNCTION("""COMPUTED_VALUE"""),"食物")</f>
        <v>食物</v>
      </c>
      <c r="D93" s="132">
        <f>IFERROR(__xludf.DUMMYFUNCTION("""COMPUTED_VALUE"""),13.99)</f>
        <v>13.99</v>
      </c>
      <c r="E93" s="132" t="str">
        <f>IFERROR(__xludf.DUMMYFUNCTION("""COMPUTED_VALUE"""),"BL")</f>
        <v>BL</v>
      </c>
      <c r="F93" s="132">
        <f>IFERROR(__xludf.DUMMYFUNCTION("""COMPUTED_VALUE"""),2.798)</f>
        <v>2.798</v>
      </c>
      <c r="G93" s="132">
        <f>IFERROR(__xludf.DUMMYFUNCTION("""COMPUTED_VALUE"""),2.798)</f>
        <v>2.798</v>
      </c>
      <c r="H93" s="132">
        <f>IFERROR(__xludf.DUMMYFUNCTION("""COMPUTED_VALUE"""),1.0)</f>
        <v>1</v>
      </c>
      <c r="I93" s="132">
        <f>IFERROR(__xludf.DUMMYFUNCTION("""COMPUTED_VALUE"""),1.0)</f>
        <v>1</v>
      </c>
      <c r="J93" s="132">
        <f>IFERROR(__xludf.DUMMYFUNCTION("""COMPUTED_VALUE"""),1.0)</f>
        <v>1</v>
      </c>
      <c r="K93" s="132">
        <f>IFERROR(__xludf.DUMMYFUNCTION("""COMPUTED_VALUE"""),1.0)</f>
        <v>1</v>
      </c>
      <c r="L93" s="132"/>
      <c r="M93" s="132"/>
      <c r="N93" s="132">
        <f>IFERROR(__xludf.DUMMYFUNCTION("""COMPUTED_VALUE"""),1.0)</f>
        <v>1</v>
      </c>
      <c r="O93" s="132"/>
      <c r="P93" s="132"/>
      <c r="Q93" s="132"/>
      <c r="R93" s="132" t="str">
        <f>IFERROR(__xludf.DUMMYFUNCTION("""COMPUTED_VALUE"""),"Heat")</f>
        <v>Heat</v>
      </c>
      <c r="S93" s="132">
        <f>IFERROR(__xludf.DUMMYFUNCTION("""COMPUTED_VALUE"""),101.27)</f>
        <v>101.27</v>
      </c>
      <c r="T93" s="132">
        <f>IFERROR(__xludf.DUMMYFUNCTION("""COMPUTED_VALUE"""),20.253999999999998)</f>
        <v>20.254</v>
      </c>
      <c r="U93" s="132" t="str">
        <f>IFERROR(__xludf.DUMMYFUNCTION("""COMPUTED_VALUE"""),"Paid")</f>
        <v>Paid</v>
      </c>
      <c r="V93" s="132" t="str">
        <f>IFERROR(__xludf.DUMMYFUNCTION("""COMPUTED_VALUE"""),"Paid")</f>
        <v>Paid</v>
      </c>
      <c r="W93" s="132" t="str">
        <f>IFERROR(__xludf.DUMMYFUNCTION("""COMPUTED_VALUE"""),"Paid")</f>
        <v>Paid</v>
      </c>
      <c r="X93" s="132" t="str">
        <f>IFERROR(__xludf.DUMMYFUNCTION("""COMPUTED_VALUE"""),"Paid")</f>
        <v>Paid</v>
      </c>
      <c r="Y93" s="132" t="str">
        <f>IFERROR(__xludf.DUMMYFUNCTION("""COMPUTED_VALUE"""),"Paid")</f>
        <v>Paid</v>
      </c>
      <c r="Z93" s="132"/>
    </row>
    <row r="94">
      <c r="A94" s="136">
        <f>IFERROR(__xludf.DUMMYFUNCTION("""COMPUTED_VALUE"""),45285.0)</f>
        <v>45285</v>
      </c>
      <c r="B94" s="132" t="str">
        <f>IFERROR(__xludf.DUMMYFUNCTION("""COMPUTED_VALUE"""),"Uber")</f>
        <v>Uber</v>
      </c>
      <c r="C94" s="132" t="str">
        <f>IFERROR(__xludf.DUMMYFUNCTION("""COMPUTED_VALUE"""),"交通")</f>
        <v>交通</v>
      </c>
      <c r="D94" s="132">
        <f>IFERROR(__xludf.DUMMYFUNCTION("""COMPUTED_VALUE"""),21.51)</f>
        <v>21.51</v>
      </c>
      <c r="E94" s="132" t="str">
        <f>IFERROR(__xludf.DUMMYFUNCTION("""COMPUTED_VALUE"""),"Timothy")</f>
        <v>Timothy</v>
      </c>
      <c r="F94" s="132">
        <f>IFERROR(__xludf.DUMMYFUNCTION("""COMPUTED_VALUE"""),5.3775)</f>
        <v>5.3775</v>
      </c>
      <c r="G94" s="132">
        <f>IFERROR(__xludf.DUMMYFUNCTION("""COMPUTED_VALUE"""),5.3775)</f>
        <v>5.3775</v>
      </c>
      <c r="H94" s="132">
        <f>IFERROR(__xludf.DUMMYFUNCTION("""COMPUTED_VALUE"""),1.0)</f>
        <v>1</v>
      </c>
      <c r="I94" s="132">
        <f>IFERROR(__xludf.DUMMYFUNCTION("""COMPUTED_VALUE"""),1.0)</f>
        <v>1</v>
      </c>
      <c r="J94" s="132">
        <f>IFERROR(__xludf.DUMMYFUNCTION("""COMPUTED_VALUE"""),1.0)</f>
        <v>1</v>
      </c>
      <c r="K94" s="132"/>
      <c r="L94" s="132"/>
      <c r="M94" s="132"/>
      <c r="N94" s="132">
        <f>IFERROR(__xludf.DUMMYFUNCTION("""COMPUTED_VALUE"""),1.0)</f>
        <v>1</v>
      </c>
      <c r="O94" s="132"/>
      <c r="P94" s="132"/>
      <c r="Q94" s="132"/>
      <c r="R94" s="132" t="str">
        <f>IFERROR(__xludf.DUMMYFUNCTION("""COMPUTED_VALUE"""),"Electricity")</f>
        <v>Electricity</v>
      </c>
      <c r="S94" s="132">
        <f>IFERROR(__xludf.DUMMYFUNCTION("""COMPUTED_VALUE"""),170.93)</f>
        <v>170.93</v>
      </c>
      <c r="T94" s="132">
        <f>IFERROR(__xludf.DUMMYFUNCTION("""COMPUTED_VALUE"""),34.186)</f>
        <v>34.186</v>
      </c>
      <c r="U94" s="132" t="str">
        <f>IFERROR(__xludf.DUMMYFUNCTION("""COMPUTED_VALUE"""),"Paid")</f>
        <v>Paid</v>
      </c>
      <c r="V94" s="132" t="str">
        <f>IFERROR(__xludf.DUMMYFUNCTION("""COMPUTED_VALUE"""),"Paid")</f>
        <v>Paid</v>
      </c>
      <c r="W94" s="132" t="str">
        <f>IFERROR(__xludf.DUMMYFUNCTION("""COMPUTED_VALUE"""),"Paid")</f>
        <v>Paid</v>
      </c>
      <c r="X94" s="132" t="str">
        <f>IFERROR(__xludf.DUMMYFUNCTION("""COMPUTED_VALUE"""),"Paid")</f>
        <v>Paid</v>
      </c>
      <c r="Y94" s="132" t="str">
        <f>IFERROR(__xludf.DUMMYFUNCTION("""COMPUTED_VALUE"""),"Paid")</f>
        <v>Paid</v>
      </c>
      <c r="Z94" s="132"/>
    </row>
    <row r="95">
      <c r="A95" s="136">
        <f>IFERROR(__xludf.DUMMYFUNCTION("""COMPUTED_VALUE"""),45285.0)</f>
        <v>45285</v>
      </c>
      <c r="B95" s="132" t="str">
        <f>IFERROR(__xludf.DUMMYFUNCTION("""COMPUTED_VALUE"""),"Uber")</f>
        <v>Uber</v>
      </c>
      <c r="C95" s="132" t="str">
        <f>IFERROR(__xludf.DUMMYFUNCTION("""COMPUTED_VALUE"""),"交通")</f>
        <v>交通</v>
      </c>
      <c r="D95" s="132">
        <f>IFERROR(__xludf.DUMMYFUNCTION("""COMPUTED_VALUE"""),50.84)</f>
        <v>50.84</v>
      </c>
      <c r="E95" s="132" t="str">
        <f>IFERROR(__xludf.DUMMYFUNCTION("""COMPUTED_VALUE"""),"Timothy")</f>
        <v>Timothy</v>
      </c>
      <c r="F95" s="132">
        <f>IFERROR(__xludf.DUMMYFUNCTION("""COMPUTED_VALUE"""),10.168000000000001)</f>
        <v>10.168</v>
      </c>
      <c r="G95" s="132">
        <f>IFERROR(__xludf.DUMMYFUNCTION("""COMPUTED_VALUE"""),10.168000000000001)</f>
        <v>10.168</v>
      </c>
      <c r="H95" s="132">
        <f>IFERROR(__xludf.DUMMYFUNCTION("""COMPUTED_VALUE"""),1.0)</f>
        <v>1</v>
      </c>
      <c r="I95" s="132">
        <f>IFERROR(__xludf.DUMMYFUNCTION("""COMPUTED_VALUE"""),1.0)</f>
        <v>1</v>
      </c>
      <c r="J95" s="132">
        <f>IFERROR(__xludf.DUMMYFUNCTION("""COMPUTED_VALUE"""),1.0)</f>
        <v>1</v>
      </c>
      <c r="K95" s="132">
        <f>IFERROR(__xludf.DUMMYFUNCTION("""COMPUTED_VALUE"""),1.0)</f>
        <v>1</v>
      </c>
      <c r="L95" s="132"/>
      <c r="M95" s="132"/>
      <c r="N95" s="132">
        <f>IFERROR(__xludf.DUMMYFUNCTION("""COMPUTED_VALUE"""),1.0)</f>
        <v>1</v>
      </c>
      <c r="O95" s="132"/>
      <c r="P95" s="132"/>
      <c r="Q95" s="132"/>
      <c r="R95" s="132" t="str">
        <f>IFERROR(__xludf.DUMMYFUNCTION("""COMPUTED_VALUE"""),"Internet")</f>
        <v>Internet</v>
      </c>
      <c r="S95" s="132">
        <f>IFERROR(__xludf.DUMMYFUNCTION("""COMPUTED_VALUE"""),56.5)</f>
        <v>56.5</v>
      </c>
      <c r="T95" s="132">
        <f>IFERROR(__xludf.DUMMYFUNCTION("""COMPUTED_VALUE"""),11.3)</f>
        <v>11.3</v>
      </c>
      <c r="U95" s="132" t="str">
        <f>IFERROR(__xludf.DUMMYFUNCTION("""COMPUTED_VALUE"""),"Paid")</f>
        <v>Paid</v>
      </c>
      <c r="V95" s="132" t="str">
        <f>IFERROR(__xludf.DUMMYFUNCTION("""COMPUTED_VALUE"""),"Paid")</f>
        <v>Paid</v>
      </c>
      <c r="W95" s="132" t="str">
        <f>IFERROR(__xludf.DUMMYFUNCTION("""COMPUTED_VALUE"""),"Paid")</f>
        <v>Paid</v>
      </c>
      <c r="X95" s="132" t="str">
        <f>IFERROR(__xludf.DUMMYFUNCTION("""COMPUTED_VALUE"""),"Paid")</f>
        <v>Paid</v>
      </c>
      <c r="Y95" s="132" t="str">
        <f>IFERROR(__xludf.DUMMYFUNCTION("""COMPUTED_VALUE"""),"Paid")</f>
        <v>Paid</v>
      </c>
      <c r="Z95" s="132"/>
    </row>
    <row r="96">
      <c r="A96" s="136">
        <f>IFERROR(__xludf.DUMMYFUNCTION("""COMPUTED_VALUE"""),45284.0)</f>
        <v>45284</v>
      </c>
      <c r="B96" s="132" t="str">
        <f>IFERROR(__xludf.DUMMYFUNCTION("""COMPUTED_VALUE"""),"Mixian")</f>
        <v>Mixian</v>
      </c>
      <c r="C96" s="132" t="str">
        <f>IFERROR(__xludf.DUMMYFUNCTION("""COMPUTED_VALUE"""),"食物")</f>
        <v>食物</v>
      </c>
      <c r="D96" s="132">
        <f>IFERROR(__xludf.DUMMYFUNCTION("""COMPUTED_VALUE"""),110.0)</f>
        <v>110</v>
      </c>
      <c r="E96" s="132" t="str">
        <f>IFERROR(__xludf.DUMMYFUNCTION("""COMPUTED_VALUE"""),"Pigskin")</f>
        <v>Pigskin</v>
      </c>
      <c r="F96" s="132">
        <f>IFERROR(__xludf.DUMMYFUNCTION("""COMPUTED_VALUE"""),22.0)</f>
        <v>22</v>
      </c>
      <c r="G96" s="132">
        <f>IFERROR(__xludf.DUMMYFUNCTION("""COMPUTED_VALUE"""),22.0)</f>
        <v>22</v>
      </c>
      <c r="H96" s="132">
        <f>IFERROR(__xludf.DUMMYFUNCTION("""COMPUTED_VALUE"""),1.0)</f>
        <v>1</v>
      </c>
      <c r="I96" s="132">
        <f>IFERROR(__xludf.DUMMYFUNCTION("""COMPUTED_VALUE"""),1.0)</f>
        <v>1</v>
      </c>
      <c r="J96" s="132">
        <f>IFERROR(__xludf.DUMMYFUNCTION("""COMPUTED_VALUE"""),1.0)</f>
        <v>1</v>
      </c>
      <c r="K96" s="132">
        <f>IFERROR(__xludf.DUMMYFUNCTION("""COMPUTED_VALUE"""),1.0)</f>
        <v>1</v>
      </c>
      <c r="L96" s="132"/>
      <c r="M96" s="132"/>
      <c r="N96" s="132">
        <f>IFERROR(__xludf.DUMMYFUNCTION("""COMPUTED_VALUE"""),1.0)</f>
        <v>1</v>
      </c>
      <c r="O96" s="132"/>
      <c r="P96" s="132"/>
      <c r="Q96" s="132"/>
      <c r="R96" s="132"/>
      <c r="S96" s="132">
        <f>IFERROR(__xludf.DUMMYFUNCTION("""COMPUTED_VALUE"""),328.7)</f>
        <v>328.7</v>
      </c>
      <c r="T96" s="132">
        <f>IFERROR(__xludf.DUMMYFUNCTION("""COMPUTED_VALUE"""),65.74)</f>
        <v>65.74</v>
      </c>
      <c r="U96" s="132"/>
      <c r="V96" s="132"/>
      <c r="W96" s="132"/>
      <c r="X96" s="132"/>
      <c r="Y96" s="132"/>
      <c r="Z96" s="132"/>
    </row>
    <row r="97">
      <c r="A97" s="133">
        <f>IFERROR(__xludf.DUMMYFUNCTION("""COMPUTED_VALUE"""),45284.0)</f>
        <v>45284</v>
      </c>
      <c r="B97" s="132" t="str">
        <f>IFERROR(__xludf.DUMMYFUNCTION("""COMPUTED_VALUE"""),"Drying mat")</f>
        <v>Drying mat</v>
      </c>
      <c r="C97" s="132" t="str">
        <f>IFERROR(__xludf.DUMMYFUNCTION("""COMPUTED_VALUE"""),"居家")</f>
        <v>居家</v>
      </c>
      <c r="D97" s="132">
        <f>IFERROR(__xludf.DUMMYFUNCTION("""COMPUTED_VALUE"""),3.96)</f>
        <v>3.96</v>
      </c>
      <c r="E97" s="132" t="str">
        <f>IFERROR(__xludf.DUMMYFUNCTION("""COMPUTED_VALUE"""),"BL")</f>
        <v>BL</v>
      </c>
      <c r="F97" s="132">
        <f>IFERROR(__xludf.DUMMYFUNCTION("""COMPUTED_VALUE"""),0.792)</f>
        <v>0.792</v>
      </c>
      <c r="G97" s="132">
        <f>IFERROR(__xludf.DUMMYFUNCTION("""COMPUTED_VALUE"""),0.792)</f>
        <v>0.792</v>
      </c>
      <c r="H97" s="132">
        <f>IFERROR(__xludf.DUMMYFUNCTION("""COMPUTED_VALUE"""),1.0)</f>
        <v>1</v>
      </c>
      <c r="I97" s="132">
        <f>IFERROR(__xludf.DUMMYFUNCTION("""COMPUTED_VALUE"""),1.0)</f>
        <v>1</v>
      </c>
      <c r="J97" s="132">
        <f>IFERROR(__xludf.DUMMYFUNCTION("""COMPUTED_VALUE"""),1.0)</f>
        <v>1</v>
      </c>
      <c r="K97" s="132">
        <f>IFERROR(__xludf.DUMMYFUNCTION("""COMPUTED_VALUE"""),1.0)</f>
        <v>1</v>
      </c>
      <c r="L97" s="132"/>
      <c r="M97" s="132"/>
      <c r="N97" s="132">
        <f>IFERROR(__xludf.DUMMYFUNCTION("""COMPUTED_VALUE"""),1.0)</f>
        <v>1</v>
      </c>
      <c r="O97" s="132"/>
      <c r="P97" s="132"/>
      <c r="Q97" s="132"/>
      <c r="R97" s="132"/>
      <c r="S97" s="132"/>
      <c r="T97" s="132"/>
      <c r="U97" s="132"/>
      <c r="V97" s="132"/>
      <c r="W97" s="132"/>
      <c r="X97" s="132"/>
      <c r="Y97" s="132"/>
      <c r="Z97" s="132"/>
    </row>
    <row r="98">
      <c r="A98" s="133">
        <f>IFERROR(__xludf.DUMMYFUNCTION("""COMPUTED_VALUE"""),45289.0)</f>
        <v>45289</v>
      </c>
      <c r="B98" s="132" t="str">
        <f>IFERROR(__xludf.DUMMYFUNCTION("""COMPUTED_VALUE"""),"洗潔精")</f>
        <v>洗潔精</v>
      </c>
      <c r="C98" s="132" t="str">
        <f>IFERROR(__xludf.DUMMYFUNCTION("""COMPUTED_VALUE"""),"居家")</f>
        <v>居家</v>
      </c>
      <c r="D98" s="132">
        <f>IFERROR(__xludf.DUMMYFUNCTION("""COMPUTED_VALUE"""),9.02)</f>
        <v>9.02</v>
      </c>
      <c r="E98" s="132" t="str">
        <f>IFERROR(__xludf.DUMMYFUNCTION("""COMPUTED_VALUE"""),"Esther")</f>
        <v>Esther</v>
      </c>
      <c r="F98" s="132">
        <f>IFERROR(__xludf.DUMMYFUNCTION("""COMPUTED_VALUE"""),1.8039999999999998)</f>
        <v>1.804</v>
      </c>
      <c r="G98" s="132">
        <f>IFERROR(__xludf.DUMMYFUNCTION("""COMPUTED_VALUE"""),1.8039999999999998)</f>
        <v>1.804</v>
      </c>
      <c r="H98" s="132">
        <f>IFERROR(__xludf.DUMMYFUNCTION("""COMPUTED_VALUE"""),1.0)</f>
        <v>1</v>
      </c>
      <c r="I98" s="132">
        <f>IFERROR(__xludf.DUMMYFUNCTION("""COMPUTED_VALUE"""),1.0)</f>
        <v>1</v>
      </c>
      <c r="J98" s="132">
        <f>IFERROR(__xludf.DUMMYFUNCTION("""COMPUTED_VALUE"""),1.0)</f>
        <v>1</v>
      </c>
      <c r="K98" s="132">
        <f>IFERROR(__xludf.DUMMYFUNCTION("""COMPUTED_VALUE"""),1.0)</f>
        <v>1</v>
      </c>
      <c r="L98" s="132"/>
      <c r="M98" s="132"/>
      <c r="N98" s="132">
        <f>IFERROR(__xludf.DUMMYFUNCTION("""COMPUTED_VALUE"""),1.0)</f>
        <v>1</v>
      </c>
      <c r="O98" s="132"/>
      <c r="P98" s="132"/>
      <c r="Q98" s="134">
        <f>IFERROR(__xludf.DUMMYFUNCTION("""COMPUTED_VALUE"""),45505.0)</f>
        <v>45505</v>
      </c>
      <c r="R98" s="132"/>
      <c r="S98" s="132"/>
      <c r="T98" s="132"/>
      <c r="U98" s="132"/>
      <c r="V98" s="132"/>
      <c r="W98" s="132"/>
      <c r="X98" s="132"/>
      <c r="Y98" s="132"/>
      <c r="Z98" s="132"/>
    </row>
    <row r="99">
      <c r="A99" s="133">
        <f>IFERROR(__xludf.DUMMYFUNCTION("""COMPUTED_VALUE"""),45289.0)</f>
        <v>45289</v>
      </c>
      <c r="B99" s="132" t="str">
        <f>IFERROR(__xludf.DUMMYFUNCTION("""COMPUTED_VALUE"""),"TnT")</f>
        <v>TnT</v>
      </c>
      <c r="C99" s="132" t="str">
        <f>IFERROR(__xludf.DUMMYFUNCTION("""COMPUTED_VALUE"""),"食物")</f>
        <v>食物</v>
      </c>
      <c r="D99" s="132">
        <f>IFERROR(__xludf.DUMMYFUNCTION("""COMPUTED_VALUE"""),31.810000000000002)</f>
        <v>31.81</v>
      </c>
      <c r="E99" s="132" t="str">
        <f>IFERROR(__xludf.DUMMYFUNCTION("""COMPUTED_VALUE"""),"Esther")</f>
        <v>Esther</v>
      </c>
      <c r="F99" s="132">
        <f>IFERROR(__xludf.DUMMYFUNCTION("""COMPUTED_VALUE"""),6.362)</f>
        <v>6.362</v>
      </c>
      <c r="G99" s="132">
        <f>IFERROR(__xludf.DUMMYFUNCTION("""COMPUTED_VALUE"""),6.362)</f>
        <v>6.362</v>
      </c>
      <c r="H99" s="132">
        <f>IFERROR(__xludf.DUMMYFUNCTION("""COMPUTED_VALUE"""),1.0)</f>
        <v>1</v>
      </c>
      <c r="I99" s="132">
        <f>IFERROR(__xludf.DUMMYFUNCTION("""COMPUTED_VALUE"""),1.0)</f>
        <v>1</v>
      </c>
      <c r="J99" s="132">
        <f>IFERROR(__xludf.DUMMYFUNCTION("""COMPUTED_VALUE"""),1.0)</f>
        <v>1</v>
      </c>
      <c r="K99" s="132">
        <f>IFERROR(__xludf.DUMMYFUNCTION("""COMPUTED_VALUE"""),1.0)</f>
        <v>1</v>
      </c>
      <c r="L99" s="132"/>
      <c r="M99" s="132"/>
      <c r="N99" s="132">
        <f>IFERROR(__xludf.DUMMYFUNCTION("""COMPUTED_VALUE"""),1.0)</f>
        <v>1</v>
      </c>
      <c r="O99" s="132"/>
      <c r="P99" s="132"/>
      <c r="Q99" s="132"/>
      <c r="R99" s="132" t="str">
        <f>IFERROR(__xludf.DUMMYFUNCTION("""COMPUTED_VALUE"""),"Water (Pay by Rachel)")</f>
        <v>Water (Pay by Rachel)</v>
      </c>
      <c r="S99" s="132">
        <f>IFERROR(__xludf.DUMMYFUNCTION("""COMPUTED_VALUE"""),375.27)</f>
        <v>375.27</v>
      </c>
      <c r="T99" s="132">
        <f>IFERROR(__xludf.DUMMYFUNCTION("""COMPUTED_VALUE"""),75.054)</f>
        <v>75.054</v>
      </c>
      <c r="U99" s="132" t="str">
        <f>IFERROR(__xludf.DUMMYFUNCTION("""COMPUTED_VALUE"""),"Paid")</f>
        <v>Paid</v>
      </c>
      <c r="V99" s="132" t="str">
        <f>IFERROR(__xludf.DUMMYFUNCTION("""COMPUTED_VALUE"""),"Paid")</f>
        <v>Paid</v>
      </c>
      <c r="W99" s="132" t="str">
        <f>IFERROR(__xludf.DUMMYFUNCTION("""COMPUTED_VALUE"""),"Paid")</f>
        <v>Paid</v>
      </c>
      <c r="X99" s="132" t="str">
        <f>IFERROR(__xludf.DUMMYFUNCTION("""COMPUTED_VALUE"""),"Paid")</f>
        <v>Paid</v>
      </c>
      <c r="Y99" s="132" t="str">
        <f>IFERROR(__xludf.DUMMYFUNCTION("""COMPUTED_VALUE"""),"Paid")</f>
        <v>Paid</v>
      </c>
      <c r="Z99" s="132"/>
    </row>
    <row r="100">
      <c r="A100" s="133">
        <f>IFERROR(__xludf.DUMMYFUNCTION("""COMPUTED_VALUE"""),45657.0)</f>
        <v>45657</v>
      </c>
      <c r="B100" s="132" t="str">
        <f>IFERROR(__xludf.DUMMYFUNCTION("""COMPUTED_VALUE"""),"Temu")</f>
        <v>Temu</v>
      </c>
      <c r="C100" s="132" t="str">
        <f>IFERROR(__xludf.DUMMYFUNCTION("""COMPUTED_VALUE"""),"其他")</f>
        <v>其他</v>
      </c>
      <c r="D100" s="132">
        <f>IFERROR(__xludf.DUMMYFUNCTION("""COMPUTED_VALUE"""),5.49)</f>
        <v>5.49</v>
      </c>
      <c r="E100" s="132" t="str">
        <f>IFERROR(__xludf.DUMMYFUNCTION("""COMPUTED_VALUE"""),"Esther")</f>
        <v>Esther</v>
      </c>
      <c r="F100" s="132">
        <f>IFERROR(__xludf.DUMMYFUNCTION("""COMPUTED_VALUE"""),5.49)</f>
        <v>5.49</v>
      </c>
      <c r="G100" s="132">
        <f>IFERROR(__xludf.DUMMYFUNCTION("""COMPUTED_VALUE"""),5.49)</f>
        <v>5.49</v>
      </c>
      <c r="H100" s="132"/>
      <c r="I100" s="132">
        <f>IFERROR(__xludf.DUMMYFUNCTION("""COMPUTED_VALUE"""),1.0)</f>
        <v>1</v>
      </c>
      <c r="J100" s="132"/>
      <c r="K100" s="132"/>
      <c r="L100" s="132"/>
      <c r="M100" s="132"/>
      <c r="N100" s="132"/>
      <c r="O100" s="132"/>
      <c r="P100" s="132"/>
      <c r="Q100" s="132"/>
      <c r="R100" s="132" t="str">
        <f>IFERROR(__xludf.DUMMYFUNCTION("""COMPUTED_VALUE"""),"Heat")</f>
        <v>Heat</v>
      </c>
      <c r="S100" s="132">
        <f>IFERROR(__xludf.DUMMYFUNCTION("""COMPUTED_VALUE"""),47.34)</f>
        <v>47.34</v>
      </c>
      <c r="T100" s="132">
        <f>IFERROR(__xludf.DUMMYFUNCTION("""COMPUTED_VALUE"""),9.468)</f>
        <v>9.468</v>
      </c>
      <c r="U100" s="132" t="str">
        <f>IFERROR(__xludf.DUMMYFUNCTION("""COMPUTED_VALUE"""),"Paid")</f>
        <v>Paid</v>
      </c>
      <c r="V100" s="132" t="str">
        <f>IFERROR(__xludf.DUMMYFUNCTION("""COMPUTED_VALUE"""),"Paid")</f>
        <v>Paid</v>
      </c>
      <c r="W100" s="132" t="str">
        <f>IFERROR(__xludf.DUMMYFUNCTION("""COMPUTED_VALUE"""),"Paid")</f>
        <v>Paid</v>
      </c>
      <c r="X100" s="132" t="str">
        <f>IFERROR(__xludf.DUMMYFUNCTION("""COMPUTED_VALUE"""),"Paid")</f>
        <v>Paid</v>
      </c>
      <c r="Y100" s="132" t="str">
        <f>IFERROR(__xludf.DUMMYFUNCTION("""COMPUTED_VALUE"""),"Paid")</f>
        <v>Paid</v>
      </c>
      <c r="Z100" s="132"/>
    </row>
    <row r="101">
      <c r="A101" s="133">
        <f>IFERROR(__xludf.DUMMYFUNCTION("""COMPUTED_VALUE"""),45653.0)</f>
        <v>45653</v>
      </c>
      <c r="B101" s="132" t="str">
        <f>IFERROR(__xludf.DUMMYFUNCTION("""COMPUTED_VALUE"""),"保鮮紙")</f>
        <v>保鮮紙</v>
      </c>
      <c r="C101" s="132" t="str">
        <f>IFERROR(__xludf.DUMMYFUNCTION("""COMPUTED_VALUE"""),"居家")</f>
        <v>居家</v>
      </c>
      <c r="D101" s="132">
        <f>IFERROR(__xludf.DUMMYFUNCTION("""COMPUTED_VALUE"""),6.2036999999999995)</f>
        <v>6.2037</v>
      </c>
      <c r="E101" s="132" t="str">
        <f>IFERROR(__xludf.DUMMYFUNCTION("""COMPUTED_VALUE"""),"Pigskin")</f>
        <v>Pigskin</v>
      </c>
      <c r="F101" s="132">
        <f>IFERROR(__xludf.DUMMYFUNCTION("""COMPUTED_VALUE"""),1.24074)</f>
        <v>1.24074</v>
      </c>
      <c r="G101" s="132">
        <f>IFERROR(__xludf.DUMMYFUNCTION("""COMPUTED_VALUE"""),1.24074)</f>
        <v>1.24074</v>
      </c>
      <c r="H101" s="132">
        <f>IFERROR(__xludf.DUMMYFUNCTION("""COMPUTED_VALUE"""),1.0)</f>
        <v>1</v>
      </c>
      <c r="I101" s="132">
        <f>IFERROR(__xludf.DUMMYFUNCTION("""COMPUTED_VALUE"""),1.0)</f>
        <v>1</v>
      </c>
      <c r="J101" s="132">
        <f>IFERROR(__xludf.DUMMYFUNCTION("""COMPUTED_VALUE"""),1.0)</f>
        <v>1</v>
      </c>
      <c r="K101" s="132">
        <f>IFERROR(__xludf.DUMMYFUNCTION("""COMPUTED_VALUE"""),1.0)</f>
        <v>1</v>
      </c>
      <c r="L101" s="132"/>
      <c r="M101" s="132"/>
      <c r="N101" s="132">
        <f>IFERROR(__xludf.DUMMYFUNCTION("""COMPUTED_VALUE"""),1.0)</f>
        <v>1</v>
      </c>
      <c r="O101" s="132"/>
      <c r="P101" s="132"/>
      <c r="Q101" s="132"/>
      <c r="R101" s="132" t="str">
        <f>IFERROR(__xludf.DUMMYFUNCTION("""COMPUTED_VALUE"""),"Electricity")</f>
        <v>Electricity</v>
      </c>
      <c r="S101" s="132">
        <f>IFERROR(__xludf.DUMMYFUNCTION("""COMPUTED_VALUE"""),208.04)</f>
        <v>208.04</v>
      </c>
      <c r="T101" s="132">
        <f>IFERROR(__xludf.DUMMYFUNCTION("""COMPUTED_VALUE"""),41.608)</f>
        <v>41.608</v>
      </c>
      <c r="U101" s="132" t="str">
        <f>IFERROR(__xludf.DUMMYFUNCTION("""COMPUTED_VALUE"""),"Paid")</f>
        <v>Paid</v>
      </c>
      <c r="V101" s="132" t="str">
        <f>IFERROR(__xludf.DUMMYFUNCTION("""COMPUTED_VALUE"""),"Paid")</f>
        <v>Paid</v>
      </c>
      <c r="W101" s="132" t="str">
        <f>IFERROR(__xludf.DUMMYFUNCTION("""COMPUTED_VALUE"""),"Paid")</f>
        <v>Paid</v>
      </c>
      <c r="X101" s="132" t="str">
        <f>IFERROR(__xludf.DUMMYFUNCTION("""COMPUTED_VALUE"""),"Paid")</f>
        <v>Paid</v>
      </c>
      <c r="Y101" s="132" t="str">
        <f>IFERROR(__xludf.DUMMYFUNCTION("""COMPUTED_VALUE"""),"Paid")</f>
        <v>Paid</v>
      </c>
      <c r="Z101" s="132"/>
    </row>
    <row r="102">
      <c r="A102" s="133">
        <f>IFERROR(__xludf.DUMMYFUNCTION("""COMPUTED_VALUE"""),45653.0)</f>
        <v>45653</v>
      </c>
      <c r="B102" s="132" t="str">
        <f>IFERROR(__xludf.DUMMYFUNCTION("""COMPUTED_VALUE"""),"碗")</f>
        <v>碗</v>
      </c>
      <c r="C102" s="132" t="str">
        <f>IFERROR(__xludf.DUMMYFUNCTION("""COMPUTED_VALUE"""),"居家")</f>
        <v>居家</v>
      </c>
      <c r="D102" s="132">
        <f>IFERROR(__xludf.DUMMYFUNCTION("""COMPUTED_VALUE"""),16.893499999999996)</f>
        <v>16.8935</v>
      </c>
      <c r="E102" s="132" t="str">
        <f>IFERROR(__xludf.DUMMYFUNCTION("""COMPUTED_VALUE"""),"Pigskin")</f>
        <v>Pigskin</v>
      </c>
      <c r="F102" s="132">
        <f>IFERROR(__xludf.DUMMYFUNCTION("""COMPUTED_VALUE"""),3.3786999999999994)</f>
        <v>3.3787</v>
      </c>
      <c r="G102" s="132">
        <f>IFERROR(__xludf.DUMMYFUNCTION("""COMPUTED_VALUE"""),3.3786999999999994)</f>
        <v>3.3787</v>
      </c>
      <c r="H102" s="132">
        <f>IFERROR(__xludf.DUMMYFUNCTION("""COMPUTED_VALUE"""),1.0)</f>
        <v>1</v>
      </c>
      <c r="I102" s="132">
        <f>IFERROR(__xludf.DUMMYFUNCTION("""COMPUTED_VALUE"""),1.0)</f>
        <v>1</v>
      </c>
      <c r="J102" s="132">
        <f>IFERROR(__xludf.DUMMYFUNCTION("""COMPUTED_VALUE"""),1.0)</f>
        <v>1</v>
      </c>
      <c r="K102" s="132">
        <f>IFERROR(__xludf.DUMMYFUNCTION("""COMPUTED_VALUE"""),1.0)</f>
        <v>1</v>
      </c>
      <c r="L102" s="132"/>
      <c r="M102" s="132"/>
      <c r="N102" s="132">
        <f>IFERROR(__xludf.DUMMYFUNCTION("""COMPUTED_VALUE"""),1.0)</f>
        <v>1</v>
      </c>
      <c r="O102" s="132"/>
      <c r="P102" s="132"/>
      <c r="Q102" s="132"/>
      <c r="R102" s="132" t="str">
        <f>IFERROR(__xludf.DUMMYFUNCTION("""COMPUTED_VALUE"""),"Internet")</f>
        <v>Internet</v>
      </c>
      <c r="S102" s="132">
        <f>IFERROR(__xludf.DUMMYFUNCTION("""COMPUTED_VALUE"""),56.5)</f>
        <v>56.5</v>
      </c>
      <c r="T102" s="132">
        <f>IFERROR(__xludf.DUMMYFUNCTION("""COMPUTED_VALUE"""),11.3)</f>
        <v>11.3</v>
      </c>
      <c r="U102" s="132" t="str">
        <f>IFERROR(__xludf.DUMMYFUNCTION("""COMPUTED_VALUE"""),"Paid")</f>
        <v>Paid</v>
      </c>
      <c r="V102" s="132" t="str">
        <f>IFERROR(__xludf.DUMMYFUNCTION("""COMPUTED_VALUE"""),"Paid")</f>
        <v>Paid</v>
      </c>
      <c r="W102" s="132" t="str">
        <f>IFERROR(__xludf.DUMMYFUNCTION("""COMPUTED_VALUE"""),"Paid")</f>
        <v>Paid</v>
      </c>
      <c r="X102" s="132" t="str">
        <f>IFERROR(__xludf.DUMMYFUNCTION("""COMPUTED_VALUE"""),"Paid")</f>
        <v>Paid</v>
      </c>
      <c r="Y102" s="132" t="str">
        <f>IFERROR(__xludf.DUMMYFUNCTION("""COMPUTED_VALUE"""),"Paid")</f>
        <v>Paid</v>
      </c>
      <c r="Z102" s="132"/>
    </row>
    <row r="103">
      <c r="A103" s="133">
        <f>IFERROR(__xludf.DUMMYFUNCTION("""COMPUTED_VALUE"""),45656.0)</f>
        <v>45656</v>
      </c>
      <c r="B103" s="132" t="str">
        <f>IFERROR(__xludf.DUMMYFUNCTION("""COMPUTED_VALUE"""),"Dinner")</f>
        <v>Dinner</v>
      </c>
      <c r="C103" s="132" t="str">
        <f>IFERROR(__xludf.DUMMYFUNCTION("""COMPUTED_VALUE"""),"食物")</f>
        <v>食物</v>
      </c>
      <c r="D103" s="132">
        <f>IFERROR(__xludf.DUMMYFUNCTION("""COMPUTED_VALUE"""),8.5)</f>
        <v>8.5</v>
      </c>
      <c r="E103" s="132" t="str">
        <f>IFERROR(__xludf.DUMMYFUNCTION("""COMPUTED_VALUE"""),"Pigskin")</f>
        <v>Pigskin</v>
      </c>
      <c r="F103" s="132">
        <f>IFERROR(__xludf.DUMMYFUNCTION("""COMPUTED_VALUE"""),1.0625)</f>
        <v>1.0625</v>
      </c>
      <c r="G103" s="132">
        <f>IFERROR(__xludf.DUMMYFUNCTION("""COMPUTED_VALUE"""),1.0625)</f>
        <v>1.0625</v>
      </c>
      <c r="H103" s="132">
        <f>IFERROR(__xludf.DUMMYFUNCTION("""COMPUTED_VALUE"""),1.0)</f>
        <v>1</v>
      </c>
      <c r="I103" s="132">
        <f>IFERROR(__xludf.DUMMYFUNCTION("""COMPUTED_VALUE"""),1.0)</f>
        <v>1</v>
      </c>
      <c r="J103" s="132">
        <f>IFERROR(__xludf.DUMMYFUNCTION("""COMPUTED_VALUE"""),1.0)</f>
        <v>1</v>
      </c>
      <c r="K103" s="132">
        <f>IFERROR(__xludf.DUMMYFUNCTION("""COMPUTED_VALUE"""),1.0)</f>
        <v>1</v>
      </c>
      <c r="L103" s="132">
        <f>IFERROR(__xludf.DUMMYFUNCTION("""COMPUTED_VALUE"""),1.0)</f>
        <v>1</v>
      </c>
      <c r="M103" s="132">
        <f>IFERROR(__xludf.DUMMYFUNCTION("""COMPUTED_VALUE"""),1.0)</f>
        <v>1</v>
      </c>
      <c r="N103" s="132">
        <f>IFERROR(__xludf.DUMMYFUNCTION("""COMPUTED_VALUE"""),1.0)</f>
        <v>1</v>
      </c>
      <c r="O103" s="132"/>
      <c r="P103" s="132"/>
      <c r="Q103" s="132"/>
      <c r="R103" s="132"/>
      <c r="S103" s="132">
        <f>IFERROR(__xludf.DUMMYFUNCTION("""COMPUTED_VALUE"""),687.15)</f>
        <v>687.15</v>
      </c>
      <c r="T103" s="132">
        <f>IFERROR(__xludf.DUMMYFUNCTION("""COMPUTED_VALUE"""),137.43)</f>
        <v>137.43</v>
      </c>
      <c r="U103" s="132"/>
      <c r="V103" s="132"/>
      <c r="W103" s="132"/>
      <c r="X103" s="132"/>
      <c r="Y103" s="132"/>
      <c r="Z103" s="132"/>
    </row>
    <row r="104">
      <c r="A104" s="133">
        <f>IFERROR(__xludf.DUMMYFUNCTION("""COMPUTED_VALUE"""),45656.0)</f>
        <v>45656</v>
      </c>
      <c r="B104" s="132" t="str">
        <f>IFERROR(__xludf.DUMMYFUNCTION("""COMPUTED_VALUE"""),"Dinner")</f>
        <v>Dinner</v>
      </c>
      <c r="C104" s="132" t="str">
        <f>IFERROR(__xludf.DUMMYFUNCTION("""COMPUTED_VALUE"""),"食物")</f>
        <v>食物</v>
      </c>
      <c r="D104" s="132">
        <f>IFERROR(__xludf.DUMMYFUNCTION("""COMPUTED_VALUE"""),11.73)</f>
        <v>11.73</v>
      </c>
      <c r="E104" s="132" t="str">
        <f>IFERROR(__xludf.DUMMYFUNCTION("""COMPUTED_VALUE"""),"Pigskin")</f>
        <v>Pigskin</v>
      </c>
      <c r="F104" s="132">
        <f>IFERROR(__xludf.DUMMYFUNCTION("""COMPUTED_VALUE"""),2.346)</f>
        <v>2.346</v>
      </c>
      <c r="G104" s="132">
        <f>IFERROR(__xludf.DUMMYFUNCTION("""COMPUTED_VALUE"""),2.346)</f>
        <v>2.346</v>
      </c>
      <c r="H104" s="132">
        <f>IFERROR(__xludf.DUMMYFUNCTION("""COMPUTED_VALUE"""),1.0)</f>
        <v>1</v>
      </c>
      <c r="I104" s="132">
        <f>IFERROR(__xludf.DUMMYFUNCTION("""COMPUTED_VALUE"""),1.0)</f>
        <v>1</v>
      </c>
      <c r="J104" s="132">
        <f>IFERROR(__xludf.DUMMYFUNCTION("""COMPUTED_VALUE"""),1.0)</f>
        <v>1</v>
      </c>
      <c r="K104" s="132">
        <f>IFERROR(__xludf.DUMMYFUNCTION("""COMPUTED_VALUE"""),1.0)</f>
        <v>1</v>
      </c>
      <c r="L104" s="132"/>
      <c r="M104" s="132"/>
      <c r="N104" s="132">
        <f>IFERROR(__xludf.DUMMYFUNCTION("""COMPUTED_VALUE"""),1.0)</f>
        <v>1</v>
      </c>
      <c r="O104" s="132"/>
      <c r="P104" s="132"/>
      <c r="Q104" s="132"/>
      <c r="R104" s="132"/>
      <c r="S104" s="132"/>
      <c r="T104" s="132"/>
      <c r="U104" s="132"/>
      <c r="V104" s="132"/>
      <c r="W104" s="132"/>
      <c r="X104" s="132"/>
      <c r="Y104" s="132"/>
      <c r="Z104" s="132"/>
    </row>
    <row r="105">
      <c r="A105" s="133">
        <f>IFERROR(__xludf.DUMMYFUNCTION("""COMPUTED_VALUE"""),45655.0)</f>
        <v>45655</v>
      </c>
      <c r="B105" s="132" t="str">
        <f>IFERROR(__xludf.DUMMYFUNCTION("""COMPUTED_VALUE"""),"Banana")</f>
        <v>Banana</v>
      </c>
      <c r="C105" s="132" t="str">
        <f>IFERROR(__xludf.DUMMYFUNCTION("""COMPUTED_VALUE"""),"食物")</f>
        <v>食物</v>
      </c>
      <c r="D105" s="132">
        <f>IFERROR(__xludf.DUMMYFUNCTION("""COMPUTED_VALUE"""),2.08)</f>
        <v>2.08</v>
      </c>
      <c r="E105" s="132" t="str">
        <f>IFERROR(__xludf.DUMMYFUNCTION("""COMPUTED_VALUE"""),"Pigskin")</f>
        <v>Pigskin</v>
      </c>
      <c r="F105" s="132">
        <f>IFERROR(__xludf.DUMMYFUNCTION("""COMPUTED_VALUE"""),0.41600000000000004)</f>
        <v>0.416</v>
      </c>
      <c r="G105" s="132">
        <f>IFERROR(__xludf.DUMMYFUNCTION("""COMPUTED_VALUE"""),0.41600000000000004)</f>
        <v>0.416</v>
      </c>
      <c r="H105" s="132">
        <f>IFERROR(__xludf.DUMMYFUNCTION("""COMPUTED_VALUE"""),1.0)</f>
        <v>1</v>
      </c>
      <c r="I105" s="132">
        <f>IFERROR(__xludf.DUMMYFUNCTION("""COMPUTED_VALUE"""),1.0)</f>
        <v>1</v>
      </c>
      <c r="J105" s="132">
        <f>IFERROR(__xludf.DUMMYFUNCTION("""COMPUTED_VALUE"""),1.0)</f>
        <v>1</v>
      </c>
      <c r="K105" s="132">
        <f>IFERROR(__xludf.DUMMYFUNCTION("""COMPUTED_VALUE"""),1.0)</f>
        <v>1</v>
      </c>
      <c r="L105" s="132"/>
      <c r="M105" s="132"/>
      <c r="N105" s="132">
        <f>IFERROR(__xludf.DUMMYFUNCTION("""COMPUTED_VALUE"""),1.0)</f>
        <v>1</v>
      </c>
      <c r="O105" s="132"/>
      <c r="P105" s="132"/>
      <c r="Q105" s="134">
        <f>IFERROR(__xludf.DUMMYFUNCTION("""COMPUTED_VALUE"""),45536.0)</f>
        <v>45536</v>
      </c>
      <c r="R105" s="132" t="str">
        <f>IFERROR(__xludf.DUMMYFUNCTION("""COMPUTED_VALUE"""),"Water ")</f>
        <v>Water </v>
      </c>
      <c r="S105" s="132">
        <f>IFERROR(__xludf.DUMMYFUNCTION("""COMPUTED_VALUE"""),100.0)</f>
        <v>100</v>
      </c>
      <c r="T105" s="132" t="str">
        <f>IFERROR(__xludf.DUMMYFUNCTION("""COMPUTED_VALUE"""),"喺key deposit退咗")</f>
        <v>喺key deposit退咗</v>
      </c>
      <c r="U105" s="132" t="str">
        <f>IFERROR(__xludf.DUMMYFUNCTION("""COMPUTED_VALUE"""),"Paid")</f>
        <v>Paid</v>
      </c>
      <c r="V105" s="132" t="str">
        <f>IFERROR(__xludf.DUMMYFUNCTION("""COMPUTED_VALUE"""),"Paid")</f>
        <v>Paid</v>
      </c>
      <c r="W105" s="132" t="str">
        <f>IFERROR(__xludf.DUMMYFUNCTION("""COMPUTED_VALUE"""),"Paid")</f>
        <v>Paid</v>
      </c>
      <c r="X105" s="132" t="str">
        <f>IFERROR(__xludf.DUMMYFUNCTION("""COMPUTED_VALUE"""),"Paid")</f>
        <v>Paid</v>
      </c>
      <c r="Y105" s="132" t="str">
        <f>IFERROR(__xludf.DUMMYFUNCTION("""COMPUTED_VALUE"""),"Paid")</f>
        <v>Paid</v>
      </c>
      <c r="Z105" s="132"/>
    </row>
    <row r="106">
      <c r="A106" s="133">
        <f>IFERROR(__xludf.DUMMYFUNCTION("""COMPUTED_VALUE"""),45654.0)</f>
        <v>45654</v>
      </c>
      <c r="B106" s="132" t="str">
        <f>IFERROR(__xludf.DUMMYFUNCTION("""COMPUTED_VALUE"""),"保鮮紙")</f>
        <v>保鮮紙</v>
      </c>
      <c r="C106" s="132" t="str">
        <f>IFERROR(__xludf.DUMMYFUNCTION("""COMPUTED_VALUE"""),"居家")</f>
        <v>居家</v>
      </c>
      <c r="D106" s="132">
        <f>IFERROR(__xludf.DUMMYFUNCTION("""COMPUTED_VALUE"""),5.6387)</f>
        <v>5.6387</v>
      </c>
      <c r="E106" s="132" t="str">
        <f>IFERROR(__xludf.DUMMYFUNCTION("""COMPUTED_VALUE"""),"Pigskin")</f>
        <v>Pigskin</v>
      </c>
      <c r="F106" s="132">
        <f>IFERROR(__xludf.DUMMYFUNCTION("""COMPUTED_VALUE"""),1.12774)</f>
        <v>1.12774</v>
      </c>
      <c r="G106" s="132">
        <f>IFERROR(__xludf.DUMMYFUNCTION("""COMPUTED_VALUE"""),1.12774)</f>
        <v>1.12774</v>
      </c>
      <c r="H106" s="132">
        <f>IFERROR(__xludf.DUMMYFUNCTION("""COMPUTED_VALUE"""),1.0)</f>
        <v>1</v>
      </c>
      <c r="I106" s="132">
        <f>IFERROR(__xludf.DUMMYFUNCTION("""COMPUTED_VALUE"""),1.0)</f>
        <v>1</v>
      </c>
      <c r="J106" s="132">
        <f>IFERROR(__xludf.DUMMYFUNCTION("""COMPUTED_VALUE"""),1.0)</f>
        <v>1</v>
      </c>
      <c r="K106" s="132">
        <f>IFERROR(__xludf.DUMMYFUNCTION("""COMPUTED_VALUE"""),1.0)</f>
        <v>1</v>
      </c>
      <c r="L106" s="132"/>
      <c r="M106" s="132"/>
      <c r="N106" s="132">
        <f>IFERROR(__xludf.DUMMYFUNCTION("""COMPUTED_VALUE"""),1.0)</f>
        <v>1</v>
      </c>
      <c r="O106" s="132"/>
      <c r="P106" s="132"/>
      <c r="Q106" s="132"/>
      <c r="R106" s="132" t="str">
        <f>IFERROR(__xludf.DUMMYFUNCTION("""COMPUTED_VALUE"""),"Key deposit (退俾大家）")</f>
        <v>Key deposit (退俾大家）</v>
      </c>
      <c r="S106" s="132">
        <f>IFERROR(__xludf.DUMMYFUNCTION("""COMPUTED_VALUE"""),-900.0)</f>
        <v>-900</v>
      </c>
      <c r="T106" s="132">
        <f>IFERROR(__xludf.DUMMYFUNCTION("""COMPUTED_VALUE"""),-180.0)</f>
        <v>-180</v>
      </c>
      <c r="U106" s="132" t="str">
        <f>IFERROR(__xludf.DUMMYFUNCTION("""COMPUTED_VALUE"""),"Paid")</f>
        <v>Paid</v>
      </c>
      <c r="V106" s="132" t="str">
        <f>IFERROR(__xludf.DUMMYFUNCTION("""COMPUTED_VALUE"""),"Paid")</f>
        <v>Paid</v>
      </c>
      <c r="W106" s="132" t="str">
        <f>IFERROR(__xludf.DUMMYFUNCTION("""COMPUTED_VALUE"""),"Paid")</f>
        <v>Paid</v>
      </c>
      <c r="X106" s="132" t="str">
        <f>IFERROR(__xludf.DUMMYFUNCTION("""COMPUTED_VALUE"""),"Paid")</f>
        <v>Paid</v>
      </c>
      <c r="Y106" s="132" t="str">
        <f>IFERROR(__xludf.DUMMYFUNCTION("""COMPUTED_VALUE"""),"Paid")</f>
        <v>Paid</v>
      </c>
      <c r="Z106" s="132"/>
    </row>
    <row r="107">
      <c r="A107" s="133">
        <f>IFERROR(__xludf.DUMMYFUNCTION("""COMPUTED_VALUE"""),45654.0)</f>
        <v>45654</v>
      </c>
      <c r="B107" s="132" t="str">
        <f>IFERROR(__xludf.DUMMYFUNCTION("""COMPUTED_VALUE"""),"Ice cream")</f>
        <v>Ice cream</v>
      </c>
      <c r="C107" s="132" t="str">
        <f>IFERROR(__xludf.DUMMYFUNCTION("""COMPUTED_VALUE"""),"食物")</f>
        <v>食物</v>
      </c>
      <c r="D107" s="132">
        <f>IFERROR(__xludf.DUMMYFUNCTION("""COMPUTED_VALUE"""),16.9161)</f>
        <v>16.9161</v>
      </c>
      <c r="E107" s="132" t="str">
        <f>IFERROR(__xludf.DUMMYFUNCTION("""COMPUTED_VALUE"""),"Pigskin")</f>
        <v>Pigskin</v>
      </c>
      <c r="F107" s="132">
        <f>IFERROR(__xludf.DUMMYFUNCTION("""COMPUTED_VALUE"""),5.6387)</f>
        <v>5.6387</v>
      </c>
      <c r="G107" s="132">
        <f>IFERROR(__xludf.DUMMYFUNCTION("""COMPUTED_VALUE"""),5.6387)</f>
        <v>5.6387</v>
      </c>
      <c r="H107" s="132">
        <f>IFERROR(__xludf.DUMMYFUNCTION("""COMPUTED_VALUE"""),1.0)</f>
        <v>1</v>
      </c>
      <c r="I107" s="132">
        <f>IFERROR(__xludf.DUMMYFUNCTION("""COMPUTED_VALUE"""),1.0)</f>
        <v>1</v>
      </c>
      <c r="J107" s="132"/>
      <c r="K107" s="132">
        <f>IFERROR(__xludf.DUMMYFUNCTION("""COMPUTED_VALUE"""),1.0)</f>
        <v>1</v>
      </c>
      <c r="L107" s="132"/>
      <c r="M107" s="132"/>
      <c r="N107" s="132"/>
      <c r="O107" s="132"/>
      <c r="P107" s="132"/>
      <c r="Q107" s="132"/>
      <c r="R107" s="132" t="str">
        <f>IFERROR(__xludf.DUMMYFUNCTION("""COMPUTED_VALUE"""),"Heat")</f>
        <v>Heat</v>
      </c>
      <c r="S107" s="132">
        <f>IFERROR(__xludf.DUMMYFUNCTION("""COMPUTED_VALUE"""),68.81)</f>
        <v>68.81</v>
      </c>
      <c r="T107" s="132">
        <f>IFERROR(__xludf.DUMMYFUNCTION("""COMPUTED_VALUE"""),13.762)</f>
        <v>13.762</v>
      </c>
      <c r="U107" s="132" t="str">
        <f>IFERROR(__xludf.DUMMYFUNCTION("""COMPUTED_VALUE"""),"Paid")</f>
        <v>Paid</v>
      </c>
      <c r="V107" s="132" t="str">
        <f>IFERROR(__xludf.DUMMYFUNCTION("""COMPUTED_VALUE"""),"Paid")</f>
        <v>Paid</v>
      </c>
      <c r="W107" s="132" t="str">
        <f>IFERROR(__xludf.DUMMYFUNCTION("""COMPUTED_VALUE"""),"Paid")</f>
        <v>Paid</v>
      </c>
      <c r="X107" s="132" t="str">
        <f>IFERROR(__xludf.DUMMYFUNCTION("""COMPUTED_VALUE"""),"Paid")</f>
        <v>Paid</v>
      </c>
      <c r="Y107" s="132" t="str">
        <f>IFERROR(__xludf.DUMMYFUNCTION("""COMPUTED_VALUE"""),"Paid")</f>
        <v>Paid</v>
      </c>
      <c r="Z107" s="132"/>
    </row>
    <row r="108">
      <c r="A108" s="133">
        <f>IFERROR(__xludf.DUMMYFUNCTION("""COMPUTED_VALUE"""),45654.0)</f>
        <v>45654</v>
      </c>
      <c r="B108" s="132" t="str">
        <f>IFERROR(__xludf.DUMMYFUNCTION("""COMPUTED_VALUE"""),"Towel")</f>
        <v>Towel</v>
      </c>
      <c r="C108" s="132" t="str">
        <f>IFERROR(__xludf.DUMMYFUNCTION("""COMPUTED_VALUE"""),"居家")</f>
        <v>居家</v>
      </c>
      <c r="D108" s="132">
        <f>IFERROR(__xludf.DUMMYFUNCTION("""COMPUTED_VALUE"""),6.542699999999999)</f>
        <v>6.5427</v>
      </c>
      <c r="E108" s="132" t="str">
        <f>IFERROR(__xludf.DUMMYFUNCTION("""COMPUTED_VALUE"""),"Pigskin")</f>
        <v>Pigskin</v>
      </c>
      <c r="F108" s="132">
        <f>IFERROR(__xludf.DUMMYFUNCTION("""COMPUTED_VALUE"""),1.3085399999999998)</f>
        <v>1.30854</v>
      </c>
      <c r="G108" s="132">
        <f>IFERROR(__xludf.DUMMYFUNCTION("""COMPUTED_VALUE"""),1.3085399999999998)</f>
        <v>1.30854</v>
      </c>
      <c r="H108" s="132">
        <f>IFERROR(__xludf.DUMMYFUNCTION("""COMPUTED_VALUE"""),1.0)</f>
        <v>1</v>
      </c>
      <c r="I108" s="132">
        <f>IFERROR(__xludf.DUMMYFUNCTION("""COMPUTED_VALUE"""),1.0)</f>
        <v>1</v>
      </c>
      <c r="J108" s="132">
        <f>IFERROR(__xludf.DUMMYFUNCTION("""COMPUTED_VALUE"""),1.0)</f>
        <v>1</v>
      </c>
      <c r="K108" s="132">
        <f>IFERROR(__xludf.DUMMYFUNCTION("""COMPUTED_VALUE"""),1.0)</f>
        <v>1</v>
      </c>
      <c r="L108" s="132"/>
      <c r="M108" s="132"/>
      <c r="N108" s="132">
        <f>IFERROR(__xludf.DUMMYFUNCTION("""COMPUTED_VALUE"""),1.0)</f>
        <v>1</v>
      </c>
      <c r="O108" s="132"/>
      <c r="P108" s="132"/>
      <c r="Q108" s="132"/>
      <c r="R108" s="132" t="str">
        <f>IFERROR(__xludf.DUMMYFUNCTION("""COMPUTED_VALUE"""),"Electricity")</f>
        <v>Electricity</v>
      </c>
      <c r="S108" s="132">
        <f>IFERROR(__xludf.DUMMYFUNCTION("""COMPUTED_VALUE"""),185.28)</f>
        <v>185.28</v>
      </c>
      <c r="T108" s="132">
        <f>IFERROR(__xludf.DUMMYFUNCTION("""COMPUTED_VALUE"""),37.056)</f>
        <v>37.056</v>
      </c>
      <c r="U108" s="132" t="str">
        <f>IFERROR(__xludf.DUMMYFUNCTION("""COMPUTED_VALUE"""),"Paid")</f>
        <v>Paid</v>
      </c>
      <c r="V108" s="132" t="str">
        <f>IFERROR(__xludf.DUMMYFUNCTION("""COMPUTED_VALUE"""),"Paid")</f>
        <v>Paid</v>
      </c>
      <c r="W108" s="132" t="str">
        <f>IFERROR(__xludf.DUMMYFUNCTION("""COMPUTED_VALUE"""),"Paid")</f>
        <v>Paid</v>
      </c>
      <c r="X108" s="132" t="str">
        <f>IFERROR(__xludf.DUMMYFUNCTION("""COMPUTED_VALUE"""),"Paid")</f>
        <v>Paid</v>
      </c>
      <c r="Y108" s="132" t="str">
        <f>IFERROR(__xludf.DUMMYFUNCTION("""COMPUTED_VALUE"""),"Paid")</f>
        <v>Paid</v>
      </c>
      <c r="Z108" s="132"/>
    </row>
    <row r="109">
      <c r="A109" s="133">
        <f>IFERROR(__xludf.DUMMYFUNCTION("""COMPUTED_VALUE"""),45654.0)</f>
        <v>45654</v>
      </c>
      <c r="B109" s="132" t="str">
        <f>IFERROR(__xludf.DUMMYFUNCTION("""COMPUTED_VALUE"""),"Towel")</f>
        <v>Towel</v>
      </c>
      <c r="C109" s="132" t="str">
        <f>IFERROR(__xludf.DUMMYFUNCTION("""COMPUTED_VALUE"""),"居家")</f>
        <v>居家</v>
      </c>
      <c r="D109" s="132">
        <f>IFERROR(__xludf.DUMMYFUNCTION("""COMPUTED_VALUE"""),9.04)</f>
        <v>9.04</v>
      </c>
      <c r="E109" s="132" t="str">
        <f>IFERROR(__xludf.DUMMYFUNCTION("""COMPUTED_VALUE"""),"Pigskin")</f>
        <v>Pigskin</v>
      </c>
      <c r="F109" s="132">
        <f>IFERROR(__xludf.DUMMYFUNCTION("""COMPUTED_VALUE"""),9.04)</f>
        <v>9.04</v>
      </c>
      <c r="G109" s="132">
        <f>IFERROR(__xludf.DUMMYFUNCTION("""COMPUTED_VALUE"""),9.04)</f>
        <v>9.04</v>
      </c>
      <c r="H109" s="132"/>
      <c r="I109" s="132"/>
      <c r="J109" s="132">
        <f>IFERROR(__xludf.DUMMYFUNCTION("""COMPUTED_VALUE"""),1.0)</f>
        <v>1</v>
      </c>
      <c r="K109" s="132"/>
      <c r="L109" s="132"/>
      <c r="M109" s="132"/>
      <c r="N109" s="132"/>
      <c r="O109" s="132"/>
      <c r="P109" s="132"/>
      <c r="Q109" s="132"/>
      <c r="R109" s="132" t="str">
        <f>IFERROR(__xludf.DUMMYFUNCTION("""COMPUTED_VALUE"""),"Internet")</f>
        <v>Internet</v>
      </c>
      <c r="S109" s="132">
        <f>IFERROR(__xludf.DUMMYFUNCTION("""COMPUTED_VALUE"""),56.5)</f>
        <v>56.5</v>
      </c>
      <c r="T109" s="132">
        <f>IFERROR(__xludf.DUMMYFUNCTION("""COMPUTED_VALUE"""),11.3)</f>
        <v>11.3</v>
      </c>
      <c r="U109" s="132" t="str">
        <f>IFERROR(__xludf.DUMMYFUNCTION("""COMPUTED_VALUE"""),"Paid")</f>
        <v>Paid</v>
      </c>
      <c r="V109" s="132" t="str">
        <f>IFERROR(__xludf.DUMMYFUNCTION("""COMPUTED_VALUE"""),"Paid")</f>
        <v>Paid</v>
      </c>
      <c r="W109" s="132" t="str">
        <f>IFERROR(__xludf.DUMMYFUNCTION("""COMPUTED_VALUE"""),"Paid")</f>
        <v>Paid</v>
      </c>
      <c r="X109" s="132" t="str">
        <f>IFERROR(__xludf.DUMMYFUNCTION("""COMPUTED_VALUE"""),"Paid")</f>
        <v>Paid</v>
      </c>
      <c r="Y109" s="132" t="str">
        <f>IFERROR(__xludf.DUMMYFUNCTION("""COMPUTED_VALUE"""),"Paid")</f>
        <v>Paid</v>
      </c>
      <c r="Z109" s="132"/>
    </row>
    <row r="110">
      <c r="A110" s="133">
        <f>IFERROR(__xludf.DUMMYFUNCTION("""COMPUTED_VALUE"""),45657.0)</f>
        <v>45657</v>
      </c>
      <c r="B110" s="132" t="str">
        <f>IFERROR(__xludf.DUMMYFUNCTION("""COMPUTED_VALUE"""),"Padded short")</f>
        <v>Padded short</v>
      </c>
      <c r="C110" s="132" t="str">
        <f>IFERROR(__xludf.DUMMYFUNCTION("""COMPUTED_VALUE"""),"衣服")</f>
        <v>衣服</v>
      </c>
      <c r="D110" s="132">
        <f>IFERROR(__xludf.DUMMYFUNCTION("""COMPUTED_VALUE"""),33.5271)</f>
        <v>33.5271</v>
      </c>
      <c r="E110" s="132" t="str">
        <f>IFERROR(__xludf.DUMMYFUNCTION("""COMPUTED_VALUE"""),"BL")</f>
        <v>BL</v>
      </c>
      <c r="F110" s="132">
        <f>IFERROR(__xludf.DUMMYFUNCTION("""COMPUTED_VALUE"""),33.5271)</f>
        <v>33.5271</v>
      </c>
      <c r="G110" s="132">
        <f>IFERROR(__xludf.DUMMYFUNCTION("""COMPUTED_VALUE"""),33.5271)</f>
        <v>33.5271</v>
      </c>
      <c r="H110" s="132"/>
      <c r="I110" s="132"/>
      <c r="J110" s="132">
        <f>IFERROR(__xludf.DUMMYFUNCTION("""COMPUTED_VALUE"""),1.0)</f>
        <v>1</v>
      </c>
      <c r="K110" s="132"/>
      <c r="L110" s="132"/>
      <c r="M110" s="132"/>
      <c r="N110" s="132"/>
      <c r="O110" s="132"/>
      <c r="P110" s="132"/>
      <c r="Q110" s="132"/>
      <c r="R110" s="132"/>
      <c r="S110" s="132">
        <f>IFERROR(__xludf.DUMMYFUNCTION("""COMPUTED_VALUE"""),-489.4100000000001)</f>
        <v>-489.41</v>
      </c>
      <c r="T110" s="132">
        <f>IFERROR(__xludf.DUMMYFUNCTION("""COMPUTED_VALUE"""),-117.88200000000002)</f>
        <v>-117.882</v>
      </c>
      <c r="U110" s="132"/>
      <c r="V110" s="132"/>
      <c r="W110" s="132"/>
      <c r="X110" s="132"/>
      <c r="Y110" s="132"/>
      <c r="Z110" s="132"/>
    </row>
    <row r="111">
      <c r="A111" s="133">
        <f>IFERROR(__xludf.DUMMYFUNCTION("""COMPUTED_VALUE"""),45657.0)</f>
        <v>45657</v>
      </c>
      <c r="B111" s="132" t="str">
        <f>IFERROR(__xludf.DUMMYFUNCTION("""COMPUTED_VALUE"""),"Padded short")</f>
        <v>Padded short</v>
      </c>
      <c r="C111" s="132" t="str">
        <f>IFERROR(__xludf.DUMMYFUNCTION("""COMPUTED_VALUE"""),"衣服")</f>
        <v>衣服</v>
      </c>
      <c r="D111" s="132">
        <f>IFERROR(__xludf.DUMMYFUNCTION("""COMPUTED_VALUE"""),142.041)</f>
        <v>142.041</v>
      </c>
      <c r="E111" s="132" t="str">
        <f>IFERROR(__xludf.DUMMYFUNCTION("""COMPUTED_VALUE"""),"BL")</f>
        <v>BL</v>
      </c>
      <c r="F111" s="132">
        <f>IFERROR(__xludf.DUMMYFUNCTION("""COMPUTED_VALUE"""),28.4082)</f>
        <v>28.4082</v>
      </c>
      <c r="G111" s="132">
        <f>IFERROR(__xludf.DUMMYFUNCTION("""COMPUTED_VALUE"""),28.4082)</f>
        <v>28.4082</v>
      </c>
      <c r="H111" s="132">
        <f>IFERROR(__xludf.DUMMYFUNCTION("""COMPUTED_VALUE"""),1.0)</f>
        <v>1</v>
      </c>
      <c r="I111" s="132">
        <f>IFERROR(__xludf.DUMMYFUNCTION("""COMPUTED_VALUE"""),1.0)</f>
        <v>1</v>
      </c>
      <c r="J111" s="132"/>
      <c r="K111" s="132">
        <f>IFERROR(__xludf.DUMMYFUNCTION("""COMPUTED_VALUE"""),1.0)</f>
        <v>1</v>
      </c>
      <c r="L111" s="132">
        <f>IFERROR(__xludf.DUMMYFUNCTION("""COMPUTED_VALUE"""),1.0)</f>
        <v>1</v>
      </c>
      <c r="M111" s="132"/>
      <c r="N111" s="132">
        <f>IFERROR(__xludf.DUMMYFUNCTION("""COMPUTED_VALUE"""),1.0)</f>
        <v>1</v>
      </c>
      <c r="O111" s="132"/>
      <c r="P111" s="132"/>
      <c r="Q111" s="134"/>
      <c r="R111" s="132"/>
      <c r="S111" s="132"/>
      <c r="T111" s="132"/>
      <c r="U111" s="132"/>
      <c r="V111" s="132"/>
      <c r="W111" s="132"/>
      <c r="X111" s="132"/>
      <c r="Y111" s="132"/>
      <c r="Z111" s="132"/>
    </row>
    <row r="112">
      <c r="A112" s="133">
        <f>IFERROR(__xludf.DUMMYFUNCTION("""COMPUTED_VALUE"""),45657.0)</f>
        <v>45657</v>
      </c>
      <c r="B112" s="132" t="str">
        <f>IFERROR(__xludf.DUMMYFUNCTION("""COMPUTED_VALUE"""),"Snow goggle")</f>
        <v>Snow goggle</v>
      </c>
      <c r="C112" s="132" t="str">
        <f>IFERROR(__xludf.DUMMYFUNCTION("""COMPUTED_VALUE"""),"衣服")</f>
        <v>衣服</v>
      </c>
      <c r="D112" s="132">
        <f>IFERROR(__xludf.DUMMYFUNCTION("""COMPUTED_VALUE"""),44.68019999999999)</f>
        <v>44.6802</v>
      </c>
      <c r="E112" s="132" t="str">
        <f>IFERROR(__xludf.DUMMYFUNCTION("""COMPUTED_VALUE"""),"BL")</f>
        <v>BL</v>
      </c>
      <c r="F112" s="132">
        <f>IFERROR(__xludf.DUMMYFUNCTION("""COMPUTED_VALUE"""),44.68019999999999)</f>
        <v>44.6802</v>
      </c>
      <c r="G112" s="132">
        <f>IFERROR(__xludf.DUMMYFUNCTION("""COMPUTED_VALUE"""),44.68019999999999)</f>
        <v>44.6802</v>
      </c>
      <c r="H112" s="132"/>
      <c r="I112" s="132"/>
      <c r="J112" s="132"/>
      <c r="K112" s="132"/>
      <c r="L112" s="132">
        <f>IFERROR(__xludf.DUMMYFUNCTION("""COMPUTED_VALUE"""),1.0)</f>
        <v>1</v>
      </c>
      <c r="M112" s="132"/>
      <c r="N112" s="132"/>
      <c r="O112" s="132"/>
      <c r="P112" s="132"/>
      <c r="Q112" s="134"/>
      <c r="R112" s="132"/>
      <c r="S112" s="132"/>
      <c r="T112" s="132"/>
      <c r="U112" s="132"/>
      <c r="V112" s="132"/>
      <c r="W112" s="132"/>
      <c r="X112" s="132"/>
      <c r="Y112" s="132"/>
      <c r="Z112" s="132"/>
    </row>
    <row r="113">
      <c r="A113" s="133">
        <f>IFERROR(__xludf.DUMMYFUNCTION("""COMPUTED_VALUE"""),45657.0)</f>
        <v>45657</v>
      </c>
      <c r="B113" s="132" t="str">
        <f>IFERROR(__xludf.DUMMYFUNCTION("""COMPUTED_VALUE"""),"Tooth paste")</f>
        <v>Tooth paste</v>
      </c>
      <c r="C113" s="132" t="str">
        <f>IFERROR(__xludf.DUMMYFUNCTION("""COMPUTED_VALUE"""),"居家")</f>
        <v>居家</v>
      </c>
      <c r="D113" s="132">
        <f>IFERROR(__xludf.DUMMYFUNCTION("""COMPUTED_VALUE"""),9.006099999999998)</f>
        <v>9.0061</v>
      </c>
      <c r="E113" s="132" t="str">
        <f>IFERROR(__xludf.DUMMYFUNCTION("""COMPUTED_VALUE"""),"BL")</f>
        <v>BL</v>
      </c>
      <c r="F113" s="132">
        <f>IFERROR(__xludf.DUMMYFUNCTION("""COMPUTED_VALUE"""),3.002033333333333)</f>
        <v>3.002033333</v>
      </c>
      <c r="G113" s="132">
        <f>IFERROR(__xludf.DUMMYFUNCTION("""COMPUTED_VALUE"""),3.002033333333333)</f>
        <v>3.002033333</v>
      </c>
      <c r="H113" s="132"/>
      <c r="I113" s="132"/>
      <c r="J113" s="132">
        <f>IFERROR(__xludf.DUMMYFUNCTION("""COMPUTED_VALUE"""),1.0)</f>
        <v>1</v>
      </c>
      <c r="K113" s="132">
        <f>IFERROR(__xludf.DUMMYFUNCTION("""COMPUTED_VALUE"""),1.0)</f>
        <v>1</v>
      </c>
      <c r="L113" s="132"/>
      <c r="M113" s="132"/>
      <c r="N113" s="132">
        <f>IFERROR(__xludf.DUMMYFUNCTION("""COMPUTED_VALUE"""),1.0)</f>
        <v>1</v>
      </c>
      <c r="O113" s="132"/>
      <c r="P113" s="132"/>
      <c r="Q113" s="134">
        <f>IFERROR(__xludf.DUMMYFUNCTION("""COMPUTED_VALUE"""),45566.0)</f>
        <v>45566</v>
      </c>
      <c r="R113" s="132" t="str">
        <f>IFERROR(__xludf.DUMMYFUNCTION("""COMPUTED_VALUE"""),"Heat")</f>
        <v>Heat</v>
      </c>
      <c r="S113" s="132">
        <f>IFERROR(__xludf.DUMMYFUNCTION("""COMPUTED_VALUE"""),68.81)</f>
        <v>68.81</v>
      </c>
      <c r="T113" s="132">
        <f>IFERROR(__xludf.DUMMYFUNCTION("""COMPUTED_VALUE"""),11.468333333333334)</f>
        <v>11.46833333</v>
      </c>
      <c r="U113" s="132" t="str">
        <f>IFERROR(__xludf.DUMMYFUNCTION("""COMPUTED_VALUE"""),"Paid")</f>
        <v>Paid</v>
      </c>
      <c r="V113" s="132" t="str">
        <f>IFERROR(__xludf.DUMMYFUNCTION("""COMPUTED_VALUE"""),"Paid")</f>
        <v>Paid</v>
      </c>
      <c r="W113" s="132" t="str">
        <f>IFERROR(__xludf.DUMMYFUNCTION("""COMPUTED_VALUE"""),"Paid")</f>
        <v>Paid</v>
      </c>
      <c r="X113" s="132" t="str">
        <f>IFERROR(__xludf.DUMMYFUNCTION("""COMPUTED_VALUE"""),"Paid")</f>
        <v>Paid</v>
      </c>
      <c r="Y113" s="132" t="str">
        <f>IFERROR(__xludf.DUMMYFUNCTION("""COMPUTED_VALUE"""),"Paid")</f>
        <v>Paid</v>
      </c>
      <c r="Z113" s="132"/>
    </row>
    <row r="114">
      <c r="A114" s="133">
        <f>IFERROR(__xludf.DUMMYFUNCTION("""COMPUTED_VALUE"""),45657.0)</f>
        <v>45657</v>
      </c>
      <c r="B114" s="132" t="str">
        <f>IFERROR(__xludf.DUMMYFUNCTION("""COMPUTED_VALUE"""),"Snow goggle")</f>
        <v>Snow goggle</v>
      </c>
      <c r="C114" s="132" t="str">
        <f>IFERROR(__xludf.DUMMYFUNCTION("""COMPUTED_VALUE"""),"衣服")</f>
        <v>衣服</v>
      </c>
      <c r="D114" s="132">
        <f>IFERROR(__xludf.DUMMYFUNCTION("""COMPUTED_VALUE"""),43.6519)</f>
        <v>43.6519</v>
      </c>
      <c r="E114" s="132" t="str">
        <f>IFERROR(__xludf.DUMMYFUNCTION("""COMPUTED_VALUE"""),"BL")</f>
        <v>BL</v>
      </c>
      <c r="F114" s="132">
        <f>IFERROR(__xludf.DUMMYFUNCTION("""COMPUTED_VALUE"""),43.6519)</f>
        <v>43.6519</v>
      </c>
      <c r="G114" s="132">
        <f>IFERROR(__xludf.DUMMYFUNCTION("""COMPUTED_VALUE"""),43.6519)</f>
        <v>43.6519</v>
      </c>
      <c r="H114" s="132"/>
      <c r="I114" s="132"/>
      <c r="J114" s="132"/>
      <c r="K114" s="132">
        <f>IFERROR(__xludf.DUMMYFUNCTION("""COMPUTED_VALUE"""),1.0)</f>
        <v>1</v>
      </c>
      <c r="L114" s="132"/>
      <c r="M114" s="132"/>
      <c r="N114" s="132"/>
      <c r="O114" s="132"/>
      <c r="P114" s="132"/>
      <c r="Q114" s="132"/>
      <c r="R114" s="132" t="str">
        <f>IFERROR(__xludf.DUMMYFUNCTION("""COMPUTED_VALUE"""),"Electricity")</f>
        <v>Electricity</v>
      </c>
      <c r="S114" s="132">
        <f>IFERROR(__xludf.DUMMYFUNCTION("""COMPUTED_VALUE"""),128.04)</f>
        <v>128.04</v>
      </c>
      <c r="T114" s="132">
        <f>IFERROR(__xludf.DUMMYFUNCTION("""COMPUTED_VALUE"""),21.34)</f>
        <v>21.34</v>
      </c>
      <c r="U114" s="132" t="str">
        <f>IFERROR(__xludf.DUMMYFUNCTION("""COMPUTED_VALUE"""),"Paid")</f>
        <v>Paid</v>
      </c>
      <c r="V114" s="132" t="str">
        <f>IFERROR(__xludf.DUMMYFUNCTION("""COMPUTED_VALUE"""),"Paid")</f>
        <v>Paid</v>
      </c>
      <c r="W114" s="132" t="str">
        <f>IFERROR(__xludf.DUMMYFUNCTION("""COMPUTED_VALUE"""),"Paid")</f>
        <v>Paid</v>
      </c>
      <c r="X114" s="132" t="str">
        <f>IFERROR(__xludf.DUMMYFUNCTION("""COMPUTED_VALUE"""),"Paid")</f>
        <v>Paid</v>
      </c>
      <c r="Y114" s="132" t="str">
        <f>IFERROR(__xludf.DUMMYFUNCTION("""COMPUTED_VALUE"""),"Paid")</f>
        <v>Paid</v>
      </c>
      <c r="Z114" s="132"/>
    </row>
    <row r="115">
      <c r="A115" s="133">
        <f>IFERROR(__xludf.DUMMYFUNCTION("""COMPUTED_VALUE"""),45657.0)</f>
        <v>45657</v>
      </c>
      <c r="B115" s="132" t="str">
        <f>IFERROR(__xludf.DUMMYFUNCTION("""COMPUTED_VALUE"""),"Snow goggle")</f>
        <v>Snow goggle</v>
      </c>
      <c r="C115" s="132" t="str">
        <f>IFERROR(__xludf.DUMMYFUNCTION("""COMPUTED_VALUE"""),"衣服")</f>
        <v>衣服</v>
      </c>
      <c r="D115" s="132">
        <f>IFERROR(__xludf.DUMMYFUNCTION("""COMPUTED_VALUE"""),63.25739999999999)</f>
        <v>63.2574</v>
      </c>
      <c r="E115" s="132" t="str">
        <f>IFERROR(__xludf.DUMMYFUNCTION("""COMPUTED_VALUE"""),"BL")</f>
        <v>BL</v>
      </c>
      <c r="F115" s="132">
        <f>IFERROR(__xludf.DUMMYFUNCTION("""COMPUTED_VALUE"""),31.628699999999995)</f>
        <v>31.6287</v>
      </c>
      <c r="G115" s="132">
        <f>IFERROR(__xludf.DUMMYFUNCTION("""COMPUTED_VALUE"""),31.628699999999995)</f>
        <v>31.6287</v>
      </c>
      <c r="H115" s="132">
        <f>IFERROR(__xludf.DUMMYFUNCTION("""COMPUTED_VALUE"""),1.0)</f>
        <v>1</v>
      </c>
      <c r="I115" s="132">
        <f>IFERROR(__xludf.DUMMYFUNCTION("""COMPUTED_VALUE"""),1.0)</f>
        <v>1</v>
      </c>
      <c r="J115" s="132"/>
      <c r="K115" s="132"/>
      <c r="L115" s="132"/>
      <c r="M115" s="132"/>
      <c r="N115" s="132"/>
      <c r="O115" s="132"/>
      <c r="P115" s="132"/>
      <c r="Q115" s="132"/>
      <c r="R115" s="132" t="str">
        <f>IFERROR(__xludf.DUMMYFUNCTION("""COMPUTED_VALUE"""),"Internet")</f>
        <v>Internet</v>
      </c>
      <c r="S115" s="132">
        <f>IFERROR(__xludf.DUMMYFUNCTION("""COMPUTED_VALUE"""),56.5)</f>
        <v>56.5</v>
      </c>
      <c r="T115" s="132">
        <f>IFERROR(__xludf.DUMMYFUNCTION("""COMPUTED_VALUE"""),9.416666666666666)</f>
        <v>9.416666667</v>
      </c>
      <c r="U115" s="132" t="str">
        <f>IFERROR(__xludf.DUMMYFUNCTION("""COMPUTED_VALUE"""),"Paid")</f>
        <v>Paid</v>
      </c>
      <c r="V115" s="132" t="str">
        <f>IFERROR(__xludf.DUMMYFUNCTION("""COMPUTED_VALUE"""),"Paid")</f>
        <v>Paid</v>
      </c>
      <c r="W115" s="132" t="str">
        <f>IFERROR(__xludf.DUMMYFUNCTION("""COMPUTED_VALUE"""),"Paid")</f>
        <v>Paid</v>
      </c>
      <c r="X115" s="132" t="str">
        <f>IFERROR(__xludf.DUMMYFUNCTION("""COMPUTED_VALUE"""),"Paid")</f>
        <v>Paid</v>
      </c>
      <c r="Y115" s="132" t="str">
        <f>IFERROR(__xludf.DUMMYFUNCTION("""COMPUTED_VALUE"""),"Paid")</f>
        <v>Paid</v>
      </c>
      <c r="Z115" s="132"/>
    </row>
    <row r="116">
      <c r="A116" s="133">
        <f>IFERROR(__xludf.DUMMYFUNCTION("""COMPUTED_VALUE"""),45657.0)</f>
        <v>45657</v>
      </c>
      <c r="B116" s="132" t="str">
        <f>IFERROR(__xludf.DUMMYFUNCTION("""COMPUTED_VALUE"""),"Body scale")</f>
        <v>Body scale</v>
      </c>
      <c r="C116" s="132" t="str">
        <f>IFERROR(__xludf.DUMMYFUNCTION("""COMPUTED_VALUE"""),"電子產品")</f>
        <v>電子產品</v>
      </c>
      <c r="D116" s="132">
        <f>IFERROR(__xludf.DUMMYFUNCTION("""COMPUTED_VALUE"""),45.1887)</f>
        <v>45.1887</v>
      </c>
      <c r="E116" s="132" t="str">
        <f>IFERROR(__xludf.DUMMYFUNCTION("""COMPUTED_VALUE"""),"BL")</f>
        <v>BL</v>
      </c>
      <c r="F116" s="132">
        <f>IFERROR(__xludf.DUMMYFUNCTION("""COMPUTED_VALUE"""),22.59435)</f>
        <v>22.59435</v>
      </c>
      <c r="G116" s="132">
        <f>IFERROR(__xludf.DUMMYFUNCTION("""COMPUTED_VALUE"""),22.59435)</f>
        <v>22.59435</v>
      </c>
      <c r="H116" s="132"/>
      <c r="I116" s="132"/>
      <c r="J116" s="132">
        <f>IFERROR(__xludf.DUMMYFUNCTION("""COMPUTED_VALUE"""),1.0)</f>
        <v>1</v>
      </c>
      <c r="K116" s="132"/>
      <c r="L116" s="132"/>
      <c r="M116" s="132"/>
      <c r="N116" s="132">
        <f>IFERROR(__xludf.DUMMYFUNCTION("""COMPUTED_VALUE"""),1.0)</f>
        <v>1</v>
      </c>
      <c r="O116" s="132"/>
      <c r="P116" s="132"/>
      <c r="Q116" s="132"/>
      <c r="R116" s="132" t="str">
        <f>IFERROR(__xludf.DUMMYFUNCTION("""COMPUTED_VALUE"""),"Rent for 2 months")</f>
        <v>Rent for 2 months</v>
      </c>
      <c r="S116" s="132">
        <f>IFERROR(__xludf.DUMMYFUNCTION("""COMPUTED_VALUE"""),7800.0)</f>
        <v>7800</v>
      </c>
      <c r="T116" s="132">
        <f>IFERROR(__xludf.DUMMYFUNCTION("""COMPUTED_VALUE"""),1300.0)</f>
        <v>1300</v>
      </c>
      <c r="U116" s="132" t="str">
        <f>IFERROR(__xludf.DUMMYFUNCTION("""COMPUTED_VALUE"""),"Paid")</f>
        <v>Paid</v>
      </c>
      <c r="V116" s="132" t="str">
        <f>IFERROR(__xludf.DUMMYFUNCTION("""COMPUTED_VALUE"""),"Paid")</f>
        <v>Paid</v>
      </c>
      <c r="W116" s="132" t="str">
        <f>IFERROR(__xludf.DUMMYFUNCTION("""COMPUTED_VALUE"""),"Paid")</f>
        <v>Paid</v>
      </c>
      <c r="X116" s="132" t="str">
        <f>IFERROR(__xludf.DUMMYFUNCTION("""COMPUTED_VALUE"""),"Paid")</f>
        <v>Paid</v>
      </c>
      <c r="Y116" s="132" t="str">
        <f>IFERROR(__xludf.DUMMYFUNCTION("""COMPUTED_VALUE"""),"Paid")</f>
        <v>Paid</v>
      </c>
      <c r="Z116" s="132"/>
    </row>
    <row r="117">
      <c r="A117" s="133">
        <f>IFERROR(__xludf.DUMMYFUNCTION("""COMPUTED_VALUE"""),45653.0)</f>
        <v>45653</v>
      </c>
      <c r="B117" s="132" t="str">
        <f>IFERROR(__xludf.DUMMYFUNCTION("""COMPUTED_VALUE"""),"Dinner")</f>
        <v>Dinner</v>
      </c>
      <c r="C117" s="132" t="str">
        <f>IFERROR(__xludf.DUMMYFUNCTION("""COMPUTED_VALUE"""),"食物")</f>
        <v>食物</v>
      </c>
      <c r="D117" s="132">
        <f>IFERROR(__xludf.DUMMYFUNCTION("""COMPUTED_VALUE"""),3.75)</f>
        <v>3.75</v>
      </c>
      <c r="E117" s="132" t="str">
        <f>IFERROR(__xludf.DUMMYFUNCTION("""COMPUTED_VALUE"""),"Pigskin")</f>
        <v>Pigskin</v>
      </c>
      <c r="F117" s="132">
        <f>IFERROR(__xludf.DUMMYFUNCTION("""COMPUTED_VALUE"""),0.9375)</f>
        <v>0.9375</v>
      </c>
      <c r="G117" s="132">
        <f>IFERROR(__xludf.DUMMYFUNCTION("""COMPUTED_VALUE"""),0.9375)</f>
        <v>0.9375</v>
      </c>
      <c r="H117" s="132">
        <f>IFERROR(__xludf.DUMMYFUNCTION("""COMPUTED_VALUE"""),1.0)</f>
        <v>1</v>
      </c>
      <c r="I117" s="132">
        <f>IFERROR(__xludf.DUMMYFUNCTION("""COMPUTED_VALUE"""),1.0)</f>
        <v>1</v>
      </c>
      <c r="J117" s="132">
        <f>IFERROR(__xludf.DUMMYFUNCTION("""COMPUTED_VALUE"""),1.0)</f>
        <v>1</v>
      </c>
      <c r="K117" s="132">
        <f>IFERROR(__xludf.DUMMYFUNCTION("""COMPUTED_VALUE"""),1.0)</f>
        <v>1</v>
      </c>
      <c r="L117" s="132"/>
      <c r="M117" s="132"/>
      <c r="N117" s="132"/>
      <c r="O117" s="132"/>
      <c r="P117" s="132"/>
      <c r="Q117" s="132"/>
      <c r="R117" s="132" t="str">
        <f>IFERROR(__xludf.DUMMYFUNCTION("""COMPUTED_VALUE"""),"Key deposit")</f>
        <v>Key deposit</v>
      </c>
      <c r="S117" s="132">
        <f>IFERROR(__xludf.DUMMYFUNCTION("""COMPUTED_VALUE"""),500.0)</f>
        <v>500</v>
      </c>
      <c r="T117" s="132">
        <f>IFERROR(__xludf.DUMMYFUNCTION("""COMPUTED_VALUE"""),83.33333333333333)</f>
        <v>83.33333333</v>
      </c>
      <c r="U117" s="132" t="str">
        <f>IFERROR(__xludf.DUMMYFUNCTION("""COMPUTED_VALUE"""),"Paid")</f>
        <v>Paid</v>
      </c>
      <c r="V117" s="132" t="str">
        <f>IFERROR(__xludf.DUMMYFUNCTION("""COMPUTED_VALUE"""),"Paid")</f>
        <v>Paid</v>
      </c>
      <c r="W117" s="132" t="str">
        <f>IFERROR(__xludf.DUMMYFUNCTION("""COMPUTED_VALUE"""),"Paid")</f>
        <v>Paid</v>
      </c>
      <c r="X117" s="132" t="str">
        <f>IFERROR(__xludf.DUMMYFUNCTION("""COMPUTED_VALUE"""),"Paid")</f>
        <v>Paid</v>
      </c>
      <c r="Y117" s="132" t="str">
        <f>IFERROR(__xludf.DUMMYFUNCTION("""COMPUTED_VALUE"""),"Paid")</f>
        <v>Paid</v>
      </c>
      <c r="Z117" s="132"/>
    </row>
    <row r="118">
      <c r="A118" s="133">
        <f>IFERROR(__xludf.DUMMYFUNCTION("""COMPUTED_VALUE"""),45654.0)</f>
        <v>45654</v>
      </c>
      <c r="B118" s="132" t="str">
        <f>IFERROR(__xludf.DUMMYFUNCTION("""COMPUTED_VALUE"""),"Decathlon")</f>
        <v>Decathlon</v>
      </c>
      <c r="C118" s="132" t="str">
        <f>IFERROR(__xludf.DUMMYFUNCTION("""COMPUTED_VALUE"""),"娛樂")</f>
        <v>娛樂</v>
      </c>
      <c r="D118" s="132">
        <f>IFERROR(__xludf.DUMMYFUNCTION("""COMPUTED_VALUE"""),16.95)</f>
        <v>16.95</v>
      </c>
      <c r="E118" s="132" t="str">
        <f>IFERROR(__xludf.DUMMYFUNCTION("""COMPUTED_VALUE"""),"BL")</f>
        <v>BL</v>
      </c>
      <c r="F118" s="132">
        <f>IFERROR(__xludf.DUMMYFUNCTION("""COMPUTED_VALUE"""),3.3899999999999997)</f>
        <v>3.39</v>
      </c>
      <c r="G118" s="132">
        <f>IFERROR(__xludf.DUMMYFUNCTION("""COMPUTED_VALUE"""),3.3899999999999997)</f>
        <v>3.39</v>
      </c>
      <c r="H118" s="132">
        <f>IFERROR(__xludf.DUMMYFUNCTION("""COMPUTED_VALUE"""),1.0)</f>
        <v>1</v>
      </c>
      <c r="I118" s="132">
        <f>IFERROR(__xludf.DUMMYFUNCTION("""COMPUTED_VALUE"""),1.0)</f>
        <v>1</v>
      </c>
      <c r="J118" s="132">
        <f>IFERROR(__xludf.DUMMYFUNCTION("""COMPUTED_VALUE"""),1.0)</f>
        <v>1</v>
      </c>
      <c r="K118" s="132">
        <f>IFERROR(__xludf.DUMMYFUNCTION("""COMPUTED_VALUE"""),1.0)</f>
        <v>1</v>
      </c>
      <c r="L118" s="132"/>
      <c r="M118" s="132"/>
      <c r="N118" s="132">
        <f>IFERROR(__xludf.DUMMYFUNCTION("""COMPUTED_VALUE"""),1.0)</f>
        <v>1</v>
      </c>
      <c r="O118" s="132"/>
      <c r="P118" s="132"/>
      <c r="Q118" s="132"/>
      <c r="R118" s="132"/>
      <c r="S118" s="132"/>
      <c r="T118" s="132"/>
      <c r="U118" s="132"/>
      <c r="V118" s="132"/>
      <c r="W118" s="132"/>
      <c r="X118" s="132"/>
      <c r="Y118" s="132"/>
      <c r="Z118" s="132"/>
    </row>
    <row r="119">
      <c r="A119" s="133">
        <f>IFERROR(__xludf.DUMMYFUNCTION("""COMPUTED_VALUE"""),45654.0)</f>
        <v>45654</v>
      </c>
      <c r="B119" s="132" t="str">
        <f>IFERROR(__xludf.DUMMYFUNCTION("""COMPUTED_VALUE"""),"Decathlon")</f>
        <v>Decathlon</v>
      </c>
      <c r="C119" s="132" t="str">
        <f>IFERROR(__xludf.DUMMYFUNCTION("""COMPUTED_VALUE"""),"衣服")</f>
        <v>衣服</v>
      </c>
      <c r="D119" s="132">
        <f>IFERROR(__xludf.DUMMYFUNCTION("""COMPUTED_VALUE"""),50.05)</f>
        <v>50.05</v>
      </c>
      <c r="E119" s="132" t="str">
        <f>IFERROR(__xludf.DUMMYFUNCTION("""COMPUTED_VALUE"""),"BL")</f>
        <v>BL</v>
      </c>
      <c r="F119" s="132">
        <f>IFERROR(__xludf.DUMMYFUNCTION("""COMPUTED_VALUE"""),50.05)</f>
        <v>50.05</v>
      </c>
      <c r="G119" s="132">
        <f>IFERROR(__xludf.DUMMYFUNCTION("""COMPUTED_VALUE"""),50.05)</f>
        <v>50.05</v>
      </c>
      <c r="H119" s="132"/>
      <c r="I119" s="132"/>
      <c r="J119" s="132">
        <f>IFERROR(__xludf.DUMMYFUNCTION("""COMPUTED_VALUE"""),1.0)</f>
        <v>1</v>
      </c>
      <c r="K119" s="132"/>
      <c r="L119" s="132"/>
      <c r="M119" s="132"/>
      <c r="N119" s="132"/>
      <c r="O119" s="132"/>
      <c r="P119" s="132"/>
      <c r="Q119" s="132"/>
      <c r="R119" s="132"/>
      <c r="S119" s="132"/>
      <c r="T119" s="132"/>
      <c r="U119" s="132"/>
      <c r="V119" s="132"/>
      <c r="W119" s="132"/>
      <c r="X119" s="132"/>
      <c r="Y119" s="132"/>
      <c r="Z119" s="132"/>
    </row>
    <row r="120">
      <c r="A120" s="133">
        <f>IFERROR(__xludf.DUMMYFUNCTION("""COMPUTED_VALUE"""),45654.0)</f>
        <v>45654</v>
      </c>
      <c r="B120" s="132" t="str">
        <f>IFERROR(__xludf.DUMMYFUNCTION("""COMPUTED_VALUE"""),"Decathlon")</f>
        <v>Decathlon</v>
      </c>
      <c r="C120" s="132" t="str">
        <f>IFERROR(__xludf.DUMMYFUNCTION("""COMPUTED_VALUE"""),"衣服")</f>
        <v>衣服</v>
      </c>
      <c r="D120" s="132">
        <f>IFERROR(__xludf.DUMMYFUNCTION("""COMPUTED_VALUE"""),28.249999999999996)</f>
        <v>28.25</v>
      </c>
      <c r="E120" s="132" t="str">
        <f>IFERROR(__xludf.DUMMYFUNCTION("""COMPUTED_VALUE"""),"BL")</f>
        <v>BL</v>
      </c>
      <c r="F120" s="132">
        <f>IFERROR(__xludf.DUMMYFUNCTION("""COMPUTED_VALUE"""),28.249999999999996)</f>
        <v>28.25</v>
      </c>
      <c r="G120" s="132">
        <f>IFERROR(__xludf.DUMMYFUNCTION("""COMPUTED_VALUE"""),28.249999999999996)</f>
        <v>28.25</v>
      </c>
      <c r="H120" s="132">
        <f>IFERROR(__xludf.DUMMYFUNCTION("""COMPUTED_VALUE"""),1.0)</f>
        <v>1</v>
      </c>
      <c r="I120" s="132"/>
      <c r="J120" s="132"/>
      <c r="K120" s="132"/>
      <c r="L120" s="132"/>
      <c r="M120" s="132"/>
      <c r="N120" s="132"/>
      <c r="O120" s="132"/>
      <c r="P120" s="132"/>
      <c r="Q120" s="134">
        <f>IFERROR(__xludf.DUMMYFUNCTION("""COMPUTED_VALUE"""),45597.0)</f>
        <v>45597</v>
      </c>
      <c r="R120" s="132" t="str">
        <f>IFERROR(__xludf.DUMMYFUNCTION("""COMPUTED_VALUE"""),"Rent")</f>
        <v>Rent</v>
      </c>
      <c r="S120" s="132">
        <f>IFERROR(__xludf.DUMMYFUNCTION("""COMPUTED_VALUE"""),3900.0)</f>
        <v>3900</v>
      </c>
      <c r="T120" s="132">
        <f>IFERROR(__xludf.DUMMYFUNCTION("""COMPUTED_VALUE"""),650.0)</f>
        <v>650</v>
      </c>
      <c r="U120" s="132" t="str">
        <f>IFERROR(__xludf.DUMMYFUNCTION("""COMPUTED_VALUE"""),"Paid")</f>
        <v>Paid</v>
      </c>
      <c r="V120" s="132" t="str">
        <f>IFERROR(__xludf.DUMMYFUNCTION("""COMPUTED_VALUE"""),"Paid")</f>
        <v>Paid</v>
      </c>
      <c r="W120" s="132" t="str">
        <f>IFERROR(__xludf.DUMMYFUNCTION("""COMPUTED_VALUE"""),"Paid")</f>
        <v>Paid</v>
      </c>
      <c r="X120" s="132" t="str">
        <f>IFERROR(__xludf.DUMMYFUNCTION("""COMPUTED_VALUE"""),"Paid")</f>
        <v>Paid</v>
      </c>
      <c r="Y120" s="132" t="str">
        <f>IFERROR(__xludf.DUMMYFUNCTION("""COMPUTED_VALUE"""),"Paid")</f>
        <v>Paid</v>
      </c>
      <c r="Z120" s="132"/>
    </row>
    <row r="121">
      <c r="A121" s="133">
        <f>IFERROR(__xludf.DUMMYFUNCTION("""COMPUTED_VALUE"""),45654.0)</f>
        <v>45654</v>
      </c>
      <c r="B121" s="132" t="str">
        <f>IFERROR(__xludf.DUMMYFUNCTION("""COMPUTED_VALUE"""),"Decathlon")</f>
        <v>Decathlon</v>
      </c>
      <c r="C121" s="132" t="str">
        <f>IFERROR(__xludf.DUMMYFUNCTION("""COMPUTED_VALUE"""),"衣服")</f>
        <v>衣服</v>
      </c>
      <c r="D121" s="132">
        <f>IFERROR(__xludf.DUMMYFUNCTION("""COMPUTED_VALUE"""),19.4)</f>
        <v>19.4</v>
      </c>
      <c r="E121" s="132" t="str">
        <f>IFERROR(__xludf.DUMMYFUNCTION("""COMPUTED_VALUE"""),"BL")</f>
        <v>BL</v>
      </c>
      <c r="F121" s="132">
        <f>IFERROR(__xludf.DUMMYFUNCTION("""COMPUTED_VALUE"""),19.4)</f>
        <v>19.4</v>
      </c>
      <c r="G121" s="132">
        <f>IFERROR(__xludf.DUMMYFUNCTION("""COMPUTED_VALUE"""),19.4)</f>
        <v>19.4</v>
      </c>
      <c r="H121" s="132"/>
      <c r="I121" s="132">
        <f>IFERROR(__xludf.DUMMYFUNCTION("""COMPUTED_VALUE"""),1.0)</f>
        <v>1</v>
      </c>
      <c r="J121" s="132"/>
      <c r="K121" s="132"/>
      <c r="L121" s="132"/>
      <c r="M121" s="132"/>
      <c r="N121" s="132"/>
      <c r="O121" s="132"/>
      <c r="P121" s="132"/>
      <c r="Q121" s="132"/>
      <c r="R121" s="132" t="str">
        <f>IFERROR(__xludf.DUMMYFUNCTION("""COMPUTED_VALUE"""),"Heat")</f>
        <v>Heat</v>
      </c>
      <c r="S121" s="132">
        <f>IFERROR(__xludf.DUMMYFUNCTION("""COMPUTED_VALUE"""),158.95)</f>
        <v>158.95</v>
      </c>
      <c r="T121" s="132">
        <f>IFERROR(__xludf.DUMMYFUNCTION("""COMPUTED_VALUE"""),26.491666666666664)</f>
        <v>26.49166667</v>
      </c>
      <c r="U121" s="132" t="str">
        <f>IFERROR(__xludf.DUMMYFUNCTION("""COMPUTED_VALUE"""),"Paid")</f>
        <v>Paid</v>
      </c>
      <c r="V121" s="132" t="str">
        <f>IFERROR(__xludf.DUMMYFUNCTION("""COMPUTED_VALUE"""),"Paid")</f>
        <v>Paid</v>
      </c>
      <c r="W121" s="132" t="str">
        <f>IFERROR(__xludf.DUMMYFUNCTION("""COMPUTED_VALUE"""),"Paid")</f>
        <v>Paid</v>
      </c>
      <c r="X121" s="132" t="str">
        <f>IFERROR(__xludf.DUMMYFUNCTION("""COMPUTED_VALUE"""),"Paid")</f>
        <v>Paid</v>
      </c>
      <c r="Y121" s="132" t="str">
        <f>IFERROR(__xludf.DUMMYFUNCTION("""COMPUTED_VALUE"""),"Paid")</f>
        <v>Paid</v>
      </c>
      <c r="Z121" s="132"/>
    </row>
    <row r="122">
      <c r="A122" s="133">
        <f>IFERROR(__xludf.DUMMYFUNCTION("""COMPUTED_VALUE"""),45654.0)</f>
        <v>45654</v>
      </c>
      <c r="B122" s="132" t="str">
        <f>IFERROR(__xludf.DUMMYFUNCTION("""COMPUTED_VALUE"""),"Uber")</f>
        <v>Uber</v>
      </c>
      <c r="C122" s="132" t="str">
        <f>IFERROR(__xludf.DUMMYFUNCTION("""COMPUTED_VALUE"""),"交通")</f>
        <v>交通</v>
      </c>
      <c r="D122" s="132">
        <f>IFERROR(__xludf.DUMMYFUNCTION("""COMPUTED_VALUE"""),29.38)</f>
        <v>29.38</v>
      </c>
      <c r="E122" s="132" t="str">
        <f>IFERROR(__xludf.DUMMYFUNCTION("""COMPUTED_VALUE"""),"Timothy")</f>
        <v>Timothy</v>
      </c>
      <c r="F122" s="132">
        <f>IFERROR(__xludf.DUMMYFUNCTION("""COMPUTED_VALUE"""),5.8759999999999994)</f>
        <v>5.876</v>
      </c>
      <c r="G122" s="132">
        <f>IFERROR(__xludf.DUMMYFUNCTION("""COMPUTED_VALUE"""),5.8759999999999994)</f>
        <v>5.876</v>
      </c>
      <c r="H122" s="132">
        <f>IFERROR(__xludf.DUMMYFUNCTION("""COMPUTED_VALUE"""),1.0)</f>
        <v>1</v>
      </c>
      <c r="I122" s="132">
        <f>IFERROR(__xludf.DUMMYFUNCTION("""COMPUTED_VALUE"""),1.0)</f>
        <v>1</v>
      </c>
      <c r="J122" s="132">
        <f>IFERROR(__xludf.DUMMYFUNCTION("""COMPUTED_VALUE"""),1.0)</f>
        <v>1</v>
      </c>
      <c r="K122" s="132">
        <f>IFERROR(__xludf.DUMMYFUNCTION("""COMPUTED_VALUE"""),1.0)</f>
        <v>1</v>
      </c>
      <c r="L122" s="132"/>
      <c r="M122" s="132"/>
      <c r="N122" s="132">
        <f>IFERROR(__xludf.DUMMYFUNCTION("""COMPUTED_VALUE"""),1.0)</f>
        <v>1</v>
      </c>
      <c r="O122" s="132"/>
      <c r="P122" s="132"/>
      <c r="Q122" s="132"/>
      <c r="R122" s="132" t="str">
        <f>IFERROR(__xludf.DUMMYFUNCTION("""COMPUTED_VALUE"""),"Electricity")</f>
        <v>Electricity</v>
      </c>
      <c r="S122" s="132">
        <f>IFERROR(__xludf.DUMMYFUNCTION("""COMPUTED_VALUE"""),167.9)</f>
        <v>167.9</v>
      </c>
      <c r="T122" s="132">
        <f>IFERROR(__xludf.DUMMYFUNCTION("""COMPUTED_VALUE"""),27.983333333333334)</f>
        <v>27.98333333</v>
      </c>
      <c r="U122" s="132" t="str">
        <f>IFERROR(__xludf.DUMMYFUNCTION("""COMPUTED_VALUE"""),"Paid")</f>
        <v>Paid</v>
      </c>
      <c r="V122" s="132" t="str">
        <f>IFERROR(__xludf.DUMMYFUNCTION("""COMPUTED_VALUE"""),"Paid")</f>
        <v>Paid</v>
      </c>
      <c r="W122" s="132" t="str">
        <f>IFERROR(__xludf.DUMMYFUNCTION("""COMPUTED_VALUE"""),"Paid")</f>
        <v>Paid</v>
      </c>
      <c r="X122" s="132" t="str">
        <f>IFERROR(__xludf.DUMMYFUNCTION("""COMPUTED_VALUE"""),"Paid")</f>
        <v>Paid</v>
      </c>
      <c r="Y122" s="132" t="str">
        <f>IFERROR(__xludf.DUMMYFUNCTION("""COMPUTED_VALUE"""),"Paid")</f>
        <v>Paid</v>
      </c>
      <c r="Z122" s="132"/>
    </row>
    <row r="123">
      <c r="A123" s="133">
        <f>IFERROR(__xludf.DUMMYFUNCTION("""COMPUTED_VALUE"""),45654.0)</f>
        <v>45654</v>
      </c>
      <c r="B123" s="132" t="str">
        <f>IFERROR(__xludf.DUMMYFUNCTION("""COMPUTED_VALUE"""),"Gyubee")</f>
        <v>Gyubee</v>
      </c>
      <c r="C123" s="132" t="str">
        <f>IFERROR(__xludf.DUMMYFUNCTION("""COMPUTED_VALUE"""),"食物")</f>
        <v>食物</v>
      </c>
      <c r="D123" s="132">
        <f>IFERROR(__xludf.DUMMYFUNCTION("""COMPUTED_VALUE"""),216.36)</f>
        <v>216.36</v>
      </c>
      <c r="E123" s="132" t="str">
        <f>IFERROR(__xludf.DUMMYFUNCTION("""COMPUTED_VALUE"""),"Pigskin")</f>
        <v>Pigskin</v>
      </c>
      <c r="F123" s="132">
        <f>IFERROR(__xludf.DUMMYFUNCTION("""COMPUTED_VALUE"""),43.272000000000006)</f>
        <v>43.272</v>
      </c>
      <c r="G123" s="132">
        <f>IFERROR(__xludf.DUMMYFUNCTION("""COMPUTED_VALUE"""),43.272000000000006)</f>
        <v>43.272</v>
      </c>
      <c r="H123" s="132">
        <f>IFERROR(__xludf.DUMMYFUNCTION("""COMPUTED_VALUE"""),1.0)</f>
        <v>1</v>
      </c>
      <c r="I123" s="132">
        <f>IFERROR(__xludf.DUMMYFUNCTION("""COMPUTED_VALUE"""),1.0)</f>
        <v>1</v>
      </c>
      <c r="J123" s="132">
        <f>IFERROR(__xludf.DUMMYFUNCTION("""COMPUTED_VALUE"""),1.0)</f>
        <v>1</v>
      </c>
      <c r="K123" s="132">
        <f>IFERROR(__xludf.DUMMYFUNCTION("""COMPUTED_VALUE"""),1.0)</f>
        <v>1</v>
      </c>
      <c r="L123" s="132"/>
      <c r="M123" s="132"/>
      <c r="N123" s="132">
        <f>IFERROR(__xludf.DUMMYFUNCTION("""COMPUTED_VALUE"""),1.0)</f>
        <v>1</v>
      </c>
      <c r="O123" s="132"/>
      <c r="P123" s="132"/>
      <c r="Q123" s="132"/>
      <c r="R123" s="132" t="str">
        <f>IFERROR(__xludf.DUMMYFUNCTION("""COMPUTED_VALUE"""),"Internet")</f>
        <v>Internet</v>
      </c>
      <c r="S123" s="132">
        <f>IFERROR(__xludf.DUMMYFUNCTION("""COMPUTED_VALUE"""),56.5)</f>
        <v>56.5</v>
      </c>
      <c r="T123" s="132">
        <f>IFERROR(__xludf.DUMMYFUNCTION("""COMPUTED_VALUE"""),9.416666666666666)</f>
        <v>9.416666667</v>
      </c>
      <c r="U123" s="132" t="str">
        <f>IFERROR(__xludf.DUMMYFUNCTION("""COMPUTED_VALUE"""),"Paid")</f>
        <v>Paid</v>
      </c>
      <c r="V123" s="132" t="str">
        <f>IFERROR(__xludf.DUMMYFUNCTION("""COMPUTED_VALUE"""),"Paid")</f>
        <v>Paid</v>
      </c>
      <c r="W123" s="132" t="str">
        <f>IFERROR(__xludf.DUMMYFUNCTION("""COMPUTED_VALUE"""),"Paid")</f>
        <v>Paid</v>
      </c>
      <c r="X123" s="132" t="str">
        <f>IFERROR(__xludf.DUMMYFUNCTION("""COMPUTED_VALUE"""),"Paid")</f>
        <v>Paid</v>
      </c>
      <c r="Y123" s="132" t="str">
        <f>IFERROR(__xludf.DUMMYFUNCTION("""COMPUTED_VALUE"""),"Paid")</f>
        <v>Paid</v>
      </c>
      <c r="Z123" s="132"/>
    </row>
    <row r="124">
      <c r="A124" s="133">
        <f>IFERROR(__xludf.DUMMYFUNCTION("""COMPUTED_VALUE"""),45641.0)</f>
        <v>45641</v>
      </c>
      <c r="B124" s="132" t="str">
        <f>IFERROR(__xludf.DUMMYFUNCTION("""COMPUTED_VALUE"""),"Temu clothing cloth")</f>
        <v>Temu clothing cloth</v>
      </c>
      <c r="C124" s="132" t="str">
        <f>IFERROR(__xludf.DUMMYFUNCTION("""COMPUTED_VALUE"""),"居家")</f>
        <v>居家</v>
      </c>
      <c r="D124" s="132">
        <f>IFERROR(__xludf.DUMMYFUNCTION("""COMPUTED_VALUE"""),3.3787)</f>
        <v>3.3787</v>
      </c>
      <c r="E124" s="132" t="str">
        <f>IFERROR(__xludf.DUMMYFUNCTION("""COMPUTED_VALUE"""),"Pigksin")</f>
        <v>Pigksin</v>
      </c>
      <c r="F124" s="132">
        <f>IFERROR(__xludf.DUMMYFUNCTION("""COMPUTED_VALUE"""),0.67574)</f>
        <v>0.67574</v>
      </c>
      <c r="G124" s="132">
        <f>IFERROR(__xludf.DUMMYFUNCTION("""COMPUTED_VALUE"""),0.67574)</f>
        <v>0.67574</v>
      </c>
      <c r="H124" s="132">
        <f>IFERROR(__xludf.DUMMYFUNCTION("""COMPUTED_VALUE"""),1.0)</f>
        <v>1</v>
      </c>
      <c r="I124" s="132">
        <f>IFERROR(__xludf.DUMMYFUNCTION("""COMPUTED_VALUE"""),1.0)</f>
        <v>1</v>
      </c>
      <c r="J124" s="132">
        <f>IFERROR(__xludf.DUMMYFUNCTION("""COMPUTED_VALUE"""),1.0)</f>
        <v>1</v>
      </c>
      <c r="K124" s="132">
        <f>IFERROR(__xludf.DUMMYFUNCTION("""COMPUTED_VALUE"""),1.0)</f>
        <v>1</v>
      </c>
      <c r="L124" s="132"/>
      <c r="M124" s="132"/>
      <c r="N124" s="132">
        <f>IFERROR(__xludf.DUMMYFUNCTION("""COMPUTED_VALUE"""),1.0)</f>
        <v>1</v>
      </c>
      <c r="O124" s="132"/>
      <c r="P124" s="132"/>
      <c r="Q124" s="132"/>
      <c r="R124" s="132"/>
      <c r="S124" s="132"/>
      <c r="T124" s="132"/>
      <c r="U124" s="132"/>
      <c r="V124" s="132"/>
      <c r="W124" s="132"/>
      <c r="X124" s="132"/>
      <c r="Y124" s="132"/>
      <c r="Z124" s="132"/>
    </row>
    <row r="125">
      <c r="A125" s="133">
        <f>IFERROR(__xludf.DUMMYFUNCTION("""COMPUTED_VALUE"""),45643.0)</f>
        <v>45643</v>
      </c>
      <c r="B125" s="132" t="str">
        <f>IFERROR(__xludf.DUMMYFUNCTION("""COMPUTED_VALUE"""),"Temu kitchen glove, string light, kitchen stuff")</f>
        <v>Temu kitchen glove, string light, kitchen stuff</v>
      </c>
      <c r="C125" s="132" t="str">
        <f>IFERROR(__xludf.DUMMYFUNCTION("""COMPUTED_VALUE"""),"居家")</f>
        <v>居家</v>
      </c>
      <c r="D125" s="135">
        <f>IFERROR(__xludf.DUMMYFUNCTION("""COMPUTED_VALUE"""),54.029999999999994)</f>
        <v>54.03</v>
      </c>
      <c r="E125" s="132" t="str">
        <f>IFERROR(__xludf.DUMMYFUNCTION("""COMPUTED_VALUE"""),"Pigksin")</f>
        <v>Pigksin</v>
      </c>
      <c r="F125" s="132">
        <f>IFERROR(__xludf.DUMMYFUNCTION("""COMPUTED_VALUE"""),10.806)</f>
        <v>10.806</v>
      </c>
      <c r="G125" s="132">
        <f>IFERROR(__xludf.DUMMYFUNCTION("""COMPUTED_VALUE"""),10.806)</f>
        <v>10.806</v>
      </c>
      <c r="H125" s="132">
        <f>IFERROR(__xludf.DUMMYFUNCTION("""COMPUTED_VALUE"""),1.0)</f>
        <v>1</v>
      </c>
      <c r="I125" s="132">
        <f>IFERROR(__xludf.DUMMYFUNCTION("""COMPUTED_VALUE"""),1.0)</f>
        <v>1</v>
      </c>
      <c r="J125" s="132">
        <f>IFERROR(__xludf.DUMMYFUNCTION("""COMPUTED_VALUE"""),1.0)</f>
        <v>1</v>
      </c>
      <c r="K125" s="132">
        <f>IFERROR(__xludf.DUMMYFUNCTION("""COMPUTED_VALUE"""),1.0)</f>
        <v>1</v>
      </c>
      <c r="L125" s="132"/>
      <c r="M125" s="132"/>
      <c r="N125" s="132">
        <f>IFERROR(__xludf.DUMMYFUNCTION("""COMPUTED_VALUE"""),1.0)</f>
        <v>1</v>
      </c>
      <c r="O125" s="132"/>
      <c r="P125" s="132"/>
      <c r="Q125" s="132"/>
      <c r="R125" s="132"/>
      <c r="S125" s="132"/>
      <c r="T125" s="132"/>
      <c r="U125" s="132"/>
      <c r="V125" s="132"/>
      <c r="W125" s="132"/>
      <c r="X125" s="132"/>
      <c r="Y125" s="132"/>
      <c r="Z125" s="132"/>
    </row>
    <row r="126">
      <c r="A126" s="133">
        <f>IFERROR(__xludf.DUMMYFUNCTION("""COMPUTED_VALUE"""),45643.0)</f>
        <v>45643</v>
      </c>
      <c r="B126" s="132" t="str">
        <f>IFERROR(__xludf.DUMMYFUNCTION("""COMPUTED_VALUE"""),"Hair clip and other")</f>
        <v>Hair clip and other</v>
      </c>
      <c r="C126" s="132" t="str">
        <f>IFERROR(__xludf.DUMMYFUNCTION("""COMPUTED_VALUE"""),"其他")</f>
        <v>其他</v>
      </c>
      <c r="D126" s="135">
        <f>IFERROR(__xludf.DUMMYFUNCTION("""COMPUTED_VALUE"""),9.969999999999999)</f>
        <v>9.97</v>
      </c>
      <c r="E126" s="132" t="str">
        <f>IFERROR(__xludf.DUMMYFUNCTION("""COMPUTED_VALUE"""),"Pigksin")</f>
        <v>Pigksin</v>
      </c>
      <c r="F126" s="132">
        <f>IFERROR(__xludf.DUMMYFUNCTION("""COMPUTED_VALUE"""),9.969999999999999)</f>
        <v>9.97</v>
      </c>
      <c r="G126" s="132">
        <f>IFERROR(__xludf.DUMMYFUNCTION("""COMPUTED_VALUE"""),9.969999999999999)</f>
        <v>9.97</v>
      </c>
      <c r="H126" s="132"/>
      <c r="I126" s="132"/>
      <c r="J126" s="132"/>
      <c r="K126" s="132"/>
      <c r="L126" s="132"/>
      <c r="M126" s="132"/>
      <c r="N126" s="132">
        <f>IFERROR(__xludf.DUMMYFUNCTION("""COMPUTED_VALUE"""),1.0)</f>
        <v>1</v>
      </c>
      <c r="O126" s="132"/>
      <c r="P126" s="132"/>
      <c r="Q126" s="134">
        <f>IFERROR(__xludf.DUMMYFUNCTION("""COMPUTED_VALUE"""),45627.0)</f>
        <v>45627</v>
      </c>
      <c r="R126" s="132" t="str">
        <f>IFERROR(__xludf.DUMMYFUNCTION("""COMPUTED_VALUE"""),"Rent")</f>
        <v>Rent</v>
      </c>
      <c r="S126" s="132">
        <f>IFERROR(__xludf.DUMMYFUNCTION("""COMPUTED_VALUE"""),3900.0)</f>
        <v>3900</v>
      </c>
      <c r="T126" s="132">
        <f>IFERROR(__xludf.DUMMYFUNCTION("""COMPUTED_VALUE"""),650.0)</f>
        <v>650</v>
      </c>
      <c r="U126" s="132" t="str">
        <f>IFERROR(__xludf.DUMMYFUNCTION("""COMPUTED_VALUE"""),"Paid")</f>
        <v>Paid</v>
      </c>
      <c r="V126" s="132" t="str">
        <f>IFERROR(__xludf.DUMMYFUNCTION("""COMPUTED_VALUE"""),"Paid")</f>
        <v>Paid</v>
      </c>
      <c r="W126" s="132" t="str">
        <f>IFERROR(__xludf.DUMMYFUNCTION("""COMPUTED_VALUE"""),"Paid")</f>
        <v>Paid</v>
      </c>
      <c r="X126" s="132" t="str">
        <f>IFERROR(__xludf.DUMMYFUNCTION("""COMPUTED_VALUE"""),"Paid")</f>
        <v>Paid</v>
      </c>
      <c r="Y126" s="132" t="str">
        <f>IFERROR(__xludf.DUMMYFUNCTION("""COMPUTED_VALUE"""),"Paid")</f>
        <v>Paid</v>
      </c>
      <c r="Z126" s="132"/>
    </row>
    <row r="127">
      <c r="A127" s="133">
        <f>IFERROR(__xludf.DUMMYFUNCTION("""COMPUTED_VALUE"""),45643.0)</f>
        <v>45643</v>
      </c>
      <c r="B127" s="132" t="str">
        <f>IFERROR(__xludf.DUMMYFUNCTION("""COMPUTED_VALUE"""),"Makeup egg")</f>
        <v>Makeup egg</v>
      </c>
      <c r="C127" s="132" t="str">
        <f>IFERROR(__xludf.DUMMYFUNCTION("""COMPUTED_VALUE"""),"其他")</f>
        <v>其他</v>
      </c>
      <c r="D127" s="135">
        <f>IFERROR(__xludf.DUMMYFUNCTION("""COMPUTED_VALUE"""),3.48)</f>
        <v>3.48</v>
      </c>
      <c r="E127" s="132" t="str">
        <f>IFERROR(__xludf.DUMMYFUNCTION("""COMPUTED_VALUE"""),"Pigksin")</f>
        <v>Pigksin</v>
      </c>
      <c r="F127" s="132">
        <f>IFERROR(__xludf.DUMMYFUNCTION("""COMPUTED_VALUE"""),1.74)</f>
        <v>1.74</v>
      </c>
      <c r="G127" s="132">
        <f>IFERROR(__xludf.DUMMYFUNCTION("""COMPUTED_VALUE"""),1.74)</f>
        <v>1.74</v>
      </c>
      <c r="H127" s="132"/>
      <c r="I127" s="132"/>
      <c r="J127" s="132"/>
      <c r="K127" s="132">
        <f>IFERROR(__xludf.DUMMYFUNCTION("""COMPUTED_VALUE"""),1.0)</f>
        <v>1</v>
      </c>
      <c r="L127" s="132"/>
      <c r="M127" s="132"/>
      <c r="N127" s="132">
        <f>IFERROR(__xludf.DUMMYFUNCTION("""COMPUTED_VALUE"""),1.0)</f>
        <v>1</v>
      </c>
      <c r="O127" s="132"/>
      <c r="P127" s="132"/>
      <c r="Q127" s="132"/>
      <c r="R127" s="132" t="str">
        <f>IFERROR(__xludf.DUMMYFUNCTION("""COMPUTED_VALUE"""),"Heat")</f>
        <v>Heat</v>
      </c>
      <c r="S127" s="132">
        <f>IFERROR(__xludf.DUMMYFUNCTION("""COMPUTED_VALUE"""),182.8)</f>
        <v>182.8</v>
      </c>
      <c r="T127" s="132">
        <f>IFERROR(__xludf.DUMMYFUNCTION("""COMPUTED_VALUE"""),30.46666666666667)</f>
        <v>30.46666667</v>
      </c>
      <c r="U127" s="132" t="str">
        <f>IFERROR(__xludf.DUMMYFUNCTION("""COMPUTED_VALUE"""),"Paid")</f>
        <v>Paid</v>
      </c>
      <c r="V127" s="132" t="str">
        <f>IFERROR(__xludf.DUMMYFUNCTION("""COMPUTED_VALUE"""),"Paid")</f>
        <v>Paid</v>
      </c>
      <c r="W127" s="132" t="str">
        <f>IFERROR(__xludf.DUMMYFUNCTION("""COMPUTED_VALUE"""),"Paid")</f>
        <v>Paid</v>
      </c>
      <c r="X127" s="132" t="str">
        <f>IFERROR(__xludf.DUMMYFUNCTION("""COMPUTED_VALUE"""),"Paid")</f>
        <v>Paid</v>
      </c>
      <c r="Y127" s="132" t="str">
        <f>IFERROR(__xludf.DUMMYFUNCTION("""COMPUTED_VALUE"""),"Paid")</f>
        <v>Paid</v>
      </c>
      <c r="Z127" s="132"/>
    </row>
    <row r="128">
      <c r="A128" s="133">
        <f>IFERROR(__xludf.DUMMYFUNCTION("""COMPUTED_VALUE"""),45643.0)</f>
        <v>45643</v>
      </c>
      <c r="B128" s="132" t="str">
        <f>IFERROR(__xludf.DUMMYFUNCTION("""COMPUTED_VALUE"""),"Electric Curling iron")</f>
        <v>Electric Curling iron</v>
      </c>
      <c r="C128" s="132" t="str">
        <f>IFERROR(__xludf.DUMMYFUNCTION("""COMPUTED_VALUE"""),"電子產品")</f>
        <v>電子產品</v>
      </c>
      <c r="D128" s="135">
        <f>IFERROR(__xludf.DUMMYFUNCTION("""COMPUTED_VALUE"""),16.38)</f>
        <v>16.38</v>
      </c>
      <c r="E128" s="132" t="str">
        <f>IFERROR(__xludf.DUMMYFUNCTION("""COMPUTED_VALUE"""),"Pigksin")</f>
        <v>Pigksin</v>
      </c>
      <c r="F128" s="132">
        <f>IFERROR(__xludf.DUMMYFUNCTION("""COMPUTED_VALUE"""),16.38)</f>
        <v>16.38</v>
      </c>
      <c r="G128" s="132">
        <f>IFERROR(__xludf.DUMMYFUNCTION("""COMPUTED_VALUE"""),16.38)</f>
        <v>16.38</v>
      </c>
      <c r="H128" s="132"/>
      <c r="I128" s="132"/>
      <c r="J128" s="132"/>
      <c r="K128" s="132"/>
      <c r="L128" s="132"/>
      <c r="M128" s="132"/>
      <c r="N128" s="132">
        <f>IFERROR(__xludf.DUMMYFUNCTION("""COMPUTED_VALUE"""),1.0)</f>
        <v>1</v>
      </c>
      <c r="O128" s="132"/>
      <c r="P128" s="132"/>
      <c r="Q128" s="132"/>
      <c r="R128" s="132" t="str">
        <f>IFERROR(__xludf.DUMMYFUNCTION("""COMPUTED_VALUE"""),"Electricity")</f>
        <v>Electricity</v>
      </c>
      <c r="S128" s="132">
        <f>IFERROR(__xludf.DUMMYFUNCTION("""COMPUTED_VALUE"""),166.37)</f>
        <v>166.37</v>
      </c>
      <c r="T128" s="132">
        <f>IFERROR(__xludf.DUMMYFUNCTION("""COMPUTED_VALUE"""),27.728333333333335)</f>
        <v>27.72833333</v>
      </c>
      <c r="U128" s="132" t="str">
        <f>IFERROR(__xludf.DUMMYFUNCTION("""COMPUTED_VALUE"""),"Paid")</f>
        <v>Paid</v>
      </c>
      <c r="V128" s="132" t="str">
        <f>IFERROR(__xludf.DUMMYFUNCTION("""COMPUTED_VALUE"""),"Paid")</f>
        <v>Paid</v>
      </c>
      <c r="W128" s="132" t="str">
        <f>IFERROR(__xludf.DUMMYFUNCTION("""COMPUTED_VALUE"""),"Paid")</f>
        <v>Paid</v>
      </c>
      <c r="X128" s="132" t="str">
        <f>IFERROR(__xludf.DUMMYFUNCTION("""COMPUTED_VALUE"""),"Paid")</f>
        <v>Paid</v>
      </c>
      <c r="Y128" s="132" t="str">
        <f>IFERROR(__xludf.DUMMYFUNCTION("""COMPUTED_VALUE"""),"Paid")</f>
        <v>Paid</v>
      </c>
      <c r="Z128" s="132"/>
    </row>
    <row r="129">
      <c r="A129" s="137">
        <f>IFERROR(__xludf.DUMMYFUNCTION("""COMPUTED_VALUE"""),45643.0)</f>
        <v>45643</v>
      </c>
      <c r="B129" s="88" t="str">
        <f>IFERROR(__xludf.DUMMYFUNCTION("""COMPUTED_VALUE"""),"Cake stuff")</f>
        <v>Cake stuff</v>
      </c>
      <c r="C129" s="88" t="str">
        <f>IFERROR(__xludf.DUMMYFUNCTION("""COMPUTED_VALUE"""),"居家")</f>
        <v>居家</v>
      </c>
      <c r="D129" s="6">
        <f>IFERROR(__xludf.DUMMYFUNCTION("""COMPUTED_VALUE"""),33.269999999999996)</f>
        <v>33.27</v>
      </c>
      <c r="E129" s="88" t="str">
        <f>IFERROR(__xludf.DUMMYFUNCTION("""COMPUTED_VALUE"""),"Pigksin")</f>
        <v>Pigksin</v>
      </c>
      <c r="F129" s="88">
        <f>IFERROR(__xludf.DUMMYFUNCTION("""COMPUTED_VALUE"""),33.269999999999996)</f>
        <v>33.27</v>
      </c>
      <c r="G129" s="88">
        <f>IFERROR(__xludf.DUMMYFUNCTION("""COMPUTED_VALUE"""),33.269999999999996)</f>
        <v>33.27</v>
      </c>
      <c r="H129" s="88"/>
      <c r="I129" s="88"/>
      <c r="J129" s="88"/>
      <c r="K129" s="88">
        <f>IFERROR(__xludf.DUMMYFUNCTION("""COMPUTED_VALUE"""),1.0)</f>
        <v>1</v>
      </c>
      <c r="L129" s="88"/>
      <c r="M129" s="88"/>
      <c r="N129" s="88"/>
      <c r="Q129" s="88"/>
      <c r="R129" s="88" t="str">
        <f>IFERROR(__xludf.DUMMYFUNCTION("""COMPUTED_VALUE"""),"Internet")</f>
        <v>Internet</v>
      </c>
      <c r="S129" s="88">
        <f>IFERROR(__xludf.DUMMYFUNCTION("""COMPUTED_VALUE"""),56.5)</f>
        <v>56.5</v>
      </c>
      <c r="T129" s="88">
        <f>IFERROR(__xludf.DUMMYFUNCTION("""COMPUTED_VALUE"""),9.416666666666666)</f>
        <v>9.416666667</v>
      </c>
      <c r="U129" s="88" t="str">
        <f>IFERROR(__xludf.DUMMYFUNCTION("""COMPUTED_VALUE"""),"Paid")</f>
        <v>Paid</v>
      </c>
      <c r="V129" s="88" t="str">
        <f>IFERROR(__xludf.DUMMYFUNCTION("""COMPUTED_VALUE"""),"Paid")</f>
        <v>Paid</v>
      </c>
      <c r="W129" s="88" t="str">
        <f>IFERROR(__xludf.DUMMYFUNCTION("""COMPUTED_VALUE"""),"Paid")</f>
        <v>Paid</v>
      </c>
      <c r="X129" s="88" t="str">
        <f>IFERROR(__xludf.DUMMYFUNCTION("""COMPUTED_VALUE"""),"Paid")</f>
        <v>Paid</v>
      </c>
      <c r="Y129" s="88" t="str">
        <f>IFERROR(__xludf.DUMMYFUNCTION("""COMPUTED_VALUE"""),"Paid")</f>
        <v>Paid</v>
      </c>
    </row>
    <row r="130">
      <c r="A130" s="137">
        <f>IFERROR(__xludf.DUMMYFUNCTION("""COMPUTED_VALUE"""),45643.0)</f>
        <v>45643</v>
      </c>
      <c r="B130" s="88" t="str">
        <f>IFERROR(__xludf.DUMMYFUNCTION("""COMPUTED_VALUE"""),"Toothpaste Sqeezer")</f>
        <v>Toothpaste Sqeezer</v>
      </c>
      <c r="C130" s="88" t="str">
        <f>IFERROR(__xludf.DUMMYFUNCTION("""COMPUTED_VALUE"""),"居家")</f>
        <v>居家</v>
      </c>
      <c r="D130" s="6">
        <f>IFERROR(__xludf.DUMMYFUNCTION("""COMPUTED_VALUE"""),0.97)</f>
        <v>0.97</v>
      </c>
      <c r="E130" s="88" t="str">
        <f>IFERROR(__xludf.DUMMYFUNCTION("""COMPUTED_VALUE"""),"Pigksin")</f>
        <v>Pigksin</v>
      </c>
      <c r="F130" s="88">
        <f>IFERROR(__xludf.DUMMYFUNCTION("""COMPUTED_VALUE"""),0.3233333333333333)</f>
        <v>0.3233333333</v>
      </c>
      <c r="G130" s="88">
        <f>IFERROR(__xludf.DUMMYFUNCTION("""COMPUTED_VALUE"""),0.3233333333333333)</f>
        <v>0.3233333333</v>
      </c>
      <c r="H130" s="88"/>
      <c r="I130" s="88"/>
      <c r="J130" s="88">
        <f>IFERROR(__xludf.DUMMYFUNCTION("""COMPUTED_VALUE"""),1.0)</f>
        <v>1</v>
      </c>
      <c r="K130" s="88">
        <f>IFERROR(__xludf.DUMMYFUNCTION("""COMPUTED_VALUE"""),1.0)</f>
        <v>1</v>
      </c>
      <c r="L130" s="88"/>
      <c r="M130" s="88"/>
      <c r="N130" s="88">
        <f>IFERROR(__xludf.DUMMYFUNCTION("""COMPUTED_VALUE"""),1.0)</f>
        <v>1</v>
      </c>
      <c r="Q130" s="88"/>
      <c r="R130" s="88"/>
      <c r="S130" s="88"/>
      <c r="T130" s="88"/>
      <c r="U130" s="88"/>
      <c r="V130" s="88"/>
      <c r="W130" s="88"/>
      <c r="X130" s="88"/>
      <c r="Y130" s="88"/>
    </row>
    <row r="131">
      <c r="A131" s="137">
        <f>IFERROR(__xludf.DUMMYFUNCTION("""COMPUTED_VALUE"""),45643.0)</f>
        <v>45643</v>
      </c>
      <c r="B131" s="88" t="str">
        <f>IFERROR(__xludf.DUMMYFUNCTION("""COMPUTED_VALUE"""),"Karaoke mic")</f>
        <v>Karaoke mic</v>
      </c>
      <c r="C131" s="88" t="str">
        <f>IFERROR(__xludf.DUMMYFUNCTION("""COMPUTED_VALUE"""),"電子產品")</f>
        <v>電子產品</v>
      </c>
      <c r="D131" s="6">
        <f>IFERROR(__xludf.DUMMYFUNCTION("""COMPUTED_VALUE"""),17.48)</f>
        <v>17.48</v>
      </c>
      <c r="E131" s="88" t="str">
        <f>IFERROR(__xludf.DUMMYFUNCTION("""COMPUTED_VALUE"""),"Pigksin")</f>
        <v>Pigksin</v>
      </c>
      <c r="F131" s="88">
        <f>IFERROR(__xludf.DUMMYFUNCTION("""COMPUTED_VALUE"""),17.48)</f>
        <v>17.48</v>
      </c>
      <c r="G131" s="88">
        <f>IFERROR(__xludf.DUMMYFUNCTION("""COMPUTED_VALUE"""),17.48)</f>
        <v>17.48</v>
      </c>
      <c r="H131" s="88"/>
      <c r="I131" s="88"/>
      <c r="J131" s="88"/>
      <c r="K131" s="88"/>
      <c r="L131" s="88"/>
      <c r="M131" s="88"/>
      <c r="N131" s="88">
        <f>IFERROR(__xludf.DUMMYFUNCTION("""COMPUTED_VALUE"""),1.0)</f>
        <v>1</v>
      </c>
      <c r="Q131" s="138">
        <f>IFERROR(__xludf.DUMMYFUNCTION("""COMPUTED_VALUE"""),45658.0)</f>
        <v>45658</v>
      </c>
      <c r="R131" s="88" t="str">
        <f>IFERROR(__xludf.DUMMYFUNCTION("""COMPUTED_VALUE"""),"Rent")</f>
        <v>Rent</v>
      </c>
      <c r="S131" s="88">
        <f>IFERROR(__xludf.DUMMYFUNCTION("""COMPUTED_VALUE"""),3900.0)</f>
        <v>3900</v>
      </c>
      <c r="T131" s="88">
        <f>IFERROR(__xludf.DUMMYFUNCTION("""COMPUTED_VALUE"""),650.0)</f>
        <v>650</v>
      </c>
      <c r="U131" s="88" t="str">
        <f>IFERROR(__xludf.DUMMYFUNCTION("""COMPUTED_VALUE"""),"Paid")</f>
        <v>Paid</v>
      </c>
      <c r="V131" s="88" t="str">
        <f>IFERROR(__xludf.DUMMYFUNCTION("""COMPUTED_VALUE"""),"Paid")</f>
        <v>Paid</v>
      </c>
      <c r="W131" s="88" t="str">
        <f>IFERROR(__xludf.DUMMYFUNCTION("""COMPUTED_VALUE"""),"Paid")</f>
        <v>Paid</v>
      </c>
      <c r="X131" s="88" t="str">
        <f>IFERROR(__xludf.DUMMYFUNCTION("""COMPUTED_VALUE"""),"Paid")</f>
        <v>Paid</v>
      </c>
      <c r="Y131" s="88" t="str">
        <f>IFERROR(__xludf.DUMMYFUNCTION("""COMPUTED_VALUE"""),"Paid")</f>
        <v>Paid</v>
      </c>
    </row>
    <row r="132">
      <c r="A132" s="137">
        <f>IFERROR(__xludf.DUMMYFUNCTION("""COMPUTED_VALUE"""),45644.0)</f>
        <v>45644</v>
      </c>
      <c r="B132" s="88" t="str">
        <f>IFERROR(__xludf.DUMMYFUNCTION("""COMPUTED_VALUE"""),"Temu eyebrow shaper")</f>
        <v>Temu eyebrow shaper</v>
      </c>
      <c r="C132" s="88" t="str">
        <f>IFERROR(__xludf.DUMMYFUNCTION("""COMPUTED_VALUE"""),"其他")</f>
        <v>其他</v>
      </c>
      <c r="D132" s="6">
        <f>IFERROR(__xludf.DUMMYFUNCTION("""COMPUTED_VALUE"""),1.0056999999999998)</f>
        <v>1.0057</v>
      </c>
      <c r="E132" s="88" t="str">
        <f>IFERROR(__xludf.DUMMYFUNCTION("""COMPUTED_VALUE"""),"Pigksin")</f>
        <v>Pigksin</v>
      </c>
      <c r="F132" s="88">
        <f>IFERROR(__xludf.DUMMYFUNCTION("""COMPUTED_VALUE"""),0.33523333333333327)</f>
        <v>0.3352333333</v>
      </c>
      <c r="G132" s="88">
        <f>IFERROR(__xludf.DUMMYFUNCTION("""COMPUTED_VALUE"""),0.33523333333333327)</f>
        <v>0.3352333333</v>
      </c>
      <c r="H132" s="88"/>
      <c r="I132" s="88">
        <f>IFERROR(__xludf.DUMMYFUNCTION("""COMPUTED_VALUE"""),1.0)</f>
        <v>1</v>
      </c>
      <c r="J132" s="88"/>
      <c r="K132" s="88">
        <f>IFERROR(__xludf.DUMMYFUNCTION("""COMPUTED_VALUE"""),1.0)</f>
        <v>1</v>
      </c>
      <c r="L132" s="88"/>
      <c r="M132" s="88"/>
      <c r="N132" s="88">
        <f>IFERROR(__xludf.DUMMYFUNCTION("""COMPUTED_VALUE"""),1.0)</f>
        <v>1</v>
      </c>
      <c r="Q132" s="88"/>
      <c r="R132" s="88" t="str">
        <f>IFERROR(__xludf.DUMMYFUNCTION("""COMPUTED_VALUE"""),"Heat January 17, 2025 - February 18, 2025")</f>
        <v>Heat January 17, 2025 - February 18, 2025</v>
      </c>
      <c r="S132" s="88">
        <f>IFERROR(__xludf.DUMMYFUNCTION("""COMPUTED_VALUE"""),303.55)</f>
        <v>303.55</v>
      </c>
      <c r="T132" s="88">
        <f>IFERROR(__xludf.DUMMYFUNCTION("""COMPUTED_VALUE"""),60.71)</f>
        <v>60.71</v>
      </c>
      <c r="U132" s="88"/>
      <c r="V132" s="88"/>
      <c r="W132" s="88"/>
      <c r="X132" s="88"/>
      <c r="Y132" s="88"/>
    </row>
    <row r="133">
      <c r="A133" s="137">
        <f>IFERROR(__xludf.DUMMYFUNCTION("""COMPUTED_VALUE"""),45644.0)</f>
        <v>45644</v>
      </c>
      <c r="B133" s="88" t="str">
        <f>IFERROR(__xludf.DUMMYFUNCTION("""COMPUTED_VALUE"""),"Skigloves")</f>
        <v>Skigloves</v>
      </c>
      <c r="C133" s="88" t="str">
        <f>IFERROR(__xludf.DUMMYFUNCTION("""COMPUTED_VALUE"""),"衣服")</f>
        <v>衣服</v>
      </c>
      <c r="D133" s="88">
        <f>IFERROR(__xludf.DUMMYFUNCTION("""COMPUTED_VALUE"""),32.7022)</f>
        <v>32.7022</v>
      </c>
      <c r="E133" s="88" t="str">
        <f>IFERROR(__xludf.DUMMYFUNCTION("""COMPUTED_VALUE"""),"Pigksin")</f>
        <v>Pigksin</v>
      </c>
      <c r="F133" s="88">
        <f>IFERROR(__xludf.DUMMYFUNCTION("""COMPUTED_VALUE"""),16.3511)</f>
        <v>16.3511</v>
      </c>
      <c r="G133" s="88">
        <f>IFERROR(__xludf.DUMMYFUNCTION("""COMPUTED_VALUE"""),16.3511)</f>
        <v>16.3511</v>
      </c>
      <c r="H133" s="88"/>
      <c r="I133" s="88">
        <f>IFERROR(__xludf.DUMMYFUNCTION("""COMPUTED_VALUE"""),1.0)</f>
        <v>1</v>
      </c>
      <c r="J133" s="88"/>
      <c r="K133" s="88">
        <f>IFERROR(__xludf.DUMMYFUNCTION("""COMPUTED_VALUE"""),1.0)</f>
        <v>1</v>
      </c>
      <c r="L133" s="88"/>
      <c r="M133" s="88"/>
      <c r="N133" s="88"/>
      <c r="Q133" s="88"/>
      <c r="R133" s="88" t="str">
        <f>IFERROR(__xludf.DUMMYFUNCTION("""COMPUTED_VALUE"""),"Electricity")</f>
        <v>Electricity</v>
      </c>
      <c r="S133" s="88">
        <f>IFERROR(__xludf.DUMMYFUNCTION("""COMPUTED_VALUE"""),202.18)</f>
        <v>202.18</v>
      </c>
      <c r="T133" s="88">
        <f>IFERROR(__xludf.DUMMYFUNCTION("""COMPUTED_VALUE"""),33.696666666666665)</f>
        <v>33.69666667</v>
      </c>
      <c r="U133" s="88"/>
      <c r="V133" s="88"/>
      <c r="W133" s="88"/>
      <c r="X133" s="88"/>
      <c r="Y133" s="88"/>
    </row>
    <row r="134">
      <c r="A134" s="137">
        <f>IFERROR(__xludf.DUMMYFUNCTION("""COMPUTED_VALUE"""),45644.0)</f>
        <v>45644</v>
      </c>
      <c r="B134" s="88" t="str">
        <f>IFERROR(__xludf.DUMMYFUNCTION("""COMPUTED_VALUE"""),"Skigloves")</f>
        <v>Skigloves</v>
      </c>
      <c r="C134" s="88" t="str">
        <f>IFERROR(__xludf.DUMMYFUNCTION("""COMPUTED_VALUE"""),"衣服")</f>
        <v>衣服</v>
      </c>
      <c r="D134" s="88">
        <f>IFERROR(__xludf.DUMMYFUNCTION("""COMPUTED_VALUE"""),10.7011)</f>
        <v>10.7011</v>
      </c>
      <c r="E134" s="88" t="str">
        <f>IFERROR(__xludf.DUMMYFUNCTION("""COMPUTED_VALUE"""),"Pigksin")</f>
        <v>Pigksin</v>
      </c>
      <c r="F134" s="88">
        <f>IFERROR(__xludf.DUMMYFUNCTION("""COMPUTED_VALUE"""),10.7011)</f>
        <v>10.7011</v>
      </c>
      <c r="G134" s="88">
        <f>IFERROR(__xludf.DUMMYFUNCTION("""COMPUTED_VALUE"""),10.7011)</f>
        <v>10.7011</v>
      </c>
      <c r="H134" s="88">
        <f>IFERROR(__xludf.DUMMYFUNCTION("""COMPUTED_VALUE"""),1.0)</f>
        <v>1</v>
      </c>
      <c r="I134" s="88"/>
      <c r="J134" s="88"/>
      <c r="K134" s="88"/>
      <c r="L134" s="88"/>
      <c r="M134" s="88"/>
      <c r="N134" s="88"/>
      <c r="Q134" s="88"/>
      <c r="R134" s="88" t="str">
        <f>IFERROR(__xludf.DUMMYFUNCTION("""COMPUTED_VALUE"""),"Internet")</f>
        <v>Internet</v>
      </c>
      <c r="S134" s="88">
        <f>IFERROR(__xludf.DUMMYFUNCTION("""COMPUTED_VALUE"""),56.5)</f>
        <v>56.5</v>
      </c>
      <c r="T134" s="88">
        <f>IFERROR(__xludf.DUMMYFUNCTION("""COMPUTED_VALUE"""),9.416666666666666)</f>
        <v>9.416666667</v>
      </c>
      <c r="U134" s="88"/>
      <c r="V134" s="88"/>
      <c r="W134" s="88"/>
      <c r="X134" s="88"/>
      <c r="Y134" s="88"/>
    </row>
    <row r="135">
      <c r="A135" s="137">
        <f>IFERROR(__xludf.DUMMYFUNCTION("""COMPUTED_VALUE"""),45644.0)</f>
        <v>45644</v>
      </c>
      <c r="B135" s="88" t="str">
        <f>IFERROR(__xludf.DUMMYFUNCTION("""COMPUTED_VALUE"""),"Christmas card")</f>
        <v>Christmas card</v>
      </c>
      <c r="C135" s="88" t="str">
        <f>IFERROR(__xludf.DUMMYFUNCTION("""COMPUTED_VALUE"""),"其他")</f>
        <v>其他</v>
      </c>
      <c r="D135" s="88">
        <f>IFERROR(__xludf.DUMMYFUNCTION("""COMPUTED_VALUE"""),7.1868)</f>
        <v>7.1868</v>
      </c>
      <c r="E135" s="88" t="str">
        <f>IFERROR(__xludf.DUMMYFUNCTION("""COMPUTED_VALUE"""),"Pigskin")</f>
        <v>Pigskin</v>
      </c>
      <c r="F135" s="88">
        <f>IFERROR(__xludf.DUMMYFUNCTION("""COMPUTED_VALUE"""),7.1868)</f>
        <v>7.1868</v>
      </c>
      <c r="G135" s="88">
        <f>IFERROR(__xludf.DUMMYFUNCTION("""COMPUTED_VALUE"""),7.1868)</f>
        <v>7.1868</v>
      </c>
      <c r="H135" s="88"/>
      <c r="I135" s="88">
        <f>IFERROR(__xludf.DUMMYFUNCTION("""COMPUTED_VALUE"""),1.0)</f>
        <v>1</v>
      </c>
      <c r="J135" s="88"/>
      <c r="K135" s="88"/>
      <c r="L135" s="88"/>
      <c r="M135" s="88"/>
      <c r="N135" s="88"/>
      <c r="Q135" s="88"/>
      <c r="R135" s="88" t="str">
        <f>IFERROR(__xludf.DUMMYFUNCTION("""COMPUTED_VALUE"""),"Water")</f>
        <v>Water</v>
      </c>
      <c r="S135" s="88">
        <f>IFERROR(__xludf.DUMMYFUNCTION("""COMPUTED_VALUE"""),136.32)</f>
        <v>136.32</v>
      </c>
      <c r="T135" s="88">
        <f>IFERROR(__xludf.DUMMYFUNCTION("""COMPUTED_VALUE"""),22.72)</f>
        <v>22.72</v>
      </c>
      <c r="U135" s="88"/>
      <c r="V135" s="88"/>
      <c r="W135" s="88"/>
      <c r="X135" s="88"/>
      <c r="Y135" s="88"/>
    </row>
    <row r="136">
      <c r="A136" s="137">
        <f>IFERROR(__xludf.DUMMYFUNCTION("""COMPUTED_VALUE"""),45644.0)</f>
        <v>45644</v>
      </c>
      <c r="B136" s="88" t="str">
        <f>IFERROR(__xludf.DUMMYFUNCTION("""COMPUTED_VALUE"""),"Christmas card")</f>
        <v>Christmas card</v>
      </c>
      <c r="C136" s="88" t="str">
        <f>IFERROR(__xludf.DUMMYFUNCTION("""COMPUTED_VALUE"""),"其他")</f>
        <v>其他</v>
      </c>
      <c r="D136" s="88">
        <f>IFERROR(__xludf.DUMMYFUNCTION("""COMPUTED_VALUE"""),4.2261999999999995)</f>
        <v>4.2262</v>
      </c>
      <c r="E136" s="88" t="str">
        <f>IFERROR(__xludf.DUMMYFUNCTION("""COMPUTED_VALUE"""),"Pigskin")</f>
        <v>Pigskin</v>
      </c>
      <c r="F136" s="88">
        <f>IFERROR(__xludf.DUMMYFUNCTION("""COMPUTED_VALUE"""),4.2261999999999995)</f>
        <v>4.2262</v>
      </c>
      <c r="G136" s="88">
        <f>IFERROR(__xludf.DUMMYFUNCTION("""COMPUTED_VALUE"""),4.2261999999999995)</f>
        <v>4.2262</v>
      </c>
      <c r="H136" s="88"/>
      <c r="I136" s="88"/>
      <c r="J136" s="88"/>
      <c r="K136" s="88"/>
      <c r="L136" s="88"/>
      <c r="M136" s="88"/>
      <c r="N136" s="88">
        <f>IFERROR(__xludf.DUMMYFUNCTION("""COMPUTED_VALUE"""),1.0)</f>
        <v>1</v>
      </c>
      <c r="Q136" s="88"/>
      <c r="R136" s="88"/>
      <c r="S136" s="88"/>
      <c r="T136" s="88"/>
      <c r="U136" s="88"/>
      <c r="V136" s="88"/>
      <c r="W136" s="88"/>
      <c r="X136" s="88"/>
      <c r="Y136" s="88"/>
    </row>
    <row r="137">
      <c r="A137" s="137">
        <f>IFERROR(__xludf.DUMMYFUNCTION("""COMPUTED_VALUE"""),45644.0)</f>
        <v>45644</v>
      </c>
      <c r="B137" s="88" t="str">
        <f>IFERROR(__xludf.DUMMYFUNCTION("""COMPUTED_VALUE"""),"Christmas card")</f>
        <v>Christmas card</v>
      </c>
      <c r="C137" s="88" t="str">
        <f>IFERROR(__xludf.DUMMYFUNCTION("""COMPUTED_VALUE"""),"其他")</f>
        <v>其他</v>
      </c>
      <c r="D137" s="88">
        <f>IFERROR(__xludf.DUMMYFUNCTION("""COMPUTED_VALUE"""),10.960999999999999)</f>
        <v>10.961</v>
      </c>
      <c r="E137" s="88" t="str">
        <f>IFERROR(__xludf.DUMMYFUNCTION("""COMPUTED_VALUE"""),"Pigskin")</f>
        <v>Pigskin</v>
      </c>
      <c r="F137" s="88">
        <f>IFERROR(__xludf.DUMMYFUNCTION("""COMPUTED_VALUE"""),10.960999999999999)</f>
        <v>10.961</v>
      </c>
      <c r="G137" s="88">
        <f>IFERROR(__xludf.DUMMYFUNCTION("""COMPUTED_VALUE"""),10.960999999999999)</f>
        <v>10.961</v>
      </c>
      <c r="H137" s="88"/>
      <c r="I137" s="88"/>
      <c r="J137" s="88"/>
      <c r="K137" s="88">
        <f>IFERROR(__xludf.DUMMYFUNCTION("""COMPUTED_VALUE"""),1.0)</f>
        <v>1</v>
      </c>
      <c r="L137" s="88"/>
      <c r="M137" s="88"/>
      <c r="N137" s="88"/>
      <c r="Q137" s="138">
        <f>IFERROR(__xludf.DUMMYFUNCTION("""COMPUTED_VALUE"""),45689.0)</f>
        <v>45689</v>
      </c>
      <c r="R137" s="88" t="str">
        <f>IFERROR(__xludf.DUMMYFUNCTION("""COMPUTED_VALUE"""),"Rent")</f>
        <v>Rent</v>
      </c>
      <c r="S137" s="88">
        <f>IFERROR(__xludf.DUMMYFUNCTION("""COMPUTED_VALUE"""),3900.0)</f>
        <v>3900</v>
      </c>
      <c r="T137" s="88">
        <f>IFERROR(__xludf.DUMMYFUNCTION("""COMPUTED_VALUE"""),650.0)</f>
        <v>650</v>
      </c>
      <c r="U137" s="88" t="str">
        <f>IFERROR(__xludf.DUMMYFUNCTION("""COMPUTED_VALUE"""),"Paid")</f>
        <v>Paid</v>
      </c>
      <c r="V137" s="88" t="str">
        <f>IFERROR(__xludf.DUMMYFUNCTION("""COMPUTED_VALUE"""),"Paid")</f>
        <v>Paid</v>
      </c>
      <c r="W137" s="88" t="str">
        <f>IFERROR(__xludf.DUMMYFUNCTION("""COMPUTED_VALUE"""),"Paid")</f>
        <v>Paid</v>
      </c>
      <c r="X137" s="88" t="str">
        <f>IFERROR(__xludf.DUMMYFUNCTION("""COMPUTED_VALUE"""),"Paid")</f>
        <v>Paid</v>
      </c>
      <c r="Y137" s="88" t="str">
        <f>IFERROR(__xludf.DUMMYFUNCTION("""COMPUTED_VALUE"""),"Paid")</f>
        <v>Paid</v>
      </c>
    </row>
    <row r="138">
      <c r="A138" s="137">
        <f>IFERROR(__xludf.DUMMYFUNCTION("""COMPUTED_VALUE"""),45644.0)</f>
        <v>45644</v>
      </c>
      <c r="B138" s="88" t="str">
        <f>IFERROR(__xludf.DUMMYFUNCTION("""COMPUTED_VALUE"""),"Gloves")</f>
        <v>Gloves</v>
      </c>
      <c r="C138" s="88" t="str">
        <f>IFERROR(__xludf.DUMMYFUNCTION("""COMPUTED_VALUE"""),"衣服")</f>
        <v>衣服</v>
      </c>
      <c r="D138" s="88">
        <f>IFERROR(__xludf.DUMMYFUNCTION("""COMPUTED_VALUE"""),4.158399999999999)</f>
        <v>4.1584</v>
      </c>
      <c r="E138" s="88" t="str">
        <f>IFERROR(__xludf.DUMMYFUNCTION("""COMPUTED_VALUE"""),"Pigskin")</f>
        <v>Pigskin</v>
      </c>
      <c r="F138" s="88">
        <f>IFERROR(__xludf.DUMMYFUNCTION("""COMPUTED_VALUE"""),4.158399999999999)</f>
        <v>4.1584</v>
      </c>
      <c r="G138" s="88">
        <f>IFERROR(__xludf.DUMMYFUNCTION("""COMPUTED_VALUE"""),4.158399999999999)</f>
        <v>4.1584</v>
      </c>
      <c r="H138" s="88"/>
      <c r="I138" s="88"/>
      <c r="J138" s="88"/>
      <c r="K138" s="88">
        <f>IFERROR(__xludf.DUMMYFUNCTION("""COMPUTED_VALUE"""),1.0)</f>
        <v>1</v>
      </c>
      <c r="L138" s="88"/>
      <c r="M138" s="88"/>
      <c r="N138" s="88"/>
      <c r="Q138" s="88"/>
      <c r="R138" s="88" t="str">
        <f>IFERROR(__xludf.DUMMYFUNCTION("""COMPUTED_VALUE"""),"Heat Feb 19 - Mar 18")</f>
        <v>Heat Feb 19 - Mar 18</v>
      </c>
      <c r="S138" s="88">
        <f>IFERROR(__xludf.DUMMYFUNCTION("""COMPUTED_VALUE"""),146.59)</f>
        <v>146.59</v>
      </c>
      <c r="T138" s="88">
        <f>IFERROR(__xludf.DUMMYFUNCTION("""COMPUTED_VALUE"""),48.86333333333334)</f>
        <v>48.86333333</v>
      </c>
      <c r="U138" s="88"/>
      <c r="V138" s="88"/>
      <c r="W138" s="88"/>
      <c r="X138" s="88"/>
      <c r="Y138" s="88"/>
    </row>
    <row r="139">
      <c r="A139" s="137">
        <f>IFERROR(__xludf.DUMMYFUNCTION("""COMPUTED_VALUE"""),45644.0)</f>
        <v>45644</v>
      </c>
      <c r="B139" s="88" t="str">
        <f>IFERROR(__xludf.DUMMYFUNCTION("""COMPUTED_VALUE"""),"Skipping rope")</f>
        <v>Skipping rope</v>
      </c>
      <c r="C139" s="88" t="str">
        <f>IFERROR(__xludf.DUMMYFUNCTION("""COMPUTED_VALUE"""),"其他")</f>
        <v>其他</v>
      </c>
      <c r="D139" s="88">
        <f>IFERROR(__xludf.DUMMYFUNCTION("""COMPUTED_VALUE"""),3.3561)</f>
        <v>3.3561</v>
      </c>
      <c r="E139" s="88" t="str">
        <f>IFERROR(__xludf.DUMMYFUNCTION("""COMPUTED_VALUE"""),"Pigskin")</f>
        <v>Pigskin</v>
      </c>
      <c r="F139" s="88">
        <f>IFERROR(__xludf.DUMMYFUNCTION("""COMPUTED_VALUE"""),1.67805)</f>
        <v>1.67805</v>
      </c>
      <c r="G139" s="88">
        <f>IFERROR(__xludf.DUMMYFUNCTION("""COMPUTED_VALUE"""),1.67805)</f>
        <v>1.67805</v>
      </c>
      <c r="H139" s="88"/>
      <c r="I139" s="88"/>
      <c r="J139" s="88">
        <f>IFERROR(__xludf.DUMMYFUNCTION("""COMPUTED_VALUE"""),1.0)</f>
        <v>1</v>
      </c>
      <c r="K139" s="88">
        <f>IFERROR(__xludf.DUMMYFUNCTION("""COMPUTED_VALUE"""),1.0)</f>
        <v>1</v>
      </c>
      <c r="L139" s="88"/>
      <c r="M139" s="88"/>
      <c r="N139" s="88"/>
      <c r="Q139" s="88"/>
      <c r="R139" s="88" t="str">
        <f>IFERROR(__xludf.DUMMYFUNCTION("""COMPUTED_VALUE"""),"Electricity")</f>
        <v>Electricity</v>
      </c>
      <c r="S139" s="88">
        <f>IFERROR(__xludf.DUMMYFUNCTION("""COMPUTED_VALUE"""),147.53)</f>
        <v>147.53</v>
      </c>
      <c r="T139" s="88"/>
      <c r="U139" s="88"/>
      <c r="V139" s="88"/>
      <c r="W139" s="88"/>
      <c r="X139" s="88"/>
      <c r="Y139" s="88"/>
    </row>
    <row r="140">
      <c r="A140" s="137">
        <f>IFERROR(__xludf.DUMMYFUNCTION("""COMPUTED_VALUE"""),45644.0)</f>
        <v>45644</v>
      </c>
      <c r="B140" s="88" t="str">
        <f>IFERROR(__xludf.DUMMYFUNCTION("""COMPUTED_VALUE"""),"Snowball maker")</f>
        <v>Snowball maker</v>
      </c>
      <c r="C140" s="88" t="str">
        <f>IFERROR(__xludf.DUMMYFUNCTION("""COMPUTED_VALUE"""),"娛樂")</f>
        <v>娛樂</v>
      </c>
      <c r="D140" s="88">
        <f>IFERROR(__xludf.DUMMYFUNCTION("""COMPUTED_VALUE"""),7.3224)</f>
        <v>7.3224</v>
      </c>
      <c r="E140" s="88" t="str">
        <f>IFERROR(__xludf.DUMMYFUNCTION("""COMPUTED_VALUE"""),"Pigskin")</f>
        <v>Pigskin</v>
      </c>
      <c r="F140" s="88">
        <f>IFERROR(__xludf.DUMMYFUNCTION("""COMPUTED_VALUE"""),1.46448)</f>
        <v>1.46448</v>
      </c>
      <c r="G140" s="88">
        <f>IFERROR(__xludf.DUMMYFUNCTION("""COMPUTED_VALUE"""),1.46448)</f>
        <v>1.46448</v>
      </c>
      <c r="H140" s="88">
        <f>IFERROR(__xludf.DUMMYFUNCTION("""COMPUTED_VALUE"""),1.0)</f>
        <v>1</v>
      </c>
      <c r="I140" s="88">
        <f>IFERROR(__xludf.DUMMYFUNCTION("""COMPUTED_VALUE"""),1.0)</f>
        <v>1</v>
      </c>
      <c r="J140" s="88">
        <f>IFERROR(__xludf.DUMMYFUNCTION("""COMPUTED_VALUE"""),1.0)</f>
        <v>1</v>
      </c>
      <c r="K140" s="88">
        <f>IFERROR(__xludf.DUMMYFUNCTION("""COMPUTED_VALUE"""),1.0)</f>
        <v>1</v>
      </c>
      <c r="L140" s="88"/>
      <c r="M140" s="88"/>
      <c r="N140" s="88">
        <f>IFERROR(__xludf.DUMMYFUNCTION("""COMPUTED_VALUE"""),1.0)</f>
        <v>1</v>
      </c>
      <c r="Q140" s="88"/>
      <c r="R140" s="88" t="str">
        <f>IFERROR(__xludf.DUMMYFUNCTION("""COMPUTED_VALUE"""),"Internet")</f>
        <v>Internet</v>
      </c>
      <c r="S140" s="88">
        <f>IFERROR(__xludf.DUMMYFUNCTION("""COMPUTED_VALUE"""),56.5)</f>
        <v>56.5</v>
      </c>
      <c r="T140" s="88">
        <f>IFERROR(__xludf.DUMMYFUNCTION("""COMPUTED_VALUE"""),9.416666666666666)</f>
        <v>9.416666667</v>
      </c>
      <c r="U140" s="88"/>
      <c r="V140" s="88"/>
      <c r="W140" s="88"/>
      <c r="X140" s="88"/>
      <c r="Y140" s="88"/>
    </row>
    <row r="141">
      <c r="A141" s="137">
        <f>IFERROR(__xludf.DUMMYFUNCTION("""COMPUTED_VALUE"""),45644.0)</f>
        <v>45644</v>
      </c>
      <c r="B141" s="88" t="str">
        <f>IFERROR(__xludf.DUMMYFUNCTION("""COMPUTED_VALUE"""),"Massage roll")</f>
        <v>Massage roll</v>
      </c>
      <c r="C141" s="88" t="str">
        <f>IFERROR(__xludf.DUMMYFUNCTION("""COMPUTED_VALUE"""),"其他")</f>
        <v>其他</v>
      </c>
      <c r="D141" s="88">
        <f>IFERROR(__xludf.DUMMYFUNCTION("""COMPUTED_VALUE"""),10.497699999999998)</f>
        <v>10.4977</v>
      </c>
      <c r="E141" s="88" t="str">
        <f>IFERROR(__xludf.DUMMYFUNCTION("""COMPUTED_VALUE"""),"Pigskin")</f>
        <v>Pigskin</v>
      </c>
      <c r="F141" s="88">
        <f>IFERROR(__xludf.DUMMYFUNCTION("""COMPUTED_VALUE"""),10.497699999999998)</f>
        <v>10.4977</v>
      </c>
      <c r="G141" s="88">
        <f>IFERROR(__xludf.DUMMYFUNCTION("""COMPUTED_VALUE"""),10.497699999999998)</f>
        <v>10.4977</v>
      </c>
      <c r="H141" s="88">
        <f>IFERROR(__xludf.DUMMYFUNCTION("""COMPUTED_VALUE"""),1.0)</f>
        <v>1</v>
      </c>
      <c r="I141" s="88"/>
      <c r="J141" s="88"/>
      <c r="K141" s="88"/>
      <c r="L141" s="88"/>
      <c r="M141" s="88"/>
      <c r="N141" s="88"/>
      <c r="Q141" s="88"/>
      <c r="R141" s="88"/>
      <c r="S141" s="88"/>
      <c r="T141" s="88"/>
      <c r="U141" s="88"/>
      <c r="V141" s="88"/>
      <c r="W141" s="88"/>
      <c r="X141" s="88"/>
      <c r="Y141" s="88"/>
    </row>
    <row r="142">
      <c r="A142" s="137">
        <f>IFERROR(__xludf.DUMMYFUNCTION("""COMPUTED_VALUE"""),45644.0)</f>
        <v>45644</v>
      </c>
      <c r="B142" s="88" t="str">
        <f>IFERROR(__xludf.DUMMYFUNCTION("""COMPUTED_VALUE"""),"Mirror, glass")</f>
        <v>Mirror, glass</v>
      </c>
      <c r="C142" s="88" t="str">
        <f>IFERROR(__xludf.DUMMYFUNCTION("""COMPUTED_VALUE"""),"居家")</f>
        <v>居家</v>
      </c>
      <c r="D142" s="88">
        <f>IFERROR(__xludf.DUMMYFUNCTION("""COMPUTED_VALUE"""),21.436099999999996)</f>
        <v>21.4361</v>
      </c>
      <c r="E142" s="88" t="str">
        <f>IFERROR(__xludf.DUMMYFUNCTION("""COMPUTED_VALUE"""),"Pigskin")</f>
        <v>Pigskin</v>
      </c>
      <c r="F142" s="88">
        <f>IFERROR(__xludf.DUMMYFUNCTION("""COMPUTED_VALUE"""),21.436099999999996)</f>
        <v>21.4361</v>
      </c>
      <c r="G142" s="88">
        <f>IFERROR(__xludf.DUMMYFUNCTION("""COMPUTED_VALUE"""),21.436099999999996)</f>
        <v>21.4361</v>
      </c>
      <c r="H142" s="88"/>
      <c r="I142" s="88">
        <f>IFERROR(__xludf.DUMMYFUNCTION("""COMPUTED_VALUE"""),1.0)</f>
        <v>1</v>
      </c>
      <c r="J142" s="88"/>
      <c r="K142" s="88"/>
      <c r="L142" s="88"/>
      <c r="M142" s="88"/>
      <c r="N142" s="88"/>
      <c r="Q142" s="88"/>
      <c r="R142" s="88"/>
      <c r="S142" s="88"/>
      <c r="T142" s="88"/>
      <c r="U142" s="88"/>
      <c r="V142" s="88"/>
      <c r="W142" s="88"/>
      <c r="X142" s="88"/>
      <c r="Y142" s="88"/>
    </row>
    <row r="143">
      <c r="A143" s="88"/>
      <c r="B143" s="88"/>
      <c r="C143" s="88"/>
      <c r="D143" s="88"/>
      <c r="E143" s="88"/>
      <c r="F143" s="88" t="str">
        <f>IFERROR(__xludf.DUMMYFUNCTION("""COMPUTED_VALUE"""),"#DIV/0!")</f>
        <v>#DIV/0!</v>
      </c>
      <c r="G143" s="88" t="str">
        <f>IFERROR(__xludf.DUMMYFUNCTION("""COMPUTED_VALUE"""),"#DIV/0!")</f>
        <v>#DIV/0!</v>
      </c>
      <c r="H143" s="88"/>
      <c r="I143" s="88"/>
      <c r="J143" s="88"/>
      <c r="K143" s="88"/>
      <c r="L143" s="88"/>
      <c r="M143" s="88"/>
      <c r="N143" s="88"/>
      <c r="Q143" s="138">
        <f>IFERROR(__xludf.DUMMYFUNCTION("""COMPUTED_VALUE"""),45717.0)</f>
        <v>45717</v>
      </c>
      <c r="R143" s="88" t="str">
        <f>IFERROR(__xludf.DUMMYFUNCTION("""COMPUTED_VALUE"""),"Rent")</f>
        <v>Rent</v>
      </c>
      <c r="S143" s="88">
        <f>IFERROR(__xludf.DUMMYFUNCTION("""COMPUTED_VALUE"""),3900.0)</f>
        <v>3900</v>
      </c>
      <c r="T143" s="88">
        <f>IFERROR(__xludf.DUMMYFUNCTION("""COMPUTED_VALUE"""),650.0)</f>
        <v>650</v>
      </c>
      <c r="U143" s="88" t="str">
        <f>IFERROR(__xludf.DUMMYFUNCTION("""COMPUTED_VALUE"""),"Paid")</f>
        <v>Paid</v>
      </c>
      <c r="V143" s="88" t="str">
        <f>IFERROR(__xludf.DUMMYFUNCTION("""COMPUTED_VALUE"""),"Paid")</f>
        <v>Paid</v>
      </c>
      <c r="W143" s="88"/>
      <c r="X143" s="88" t="str">
        <f>IFERROR(__xludf.DUMMYFUNCTION("""COMPUTED_VALUE"""),"Paid")</f>
        <v>Paid</v>
      </c>
      <c r="Y143" s="88" t="str">
        <f>IFERROR(__xludf.DUMMYFUNCTION("""COMPUTED_VALUE"""),"Paid")</f>
        <v>Paid</v>
      </c>
    </row>
    <row r="144">
      <c r="A144" s="88"/>
      <c r="B144" s="88"/>
      <c r="C144" s="88"/>
      <c r="D144" s="88"/>
      <c r="E144" s="88"/>
      <c r="F144" s="88" t="str">
        <f>IFERROR(__xludf.DUMMYFUNCTION("""COMPUTED_VALUE"""),"#DIV/0!")</f>
        <v>#DIV/0!</v>
      </c>
      <c r="G144" s="88" t="str">
        <f>IFERROR(__xludf.DUMMYFUNCTION("""COMPUTED_VALUE"""),"#DIV/0!")</f>
        <v>#DIV/0!</v>
      </c>
      <c r="H144" s="88"/>
      <c r="I144" s="88"/>
      <c r="J144" s="88"/>
      <c r="K144" s="88"/>
      <c r="L144" s="88"/>
      <c r="M144" s="88"/>
      <c r="N144" s="88"/>
      <c r="Q144" s="88"/>
      <c r="R144" s="88" t="str">
        <f>IFERROR(__xludf.DUMMYFUNCTION("""COMPUTED_VALUE"""),"Heat")</f>
        <v>Heat</v>
      </c>
      <c r="S144" s="88"/>
      <c r="T144" s="88"/>
      <c r="U144" s="88"/>
      <c r="V144" s="88"/>
      <c r="W144" s="88"/>
      <c r="X144" s="88"/>
      <c r="Y144" s="88"/>
    </row>
    <row r="145">
      <c r="A145" s="88"/>
      <c r="B145" s="88"/>
      <c r="C145" s="88"/>
      <c r="D145" s="88"/>
      <c r="E145" s="88"/>
      <c r="F145" s="88" t="str">
        <f>IFERROR(__xludf.DUMMYFUNCTION("""COMPUTED_VALUE"""),"#DIV/0!")</f>
        <v>#DIV/0!</v>
      </c>
      <c r="G145" s="88" t="str">
        <f>IFERROR(__xludf.DUMMYFUNCTION("""COMPUTED_VALUE"""),"#DIV/0!")</f>
        <v>#DIV/0!</v>
      </c>
      <c r="H145" s="88"/>
      <c r="I145" s="88"/>
      <c r="J145" s="88"/>
      <c r="K145" s="88"/>
      <c r="L145" s="88"/>
      <c r="M145" s="88"/>
      <c r="N145" s="88"/>
      <c r="Q145" s="88"/>
      <c r="R145" s="88" t="str">
        <f>IFERROR(__xludf.DUMMYFUNCTION("""COMPUTED_VALUE"""),"Electricity")</f>
        <v>Electricity</v>
      </c>
      <c r="S145" s="88">
        <f>IFERROR(__xludf.DUMMYFUNCTION("""COMPUTED_VALUE"""),100.34)</f>
        <v>100.34</v>
      </c>
      <c r="T145" s="88"/>
      <c r="U145" s="88"/>
      <c r="V145" s="88"/>
      <c r="W145" s="88"/>
      <c r="X145" s="88"/>
      <c r="Y145" s="88"/>
    </row>
    <row r="146">
      <c r="A146" s="88"/>
      <c r="B146" s="88"/>
      <c r="C146" s="88"/>
      <c r="D146" s="88"/>
      <c r="E146" s="88"/>
      <c r="F146" s="88" t="str">
        <f>IFERROR(__xludf.DUMMYFUNCTION("""COMPUTED_VALUE"""),"#DIV/0!")</f>
        <v>#DIV/0!</v>
      </c>
      <c r="G146" s="88" t="str">
        <f>IFERROR(__xludf.DUMMYFUNCTION("""COMPUTED_VALUE"""),"#DIV/0!")</f>
        <v>#DIV/0!</v>
      </c>
      <c r="H146" s="88"/>
      <c r="I146" s="88"/>
      <c r="J146" s="88"/>
      <c r="K146" s="88"/>
      <c r="L146" s="88"/>
      <c r="M146" s="88"/>
      <c r="N146" s="88"/>
      <c r="Q146" s="88"/>
      <c r="R146" s="88" t="str">
        <f>IFERROR(__xludf.DUMMYFUNCTION("""COMPUTED_VALUE"""),"Internet")</f>
        <v>Internet</v>
      </c>
      <c r="S146" s="88">
        <f>IFERROR(__xludf.DUMMYFUNCTION("""COMPUTED_VALUE"""),56.5)</f>
        <v>56.5</v>
      </c>
      <c r="T146" s="88">
        <f>IFERROR(__xludf.DUMMYFUNCTION("""COMPUTED_VALUE"""),9.416666666666666)</f>
        <v>9.416666667</v>
      </c>
      <c r="U146" s="88"/>
      <c r="V146" s="88"/>
      <c r="W146" s="88"/>
      <c r="X146" s="88"/>
      <c r="Y146" s="88"/>
    </row>
    <row r="147">
      <c r="A147" s="140">
        <f>IFERROR(__xludf.DUMMYFUNCTION("""COMPUTED_VALUE"""),45284.0)</f>
        <v>45284</v>
      </c>
      <c r="B147" s="88" t="str">
        <f>IFERROR(__xludf.DUMMYFUNCTION("""COMPUTED_VALUE"""),"Party Dinner")</f>
        <v>Party Dinner</v>
      </c>
      <c r="C147" s="88" t="str">
        <f>IFERROR(__xludf.DUMMYFUNCTION("""COMPUTED_VALUE"""),"食物")</f>
        <v>食物</v>
      </c>
      <c r="D147" s="88">
        <f>IFERROR(__xludf.DUMMYFUNCTION("""COMPUTED_VALUE"""),150.97)</f>
        <v>150.97</v>
      </c>
      <c r="E147" s="88" t="str">
        <f>IFERROR(__xludf.DUMMYFUNCTION("""COMPUTED_VALUE"""),"Rachel")</f>
        <v>Rachel</v>
      </c>
      <c r="F147" s="88">
        <f>IFERROR(__xludf.DUMMYFUNCTION("""COMPUTED_VALUE"""),15.097)</f>
        <v>15.097</v>
      </c>
      <c r="G147" s="88"/>
      <c r="H147" s="88">
        <f>IFERROR(__xludf.DUMMYFUNCTION("""COMPUTED_VALUE"""),1.0)</f>
        <v>1</v>
      </c>
      <c r="I147" s="88">
        <f>IFERROR(__xludf.DUMMYFUNCTION("""COMPUTED_VALUE"""),1.0)</f>
        <v>1</v>
      </c>
      <c r="J147" s="88">
        <f>IFERROR(__xludf.DUMMYFUNCTION("""COMPUTED_VALUE"""),1.0)</f>
        <v>1</v>
      </c>
      <c r="K147" s="88">
        <f>IFERROR(__xludf.DUMMYFUNCTION("""COMPUTED_VALUE"""),1.0)</f>
        <v>1</v>
      </c>
      <c r="L147" s="88"/>
      <c r="M147" s="88"/>
      <c r="N147" s="88">
        <f>IFERROR(__xludf.DUMMYFUNCTION("""COMPUTED_VALUE"""),1.0)</f>
        <v>1</v>
      </c>
      <c r="Q147" s="88"/>
      <c r="R147" s="88"/>
      <c r="S147" s="88"/>
      <c r="T147" s="88"/>
      <c r="U147" s="88"/>
      <c r="V147" s="88"/>
      <c r="W147" s="88"/>
      <c r="X147" s="88"/>
      <c r="Y147" s="88"/>
    </row>
    <row r="148">
      <c r="A148" s="137">
        <f>IFERROR(__xludf.DUMMYFUNCTION("""COMPUTED_VALUE"""),45284.0)</f>
        <v>45284</v>
      </c>
      <c r="B148" s="88" t="str">
        <f>IFERROR(__xludf.DUMMYFUNCTION("""COMPUTED_VALUE"""),"Party Dinner")</f>
        <v>Party Dinner</v>
      </c>
      <c r="C148" s="88" t="str">
        <f>IFERROR(__xludf.DUMMYFUNCTION("""COMPUTED_VALUE"""),"食物")</f>
        <v>食物</v>
      </c>
      <c r="D148" s="6">
        <f>IFERROR(__xludf.DUMMYFUNCTION("""COMPUTED_VALUE"""),22.4054)</f>
        <v>22.4054</v>
      </c>
      <c r="E148" s="88" t="str">
        <f>IFERROR(__xludf.DUMMYFUNCTION("""COMPUTED_VALUE"""),"BL")</f>
        <v>BL</v>
      </c>
      <c r="F148" s="88">
        <f>IFERROR(__xludf.DUMMYFUNCTION("""COMPUTED_VALUE"""),2.24054)</f>
        <v>2.24054</v>
      </c>
      <c r="G148" s="88"/>
      <c r="H148" s="88">
        <f>IFERROR(__xludf.DUMMYFUNCTION("""COMPUTED_VALUE"""),1.0)</f>
        <v>1</v>
      </c>
      <c r="I148" s="88">
        <f>IFERROR(__xludf.DUMMYFUNCTION("""COMPUTED_VALUE"""),1.0)</f>
        <v>1</v>
      </c>
      <c r="J148" s="88">
        <f>IFERROR(__xludf.DUMMYFUNCTION("""COMPUTED_VALUE"""),1.0)</f>
        <v>1</v>
      </c>
      <c r="K148" s="88">
        <f>IFERROR(__xludf.DUMMYFUNCTION("""COMPUTED_VALUE"""),1.0)</f>
        <v>1</v>
      </c>
      <c r="L148" s="88"/>
      <c r="M148" s="88"/>
      <c r="N148" s="88">
        <f>IFERROR(__xludf.DUMMYFUNCTION("""COMPUTED_VALUE"""),1.0)</f>
        <v>1</v>
      </c>
      <c r="Q148" s="88"/>
      <c r="R148" s="88"/>
      <c r="S148" s="88"/>
      <c r="T148" s="88"/>
      <c r="U148" s="88"/>
      <c r="V148" s="88"/>
      <c r="W148" s="88"/>
      <c r="X148" s="88"/>
      <c r="Y148" s="88"/>
    </row>
    <row r="149">
      <c r="A149" s="137">
        <f>IFERROR(__xludf.DUMMYFUNCTION("""COMPUTED_VALUE"""),45289.0)</f>
        <v>45289</v>
      </c>
      <c r="B149" s="88" t="str">
        <f>IFERROR(__xludf.DUMMYFUNCTION("""COMPUTED_VALUE"""),"Party Dinner")</f>
        <v>Party Dinner</v>
      </c>
      <c r="C149" s="88" t="str">
        <f>IFERROR(__xludf.DUMMYFUNCTION("""COMPUTED_VALUE"""),"食物")</f>
        <v>食物</v>
      </c>
      <c r="D149" s="88">
        <f>IFERROR(__xludf.DUMMYFUNCTION("""COMPUTED_VALUE"""),34.980000000000004)</f>
        <v>34.98</v>
      </c>
      <c r="E149" s="88" t="str">
        <f>IFERROR(__xludf.DUMMYFUNCTION("""COMPUTED_VALUE"""),"Esther")</f>
        <v>Esther</v>
      </c>
      <c r="F149" s="88">
        <f>IFERROR(__xludf.DUMMYFUNCTION("""COMPUTED_VALUE"""),3.18)</f>
        <v>3.18</v>
      </c>
      <c r="G149" s="88"/>
      <c r="H149" s="88">
        <f>IFERROR(__xludf.DUMMYFUNCTION("""COMPUTED_VALUE"""),1.0)</f>
        <v>1</v>
      </c>
      <c r="I149" s="88">
        <f>IFERROR(__xludf.DUMMYFUNCTION("""COMPUTED_VALUE"""),1.0)</f>
        <v>1</v>
      </c>
      <c r="J149" s="88">
        <f>IFERROR(__xludf.DUMMYFUNCTION("""COMPUTED_VALUE"""),1.0)</f>
        <v>1</v>
      </c>
      <c r="K149" s="88">
        <f>IFERROR(__xludf.DUMMYFUNCTION("""COMPUTED_VALUE"""),1.0)</f>
        <v>1</v>
      </c>
      <c r="L149" s="88">
        <f>IFERROR(__xludf.DUMMYFUNCTION("""COMPUTED_VALUE"""),1.0)</f>
        <v>1</v>
      </c>
      <c r="M149" s="88">
        <f>IFERROR(__xludf.DUMMYFUNCTION("""COMPUTED_VALUE"""),1.0)</f>
        <v>1</v>
      </c>
      <c r="N149" s="88">
        <f>IFERROR(__xludf.DUMMYFUNCTION("""COMPUTED_VALUE"""),1.0)</f>
        <v>1</v>
      </c>
      <c r="Q149" s="88"/>
      <c r="R149" s="88"/>
      <c r="S149" s="88"/>
      <c r="T149" s="88"/>
      <c r="U149" s="88"/>
      <c r="V149" s="88"/>
      <c r="W149" s="88"/>
      <c r="X149" s="88"/>
      <c r="Y149" s="88"/>
    </row>
    <row r="150">
      <c r="A150" s="137">
        <f>IFERROR(__xludf.DUMMYFUNCTION("""COMPUTED_VALUE"""),45655.0)</f>
        <v>45655</v>
      </c>
      <c r="B150" s="88" t="str">
        <f>IFERROR(__xludf.DUMMYFUNCTION("""COMPUTED_VALUE"""),"Party Dinner")</f>
        <v>Party Dinner</v>
      </c>
      <c r="C150" s="88" t="str">
        <f>IFERROR(__xludf.DUMMYFUNCTION("""COMPUTED_VALUE"""),"食物")</f>
        <v>食物</v>
      </c>
      <c r="D150" s="88">
        <f>IFERROR(__xludf.DUMMYFUNCTION("""COMPUTED_VALUE"""),7.92)</f>
        <v>7.92</v>
      </c>
      <c r="E150" s="88" t="str">
        <f>IFERROR(__xludf.DUMMYFUNCTION("""COMPUTED_VALUE"""),"Pigskin")</f>
        <v>Pigskin</v>
      </c>
      <c r="F150" s="88">
        <f>IFERROR(__xludf.DUMMYFUNCTION("""COMPUTED_VALUE"""),0.72)</f>
        <v>0.72</v>
      </c>
      <c r="G150" s="88"/>
      <c r="H150" s="88">
        <f>IFERROR(__xludf.DUMMYFUNCTION("""COMPUTED_VALUE"""),1.0)</f>
        <v>1</v>
      </c>
      <c r="I150" s="88">
        <f>IFERROR(__xludf.DUMMYFUNCTION("""COMPUTED_VALUE"""),1.0)</f>
        <v>1</v>
      </c>
      <c r="J150" s="88">
        <f>IFERROR(__xludf.DUMMYFUNCTION("""COMPUTED_VALUE"""),1.0)</f>
        <v>1</v>
      </c>
      <c r="K150" s="88">
        <f>IFERROR(__xludf.DUMMYFUNCTION("""COMPUTED_VALUE"""),1.0)</f>
        <v>1</v>
      </c>
      <c r="L150" s="88">
        <f>IFERROR(__xludf.DUMMYFUNCTION("""COMPUTED_VALUE"""),1.0)</f>
        <v>1</v>
      </c>
      <c r="M150" s="88">
        <f>IFERROR(__xludf.DUMMYFUNCTION("""COMPUTED_VALUE"""),1.0)</f>
        <v>1</v>
      </c>
      <c r="N150" s="88">
        <f>IFERROR(__xludf.DUMMYFUNCTION("""COMPUTED_VALUE"""),1.0)</f>
        <v>1</v>
      </c>
      <c r="Q150" s="88"/>
      <c r="R150" s="88"/>
      <c r="S150" s="88"/>
      <c r="T150" s="88"/>
      <c r="U150" s="88"/>
      <c r="V150" s="88"/>
      <c r="W150" s="88"/>
      <c r="X150" s="88"/>
      <c r="Y150" s="88"/>
    </row>
    <row r="151">
      <c r="A151" s="137">
        <f>IFERROR(__xludf.DUMMYFUNCTION("""COMPUTED_VALUE"""),45654.0)</f>
        <v>45654</v>
      </c>
      <c r="B151" s="88" t="str">
        <f>IFERROR(__xludf.DUMMYFUNCTION("""COMPUTED_VALUE"""),"Party Dinner")</f>
        <v>Party Dinner</v>
      </c>
      <c r="C151" s="88" t="str">
        <f>IFERROR(__xludf.DUMMYFUNCTION("""COMPUTED_VALUE"""),"食物")</f>
        <v>食物</v>
      </c>
      <c r="D151" s="88">
        <f>IFERROR(__xludf.DUMMYFUNCTION("""COMPUTED_VALUE"""),138.4111)</f>
        <v>138.4111</v>
      </c>
      <c r="E151" s="88" t="str">
        <f>IFERROR(__xludf.DUMMYFUNCTION("""COMPUTED_VALUE"""),"Pigskin")</f>
        <v>Pigskin</v>
      </c>
      <c r="F151" s="88">
        <f>IFERROR(__xludf.DUMMYFUNCTION("""COMPUTED_VALUE"""),12.582827272727274)</f>
        <v>12.58282727</v>
      </c>
      <c r="G151" s="88"/>
      <c r="H151" s="88">
        <f>IFERROR(__xludf.DUMMYFUNCTION("""COMPUTED_VALUE"""),1.0)</f>
        <v>1</v>
      </c>
      <c r="I151" s="88">
        <f>IFERROR(__xludf.DUMMYFUNCTION("""COMPUTED_VALUE"""),1.0)</f>
        <v>1</v>
      </c>
      <c r="J151" s="88">
        <f>IFERROR(__xludf.DUMMYFUNCTION("""COMPUTED_VALUE"""),1.0)</f>
        <v>1</v>
      </c>
      <c r="K151" s="88">
        <f>IFERROR(__xludf.DUMMYFUNCTION("""COMPUTED_VALUE"""),1.0)</f>
        <v>1</v>
      </c>
      <c r="L151" s="88">
        <f>IFERROR(__xludf.DUMMYFUNCTION("""COMPUTED_VALUE"""),1.0)</f>
        <v>1</v>
      </c>
      <c r="M151" s="88">
        <f>IFERROR(__xludf.DUMMYFUNCTION("""COMPUTED_VALUE"""),1.0)</f>
        <v>1</v>
      </c>
      <c r="N151" s="88">
        <f>IFERROR(__xludf.DUMMYFUNCTION("""COMPUTED_VALUE"""),1.0)</f>
        <v>1</v>
      </c>
      <c r="Q151" s="88"/>
      <c r="R151" s="88"/>
      <c r="S151" s="88"/>
      <c r="T151" s="88"/>
      <c r="U151" s="88"/>
      <c r="V151" s="88"/>
      <c r="W151" s="88"/>
      <c r="X151" s="88"/>
      <c r="Y151" s="88"/>
    </row>
    <row r="152">
      <c r="A152" s="137">
        <f>IFERROR(__xludf.DUMMYFUNCTION("""COMPUTED_VALUE"""),45655.0)</f>
        <v>45655</v>
      </c>
      <c r="B152" s="88" t="str">
        <f>IFERROR(__xludf.DUMMYFUNCTION("""COMPUTED_VALUE"""),"Alcohol")</f>
        <v>Alcohol</v>
      </c>
      <c r="C152" s="88" t="str">
        <f>IFERROR(__xludf.DUMMYFUNCTION("""COMPUTED_VALUE"""),"食物")</f>
        <v>食物</v>
      </c>
      <c r="D152" s="88">
        <f>IFERROR(__xludf.DUMMYFUNCTION("""COMPUTED_VALUE"""),41.6)</f>
        <v>41.6</v>
      </c>
      <c r="E152" s="88" t="str">
        <f>IFERROR(__xludf.DUMMYFUNCTION("""COMPUTED_VALUE"""),"Ivan")</f>
        <v>Ivan</v>
      </c>
      <c r="F152" s="88">
        <f>IFERROR(__xludf.DUMMYFUNCTION("""COMPUTED_VALUE"""),3.7818181818181817)</f>
        <v>3.781818182</v>
      </c>
      <c r="G152" s="88"/>
      <c r="H152" s="88">
        <f>IFERROR(__xludf.DUMMYFUNCTION("""COMPUTED_VALUE"""),1.0)</f>
        <v>1</v>
      </c>
      <c r="I152" s="88">
        <f>IFERROR(__xludf.DUMMYFUNCTION("""COMPUTED_VALUE"""),1.0)</f>
        <v>1</v>
      </c>
      <c r="J152" s="88">
        <f>IFERROR(__xludf.DUMMYFUNCTION("""COMPUTED_VALUE"""),1.0)</f>
        <v>1</v>
      </c>
      <c r="K152" s="88">
        <f>IFERROR(__xludf.DUMMYFUNCTION("""COMPUTED_VALUE"""),1.0)</f>
        <v>1</v>
      </c>
      <c r="L152" s="88">
        <f>IFERROR(__xludf.DUMMYFUNCTION("""COMPUTED_VALUE"""),1.0)</f>
        <v>1</v>
      </c>
      <c r="M152" s="88">
        <f>IFERROR(__xludf.DUMMYFUNCTION("""COMPUTED_VALUE"""),1.0)</f>
        <v>1</v>
      </c>
      <c r="N152" s="88">
        <f>IFERROR(__xludf.DUMMYFUNCTION("""COMPUTED_VALUE"""),1.0)</f>
        <v>1</v>
      </c>
      <c r="Q152" s="88"/>
      <c r="R152" s="88"/>
      <c r="S152" s="88"/>
      <c r="T152" s="88"/>
      <c r="U152" s="88"/>
      <c r="V152" s="88"/>
      <c r="W152" s="88"/>
      <c r="X152" s="88"/>
      <c r="Y152" s="88"/>
    </row>
    <row r="153">
      <c r="A153" s="137">
        <f>IFERROR(__xludf.DUMMYFUNCTION("""COMPUTED_VALUE"""),45650.0)</f>
        <v>45650</v>
      </c>
      <c r="B153" s="88" t="str">
        <f>IFERROR(__xludf.DUMMYFUNCTION("""COMPUTED_VALUE"""),"Cheese")</f>
        <v>Cheese</v>
      </c>
      <c r="C153" s="88" t="str">
        <f>IFERROR(__xludf.DUMMYFUNCTION("""COMPUTED_VALUE"""),"食物")</f>
        <v>食物</v>
      </c>
      <c r="D153" s="88">
        <f>IFERROR(__xludf.DUMMYFUNCTION("""COMPUTED_VALUE"""),56.150000000000006)</f>
        <v>56.15</v>
      </c>
      <c r="E153" s="88" t="str">
        <f>IFERROR(__xludf.DUMMYFUNCTION("""COMPUTED_VALUE"""),"Rose")</f>
        <v>Rose</v>
      </c>
      <c r="F153" s="88">
        <f>IFERROR(__xludf.DUMMYFUNCTION("""COMPUTED_VALUE"""),5.615)</f>
        <v>5.615</v>
      </c>
      <c r="G153" s="88"/>
      <c r="H153" s="88">
        <f>IFERROR(__xludf.DUMMYFUNCTION("""COMPUTED_VALUE"""),1.0)</f>
        <v>1</v>
      </c>
      <c r="I153" s="88">
        <f>IFERROR(__xludf.DUMMYFUNCTION("""COMPUTED_VALUE"""),1.0)</f>
        <v>1</v>
      </c>
      <c r="J153" s="88">
        <f>IFERROR(__xludf.DUMMYFUNCTION("""COMPUTED_VALUE"""),1.0)</f>
        <v>1</v>
      </c>
      <c r="K153" s="88">
        <f>IFERROR(__xludf.DUMMYFUNCTION("""COMPUTED_VALUE"""),1.0)</f>
        <v>1</v>
      </c>
      <c r="L153" s="88"/>
      <c r="M153" s="88"/>
      <c r="N153" s="88">
        <f>IFERROR(__xludf.DUMMYFUNCTION("""COMPUTED_VALUE"""),1.0)</f>
        <v>1</v>
      </c>
      <c r="Q153" s="88"/>
      <c r="R153" s="88"/>
      <c r="S153" s="88"/>
      <c r="T153" s="88"/>
      <c r="U153" s="88"/>
      <c r="V153" s="88"/>
      <c r="W153" s="88"/>
      <c r="X153" s="88"/>
      <c r="Y153" s="88"/>
    </row>
    <row r="154">
      <c r="A154" s="88"/>
      <c r="B154" s="88"/>
      <c r="C154" s="88"/>
      <c r="D154" s="88"/>
      <c r="E154" s="88"/>
      <c r="F154" s="88" t="str">
        <f>IFERROR(__xludf.DUMMYFUNCTION("""COMPUTED_VALUE"""),"#DIV/0!")</f>
        <v>#DIV/0!</v>
      </c>
      <c r="G154" s="88" t="str">
        <f>IFERROR(__xludf.DUMMYFUNCTION("""COMPUTED_VALUE"""),"#DIV/0!")</f>
        <v>#DIV/0!</v>
      </c>
      <c r="H154" s="88"/>
      <c r="I154" s="88"/>
      <c r="J154" s="88"/>
      <c r="K154" s="88"/>
      <c r="L154" s="88"/>
      <c r="M154" s="88"/>
      <c r="N154" s="88"/>
      <c r="Q154" s="88"/>
      <c r="R154" s="88"/>
      <c r="S154" s="88"/>
      <c r="T154" s="88"/>
      <c r="U154" s="88"/>
      <c r="V154" s="88"/>
      <c r="W154" s="88"/>
      <c r="X154" s="88"/>
      <c r="Y154" s="88"/>
    </row>
    <row r="155">
      <c r="A155" s="88"/>
      <c r="B155" s="88"/>
      <c r="C155" s="88"/>
      <c r="D155" s="88"/>
      <c r="E155" s="88"/>
      <c r="F155" s="88" t="str">
        <f>IFERROR(__xludf.DUMMYFUNCTION("""COMPUTED_VALUE"""),"#DIV/0!")</f>
        <v>#DIV/0!</v>
      </c>
      <c r="G155" s="88" t="str">
        <f>IFERROR(__xludf.DUMMYFUNCTION("""COMPUTED_VALUE"""),"#DIV/0!")</f>
        <v>#DIV/0!</v>
      </c>
      <c r="H155" s="88"/>
      <c r="I155" s="88"/>
      <c r="J155" s="88"/>
      <c r="K155" s="88"/>
      <c r="L155" s="88"/>
      <c r="M155" s="88"/>
      <c r="N155" s="88"/>
      <c r="Q155" s="88"/>
      <c r="R155" s="88"/>
      <c r="S155" s="88"/>
      <c r="T155" s="88"/>
      <c r="U155" s="88"/>
      <c r="V155" s="88"/>
      <c r="W155" s="88"/>
      <c r="X155" s="88"/>
      <c r="Y155" s="88"/>
    </row>
    <row r="156">
      <c r="A156" s="88"/>
      <c r="B156" s="88"/>
      <c r="C156" s="88"/>
      <c r="D156" s="88"/>
      <c r="E156" s="88"/>
      <c r="F156" s="88" t="str">
        <f>IFERROR(__xludf.DUMMYFUNCTION("""COMPUTED_VALUE"""),"#DIV/0!")</f>
        <v>#DIV/0!</v>
      </c>
      <c r="G156" s="88" t="str">
        <f>IFERROR(__xludf.DUMMYFUNCTION("""COMPUTED_VALUE"""),"#DIV/0!")</f>
        <v>#DIV/0!</v>
      </c>
      <c r="H156" s="88"/>
      <c r="I156" s="88"/>
      <c r="J156" s="88"/>
      <c r="K156" s="88"/>
      <c r="L156" s="88"/>
      <c r="M156" s="88"/>
      <c r="N156" s="88"/>
      <c r="Q156" s="88"/>
      <c r="R156" s="88"/>
      <c r="S156" s="88"/>
      <c r="T156" s="88"/>
      <c r="U156" s="88"/>
      <c r="V156" s="88"/>
      <c r="W156" s="88"/>
      <c r="X156" s="88"/>
      <c r="Y156" s="88"/>
    </row>
    <row r="157">
      <c r="A157" s="88"/>
      <c r="B157" s="88"/>
      <c r="C157" s="88"/>
      <c r="D157" s="88"/>
      <c r="E157" s="88"/>
      <c r="F157" s="88" t="str">
        <f>IFERROR(__xludf.DUMMYFUNCTION("""COMPUTED_VALUE"""),"#DIV/0!")</f>
        <v>#DIV/0!</v>
      </c>
      <c r="G157" s="88" t="str">
        <f>IFERROR(__xludf.DUMMYFUNCTION("""COMPUTED_VALUE"""),"#DIV/0!")</f>
        <v>#DIV/0!</v>
      </c>
      <c r="H157" s="88"/>
      <c r="I157" s="88"/>
      <c r="J157" s="88"/>
      <c r="K157" s="88"/>
      <c r="L157" s="88"/>
      <c r="M157" s="88"/>
      <c r="N157" s="88"/>
      <c r="Q157" s="88"/>
      <c r="R157" s="88"/>
      <c r="S157" s="88"/>
      <c r="T157" s="88"/>
      <c r="U157" s="88"/>
      <c r="V157" s="88"/>
      <c r="W157" s="88"/>
      <c r="X157" s="88"/>
      <c r="Y157" s="88"/>
    </row>
    <row r="158">
      <c r="A158" s="88"/>
      <c r="B158" s="88"/>
      <c r="C158" s="88"/>
      <c r="D158" s="88"/>
      <c r="E158" s="88"/>
      <c r="F158" s="88" t="str">
        <f>IFERROR(__xludf.DUMMYFUNCTION("""COMPUTED_VALUE"""),"#DIV/0!")</f>
        <v>#DIV/0!</v>
      </c>
      <c r="G158" s="88" t="str">
        <f>IFERROR(__xludf.DUMMYFUNCTION("""COMPUTED_VALUE"""),"#DIV/0!")</f>
        <v>#DIV/0!</v>
      </c>
      <c r="H158" s="88"/>
      <c r="I158" s="88"/>
      <c r="J158" s="88"/>
      <c r="K158" s="88"/>
      <c r="L158" s="88"/>
      <c r="M158" s="88"/>
      <c r="N158" s="88"/>
      <c r="Q158" s="88"/>
      <c r="R158" s="88"/>
      <c r="S158" s="88"/>
      <c r="T158" s="88"/>
      <c r="U158" s="88"/>
      <c r="V158" s="88"/>
      <c r="W158" s="88"/>
      <c r="X158" s="88"/>
      <c r="Y158" s="88"/>
    </row>
    <row r="159">
      <c r="A159" s="88"/>
      <c r="B159" s="88"/>
      <c r="C159" s="88"/>
      <c r="D159" s="88"/>
      <c r="E159" s="88"/>
      <c r="F159" s="88" t="str">
        <f>IFERROR(__xludf.DUMMYFUNCTION("""COMPUTED_VALUE"""),"#DIV/0!")</f>
        <v>#DIV/0!</v>
      </c>
      <c r="G159" s="88"/>
      <c r="H159" s="88"/>
      <c r="I159" s="88"/>
      <c r="J159" s="88"/>
      <c r="K159" s="88"/>
      <c r="L159" s="88"/>
      <c r="M159" s="88"/>
      <c r="N159" s="88"/>
      <c r="Q159" s="88"/>
      <c r="R159" s="88"/>
      <c r="S159" s="88"/>
      <c r="T159" s="88"/>
      <c r="U159" s="88"/>
      <c r="V159" s="88"/>
      <c r="W159" s="88"/>
      <c r="X159" s="88"/>
      <c r="Y159" s="88"/>
    </row>
    <row r="160">
      <c r="A160" s="88"/>
      <c r="B160" s="88"/>
      <c r="C160" s="88"/>
      <c r="D160" s="88"/>
      <c r="E160" s="88"/>
      <c r="F160" s="88" t="str">
        <f>IFERROR(__xludf.DUMMYFUNCTION("""COMPUTED_VALUE"""),"#DIV/0!")</f>
        <v>#DIV/0!</v>
      </c>
      <c r="G160" s="88"/>
      <c r="H160" s="88"/>
      <c r="I160" s="88"/>
      <c r="J160" s="88"/>
      <c r="K160" s="88"/>
      <c r="L160" s="88"/>
      <c r="M160" s="88"/>
      <c r="N160" s="88"/>
      <c r="Q160" s="88"/>
      <c r="R160" s="88"/>
      <c r="S160" s="88"/>
      <c r="T160" s="88"/>
      <c r="U160" s="88"/>
      <c r="V160" s="88"/>
      <c r="W160" s="88"/>
      <c r="X160" s="88"/>
      <c r="Y160" s="88"/>
    </row>
    <row r="161">
      <c r="A161" s="88"/>
      <c r="B161" s="88"/>
      <c r="C161" s="88"/>
      <c r="D161" s="88"/>
      <c r="E161" s="88"/>
      <c r="F161" s="88" t="str">
        <f>IFERROR(__xludf.DUMMYFUNCTION("""COMPUTED_VALUE"""),"#DIV/0!")</f>
        <v>#DIV/0!</v>
      </c>
      <c r="G161" s="88"/>
      <c r="H161" s="88"/>
      <c r="I161" s="88"/>
      <c r="J161" s="88"/>
      <c r="K161" s="88"/>
      <c r="L161" s="88"/>
      <c r="M161" s="88"/>
      <c r="N161" s="88"/>
      <c r="Q161" s="88"/>
      <c r="R161" s="88"/>
      <c r="S161" s="88"/>
      <c r="T161" s="88"/>
      <c r="U161" s="88"/>
      <c r="V161" s="88"/>
      <c r="W161" s="88"/>
      <c r="X161" s="88"/>
      <c r="Y161" s="88"/>
    </row>
    <row r="162">
      <c r="A162" s="88"/>
      <c r="B162" s="88"/>
      <c r="C162" s="88"/>
      <c r="D162" s="88"/>
      <c r="E162" s="88"/>
      <c r="F162" s="88" t="str">
        <f>IFERROR(__xludf.DUMMYFUNCTION("""COMPUTED_VALUE"""),"#DIV/0!")</f>
        <v>#DIV/0!</v>
      </c>
      <c r="G162" s="88"/>
      <c r="H162" s="88"/>
      <c r="I162" s="88"/>
      <c r="J162" s="88"/>
      <c r="K162" s="88"/>
      <c r="L162" s="88"/>
      <c r="M162" s="88"/>
      <c r="N162" s="88"/>
      <c r="Q162" s="88"/>
      <c r="R162" s="88"/>
      <c r="S162" s="88"/>
      <c r="T162" s="88"/>
      <c r="U162" s="88"/>
      <c r="V162" s="88"/>
      <c r="W162" s="88"/>
      <c r="X162" s="88"/>
      <c r="Y162" s="88"/>
    </row>
    <row r="163">
      <c r="A163" s="88"/>
      <c r="B163" s="88"/>
      <c r="C163" s="88"/>
      <c r="D163" s="88"/>
      <c r="E163" s="88"/>
      <c r="F163" s="88" t="str">
        <f>IFERROR(__xludf.DUMMYFUNCTION("""COMPUTED_VALUE"""),"#DIV/0!")</f>
        <v>#DIV/0!</v>
      </c>
      <c r="G163" s="88"/>
      <c r="H163" s="88"/>
      <c r="I163" s="88"/>
      <c r="J163" s="88"/>
      <c r="K163" s="88"/>
      <c r="L163" s="88"/>
      <c r="M163" s="88"/>
      <c r="N163" s="88"/>
      <c r="Q163" s="88"/>
      <c r="R163" s="88"/>
      <c r="S163" s="88"/>
      <c r="T163" s="88"/>
      <c r="U163" s="88"/>
      <c r="V163" s="88"/>
      <c r="W163" s="88"/>
      <c r="X163" s="88"/>
      <c r="Y163" s="88"/>
    </row>
    <row r="164">
      <c r="A164" s="88"/>
      <c r="B164" s="88"/>
      <c r="C164" s="88"/>
      <c r="D164" s="88"/>
      <c r="E164" s="88"/>
      <c r="F164" s="88" t="str">
        <f>IFERROR(__xludf.DUMMYFUNCTION("""COMPUTED_VALUE"""),"#DIV/0!")</f>
        <v>#DIV/0!</v>
      </c>
      <c r="G164" s="88"/>
      <c r="H164" s="88"/>
      <c r="I164" s="88"/>
      <c r="J164" s="88"/>
      <c r="K164" s="88"/>
      <c r="L164" s="88"/>
      <c r="M164" s="88"/>
      <c r="N164" s="88"/>
      <c r="Q164" s="88"/>
      <c r="R164" s="88"/>
      <c r="S164" s="88"/>
      <c r="T164" s="88"/>
      <c r="U164" s="88"/>
      <c r="V164" s="88"/>
      <c r="W164" s="88"/>
      <c r="X164" s="88"/>
      <c r="Y164" s="88"/>
    </row>
    <row r="165">
      <c r="A165" s="88"/>
      <c r="B165" s="88"/>
      <c r="C165" s="88"/>
      <c r="D165" s="88"/>
      <c r="E165" s="88"/>
      <c r="F165" s="88" t="str">
        <f>IFERROR(__xludf.DUMMYFUNCTION("""COMPUTED_VALUE"""),"#DIV/0!")</f>
        <v>#DIV/0!</v>
      </c>
      <c r="G165" s="88"/>
      <c r="H165" s="88"/>
      <c r="I165" s="88"/>
      <c r="J165" s="88"/>
      <c r="K165" s="88"/>
      <c r="L165" s="88"/>
      <c r="M165" s="88"/>
      <c r="N165" s="88"/>
      <c r="Q165" s="88"/>
      <c r="R165" s="88"/>
      <c r="S165" s="88"/>
      <c r="T165" s="88"/>
      <c r="U165" s="88"/>
      <c r="V165" s="88"/>
      <c r="W165" s="88"/>
      <c r="X165" s="88"/>
      <c r="Y165" s="88"/>
    </row>
    <row r="166">
      <c r="A166" s="88"/>
      <c r="B166" s="88"/>
      <c r="C166" s="88"/>
      <c r="D166" s="88"/>
      <c r="E166" s="88"/>
      <c r="F166" s="88" t="str">
        <f>IFERROR(__xludf.DUMMYFUNCTION("""COMPUTED_VALUE"""),"#DIV/0!")</f>
        <v>#DIV/0!</v>
      </c>
      <c r="G166" s="88"/>
      <c r="H166" s="88"/>
      <c r="I166" s="88"/>
      <c r="J166" s="88"/>
      <c r="K166" s="88"/>
      <c r="L166" s="88"/>
      <c r="M166" s="88"/>
      <c r="N166" s="88"/>
      <c r="Q166" s="88"/>
      <c r="R166" s="88"/>
      <c r="S166" s="88"/>
      <c r="T166" s="88"/>
      <c r="U166" s="88"/>
      <c r="V166" s="88"/>
      <c r="W166" s="88"/>
      <c r="X166" s="88"/>
      <c r="Y166" s="88"/>
    </row>
    <row r="167">
      <c r="A167" s="88"/>
      <c r="B167" s="88"/>
      <c r="C167" s="88"/>
      <c r="D167" s="88"/>
      <c r="E167" s="88"/>
      <c r="F167" s="88" t="str">
        <f>IFERROR(__xludf.DUMMYFUNCTION("""COMPUTED_VALUE"""),"#DIV/0!")</f>
        <v>#DIV/0!</v>
      </c>
      <c r="G167" s="88"/>
      <c r="H167" s="88"/>
      <c r="I167" s="88"/>
      <c r="J167" s="88"/>
      <c r="K167" s="88"/>
      <c r="L167" s="88"/>
      <c r="M167" s="88"/>
      <c r="N167" s="88"/>
      <c r="Q167" s="88"/>
      <c r="R167" s="88"/>
      <c r="S167" s="88"/>
      <c r="T167" s="88"/>
      <c r="U167" s="88"/>
      <c r="V167" s="88"/>
      <c r="W167" s="88"/>
      <c r="X167" s="88"/>
      <c r="Y167" s="88"/>
    </row>
    <row r="168">
      <c r="A168" s="88"/>
      <c r="B168" s="88"/>
      <c r="C168" s="88"/>
      <c r="D168" s="88"/>
      <c r="E168" s="88"/>
      <c r="F168" s="88" t="str">
        <f>IFERROR(__xludf.DUMMYFUNCTION("""COMPUTED_VALUE"""),"#DIV/0!")</f>
        <v>#DIV/0!</v>
      </c>
      <c r="G168" s="88"/>
      <c r="H168" s="88"/>
      <c r="I168" s="88"/>
      <c r="J168" s="88"/>
      <c r="K168" s="88"/>
      <c r="L168" s="88"/>
      <c r="M168" s="88"/>
      <c r="N168" s="88"/>
      <c r="Q168" s="88"/>
      <c r="R168" s="88"/>
      <c r="S168" s="88"/>
      <c r="T168" s="88"/>
      <c r="U168" s="88"/>
      <c r="V168" s="88"/>
      <c r="W168" s="88"/>
      <c r="X168" s="88"/>
      <c r="Y168" s="88"/>
    </row>
    <row r="169">
      <c r="A169" s="88"/>
      <c r="B169" s="88"/>
      <c r="C169" s="88"/>
      <c r="D169" s="88"/>
      <c r="E169" s="88"/>
      <c r="F169" s="88" t="str">
        <f>IFERROR(__xludf.DUMMYFUNCTION("""COMPUTED_VALUE"""),"#DIV/0!")</f>
        <v>#DIV/0!</v>
      </c>
      <c r="G169" s="88"/>
      <c r="H169" s="88"/>
      <c r="I169" s="88"/>
      <c r="J169" s="88"/>
      <c r="K169" s="88"/>
      <c r="L169" s="88"/>
      <c r="M169" s="88"/>
      <c r="N169" s="88"/>
      <c r="Q169" s="88"/>
      <c r="R169" s="88"/>
      <c r="S169" s="88"/>
      <c r="T169" s="88"/>
      <c r="U169" s="88"/>
      <c r="V169" s="88"/>
      <c r="W169" s="88"/>
      <c r="X169" s="88"/>
      <c r="Y169" s="88"/>
    </row>
    <row r="170">
      <c r="A170" s="88"/>
      <c r="B170" s="88"/>
      <c r="C170" s="88"/>
      <c r="D170" s="88"/>
      <c r="E170" s="88"/>
      <c r="F170" s="88" t="str">
        <f>IFERROR(__xludf.DUMMYFUNCTION("""COMPUTED_VALUE"""),"#DIV/0!")</f>
        <v>#DIV/0!</v>
      </c>
      <c r="G170" s="88"/>
      <c r="H170" s="88"/>
      <c r="I170" s="88"/>
      <c r="J170" s="88"/>
      <c r="K170" s="88"/>
      <c r="L170" s="88"/>
      <c r="M170" s="88"/>
      <c r="N170" s="88"/>
      <c r="Q170" s="88"/>
      <c r="R170" s="88"/>
      <c r="S170" s="88"/>
      <c r="T170" s="88"/>
      <c r="U170" s="88"/>
      <c r="V170" s="88"/>
      <c r="W170" s="88"/>
      <c r="X170" s="88"/>
      <c r="Y170" s="88"/>
    </row>
    <row r="171">
      <c r="A171" s="88"/>
      <c r="B171" s="88"/>
      <c r="C171" s="88"/>
      <c r="D171" s="88"/>
      <c r="E171" s="88"/>
      <c r="F171" s="88" t="str">
        <f>IFERROR(__xludf.DUMMYFUNCTION("""COMPUTED_VALUE"""),"#DIV/0!")</f>
        <v>#DIV/0!</v>
      </c>
      <c r="G171" s="88"/>
      <c r="H171" s="88"/>
      <c r="I171" s="88"/>
      <c r="J171" s="88"/>
      <c r="K171" s="88"/>
      <c r="L171" s="88"/>
      <c r="M171" s="88"/>
      <c r="N171" s="88"/>
      <c r="Q171" s="88"/>
      <c r="R171" s="88"/>
      <c r="S171" s="88"/>
      <c r="T171" s="88"/>
      <c r="U171" s="88"/>
      <c r="V171" s="88"/>
      <c r="W171" s="88"/>
      <c r="X171" s="88"/>
      <c r="Y171" s="88"/>
    </row>
    <row r="172">
      <c r="A172" s="88"/>
      <c r="B172" s="88"/>
      <c r="C172" s="88"/>
      <c r="D172" s="88"/>
      <c r="E172" s="88"/>
      <c r="F172" s="88" t="str">
        <f>IFERROR(__xludf.DUMMYFUNCTION("""COMPUTED_VALUE"""),"#DIV/0!")</f>
        <v>#DIV/0!</v>
      </c>
      <c r="G172" s="88"/>
      <c r="H172" s="88"/>
      <c r="I172" s="88"/>
      <c r="J172" s="88"/>
      <c r="K172" s="88"/>
      <c r="L172" s="88"/>
      <c r="M172" s="88"/>
      <c r="N172" s="88"/>
      <c r="Q172" s="88"/>
      <c r="R172" s="88"/>
      <c r="S172" s="88"/>
      <c r="T172" s="88"/>
      <c r="U172" s="88"/>
      <c r="V172" s="88"/>
      <c r="W172" s="88"/>
      <c r="X172" s="88"/>
      <c r="Y172" s="88"/>
    </row>
    <row r="173">
      <c r="A173" s="88"/>
      <c r="B173" s="88"/>
      <c r="C173" s="88"/>
      <c r="D173" s="88"/>
      <c r="E173" s="88"/>
      <c r="F173" s="88" t="str">
        <f>IFERROR(__xludf.DUMMYFUNCTION("""COMPUTED_VALUE"""),"#DIV/0!")</f>
        <v>#DIV/0!</v>
      </c>
      <c r="G173" s="88"/>
      <c r="H173" s="88"/>
      <c r="I173" s="88"/>
      <c r="J173" s="88"/>
      <c r="K173" s="88"/>
      <c r="L173" s="88"/>
      <c r="M173" s="88"/>
      <c r="N173" s="88"/>
      <c r="Q173" s="88"/>
      <c r="R173" s="88"/>
      <c r="S173" s="88"/>
      <c r="T173" s="88"/>
      <c r="U173" s="88"/>
      <c r="V173" s="88"/>
      <c r="W173" s="88"/>
      <c r="X173" s="88"/>
      <c r="Y173" s="88"/>
    </row>
    <row r="174">
      <c r="A174" s="88"/>
      <c r="B174" s="88"/>
      <c r="C174" s="88"/>
      <c r="D174" s="88"/>
      <c r="E174" s="88"/>
      <c r="F174" s="88" t="str">
        <f>IFERROR(__xludf.DUMMYFUNCTION("""COMPUTED_VALUE"""),"#DIV/0!")</f>
        <v>#DIV/0!</v>
      </c>
      <c r="G174" s="88"/>
      <c r="H174" s="88"/>
      <c r="I174" s="88"/>
      <c r="J174" s="88"/>
      <c r="K174" s="88"/>
      <c r="L174" s="88"/>
      <c r="M174" s="88"/>
      <c r="N174" s="88"/>
      <c r="Q174" s="88"/>
      <c r="R174" s="88"/>
      <c r="S174" s="88"/>
      <c r="T174" s="88"/>
      <c r="U174" s="88"/>
      <c r="V174" s="88"/>
      <c r="W174" s="88"/>
      <c r="X174" s="88"/>
      <c r="Y174" s="88"/>
    </row>
    <row r="175">
      <c r="A175" s="88"/>
      <c r="B175" s="88"/>
      <c r="C175" s="88"/>
      <c r="D175" s="88"/>
      <c r="E175" s="88"/>
      <c r="F175" s="88" t="str">
        <f>IFERROR(__xludf.DUMMYFUNCTION("""COMPUTED_VALUE"""),"#DIV/0!")</f>
        <v>#DIV/0!</v>
      </c>
      <c r="G175" s="88"/>
      <c r="H175" s="88"/>
      <c r="I175" s="88"/>
      <c r="J175" s="88"/>
      <c r="K175" s="88"/>
      <c r="L175" s="88"/>
      <c r="M175" s="88"/>
      <c r="N175" s="88"/>
      <c r="Q175" s="88"/>
      <c r="R175" s="88"/>
      <c r="S175" s="88"/>
      <c r="T175" s="88"/>
      <c r="U175" s="88"/>
      <c r="V175" s="88"/>
      <c r="W175" s="88"/>
      <c r="X175" s="88"/>
      <c r="Y175" s="88"/>
    </row>
    <row r="176">
      <c r="A176" s="88"/>
      <c r="B176" s="88"/>
      <c r="C176" s="88"/>
      <c r="D176" s="88"/>
      <c r="E176" s="88"/>
      <c r="F176" s="88" t="str">
        <f>IFERROR(__xludf.DUMMYFUNCTION("""COMPUTED_VALUE"""),"#DIV/0!")</f>
        <v>#DIV/0!</v>
      </c>
      <c r="G176" s="88"/>
      <c r="H176" s="88"/>
      <c r="I176" s="88"/>
      <c r="J176" s="88"/>
      <c r="K176" s="88"/>
      <c r="L176" s="88"/>
      <c r="M176" s="88"/>
      <c r="N176" s="88"/>
      <c r="Q176" s="88"/>
      <c r="R176" s="88"/>
      <c r="S176" s="88"/>
      <c r="T176" s="88"/>
      <c r="U176" s="88"/>
      <c r="V176" s="88"/>
      <c r="W176" s="88"/>
      <c r="X176" s="88"/>
      <c r="Y176" s="88"/>
    </row>
    <row r="177">
      <c r="A177" s="88"/>
      <c r="B177" s="88"/>
      <c r="C177" s="88"/>
      <c r="D177" s="88"/>
      <c r="E177" s="88"/>
      <c r="F177" s="88" t="str">
        <f>IFERROR(__xludf.DUMMYFUNCTION("""COMPUTED_VALUE"""),"#DIV/0!")</f>
        <v>#DIV/0!</v>
      </c>
      <c r="G177" s="88"/>
      <c r="H177" s="88"/>
      <c r="I177" s="88"/>
      <c r="J177" s="88"/>
      <c r="K177" s="88"/>
      <c r="L177" s="88"/>
      <c r="M177" s="88"/>
      <c r="N177" s="88"/>
      <c r="Q177" s="88"/>
      <c r="R177" s="88"/>
      <c r="S177" s="88"/>
      <c r="T177" s="88"/>
      <c r="U177" s="88"/>
      <c r="V177" s="88"/>
      <c r="W177" s="88"/>
      <c r="X177" s="88"/>
      <c r="Y177" s="88"/>
    </row>
    <row r="178">
      <c r="A178" s="88"/>
      <c r="B178" s="88"/>
      <c r="C178" s="88"/>
      <c r="D178" s="88"/>
      <c r="E178" s="88"/>
      <c r="F178" s="88" t="str">
        <f>IFERROR(__xludf.DUMMYFUNCTION("""COMPUTED_VALUE"""),"#DIV/0!")</f>
        <v>#DIV/0!</v>
      </c>
      <c r="G178" s="88"/>
      <c r="H178" s="88"/>
      <c r="I178" s="88"/>
      <c r="J178" s="88"/>
      <c r="K178" s="88"/>
      <c r="L178" s="88"/>
      <c r="M178" s="88"/>
      <c r="N178" s="88"/>
      <c r="Q178" s="88"/>
      <c r="R178" s="88"/>
      <c r="S178" s="88"/>
      <c r="T178" s="88"/>
      <c r="U178" s="88"/>
      <c r="V178" s="88"/>
      <c r="W178" s="88"/>
      <c r="X178" s="88"/>
      <c r="Y178" s="88"/>
    </row>
    <row r="179">
      <c r="A179" s="88"/>
      <c r="B179" s="88"/>
      <c r="C179" s="88"/>
      <c r="D179" s="88"/>
      <c r="E179" s="88"/>
      <c r="F179" s="88" t="str">
        <f>IFERROR(__xludf.DUMMYFUNCTION("""COMPUTED_VALUE"""),"#DIV/0!")</f>
        <v>#DIV/0!</v>
      </c>
      <c r="G179" s="88"/>
      <c r="H179" s="88"/>
      <c r="I179" s="88"/>
      <c r="J179" s="88"/>
      <c r="K179" s="88"/>
      <c r="L179" s="88"/>
      <c r="M179" s="88"/>
      <c r="N179" s="88"/>
      <c r="Q179" s="88"/>
      <c r="R179" s="88"/>
      <c r="S179" s="88"/>
      <c r="T179" s="88"/>
      <c r="U179" s="88"/>
      <c r="V179" s="88"/>
      <c r="W179" s="88"/>
      <c r="X179" s="88"/>
      <c r="Y179" s="88"/>
    </row>
    <row r="180">
      <c r="A180" s="88"/>
      <c r="B180" s="88"/>
      <c r="C180" s="88"/>
      <c r="D180" s="88"/>
      <c r="E180" s="88"/>
      <c r="F180" s="88" t="str">
        <f>IFERROR(__xludf.DUMMYFUNCTION("""COMPUTED_VALUE"""),"#DIV/0!")</f>
        <v>#DIV/0!</v>
      </c>
      <c r="G180" s="88"/>
      <c r="H180" s="88"/>
      <c r="I180" s="88"/>
      <c r="J180" s="88"/>
      <c r="K180" s="88"/>
      <c r="L180" s="88"/>
      <c r="M180" s="88"/>
      <c r="N180" s="88"/>
      <c r="Q180" s="88"/>
      <c r="R180" s="88"/>
      <c r="S180" s="88"/>
      <c r="T180" s="88"/>
      <c r="U180" s="88"/>
      <c r="V180" s="88"/>
      <c r="W180" s="88"/>
      <c r="X180" s="88"/>
      <c r="Y180" s="88"/>
    </row>
    <row r="181">
      <c r="A181" s="88"/>
      <c r="B181" s="88"/>
      <c r="C181" s="88"/>
      <c r="D181" s="88"/>
      <c r="E181" s="88"/>
      <c r="F181" s="88" t="str">
        <f>IFERROR(__xludf.DUMMYFUNCTION("""COMPUTED_VALUE"""),"#DIV/0!")</f>
        <v>#DIV/0!</v>
      </c>
      <c r="G181" s="88"/>
      <c r="H181" s="88"/>
      <c r="I181" s="88"/>
      <c r="J181" s="88"/>
      <c r="K181" s="88"/>
      <c r="L181" s="88"/>
      <c r="M181" s="88"/>
      <c r="N181" s="88"/>
      <c r="Q181" s="88"/>
      <c r="R181" s="88"/>
      <c r="S181" s="88"/>
      <c r="T181" s="88"/>
      <c r="U181" s="88"/>
      <c r="V181" s="88"/>
      <c r="W181" s="88"/>
      <c r="X181" s="88"/>
      <c r="Y181" s="88"/>
    </row>
    <row r="182">
      <c r="A182" s="88"/>
      <c r="B182" s="88"/>
      <c r="C182" s="88"/>
      <c r="D182" s="88"/>
      <c r="E182" s="88"/>
      <c r="F182" s="88" t="str">
        <f>IFERROR(__xludf.DUMMYFUNCTION("""COMPUTED_VALUE"""),"#DIV/0!")</f>
        <v>#DIV/0!</v>
      </c>
      <c r="G182" s="88"/>
      <c r="H182" s="88"/>
      <c r="I182" s="88"/>
      <c r="J182" s="88"/>
      <c r="K182" s="88"/>
      <c r="L182" s="88"/>
      <c r="M182" s="88"/>
      <c r="N182" s="88"/>
      <c r="Q182" s="88"/>
      <c r="R182" s="88"/>
      <c r="S182" s="88"/>
      <c r="T182" s="88"/>
      <c r="U182" s="88"/>
      <c r="V182" s="88"/>
      <c r="W182" s="88"/>
      <c r="X182" s="88"/>
      <c r="Y182" s="88"/>
    </row>
    <row r="183">
      <c r="A183" s="88"/>
      <c r="B183" s="88"/>
      <c r="C183" s="88"/>
      <c r="D183" s="88"/>
      <c r="E183" s="88"/>
      <c r="F183" s="88" t="str">
        <f>IFERROR(__xludf.DUMMYFUNCTION("""COMPUTED_VALUE"""),"#DIV/0!")</f>
        <v>#DIV/0!</v>
      </c>
      <c r="G183" s="88"/>
      <c r="H183" s="88"/>
      <c r="I183" s="88"/>
      <c r="J183" s="88"/>
      <c r="K183" s="88"/>
      <c r="L183" s="88"/>
      <c r="M183" s="88"/>
      <c r="N183" s="88"/>
      <c r="Q183" s="88"/>
      <c r="R183" s="88"/>
      <c r="S183" s="88"/>
      <c r="T183" s="88"/>
      <c r="U183" s="88"/>
      <c r="V183" s="88"/>
      <c r="W183" s="88"/>
      <c r="X183" s="88"/>
      <c r="Y183" s="88"/>
    </row>
    <row r="184">
      <c r="A184" s="88"/>
      <c r="B184" s="88"/>
      <c r="C184" s="88"/>
      <c r="D184" s="88"/>
      <c r="E184" s="88"/>
      <c r="F184" s="88" t="str">
        <f>IFERROR(__xludf.DUMMYFUNCTION("""COMPUTED_VALUE"""),"#DIV/0!")</f>
        <v>#DIV/0!</v>
      </c>
      <c r="G184" s="88"/>
      <c r="H184" s="88"/>
      <c r="I184" s="88"/>
      <c r="J184" s="88"/>
      <c r="K184" s="88"/>
      <c r="L184" s="88"/>
      <c r="M184" s="88"/>
      <c r="N184" s="88"/>
      <c r="Q184" s="88"/>
      <c r="R184" s="88"/>
      <c r="S184" s="88"/>
      <c r="T184" s="88"/>
      <c r="U184" s="88"/>
      <c r="V184" s="88"/>
      <c r="W184" s="88"/>
      <c r="X184" s="88"/>
      <c r="Y184" s="88"/>
    </row>
    <row r="185">
      <c r="A185" s="88"/>
      <c r="B185" s="88"/>
      <c r="C185" s="88"/>
      <c r="D185" s="88"/>
      <c r="E185" s="88"/>
      <c r="F185" s="88" t="str">
        <f>IFERROR(__xludf.DUMMYFUNCTION("""COMPUTED_VALUE"""),"#DIV/0!")</f>
        <v>#DIV/0!</v>
      </c>
      <c r="G185" s="88"/>
      <c r="H185" s="88"/>
      <c r="I185" s="88"/>
      <c r="J185" s="88"/>
      <c r="K185" s="88"/>
      <c r="L185" s="88"/>
      <c r="M185" s="88"/>
      <c r="N185" s="88"/>
      <c r="Q185" s="88"/>
      <c r="R185" s="88"/>
      <c r="S185" s="88"/>
      <c r="T185" s="88"/>
      <c r="U185" s="88"/>
      <c r="V185" s="88"/>
      <c r="W185" s="88"/>
      <c r="X185" s="88"/>
      <c r="Y185" s="88"/>
    </row>
    <row r="186">
      <c r="A186" s="88"/>
      <c r="B186" s="88"/>
      <c r="C186" s="88"/>
      <c r="D186" s="88"/>
      <c r="E186" s="88"/>
      <c r="F186" s="88" t="str">
        <f>IFERROR(__xludf.DUMMYFUNCTION("""COMPUTED_VALUE"""),"#DIV/0!")</f>
        <v>#DIV/0!</v>
      </c>
      <c r="G186" s="88"/>
      <c r="H186" s="88"/>
      <c r="I186" s="88"/>
      <c r="J186" s="88"/>
      <c r="K186" s="88"/>
      <c r="L186" s="88"/>
      <c r="M186" s="88"/>
      <c r="N186" s="88"/>
      <c r="Q186" s="88"/>
      <c r="R186" s="88"/>
      <c r="S186" s="88"/>
      <c r="T186" s="88"/>
      <c r="U186" s="88"/>
      <c r="V186" s="88"/>
      <c r="W186" s="88"/>
      <c r="X186" s="88"/>
      <c r="Y186" s="88"/>
    </row>
    <row r="187">
      <c r="A187" s="88"/>
      <c r="B187" s="88"/>
      <c r="C187" s="88"/>
      <c r="D187" s="88"/>
      <c r="E187" s="88"/>
      <c r="F187" s="88" t="str">
        <f>IFERROR(__xludf.DUMMYFUNCTION("""COMPUTED_VALUE"""),"#DIV/0!")</f>
        <v>#DIV/0!</v>
      </c>
      <c r="G187" s="88"/>
      <c r="H187" s="88"/>
      <c r="I187" s="88"/>
      <c r="J187" s="88"/>
      <c r="K187" s="88"/>
      <c r="L187" s="88"/>
      <c r="M187" s="88"/>
      <c r="N187" s="88"/>
      <c r="Q187" s="88"/>
      <c r="R187" s="88"/>
      <c r="S187" s="88"/>
      <c r="T187" s="88"/>
      <c r="U187" s="88"/>
      <c r="V187" s="88"/>
      <c r="W187" s="88"/>
      <c r="X187" s="88"/>
      <c r="Y187" s="88"/>
    </row>
    <row r="188">
      <c r="A188" s="88"/>
      <c r="B188" s="88"/>
      <c r="C188" s="88"/>
      <c r="D188" s="88"/>
      <c r="E188" s="88"/>
      <c r="F188" s="88" t="str">
        <f>IFERROR(__xludf.DUMMYFUNCTION("""COMPUTED_VALUE"""),"#DIV/0!")</f>
        <v>#DIV/0!</v>
      </c>
      <c r="G188" s="88"/>
      <c r="H188" s="88"/>
      <c r="I188" s="88"/>
      <c r="J188" s="88"/>
      <c r="K188" s="88"/>
      <c r="L188" s="88"/>
      <c r="M188" s="88"/>
      <c r="N188" s="88"/>
      <c r="Q188" s="88"/>
      <c r="R188" s="88"/>
      <c r="S188" s="88"/>
      <c r="T188" s="88"/>
      <c r="U188" s="88"/>
      <c r="V188" s="88"/>
      <c r="W188" s="88"/>
      <c r="X188" s="88"/>
      <c r="Y188" s="88"/>
    </row>
    <row r="189">
      <c r="A189" s="88"/>
      <c r="B189" s="88"/>
      <c r="C189" s="88"/>
      <c r="D189" s="88"/>
      <c r="E189" s="88"/>
      <c r="F189" s="88" t="str">
        <f>IFERROR(__xludf.DUMMYFUNCTION("""COMPUTED_VALUE"""),"#DIV/0!")</f>
        <v>#DIV/0!</v>
      </c>
      <c r="G189" s="88"/>
      <c r="H189" s="88"/>
      <c r="I189" s="88"/>
      <c r="J189" s="88"/>
      <c r="K189" s="88"/>
      <c r="L189" s="88"/>
      <c r="M189" s="88"/>
      <c r="N189" s="88"/>
      <c r="Q189" s="88"/>
      <c r="R189" s="88"/>
      <c r="S189" s="88"/>
      <c r="T189" s="88"/>
      <c r="U189" s="88"/>
      <c r="V189" s="88"/>
      <c r="W189" s="88"/>
      <c r="X189" s="88"/>
      <c r="Y189" s="88"/>
    </row>
    <row r="190">
      <c r="A190" s="88"/>
      <c r="B190" s="88"/>
      <c r="C190" s="88"/>
      <c r="D190" s="88"/>
      <c r="E190" s="88"/>
      <c r="F190" s="88" t="str">
        <f>IFERROR(__xludf.DUMMYFUNCTION("""COMPUTED_VALUE"""),"#DIV/0!")</f>
        <v>#DIV/0!</v>
      </c>
      <c r="G190" s="88"/>
      <c r="H190" s="88"/>
      <c r="I190" s="88"/>
      <c r="J190" s="88"/>
      <c r="K190" s="88"/>
      <c r="L190" s="88"/>
      <c r="M190" s="88"/>
      <c r="N190" s="88"/>
      <c r="Q190" s="88"/>
      <c r="R190" s="88"/>
      <c r="S190" s="88"/>
      <c r="T190" s="88"/>
      <c r="U190" s="88"/>
      <c r="V190" s="88"/>
      <c r="W190" s="88"/>
      <c r="X190" s="139"/>
      <c r="Y190" s="88"/>
    </row>
    <row r="191">
      <c r="A191" s="88"/>
      <c r="B191" s="88"/>
      <c r="C191" s="88"/>
      <c r="D191" s="88"/>
      <c r="E191" s="88"/>
      <c r="F191" s="88" t="str">
        <f>IFERROR(__xludf.DUMMYFUNCTION("""COMPUTED_VALUE"""),"#DIV/0!")</f>
        <v>#DIV/0!</v>
      </c>
      <c r="G191" s="88"/>
      <c r="H191" s="88"/>
      <c r="I191" s="88"/>
      <c r="J191" s="88"/>
      <c r="K191" s="88"/>
      <c r="L191" s="88"/>
      <c r="M191" s="88"/>
      <c r="N191" s="88"/>
      <c r="Q191" s="88"/>
      <c r="R191" s="88"/>
      <c r="S191" s="88"/>
      <c r="T191" s="88"/>
      <c r="U191" s="88"/>
      <c r="V191" s="88"/>
      <c r="W191" s="88"/>
      <c r="X191" s="139"/>
      <c r="Y191" s="88"/>
    </row>
    <row r="192">
      <c r="A192" s="88"/>
      <c r="B192" s="88"/>
      <c r="C192" s="88"/>
      <c r="D192" s="88"/>
      <c r="E192" s="88"/>
      <c r="F192" s="88" t="str">
        <f>IFERROR(__xludf.DUMMYFUNCTION("""COMPUTED_VALUE"""),"#DIV/0!")</f>
        <v>#DIV/0!</v>
      </c>
      <c r="G192" s="88"/>
      <c r="H192" s="88"/>
      <c r="I192" s="88"/>
      <c r="J192" s="88"/>
      <c r="K192" s="88"/>
      <c r="L192" s="88"/>
      <c r="M192" s="88"/>
      <c r="N192" s="88"/>
      <c r="Q192" s="88"/>
      <c r="R192" s="88"/>
      <c r="S192" s="88"/>
      <c r="T192" s="88"/>
      <c r="U192" s="88"/>
      <c r="V192" s="88"/>
      <c r="W192" s="88"/>
      <c r="X192" s="88"/>
      <c r="Y192" s="88"/>
    </row>
    <row r="193">
      <c r="A193" s="88"/>
      <c r="B193" s="88"/>
      <c r="C193" s="88"/>
      <c r="D193" s="88"/>
      <c r="E193" s="88"/>
      <c r="F193" s="88" t="str">
        <f>IFERROR(__xludf.DUMMYFUNCTION("""COMPUTED_VALUE"""),"#DIV/0!")</f>
        <v>#DIV/0!</v>
      </c>
      <c r="G193" s="88"/>
      <c r="H193" s="88"/>
      <c r="I193" s="88"/>
      <c r="J193" s="88"/>
      <c r="K193" s="88"/>
      <c r="L193" s="88"/>
      <c r="M193" s="88"/>
      <c r="N193" s="88"/>
      <c r="Q193" s="88"/>
      <c r="R193" s="88"/>
      <c r="S193" s="88"/>
      <c r="T193" s="88"/>
      <c r="U193" s="88"/>
      <c r="V193" s="88"/>
      <c r="W193" s="88"/>
      <c r="X193" s="139"/>
      <c r="Y193" s="88"/>
    </row>
    <row r="194">
      <c r="A194" s="88"/>
      <c r="B194" s="88"/>
      <c r="C194" s="88"/>
      <c r="D194" s="88"/>
      <c r="E194" s="88"/>
      <c r="F194" s="88" t="str">
        <f>IFERROR(__xludf.DUMMYFUNCTION("""COMPUTED_VALUE"""),"#DIV/0!")</f>
        <v>#DIV/0!</v>
      </c>
      <c r="G194" s="88"/>
      <c r="H194" s="88"/>
      <c r="I194" s="88"/>
      <c r="J194" s="88"/>
      <c r="K194" s="88"/>
      <c r="L194" s="88"/>
      <c r="M194" s="88"/>
      <c r="N194" s="88"/>
      <c r="Q194" s="88"/>
      <c r="R194" s="88"/>
      <c r="S194" s="88"/>
      <c r="T194" s="88"/>
      <c r="U194" s="88"/>
      <c r="V194" s="88"/>
      <c r="W194" s="88"/>
      <c r="X194" s="139"/>
      <c r="Y194" s="88"/>
    </row>
    <row r="195">
      <c r="A195" s="88"/>
      <c r="B195" s="88"/>
      <c r="C195" s="88"/>
      <c r="D195" s="88"/>
      <c r="E195" s="88"/>
      <c r="F195" s="88" t="str">
        <f>IFERROR(__xludf.DUMMYFUNCTION("""COMPUTED_VALUE"""),"#DIV/0!")</f>
        <v>#DIV/0!</v>
      </c>
      <c r="G195" s="88"/>
      <c r="H195" s="88"/>
      <c r="I195" s="88"/>
      <c r="J195" s="88"/>
      <c r="K195" s="88"/>
      <c r="L195" s="88"/>
      <c r="M195" s="88"/>
      <c r="N195" s="88"/>
      <c r="Q195" s="88"/>
      <c r="R195" s="88"/>
      <c r="S195" s="88"/>
      <c r="T195" s="88"/>
      <c r="U195" s="88"/>
      <c r="V195" s="88"/>
      <c r="W195" s="88"/>
      <c r="X195" s="139"/>
      <c r="Y195" s="88"/>
    </row>
    <row r="196">
      <c r="A196" s="88"/>
      <c r="B196" s="88"/>
      <c r="C196" s="88"/>
      <c r="D196" s="88"/>
      <c r="E196" s="88"/>
      <c r="F196" s="88" t="str">
        <f>IFERROR(__xludf.DUMMYFUNCTION("""COMPUTED_VALUE"""),"#DIV/0!")</f>
        <v>#DIV/0!</v>
      </c>
      <c r="G196" s="88"/>
      <c r="H196" s="88"/>
      <c r="I196" s="88"/>
      <c r="J196" s="88"/>
      <c r="K196" s="88"/>
      <c r="L196" s="88"/>
      <c r="M196" s="88"/>
      <c r="N196" s="88"/>
      <c r="Q196" s="88"/>
      <c r="R196" s="88"/>
      <c r="S196" s="88"/>
      <c r="T196" s="88"/>
      <c r="U196" s="88"/>
      <c r="V196" s="88"/>
      <c r="W196" s="88"/>
      <c r="X196" s="139"/>
      <c r="Y196" s="88"/>
    </row>
    <row r="197">
      <c r="A197" s="88"/>
      <c r="B197" s="88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Q197" s="88"/>
      <c r="R197" s="88"/>
      <c r="S197" s="88"/>
      <c r="T197" s="88"/>
      <c r="U197" s="88"/>
      <c r="V197" s="88"/>
      <c r="W197" s="88"/>
      <c r="X197" s="139"/>
      <c r="Y197" s="88"/>
    </row>
    <row r="198">
      <c r="A198" s="88"/>
      <c r="B198" s="88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Q198" s="88"/>
      <c r="R198" s="88"/>
      <c r="S198" s="88"/>
      <c r="T198" s="88"/>
      <c r="U198" s="88"/>
      <c r="V198" s="88"/>
      <c r="W198" s="88"/>
      <c r="X198" s="139"/>
      <c r="Y198" s="88"/>
    </row>
    <row r="199">
      <c r="A199" s="88"/>
      <c r="B199" s="88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Q199" s="88"/>
      <c r="R199" s="88"/>
      <c r="S199" s="88"/>
      <c r="T199" s="88"/>
      <c r="U199" s="88"/>
      <c r="V199" s="88"/>
      <c r="W199" s="88"/>
      <c r="X199" s="88"/>
      <c r="Y199" s="88"/>
    </row>
    <row r="200">
      <c r="A200" s="88"/>
      <c r="B200" s="88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Q200" s="88"/>
      <c r="R200" s="88"/>
      <c r="S200" s="88"/>
      <c r="T200" s="88"/>
      <c r="U200" s="88"/>
      <c r="V200" s="88"/>
      <c r="W200" s="88"/>
      <c r="X200" s="139"/>
      <c r="Y200" s="88"/>
    </row>
    <row r="201">
      <c r="A201" s="88"/>
      <c r="B201" s="88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Q201" s="88"/>
      <c r="R201" s="88"/>
      <c r="S201" s="88"/>
      <c r="T201" s="88"/>
      <c r="U201" s="88"/>
      <c r="V201" s="88"/>
      <c r="W201" s="88"/>
      <c r="X201" s="88"/>
      <c r="Y201" s="88"/>
    </row>
    <row r="202">
      <c r="A202" s="88"/>
      <c r="B202" s="8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Q202" s="88"/>
      <c r="R202" s="88"/>
      <c r="S202" s="88"/>
      <c r="T202" s="88"/>
      <c r="U202" s="88"/>
      <c r="V202" s="88"/>
      <c r="W202" s="88"/>
      <c r="X202" s="88"/>
      <c r="Y202" s="88"/>
    </row>
    <row r="203">
      <c r="A203" s="88"/>
      <c r="B203" s="88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Q203" s="88"/>
      <c r="R203" s="88"/>
      <c r="S203" s="88"/>
      <c r="T203" s="88"/>
      <c r="U203" s="88"/>
      <c r="V203" s="88"/>
      <c r="W203" s="88"/>
      <c r="X203" s="139"/>
      <c r="Y203" s="88"/>
    </row>
    <row r="204">
      <c r="A204" s="88"/>
      <c r="B204" s="88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Q204" s="88"/>
      <c r="R204" s="88"/>
      <c r="S204" s="88"/>
      <c r="T204" s="88"/>
      <c r="U204" s="88"/>
      <c r="V204" s="88"/>
      <c r="W204" s="88"/>
      <c r="X204" s="88"/>
      <c r="Y204" s="88"/>
    </row>
    <row r="205">
      <c r="A205" s="88"/>
      <c r="B205" s="88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Q205" s="88"/>
      <c r="R205" s="88"/>
      <c r="S205" s="88"/>
      <c r="T205" s="88"/>
      <c r="U205" s="88"/>
      <c r="V205" s="88"/>
      <c r="W205" s="88"/>
      <c r="X205" s="88"/>
      <c r="Y205" s="88"/>
    </row>
    <row r="206">
      <c r="A206" s="88"/>
      <c r="B206" s="88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Q206" s="88"/>
      <c r="R206" s="88"/>
      <c r="S206" s="88"/>
      <c r="T206" s="88"/>
      <c r="U206" s="88"/>
      <c r="V206" s="88"/>
      <c r="W206" s="88"/>
      <c r="X206" s="88"/>
      <c r="Y206" s="88"/>
    </row>
    <row r="207">
      <c r="A207" s="88"/>
      <c r="B207" s="88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Q207" s="88"/>
      <c r="R207" s="88"/>
      <c r="S207" s="88"/>
      <c r="T207" s="88"/>
      <c r="U207" s="88"/>
      <c r="V207" s="88"/>
      <c r="W207" s="88"/>
      <c r="X207" s="88"/>
      <c r="Y207" s="88"/>
    </row>
    <row r="208">
      <c r="A208" s="88"/>
      <c r="B208" s="88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Q208" s="88"/>
      <c r="R208" s="88"/>
      <c r="S208" s="88"/>
      <c r="T208" s="88"/>
      <c r="U208" s="88"/>
      <c r="V208" s="88"/>
      <c r="W208" s="88"/>
      <c r="X208" s="88"/>
      <c r="Y208" s="88"/>
    </row>
    <row r="209">
      <c r="A209" s="88"/>
      <c r="B209" s="88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Q209" s="88"/>
      <c r="R209" s="88"/>
      <c r="S209" s="88"/>
      <c r="T209" s="88"/>
      <c r="U209" s="88"/>
      <c r="V209" s="88"/>
      <c r="W209" s="88"/>
      <c r="X209" s="88"/>
      <c r="Y209" s="88"/>
    </row>
    <row r="210">
      <c r="A210" s="88"/>
      <c r="B210" s="88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Q210" s="88"/>
      <c r="R210" s="88"/>
      <c r="S210" s="88"/>
      <c r="T210" s="88"/>
      <c r="U210" s="88"/>
      <c r="V210" s="88"/>
      <c r="W210" s="88"/>
      <c r="X210" s="88"/>
      <c r="Y210" s="88"/>
    </row>
    <row r="211">
      <c r="A211" s="88"/>
      <c r="B211" s="88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Q211" s="88"/>
      <c r="R211" s="88"/>
      <c r="S211" s="88"/>
      <c r="T211" s="88"/>
      <c r="U211" s="88"/>
      <c r="V211" s="88"/>
      <c r="W211" s="88"/>
      <c r="X211" s="88"/>
      <c r="Y211" s="88"/>
    </row>
    <row r="212">
      <c r="A212" s="88"/>
      <c r="B212" s="88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Q212" s="88"/>
      <c r="R212" s="88"/>
      <c r="S212" s="88"/>
      <c r="T212" s="88"/>
      <c r="U212" s="88"/>
      <c r="V212" s="88"/>
      <c r="W212" s="88"/>
      <c r="X212" s="88"/>
      <c r="Y212" s="88"/>
    </row>
    <row r="213">
      <c r="A213" s="88"/>
      <c r="B213" s="88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Q213" s="88"/>
      <c r="R213" s="88"/>
      <c r="S213" s="88"/>
      <c r="T213" s="88"/>
      <c r="U213" s="88"/>
      <c r="V213" s="88"/>
      <c r="W213" s="88"/>
      <c r="X213" s="88"/>
      <c r="Y213" s="88"/>
    </row>
    <row r="214">
      <c r="A214" s="88"/>
      <c r="B214" s="88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Q214" s="88"/>
      <c r="R214" s="88"/>
      <c r="S214" s="88"/>
      <c r="T214" s="88"/>
      <c r="U214" s="88"/>
      <c r="V214" s="88"/>
      <c r="W214" s="88"/>
      <c r="X214" s="88"/>
      <c r="Y214" s="88"/>
    </row>
    <row r="215">
      <c r="A215" s="88"/>
      <c r="B215" s="8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Q215" s="88"/>
      <c r="R215" s="88"/>
      <c r="S215" s="88"/>
      <c r="T215" s="88"/>
      <c r="U215" s="88"/>
      <c r="V215" s="88"/>
      <c r="W215" s="88"/>
      <c r="X215" s="88"/>
      <c r="Y215" s="88"/>
    </row>
    <row r="216">
      <c r="A216" s="88"/>
      <c r="B216" s="88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Q216" s="88"/>
      <c r="R216" s="88"/>
      <c r="S216" s="88"/>
      <c r="T216" s="88"/>
      <c r="U216" s="88"/>
      <c r="V216" s="88"/>
      <c r="W216" s="88"/>
      <c r="X216" s="88"/>
      <c r="Y216" s="88"/>
    </row>
    <row r="217">
      <c r="A217" s="88"/>
      <c r="B217" s="8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Q217" s="88"/>
      <c r="R217" s="88"/>
      <c r="S217" s="88"/>
      <c r="T217" s="88"/>
      <c r="U217" s="88"/>
      <c r="V217" s="88"/>
      <c r="W217" s="88"/>
      <c r="X217" s="88"/>
      <c r="Y217" s="88"/>
    </row>
    <row r="218">
      <c r="A218" s="88"/>
      <c r="B218" s="88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Q218" s="88"/>
      <c r="R218" s="88"/>
      <c r="S218" s="88"/>
      <c r="T218" s="88"/>
      <c r="U218" s="88"/>
      <c r="V218" s="88"/>
      <c r="W218" s="88"/>
      <c r="X218" s="88"/>
      <c r="Y218" s="88"/>
    </row>
    <row r="219">
      <c r="A219" s="88"/>
      <c r="B219" s="88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Q219" s="88"/>
      <c r="R219" s="88"/>
      <c r="S219" s="88"/>
      <c r="T219" s="88"/>
      <c r="U219" s="88"/>
      <c r="V219" s="88"/>
      <c r="W219" s="88"/>
      <c r="X219" s="88"/>
      <c r="Y219" s="88"/>
    </row>
    <row r="220">
      <c r="A220" s="88"/>
      <c r="B220" s="88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Q220" s="88"/>
      <c r="R220" s="88"/>
      <c r="S220" s="88"/>
      <c r="T220" s="88"/>
      <c r="U220" s="88"/>
      <c r="V220" s="88"/>
      <c r="W220" s="88"/>
      <c r="X220" s="88"/>
      <c r="Y220" s="88"/>
    </row>
    <row r="221">
      <c r="A221" s="88"/>
      <c r="B221" s="88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Q221" s="88"/>
      <c r="R221" s="88"/>
      <c r="S221" s="88"/>
      <c r="T221" s="88"/>
      <c r="U221" s="88"/>
      <c r="V221" s="88"/>
      <c r="W221" s="88"/>
      <c r="X221" s="88"/>
      <c r="Y221" s="88"/>
    </row>
    <row r="222">
      <c r="A222" s="88"/>
      <c r="B222" s="88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Q222" s="88"/>
      <c r="R222" s="88"/>
      <c r="S222" s="88"/>
      <c r="T222" s="88"/>
      <c r="U222" s="88"/>
      <c r="V222" s="88"/>
      <c r="W222" s="88"/>
      <c r="X222" s="88"/>
      <c r="Y222" s="88"/>
    </row>
    <row r="223">
      <c r="A223" s="88"/>
      <c r="B223" s="88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Q223" s="88"/>
      <c r="R223" s="88"/>
      <c r="S223" s="88"/>
      <c r="T223" s="88"/>
      <c r="U223" s="88"/>
      <c r="V223" s="88"/>
      <c r="W223" s="88"/>
      <c r="X223" s="88"/>
      <c r="Y223" s="88"/>
    </row>
    <row r="224">
      <c r="A224" s="88"/>
      <c r="B224" s="88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Q224" s="88"/>
      <c r="R224" s="88"/>
      <c r="S224" s="88"/>
      <c r="T224" s="88"/>
      <c r="U224" s="88"/>
      <c r="V224" s="88"/>
      <c r="W224" s="88"/>
      <c r="X224" s="88"/>
      <c r="Y224" s="88"/>
    </row>
    <row r="225">
      <c r="A225" s="88"/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Q225" s="88"/>
      <c r="R225" s="88"/>
      <c r="S225" s="88"/>
      <c r="T225" s="88"/>
      <c r="U225" s="88"/>
      <c r="V225" s="88"/>
      <c r="W225" s="88"/>
      <c r="X225" s="88"/>
      <c r="Y225" s="88"/>
    </row>
    <row r="226">
      <c r="A226" s="88"/>
      <c r="B226" s="88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Q226" s="88"/>
      <c r="R226" s="88"/>
      <c r="S226" s="88"/>
      <c r="T226" s="88"/>
      <c r="U226" s="88"/>
      <c r="V226" s="88"/>
      <c r="W226" s="88"/>
      <c r="X226" s="88"/>
      <c r="Y226" s="88"/>
    </row>
    <row r="227">
      <c r="A227" s="88"/>
      <c r="B227" s="88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Q227" s="88"/>
      <c r="R227" s="88"/>
      <c r="S227" s="88"/>
      <c r="T227" s="88"/>
      <c r="U227" s="88"/>
      <c r="V227" s="88"/>
      <c r="W227" s="88"/>
      <c r="X227" s="88"/>
      <c r="Y227" s="88"/>
    </row>
    <row r="228">
      <c r="A228" s="88"/>
      <c r="B228" s="88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Q228" s="88"/>
      <c r="R228" s="88"/>
      <c r="S228" s="88"/>
      <c r="T228" s="88"/>
      <c r="U228" s="88"/>
      <c r="V228" s="88"/>
      <c r="W228" s="88"/>
      <c r="X228" s="88"/>
      <c r="Y228" s="88"/>
    </row>
    <row r="229">
      <c r="A229" s="88"/>
      <c r="B229" s="88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Q229" s="88"/>
      <c r="R229" s="88"/>
      <c r="S229" s="88"/>
      <c r="T229" s="88"/>
      <c r="U229" s="88"/>
      <c r="V229" s="88"/>
      <c r="W229" s="88"/>
      <c r="X229" s="88"/>
      <c r="Y229" s="88"/>
    </row>
    <row r="230">
      <c r="A230" s="88"/>
      <c r="B230" s="88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Q230" s="88"/>
      <c r="R230" s="88"/>
      <c r="S230" s="88"/>
      <c r="T230" s="88"/>
      <c r="U230" s="88"/>
      <c r="V230" s="88"/>
      <c r="W230" s="88"/>
      <c r="X230" s="88"/>
      <c r="Y230" s="88"/>
    </row>
    <row r="231">
      <c r="A231" s="88"/>
      <c r="B231" s="88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Q231" s="88"/>
      <c r="R231" s="88"/>
      <c r="S231" s="88"/>
      <c r="T231" s="88"/>
      <c r="U231" s="88"/>
      <c r="V231" s="88"/>
      <c r="W231" s="88"/>
      <c r="X231" s="88"/>
      <c r="Y231" s="88"/>
    </row>
    <row r="232">
      <c r="A232" s="88"/>
      <c r="B232" s="88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Q232" s="88"/>
      <c r="R232" s="88"/>
      <c r="S232" s="88"/>
      <c r="T232" s="88"/>
      <c r="U232" s="88"/>
      <c r="V232" s="88"/>
      <c r="W232" s="88"/>
      <c r="X232" s="88"/>
      <c r="Y232" s="88"/>
    </row>
    <row r="233">
      <c r="A233" s="88"/>
      <c r="B233" s="88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Q233" s="88"/>
      <c r="R233" s="88"/>
      <c r="S233" s="88"/>
      <c r="T233" s="88"/>
      <c r="U233" s="88"/>
      <c r="V233" s="88"/>
      <c r="W233" s="88"/>
      <c r="X233" s="88"/>
      <c r="Y233" s="88"/>
    </row>
    <row r="234">
      <c r="A234" s="88"/>
      <c r="B234" s="88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Q234" s="88"/>
      <c r="R234" s="88"/>
      <c r="S234" s="88"/>
      <c r="T234" s="88"/>
      <c r="U234" s="88"/>
      <c r="V234" s="88"/>
      <c r="W234" s="88"/>
      <c r="X234" s="88"/>
      <c r="Y234" s="88"/>
    </row>
    <row r="235">
      <c r="A235" s="88"/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Q235" s="88"/>
      <c r="R235" s="88"/>
      <c r="S235" s="88"/>
      <c r="T235" s="88"/>
      <c r="U235" s="88"/>
      <c r="V235" s="88"/>
      <c r="W235" s="88"/>
      <c r="X235" s="88"/>
      <c r="Y235" s="88"/>
    </row>
    <row r="236">
      <c r="A236" s="88"/>
      <c r="B236" s="88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Q236" s="88"/>
      <c r="R236" s="88"/>
      <c r="S236" s="88"/>
      <c r="T236" s="88"/>
      <c r="U236" s="88"/>
      <c r="V236" s="88"/>
      <c r="W236" s="88"/>
      <c r="X236" s="88"/>
      <c r="Y236" s="88"/>
    </row>
    <row r="237">
      <c r="A237" s="88"/>
      <c r="B237" s="88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Q237" s="88"/>
      <c r="R237" s="88"/>
      <c r="S237" s="88"/>
      <c r="T237" s="88"/>
      <c r="U237" s="88"/>
      <c r="V237" s="88"/>
      <c r="W237" s="88"/>
      <c r="X237" s="88"/>
      <c r="Y237" s="88"/>
    </row>
    <row r="238">
      <c r="A238" s="88"/>
      <c r="B238" s="88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Q238" s="88"/>
      <c r="R238" s="88"/>
      <c r="S238" s="88"/>
      <c r="T238" s="88"/>
      <c r="U238" s="88"/>
      <c r="V238" s="88"/>
      <c r="W238" s="88"/>
      <c r="X238" s="88"/>
      <c r="Y238" s="88"/>
    </row>
    <row r="239">
      <c r="A239" s="88"/>
      <c r="B239" s="88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Q239" s="88"/>
      <c r="R239" s="88"/>
      <c r="S239" s="88"/>
      <c r="T239" s="88"/>
      <c r="U239" s="88"/>
      <c r="V239" s="88"/>
      <c r="W239" s="88"/>
      <c r="X239" s="88"/>
      <c r="Y239" s="88"/>
    </row>
    <row r="240">
      <c r="A240" s="88"/>
      <c r="B240" s="88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Q240" s="88"/>
      <c r="R240" s="88"/>
      <c r="S240" s="88"/>
      <c r="T240" s="88"/>
      <c r="U240" s="88"/>
      <c r="V240" s="88"/>
      <c r="W240" s="88"/>
      <c r="X240" s="88"/>
      <c r="Y240" s="88"/>
    </row>
    <row r="241">
      <c r="A241" s="88"/>
      <c r="B241" s="88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Q241" s="88"/>
      <c r="R241" s="88"/>
      <c r="S241" s="88"/>
      <c r="T241" s="88"/>
      <c r="U241" s="88"/>
      <c r="V241" s="88"/>
      <c r="W241" s="88"/>
      <c r="X241" s="88"/>
      <c r="Y241" s="88"/>
    </row>
    <row r="242">
      <c r="A242" s="88"/>
      <c r="B242" s="88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Q242" s="88"/>
      <c r="R242" s="88"/>
      <c r="S242" s="88"/>
      <c r="T242" s="88"/>
      <c r="U242" s="88"/>
      <c r="V242" s="88"/>
      <c r="W242" s="88"/>
      <c r="X242" s="88"/>
      <c r="Y242" s="88"/>
    </row>
    <row r="243">
      <c r="A243" s="88"/>
      <c r="B243" s="88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Q243" s="88"/>
      <c r="R243" s="88"/>
      <c r="S243" s="88"/>
      <c r="T243" s="88"/>
      <c r="U243" s="88"/>
      <c r="V243" s="88"/>
      <c r="W243" s="88"/>
      <c r="X243" s="88"/>
      <c r="Y243" s="88"/>
    </row>
    <row r="244">
      <c r="A244" s="88"/>
      <c r="B244" s="8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Q244" s="88"/>
      <c r="R244" s="88"/>
      <c r="S244" s="88"/>
      <c r="T244" s="88"/>
      <c r="U244" s="88"/>
      <c r="V244" s="88"/>
      <c r="W244" s="88"/>
      <c r="X244" s="88"/>
      <c r="Y244" s="88"/>
    </row>
    <row r="245">
      <c r="A245" s="88"/>
      <c r="B245" s="88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Q245" s="88"/>
      <c r="R245" s="88"/>
      <c r="S245" s="88"/>
      <c r="T245" s="88"/>
      <c r="U245" s="88"/>
      <c r="V245" s="88"/>
      <c r="W245" s="88"/>
      <c r="X245" s="88"/>
      <c r="Y245" s="88"/>
    </row>
    <row r="246">
      <c r="A246" s="88"/>
      <c r="B246" s="88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Q246" s="88"/>
      <c r="R246" s="88"/>
      <c r="S246" s="88"/>
      <c r="T246" s="88"/>
      <c r="U246" s="88"/>
      <c r="V246" s="88"/>
      <c r="W246" s="88"/>
      <c r="X246" s="88"/>
      <c r="Y246" s="88"/>
    </row>
    <row r="247">
      <c r="A247" s="88"/>
      <c r="B247" s="88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Q247" s="88"/>
      <c r="R247" s="88"/>
      <c r="S247" s="88"/>
      <c r="T247" s="88"/>
      <c r="U247" s="88"/>
      <c r="V247" s="88"/>
      <c r="W247" s="88"/>
      <c r="X247" s="88"/>
      <c r="Y247" s="88"/>
    </row>
    <row r="248">
      <c r="A248" s="88"/>
      <c r="B248" s="88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Q248" s="88"/>
      <c r="R248" s="88"/>
      <c r="S248" s="88"/>
      <c r="T248" s="88"/>
      <c r="U248" s="88"/>
      <c r="V248" s="88"/>
      <c r="W248" s="88"/>
      <c r="X248" s="88"/>
      <c r="Y248" s="88"/>
    </row>
    <row r="249">
      <c r="A249" s="88"/>
      <c r="B249" s="88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Q249" s="88"/>
      <c r="R249" s="88"/>
      <c r="S249" s="88"/>
      <c r="T249" s="88"/>
      <c r="U249" s="88"/>
      <c r="V249" s="88"/>
      <c r="W249" s="88"/>
      <c r="X249" s="88"/>
      <c r="Y249" s="88"/>
    </row>
    <row r="250">
      <c r="A250" s="88"/>
      <c r="B250" s="88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Q250" s="88"/>
      <c r="R250" s="88"/>
      <c r="S250" s="88"/>
      <c r="T250" s="88"/>
      <c r="U250" s="88"/>
      <c r="V250" s="88"/>
      <c r="W250" s="88"/>
      <c r="X250" s="88"/>
      <c r="Y250" s="88"/>
    </row>
    <row r="251">
      <c r="A251" s="88"/>
      <c r="B251" s="88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Q251" s="88"/>
      <c r="R251" s="88"/>
      <c r="S251" s="88"/>
      <c r="T251" s="88"/>
      <c r="U251" s="88"/>
      <c r="V251" s="88"/>
      <c r="W251" s="88"/>
      <c r="X251" s="88"/>
      <c r="Y251" s="88"/>
    </row>
    <row r="252">
      <c r="A252" s="88"/>
      <c r="B252" s="88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Q252" s="88"/>
      <c r="R252" s="88"/>
      <c r="S252" s="88"/>
      <c r="T252" s="88"/>
      <c r="U252" s="88"/>
      <c r="V252" s="88"/>
      <c r="W252" s="88"/>
      <c r="X252" s="88"/>
      <c r="Y252" s="88"/>
    </row>
    <row r="253">
      <c r="A253" s="88"/>
      <c r="B253" s="88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Q253" s="88"/>
      <c r="R253" s="88"/>
      <c r="S253" s="88"/>
      <c r="T253" s="88"/>
      <c r="U253" s="88"/>
      <c r="V253" s="88"/>
      <c r="W253" s="88"/>
      <c r="X253" s="88"/>
      <c r="Y253" s="88"/>
    </row>
    <row r="254">
      <c r="A254" s="88"/>
      <c r="B254" s="88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Q254" s="88"/>
      <c r="R254" s="88"/>
      <c r="S254" s="88"/>
      <c r="T254" s="88"/>
      <c r="U254" s="88"/>
      <c r="V254" s="88"/>
      <c r="W254" s="88"/>
      <c r="X254" s="88"/>
      <c r="Y254" s="88"/>
    </row>
    <row r="255">
      <c r="A255" s="88"/>
      <c r="B255" s="88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Q255" s="88"/>
      <c r="R255" s="88"/>
      <c r="S255" s="88"/>
      <c r="T255" s="88"/>
      <c r="U255" s="88"/>
      <c r="V255" s="88"/>
      <c r="W255" s="88"/>
      <c r="X255" s="88"/>
      <c r="Y255" s="88"/>
    </row>
    <row r="256">
      <c r="A256" s="88"/>
      <c r="B256" s="8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Q256" s="88"/>
      <c r="R256" s="88"/>
      <c r="S256" s="88"/>
      <c r="T256" s="88"/>
      <c r="U256" s="88"/>
      <c r="V256" s="88"/>
      <c r="W256" s="88"/>
      <c r="X256" s="88"/>
      <c r="Y256" s="88"/>
    </row>
    <row r="257">
      <c r="A257" s="88"/>
      <c r="B257" s="88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Q257" s="88"/>
      <c r="R257" s="88"/>
      <c r="S257" s="88"/>
      <c r="T257" s="88"/>
      <c r="U257" s="88"/>
      <c r="V257" s="88"/>
      <c r="W257" s="88"/>
      <c r="X257" s="88"/>
      <c r="Y257" s="88"/>
    </row>
    <row r="258">
      <c r="A258" s="88"/>
      <c r="B258" s="88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Q258" s="88"/>
      <c r="R258" s="88"/>
      <c r="S258" s="88"/>
      <c r="T258" s="88"/>
      <c r="U258" s="88"/>
      <c r="V258" s="88"/>
      <c r="W258" s="88"/>
      <c r="X258" s="88"/>
      <c r="Y258" s="88"/>
    </row>
    <row r="259">
      <c r="A259" s="88"/>
      <c r="B259" s="88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Q259" s="88"/>
      <c r="R259" s="88"/>
      <c r="S259" s="88"/>
      <c r="T259" s="88"/>
      <c r="U259" s="88"/>
      <c r="V259" s="88"/>
      <c r="W259" s="88"/>
      <c r="X259" s="88"/>
      <c r="Y259" s="88"/>
    </row>
    <row r="260">
      <c r="A260" s="88"/>
      <c r="B260" s="88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Q260" s="88"/>
      <c r="R260" s="88"/>
      <c r="S260" s="88"/>
      <c r="T260" s="88"/>
      <c r="U260" s="88"/>
      <c r="V260" s="88"/>
      <c r="W260" s="88"/>
      <c r="X260" s="88"/>
      <c r="Y260" s="88"/>
    </row>
    <row r="261">
      <c r="A261" s="88"/>
      <c r="B261" s="88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Q261" s="88"/>
      <c r="R261" s="88"/>
      <c r="S261" s="88"/>
      <c r="T261" s="88"/>
      <c r="U261" s="88"/>
      <c r="V261" s="88"/>
      <c r="W261" s="88"/>
      <c r="X261" s="88"/>
      <c r="Y261" s="88"/>
    </row>
    <row r="262">
      <c r="A262" s="88"/>
      <c r="B262" s="88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Q262" s="88"/>
      <c r="R262" s="88"/>
      <c r="S262" s="88"/>
      <c r="T262" s="88"/>
      <c r="U262" s="88"/>
      <c r="V262" s="88"/>
      <c r="W262" s="88"/>
      <c r="X262" s="88"/>
      <c r="Y262" s="88"/>
    </row>
    <row r="263">
      <c r="A263" s="88"/>
      <c r="B263" s="88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Q263" s="88"/>
      <c r="R263" s="88"/>
      <c r="S263" s="88"/>
      <c r="T263" s="88"/>
      <c r="U263" s="88"/>
      <c r="V263" s="88"/>
      <c r="W263" s="88"/>
      <c r="X263" s="88"/>
      <c r="Y263" s="88"/>
    </row>
    <row r="264">
      <c r="A264" s="88"/>
      <c r="B264" s="88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Q264" s="88"/>
      <c r="R264" s="88"/>
      <c r="S264" s="88"/>
      <c r="T264" s="88"/>
      <c r="U264" s="88"/>
      <c r="V264" s="88"/>
      <c r="W264" s="88"/>
      <c r="X264" s="88"/>
      <c r="Y264" s="88"/>
    </row>
    <row r="265">
      <c r="A265" s="88"/>
      <c r="B265" s="88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Q265" s="88"/>
      <c r="R265" s="88"/>
      <c r="S265" s="88"/>
      <c r="T265" s="88"/>
      <c r="U265" s="88"/>
      <c r="V265" s="88"/>
      <c r="W265" s="88"/>
      <c r="X265" s="88"/>
      <c r="Y265" s="88"/>
    </row>
    <row r="266">
      <c r="A266" s="88"/>
      <c r="B266" s="88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Q266" s="88"/>
      <c r="R266" s="88"/>
      <c r="S266" s="88"/>
      <c r="T266" s="88"/>
      <c r="U266" s="88"/>
      <c r="V266" s="88"/>
      <c r="W266" s="88"/>
      <c r="X266" s="88"/>
      <c r="Y266" s="88"/>
    </row>
    <row r="267">
      <c r="A267" s="88"/>
      <c r="B267" s="88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Q267" s="88"/>
      <c r="R267" s="88"/>
      <c r="S267" s="88"/>
      <c r="T267" s="88"/>
      <c r="U267" s="88"/>
      <c r="V267" s="88"/>
      <c r="W267" s="88"/>
      <c r="X267" s="88"/>
      <c r="Y267" s="88"/>
    </row>
    <row r="268">
      <c r="A268" s="88"/>
      <c r="B268" s="88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Q268" s="88"/>
      <c r="R268" s="88"/>
      <c r="S268" s="88"/>
      <c r="T268" s="88"/>
      <c r="U268" s="88"/>
      <c r="V268" s="88"/>
      <c r="W268" s="88"/>
      <c r="X268" s="88"/>
      <c r="Y268" s="88"/>
    </row>
    <row r="269">
      <c r="A269" s="88"/>
      <c r="B269" s="88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Q269" s="88"/>
      <c r="R269" s="88"/>
      <c r="S269" s="88"/>
      <c r="T269" s="88"/>
      <c r="U269" s="88"/>
      <c r="V269" s="88"/>
      <c r="W269" s="88"/>
      <c r="X269" s="88"/>
      <c r="Y269" s="88"/>
    </row>
    <row r="270">
      <c r="A270" s="88"/>
      <c r="B270" s="88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Q270" s="88"/>
      <c r="R270" s="88"/>
      <c r="S270" s="88"/>
      <c r="T270" s="88"/>
      <c r="U270" s="88"/>
      <c r="V270" s="88"/>
      <c r="W270" s="88"/>
      <c r="X270" s="88"/>
      <c r="Y270" s="88"/>
    </row>
    <row r="271">
      <c r="A271" s="88"/>
      <c r="B271" s="88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Q271" s="88"/>
      <c r="R271" s="88"/>
      <c r="S271" s="88"/>
      <c r="T271" s="88"/>
      <c r="U271" s="88"/>
      <c r="V271" s="88"/>
      <c r="W271" s="88"/>
      <c r="X271" s="88"/>
      <c r="Y271" s="88"/>
    </row>
    <row r="272">
      <c r="A272" s="88"/>
      <c r="B272" s="88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Q272" s="88"/>
      <c r="R272" s="88"/>
      <c r="S272" s="88"/>
      <c r="T272" s="88"/>
      <c r="U272" s="88"/>
      <c r="V272" s="88"/>
      <c r="W272" s="88"/>
      <c r="X272" s="88"/>
      <c r="Y272" s="88"/>
    </row>
    <row r="273">
      <c r="A273" s="88"/>
      <c r="B273" s="88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Q273" s="88"/>
      <c r="R273" s="88"/>
      <c r="S273" s="88"/>
      <c r="T273" s="88"/>
      <c r="U273" s="88"/>
      <c r="V273" s="88"/>
      <c r="W273" s="88"/>
      <c r="X273" s="88"/>
      <c r="Y273" s="88"/>
    </row>
    <row r="274">
      <c r="A274" s="88"/>
      <c r="B274" s="88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Q274" s="88"/>
      <c r="R274" s="88"/>
      <c r="S274" s="88"/>
      <c r="T274" s="88"/>
      <c r="U274" s="88"/>
      <c r="V274" s="88"/>
      <c r="W274" s="88"/>
      <c r="X274" s="88"/>
      <c r="Y274" s="88"/>
    </row>
    <row r="275">
      <c r="A275" s="88"/>
      <c r="B275" s="88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Q275" s="88"/>
      <c r="R275" s="88"/>
      <c r="S275" s="88"/>
      <c r="T275" s="88"/>
      <c r="U275" s="88"/>
      <c r="V275" s="88"/>
      <c r="W275" s="88"/>
      <c r="X275" s="88"/>
      <c r="Y275" s="88"/>
    </row>
    <row r="276">
      <c r="A276" s="88"/>
      <c r="B276" s="88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Q276" s="88"/>
      <c r="R276" s="88"/>
      <c r="S276" s="88"/>
      <c r="T276" s="88"/>
      <c r="U276" s="88"/>
      <c r="V276" s="88"/>
      <c r="W276" s="88"/>
      <c r="X276" s="88"/>
      <c r="Y276" s="88"/>
    </row>
    <row r="277">
      <c r="A277" s="88"/>
      <c r="B277" s="88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Q277" s="88"/>
      <c r="R277" s="88"/>
      <c r="S277" s="88"/>
      <c r="T277" s="88"/>
      <c r="U277" s="88"/>
      <c r="V277" s="88"/>
      <c r="W277" s="88"/>
      <c r="X277" s="88"/>
      <c r="Y277" s="88"/>
    </row>
    <row r="278">
      <c r="A278" s="88"/>
      <c r="B278" s="88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Q278" s="88"/>
      <c r="R278" s="88"/>
      <c r="S278" s="88"/>
      <c r="T278" s="88"/>
      <c r="U278" s="88"/>
      <c r="V278" s="88"/>
      <c r="W278" s="88"/>
      <c r="X278" s="88"/>
      <c r="Y278" s="88"/>
    </row>
    <row r="279">
      <c r="A279" s="88"/>
      <c r="B279" s="88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Q279" s="88"/>
      <c r="R279" s="88"/>
      <c r="S279" s="88"/>
      <c r="T279" s="88"/>
      <c r="U279" s="88"/>
      <c r="V279" s="88"/>
      <c r="W279" s="88"/>
      <c r="X279" s="88"/>
      <c r="Y279" s="88"/>
    </row>
    <row r="280">
      <c r="A280" s="88"/>
      <c r="B280" s="88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Q280" s="88"/>
      <c r="R280" s="88"/>
      <c r="S280" s="88"/>
      <c r="T280" s="88"/>
      <c r="U280" s="88"/>
      <c r="V280" s="88"/>
      <c r="W280" s="88"/>
      <c r="X280" s="88"/>
      <c r="Y280" s="88"/>
    </row>
    <row r="281">
      <c r="A281" s="88"/>
      <c r="B281" s="88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Q281" s="88"/>
      <c r="R281" s="88"/>
      <c r="S281" s="88"/>
      <c r="T281" s="88"/>
      <c r="U281" s="88"/>
      <c r="V281" s="88"/>
      <c r="W281" s="88"/>
      <c r="X281" s="88"/>
      <c r="Y281" s="88"/>
    </row>
    <row r="282">
      <c r="A282" s="88"/>
      <c r="B282" s="88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Q282" s="88"/>
      <c r="R282" s="88"/>
      <c r="S282" s="88"/>
      <c r="T282" s="88"/>
      <c r="U282" s="88"/>
      <c r="V282" s="88"/>
      <c r="W282" s="88"/>
      <c r="X282" s="88"/>
      <c r="Y282" s="88"/>
    </row>
    <row r="283">
      <c r="A283" s="88"/>
      <c r="B283" s="88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Q283" s="88"/>
      <c r="R283" s="88"/>
      <c r="S283" s="88"/>
      <c r="T283" s="88"/>
      <c r="U283" s="88"/>
      <c r="V283" s="88"/>
      <c r="W283" s="88"/>
      <c r="X283" s="88"/>
      <c r="Y283" s="88"/>
    </row>
    <row r="284">
      <c r="A284" s="88"/>
      <c r="B284" s="88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Q284" s="88"/>
      <c r="R284" s="88"/>
      <c r="S284" s="88"/>
      <c r="T284" s="88"/>
      <c r="U284" s="88"/>
      <c r="V284" s="88"/>
      <c r="W284" s="88"/>
      <c r="X284" s="88"/>
      <c r="Y284" s="88"/>
    </row>
    <row r="285">
      <c r="A285" s="88"/>
      <c r="B285" s="88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Q285" s="88"/>
      <c r="R285" s="88"/>
      <c r="S285" s="88"/>
      <c r="T285" s="88"/>
      <c r="U285" s="88"/>
      <c r="V285" s="88"/>
      <c r="W285" s="88"/>
      <c r="X285" s="88"/>
      <c r="Y285" s="88"/>
    </row>
    <row r="286">
      <c r="A286" s="88"/>
      <c r="B286" s="88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Q286" s="88"/>
      <c r="R286" s="88"/>
      <c r="S286" s="88"/>
      <c r="T286" s="88"/>
      <c r="U286" s="88"/>
      <c r="V286" s="88"/>
      <c r="W286" s="88"/>
      <c r="X286" s="88"/>
      <c r="Y286" s="88"/>
    </row>
    <row r="287">
      <c r="A287" s="88"/>
      <c r="B287" s="88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Q287" s="88"/>
      <c r="R287" s="88"/>
      <c r="S287" s="88"/>
      <c r="T287" s="88"/>
      <c r="U287" s="88"/>
      <c r="V287" s="88"/>
      <c r="W287" s="88"/>
      <c r="X287" s="88"/>
      <c r="Y287" s="88"/>
    </row>
    <row r="288">
      <c r="A288" s="88"/>
      <c r="B288" s="88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Q288" s="88"/>
      <c r="R288" s="88"/>
      <c r="S288" s="88"/>
      <c r="T288" s="88"/>
      <c r="U288" s="88"/>
      <c r="V288" s="88"/>
      <c r="W288" s="88"/>
      <c r="X288" s="88"/>
      <c r="Y288" s="88"/>
    </row>
    <row r="289">
      <c r="A289" s="88"/>
      <c r="B289" s="8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Q289" s="88"/>
      <c r="R289" s="88"/>
      <c r="S289" s="88"/>
      <c r="T289" s="88"/>
      <c r="U289" s="88"/>
      <c r="V289" s="88"/>
      <c r="W289" s="88"/>
      <c r="X289" s="88"/>
      <c r="Y289" s="88"/>
    </row>
    <row r="290">
      <c r="A290" s="88"/>
      <c r="B290" s="88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Q290" s="88"/>
      <c r="R290" s="88"/>
      <c r="S290" s="88"/>
      <c r="T290" s="88"/>
      <c r="U290" s="88"/>
      <c r="V290" s="88"/>
      <c r="W290" s="88"/>
      <c r="X290" s="88"/>
      <c r="Y290" s="88"/>
    </row>
    <row r="291">
      <c r="A291" s="88"/>
      <c r="B291" s="88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Q291" s="88"/>
      <c r="R291" s="88"/>
      <c r="S291" s="88"/>
      <c r="T291" s="88"/>
      <c r="U291" s="88"/>
      <c r="V291" s="88"/>
      <c r="W291" s="88"/>
      <c r="X291" s="88"/>
      <c r="Y291" s="88"/>
    </row>
    <row r="292">
      <c r="A292" s="88"/>
      <c r="B292" s="88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Q292" s="88"/>
      <c r="R292" s="88"/>
      <c r="S292" s="88"/>
      <c r="T292" s="88"/>
      <c r="U292" s="88"/>
      <c r="V292" s="88"/>
      <c r="W292" s="88"/>
      <c r="X292" s="88"/>
      <c r="Y292" s="88"/>
    </row>
    <row r="293">
      <c r="A293" s="88"/>
      <c r="B293" s="88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Q293" s="88"/>
      <c r="R293" s="88"/>
      <c r="S293" s="88"/>
      <c r="T293" s="88"/>
      <c r="U293" s="88"/>
      <c r="V293" s="88"/>
      <c r="W293" s="88"/>
      <c r="X293" s="88"/>
      <c r="Y293" s="88"/>
    </row>
    <row r="294">
      <c r="A294" s="88"/>
      <c r="B294" s="88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Q294" s="88"/>
      <c r="R294" s="88"/>
      <c r="S294" s="88"/>
      <c r="T294" s="88"/>
      <c r="U294" s="88"/>
      <c r="V294" s="88"/>
      <c r="W294" s="88"/>
      <c r="X294" s="88"/>
      <c r="Y294" s="88"/>
    </row>
    <row r="295">
      <c r="A295" s="88"/>
      <c r="B295" s="88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Q295" s="88"/>
      <c r="R295" s="88"/>
      <c r="S295" s="88"/>
      <c r="T295" s="88"/>
      <c r="U295" s="88"/>
      <c r="V295" s="88"/>
      <c r="W295" s="88"/>
      <c r="X295" s="88"/>
      <c r="Y295" s="88"/>
    </row>
    <row r="296">
      <c r="A296" s="88"/>
      <c r="B296" s="88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Q296" s="88"/>
      <c r="R296" s="88"/>
      <c r="S296" s="88"/>
      <c r="T296" s="88"/>
      <c r="U296" s="88"/>
      <c r="V296" s="88"/>
      <c r="W296" s="88"/>
      <c r="X296" s="88"/>
      <c r="Y296" s="88"/>
    </row>
    <row r="297">
      <c r="A297" s="88"/>
      <c r="B297" s="88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Q297" s="88"/>
      <c r="R297" s="88"/>
      <c r="S297" s="88"/>
      <c r="T297" s="88"/>
      <c r="U297" s="88"/>
      <c r="V297" s="88"/>
      <c r="W297" s="88"/>
      <c r="X297" s="88"/>
      <c r="Y297" s="88"/>
    </row>
    <row r="298">
      <c r="A298" s="88"/>
      <c r="B298" s="88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Q298" s="88"/>
      <c r="R298" s="88"/>
      <c r="S298" s="88"/>
      <c r="T298" s="88"/>
      <c r="U298" s="88"/>
      <c r="V298" s="88"/>
      <c r="W298" s="88"/>
      <c r="X298" s="88"/>
      <c r="Y298" s="88"/>
    </row>
    <row r="299">
      <c r="A299" s="88"/>
      <c r="B299" s="88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Q299" s="88"/>
      <c r="R299" s="88"/>
      <c r="S299" s="88"/>
      <c r="T299" s="88"/>
      <c r="U299" s="88"/>
      <c r="V299" s="88"/>
      <c r="W299" s="88"/>
      <c r="X299" s="88"/>
      <c r="Y299" s="88"/>
    </row>
    <row r="300">
      <c r="A300" s="88"/>
      <c r="B300" s="88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Q300" s="88"/>
      <c r="R300" s="88"/>
      <c r="S300" s="88"/>
      <c r="T300" s="88"/>
      <c r="U300" s="88"/>
      <c r="V300" s="88"/>
      <c r="W300" s="88"/>
      <c r="X300" s="88"/>
      <c r="Y300" s="88"/>
    </row>
    <row r="301">
      <c r="A301" s="88"/>
      <c r="B301" s="88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Q301" s="88"/>
      <c r="R301" s="88"/>
      <c r="S301" s="88"/>
      <c r="T301" s="88"/>
      <c r="U301" s="88"/>
      <c r="V301" s="88"/>
      <c r="W301" s="88"/>
      <c r="X301" s="88"/>
      <c r="Y301" s="88"/>
    </row>
    <row r="302">
      <c r="A302" s="88"/>
      <c r="B302" s="88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Q302" s="88"/>
      <c r="R302" s="88"/>
      <c r="S302" s="88"/>
      <c r="T302" s="88"/>
      <c r="U302" s="88"/>
      <c r="V302" s="88"/>
      <c r="W302" s="88"/>
      <c r="X302" s="88"/>
      <c r="Y302" s="88"/>
    </row>
    <row r="303">
      <c r="A303" s="88"/>
      <c r="B303" s="88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Q303" s="88"/>
      <c r="R303" s="88"/>
      <c r="S303" s="88"/>
      <c r="T303" s="88"/>
      <c r="U303" s="88"/>
      <c r="V303" s="88"/>
      <c r="W303" s="88"/>
      <c r="X303" s="88"/>
      <c r="Y303" s="88"/>
    </row>
    <row r="304">
      <c r="A304" s="88"/>
      <c r="B304" s="88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Q304" s="88"/>
      <c r="R304" s="88"/>
      <c r="S304" s="88"/>
      <c r="T304" s="88"/>
      <c r="U304" s="88"/>
      <c r="V304" s="88"/>
      <c r="W304" s="88"/>
      <c r="X304" s="88"/>
      <c r="Y304" s="88"/>
    </row>
    <row r="305">
      <c r="A305" s="88"/>
      <c r="B305" s="88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Q305" s="88"/>
      <c r="R305" s="88"/>
      <c r="S305" s="88"/>
      <c r="T305" s="88"/>
      <c r="U305" s="88"/>
      <c r="V305" s="88"/>
      <c r="W305" s="88"/>
      <c r="X305" s="88"/>
      <c r="Y305" s="88"/>
    </row>
    <row r="306">
      <c r="A306" s="88"/>
      <c r="B306" s="88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Q306" s="88"/>
      <c r="R306" s="88"/>
      <c r="S306" s="88"/>
      <c r="T306" s="88"/>
      <c r="U306" s="88"/>
      <c r="V306" s="88"/>
      <c r="W306" s="88"/>
      <c r="X306" s="88"/>
      <c r="Y306" s="88"/>
    </row>
    <row r="307">
      <c r="A307" s="88"/>
      <c r="B307" s="88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Q307" s="88"/>
      <c r="R307" s="88"/>
      <c r="S307" s="88"/>
      <c r="T307" s="88"/>
      <c r="U307" s="88"/>
      <c r="V307" s="88"/>
      <c r="W307" s="88"/>
      <c r="X307" s="88"/>
      <c r="Y307" s="88"/>
    </row>
    <row r="308">
      <c r="A308" s="88"/>
      <c r="B308" s="88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Q308" s="88"/>
      <c r="R308" s="88"/>
      <c r="S308" s="88"/>
      <c r="T308" s="88"/>
      <c r="U308" s="88"/>
      <c r="V308" s="88"/>
      <c r="W308" s="88"/>
      <c r="X308" s="88"/>
      <c r="Y308" s="88"/>
    </row>
    <row r="309">
      <c r="A309" s="88"/>
      <c r="B309" s="88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Q309" s="88"/>
      <c r="R309" s="88"/>
      <c r="S309" s="88"/>
      <c r="T309" s="88"/>
      <c r="U309" s="88"/>
      <c r="V309" s="88"/>
      <c r="W309" s="88"/>
      <c r="X309" s="88"/>
      <c r="Y309" s="88"/>
    </row>
    <row r="310">
      <c r="A310" s="88"/>
      <c r="B310" s="88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Q310" s="88"/>
      <c r="R310" s="88"/>
      <c r="S310" s="88"/>
      <c r="T310" s="88"/>
      <c r="U310" s="88"/>
      <c r="V310" s="88"/>
      <c r="W310" s="88"/>
      <c r="X310" s="88"/>
      <c r="Y310" s="88"/>
    </row>
    <row r="311">
      <c r="A311" s="88"/>
      <c r="B311" s="88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Q311" s="88"/>
      <c r="R311" s="88"/>
      <c r="S311" s="88"/>
      <c r="T311" s="88"/>
      <c r="U311" s="88"/>
      <c r="V311" s="88"/>
      <c r="W311" s="88"/>
      <c r="X311" s="88"/>
      <c r="Y311" s="88"/>
    </row>
    <row r="312">
      <c r="A312" s="88"/>
      <c r="B312" s="88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Q312" s="88"/>
      <c r="R312" s="88"/>
      <c r="S312" s="88"/>
      <c r="T312" s="88"/>
      <c r="U312" s="88"/>
      <c r="V312" s="88"/>
      <c r="W312" s="88"/>
      <c r="X312" s="88"/>
      <c r="Y312" s="88"/>
    </row>
    <row r="313">
      <c r="A313" s="88"/>
      <c r="B313" s="88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Q313" s="88"/>
      <c r="R313" s="88"/>
      <c r="S313" s="88"/>
      <c r="T313" s="88"/>
      <c r="U313" s="88"/>
      <c r="V313" s="88"/>
      <c r="W313" s="88"/>
      <c r="X313" s="88"/>
      <c r="Y313" s="88"/>
    </row>
    <row r="314">
      <c r="A314" s="88"/>
      <c r="B314" s="88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Q314" s="88"/>
      <c r="R314" s="88"/>
      <c r="S314" s="88"/>
      <c r="T314" s="88"/>
      <c r="U314" s="88"/>
      <c r="V314" s="88"/>
      <c r="W314" s="88"/>
      <c r="X314" s="88"/>
      <c r="Y314" s="88"/>
    </row>
    <row r="315">
      <c r="A315" s="88"/>
      <c r="B315" s="88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Q315" s="88"/>
      <c r="R315" s="88"/>
      <c r="S315" s="88"/>
      <c r="T315" s="88"/>
      <c r="U315" s="88"/>
      <c r="V315" s="88"/>
      <c r="W315" s="88"/>
      <c r="X315" s="88"/>
      <c r="Y315" s="88"/>
    </row>
    <row r="316">
      <c r="A316" s="88"/>
      <c r="B316" s="88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Q316" s="88"/>
      <c r="R316" s="88"/>
      <c r="S316" s="88"/>
      <c r="T316" s="88"/>
      <c r="U316" s="88"/>
      <c r="V316" s="88"/>
      <c r="W316" s="88"/>
      <c r="X316" s="88"/>
      <c r="Y316" s="88"/>
    </row>
    <row r="317">
      <c r="A317" s="88"/>
      <c r="B317" s="88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Q317" s="88"/>
      <c r="R317" s="88"/>
      <c r="S317" s="88"/>
      <c r="T317" s="88"/>
      <c r="U317" s="88"/>
      <c r="V317" s="88"/>
      <c r="W317" s="88"/>
      <c r="X317" s="88"/>
      <c r="Y317" s="88"/>
    </row>
    <row r="318">
      <c r="A318" s="88"/>
      <c r="B318" s="88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Q318" s="88"/>
      <c r="R318" s="88"/>
      <c r="S318" s="88"/>
      <c r="T318" s="88"/>
      <c r="U318" s="88"/>
      <c r="V318" s="88"/>
      <c r="W318" s="88"/>
      <c r="X318" s="88"/>
      <c r="Y318" s="88"/>
    </row>
    <row r="319">
      <c r="A319" s="88"/>
      <c r="B319" s="88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Q319" s="88"/>
      <c r="R319" s="88"/>
      <c r="S319" s="88"/>
      <c r="T319" s="88"/>
      <c r="U319" s="88"/>
      <c r="V319" s="88"/>
      <c r="W319" s="88"/>
      <c r="X319" s="88"/>
      <c r="Y319" s="88"/>
    </row>
    <row r="320">
      <c r="A320" s="88"/>
      <c r="B320" s="88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Q320" s="88"/>
      <c r="R320" s="88"/>
      <c r="S320" s="88"/>
      <c r="T320" s="88"/>
      <c r="U320" s="88"/>
      <c r="V320" s="88"/>
      <c r="W320" s="88"/>
      <c r="X320" s="88"/>
      <c r="Y320" s="88"/>
    </row>
    <row r="321">
      <c r="A321" s="88"/>
      <c r="B321" s="88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Q321" s="88"/>
      <c r="R321" s="88"/>
      <c r="S321" s="88"/>
      <c r="T321" s="88"/>
      <c r="U321" s="88"/>
      <c r="V321" s="88"/>
      <c r="W321" s="88"/>
      <c r="X321" s="88"/>
      <c r="Y321" s="88"/>
    </row>
    <row r="322">
      <c r="A322" s="88"/>
      <c r="B322" s="88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Q322" s="88"/>
      <c r="R322" s="88"/>
      <c r="S322" s="88"/>
      <c r="T322" s="88"/>
      <c r="U322" s="88"/>
      <c r="V322" s="88"/>
      <c r="W322" s="88"/>
      <c r="X322" s="88"/>
      <c r="Y322" s="88"/>
    </row>
    <row r="323">
      <c r="A323" s="88"/>
      <c r="B323" s="88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Q323" s="88"/>
      <c r="R323" s="88"/>
      <c r="S323" s="88"/>
      <c r="T323" s="88"/>
      <c r="U323" s="88"/>
      <c r="V323" s="88"/>
      <c r="W323" s="88"/>
      <c r="X323" s="88"/>
      <c r="Y323" s="88"/>
    </row>
    <row r="324">
      <c r="A324" s="88"/>
      <c r="B324" s="88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Q324" s="88"/>
      <c r="R324" s="88"/>
      <c r="S324" s="88"/>
      <c r="T324" s="88"/>
      <c r="U324" s="88"/>
      <c r="V324" s="88"/>
      <c r="W324" s="88"/>
      <c r="X324" s="88"/>
      <c r="Y324" s="88"/>
    </row>
    <row r="325">
      <c r="A325" s="88"/>
      <c r="B325" s="88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Q325" s="88"/>
      <c r="R325" s="88"/>
      <c r="S325" s="88"/>
      <c r="T325" s="88"/>
      <c r="U325" s="88"/>
      <c r="V325" s="88"/>
      <c r="W325" s="88"/>
      <c r="X325" s="88"/>
      <c r="Y325" s="88"/>
    </row>
    <row r="326">
      <c r="A326" s="88"/>
      <c r="B326" s="88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Q326" s="88"/>
      <c r="R326" s="88"/>
      <c r="S326" s="88"/>
      <c r="T326" s="88"/>
      <c r="U326" s="88"/>
      <c r="V326" s="88"/>
      <c r="W326" s="88"/>
      <c r="X326" s="88"/>
      <c r="Y326" s="88"/>
    </row>
    <row r="327">
      <c r="A327" s="88"/>
      <c r="B327" s="88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Q327" s="88"/>
      <c r="R327" s="88"/>
      <c r="S327" s="88"/>
      <c r="T327" s="88"/>
      <c r="U327" s="88"/>
      <c r="V327" s="88"/>
      <c r="W327" s="88"/>
      <c r="X327" s="88"/>
      <c r="Y327" s="88"/>
    </row>
    <row r="328">
      <c r="A328" s="88"/>
      <c r="B328" s="88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Q328" s="88"/>
      <c r="R328" s="88"/>
      <c r="S328" s="88"/>
      <c r="T328" s="88"/>
      <c r="U328" s="88"/>
      <c r="V328" s="88"/>
      <c r="W328" s="88"/>
      <c r="X328" s="88"/>
      <c r="Y328" s="88"/>
    </row>
    <row r="329">
      <c r="A329" s="88"/>
      <c r="B329" s="88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Q329" s="88"/>
      <c r="R329" s="88"/>
      <c r="S329" s="88"/>
      <c r="T329" s="88"/>
      <c r="U329" s="88"/>
      <c r="V329" s="88"/>
      <c r="W329" s="88"/>
      <c r="X329" s="88"/>
      <c r="Y329" s="88"/>
    </row>
    <row r="330">
      <c r="A330" s="88"/>
      <c r="B330" s="88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Q330" s="88"/>
      <c r="R330" s="88"/>
      <c r="S330" s="88"/>
      <c r="T330" s="88"/>
      <c r="U330" s="88"/>
      <c r="V330" s="88"/>
      <c r="W330" s="88"/>
      <c r="X330" s="88"/>
      <c r="Y330" s="88"/>
    </row>
    <row r="331">
      <c r="A331" s="88"/>
      <c r="B331" s="88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Q331" s="88"/>
      <c r="R331" s="88"/>
      <c r="S331" s="88"/>
      <c r="T331" s="88"/>
      <c r="U331" s="88"/>
      <c r="V331" s="88"/>
      <c r="W331" s="88"/>
      <c r="X331" s="88"/>
      <c r="Y331" s="88"/>
    </row>
    <row r="332">
      <c r="A332" s="88"/>
      <c r="B332" s="88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Q332" s="88"/>
      <c r="R332" s="88"/>
      <c r="S332" s="88"/>
      <c r="T332" s="88"/>
      <c r="U332" s="88"/>
      <c r="V332" s="88"/>
      <c r="W332" s="88"/>
      <c r="X332" s="88"/>
      <c r="Y332" s="88"/>
    </row>
    <row r="333">
      <c r="A333" s="88"/>
      <c r="B333" s="88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Q333" s="88"/>
      <c r="R333" s="88"/>
      <c r="S333" s="88"/>
      <c r="T333" s="88"/>
      <c r="U333" s="88"/>
      <c r="V333" s="88"/>
      <c r="W333" s="88"/>
      <c r="X333" s="88"/>
      <c r="Y333" s="88"/>
    </row>
    <row r="334">
      <c r="A334" s="88"/>
      <c r="B334" s="88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Q334" s="88"/>
      <c r="R334" s="88"/>
      <c r="S334" s="88"/>
      <c r="T334" s="88"/>
      <c r="U334" s="88"/>
      <c r="V334" s="88"/>
      <c r="W334" s="88"/>
      <c r="X334" s="88"/>
      <c r="Y334" s="88"/>
    </row>
    <row r="335">
      <c r="A335" s="88"/>
      <c r="B335" s="88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Q335" s="88"/>
      <c r="R335" s="88"/>
      <c r="S335" s="88"/>
      <c r="T335" s="88"/>
      <c r="U335" s="88"/>
      <c r="V335" s="88"/>
      <c r="W335" s="88"/>
      <c r="X335" s="88"/>
      <c r="Y335" s="88"/>
    </row>
    <row r="336">
      <c r="A336" s="88"/>
      <c r="B336" s="88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Q336" s="88"/>
      <c r="R336" s="88"/>
      <c r="S336" s="88"/>
      <c r="T336" s="88"/>
      <c r="U336" s="88"/>
      <c r="V336" s="88"/>
      <c r="W336" s="88"/>
      <c r="X336" s="88"/>
      <c r="Y336" s="88"/>
    </row>
    <row r="337">
      <c r="A337" s="88"/>
      <c r="B337" s="88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Q337" s="88"/>
      <c r="R337" s="88"/>
      <c r="S337" s="88"/>
      <c r="T337" s="88"/>
      <c r="U337" s="88"/>
      <c r="V337" s="88"/>
      <c r="W337" s="88"/>
      <c r="X337" s="88"/>
      <c r="Y337" s="88"/>
    </row>
    <row r="338">
      <c r="A338" s="88"/>
      <c r="B338" s="88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Q338" s="88"/>
      <c r="R338" s="88"/>
      <c r="S338" s="88"/>
      <c r="T338" s="88"/>
      <c r="U338" s="88"/>
      <c r="V338" s="88"/>
      <c r="W338" s="88"/>
      <c r="X338" s="88"/>
      <c r="Y338" s="88"/>
    </row>
    <row r="339">
      <c r="A339" s="88"/>
      <c r="B339" s="88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Q339" s="88"/>
      <c r="R339" s="88"/>
      <c r="S339" s="88"/>
      <c r="T339" s="88"/>
      <c r="U339" s="88"/>
      <c r="V339" s="88"/>
      <c r="W339" s="88"/>
      <c r="X339" s="88"/>
      <c r="Y339" s="88"/>
    </row>
    <row r="340">
      <c r="A340" s="88"/>
      <c r="B340" s="88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Q340" s="88"/>
      <c r="R340" s="88"/>
      <c r="S340" s="88"/>
      <c r="T340" s="88"/>
      <c r="U340" s="88"/>
      <c r="V340" s="88"/>
      <c r="W340" s="88"/>
      <c r="X340" s="88"/>
      <c r="Y340" s="88"/>
    </row>
    <row r="341">
      <c r="A341" s="88"/>
      <c r="B341" s="88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Q341" s="88"/>
      <c r="R341" s="88"/>
      <c r="S341" s="88"/>
      <c r="T341" s="88"/>
      <c r="U341" s="88"/>
      <c r="V341" s="88"/>
      <c r="W341" s="88"/>
      <c r="X341" s="88"/>
      <c r="Y341" s="88"/>
    </row>
    <row r="342">
      <c r="A342" s="88"/>
      <c r="B342" s="88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Q342" s="88"/>
      <c r="R342" s="88"/>
      <c r="S342" s="88"/>
      <c r="T342" s="88"/>
      <c r="U342" s="88"/>
      <c r="V342" s="88"/>
      <c r="W342" s="88"/>
      <c r="X342" s="88"/>
      <c r="Y342" s="88"/>
    </row>
    <row r="343">
      <c r="A343" s="88"/>
      <c r="B343" s="88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Q343" s="88"/>
      <c r="R343" s="88"/>
      <c r="S343" s="88"/>
      <c r="T343" s="88"/>
      <c r="U343" s="88"/>
      <c r="V343" s="88"/>
      <c r="W343" s="88"/>
      <c r="X343" s="88"/>
      <c r="Y343" s="88"/>
    </row>
    <row r="344">
      <c r="A344" s="88"/>
      <c r="B344" s="88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Q344" s="88"/>
      <c r="R344" s="88"/>
      <c r="S344" s="88"/>
      <c r="T344" s="88"/>
      <c r="U344" s="88"/>
      <c r="V344" s="88"/>
      <c r="W344" s="88"/>
      <c r="X344" s="88"/>
      <c r="Y344" s="88"/>
    </row>
    <row r="345">
      <c r="A345" s="88"/>
      <c r="B345" s="88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Q345" s="88"/>
      <c r="R345" s="88"/>
      <c r="S345" s="88"/>
      <c r="T345" s="88"/>
      <c r="U345" s="88"/>
      <c r="V345" s="88"/>
      <c r="W345" s="88"/>
      <c r="X345" s="88"/>
      <c r="Y345" s="88"/>
    </row>
    <row r="346">
      <c r="A346" s="88"/>
      <c r="B346" s="88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Q346" s="88"/>
      <c r="R346" s="88"/>
      <c r="S346" s="88"/>
      <c r="T346" s="88"/>
      <c r="U346" s="88"/>
      <c r="V346" s="88"/>
      <c r="W346" s="88"/>
      <c r="X346" s="88"/>
      <c r="Y346" s="88"/>
    </row>
    <row r="347">
      <c r="A347" s="88"/>
      <c r="B347" s="88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Q347" s="88"/>
      <c r="R347" s="88"/>
      <c r="S347" s="88"/>
      <c r="T347" s="88"/>
      <c r="U347" s="88"/>
      <c r="V347" s="88"/>
      <c r="W347" s="88"/>
      <c r="X347" s="88"/>
      <c r="Y347" s="88"/>
    </row>
    <row r="348">
      <c r="A348" s="88"/>
      <c r="B348" s="88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Q348" s="88"/>
      <c r="R348" s="88"/>
      <c r="S348" s="88"/>
      <c r="T348" s="88"/>
      <c r="U348" s="88"/>
      <c r="V348" s="88"/>
      <c r="W348" s="88"/>
      <c r="X348" s="88"/>
      <c r="Y348" s="88"/>
    </row>
    <row r="349">
      <c r="A349" s="88"/>
      <c r="B349" s="88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Q349" s="88"/>
      <c r="R349" s="88"/>
      <c r="S349" s="88"/>
      <c r="T349" s="88"/>
      <c r="U349" s="88"/>
      <c r="V349" s="88"/>
      <c r="W349" s="88"/>
      <c r="X349" s="88"/>
      <c r="Y349" s="88"/>
    </row>
    <row r="350">
      <c r="A350" s="88"/>
      <c r="B350" s="88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Q350" s="88"/>
      <c r="R350" s="88"/>
      <c r="S350" s="88"/>
      <c r="T350" s="88"/>
      <c r="U350" s="88"/>
      <c r="V350" s="88"/>
      <c r="W350" s="88"/>
      <c r="X350" s="88"/>
      <c r="Y350" s="88"/>
    </row>
    <row r="351">
      <c r="A351" s="88"/>
      <c r="B351" s="88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Q351" s="88"/>
      <c r="R351" s="88"/>
      <c r="S351" s="88"/>
      <c r="T351" s="88"/>
      <c r="U351" s="88"/>
      <c r="V351" s="88"/>
      <c r="W351" s="88"/>
      <c r="X351" s="88"/>
      <c r="Y351" s="88"/>
    </row>
    <row r="352">
      <c r="A352" s="88"/>
      <c r="B352" s="88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Q352" s="88"/>
      <c r="R352" s="88"/>
      <c r="S352" s="88"/>
      <c r="T352" s="88"/>
      <c r="U352" s="88"/>
      <c r="V352" s="88"/>
      <c r="W352" s="88"/>
      <c r="X352" s="88"/>
      <c r="Y352" s="88"/>
    </row>
    <row r="353">
      <c r="A353" s="88"/>
      <c r="B353" s="88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Q353" s="88"/>
      <c r="R353" s="88"/>
      <c r="S353" s="88"/>
      <c r="T353" s="88"/>
      <c r="U353" s="88"/>
      <c r="V353" s="88"/>
      <c r="W353" s="88"/>
      <c r="X353" s="88"/>
      <c r="Y353" s="88"/>
    </row>
    <row r="354">
      <c r="A354" s="88"/>
      <c r="B354" s="88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Q354" s="88"/>
      <c r="R354" s="88"/>
      <c r="S354" s="88"/>
      <c r="T354" s="88"/>
      <c r="U354" s="88"/>
      <c r="V354" s="88"/>
      <c r="W354" s="88"/>
      <c r="X354" s="88"/>
      <c r="Y354" s="88"/>
    </row>
    <row r="355">
      <c r="A355" s="88"/>
      <c r="B355" s="88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Q355" s="88"/>
      <c r="R355" s="88"/>
      <c r="S355" s="88"/>
      <c r="T355" s="88"/>
      <c r="U355" s="88"/>
      <c r="V355" s="88"/>
      <c r="W355" s="88"/>
      <c r="X355" s="88"/>
      <c r="Y355" s="88"/>
    </row>
    <row r="356">
      <c r="A356" s="88"/>
      <c r="B356" s="88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Q356" s="88"/>
      <c r="R356" s="88"/>
      <c r="S356" s="88"/>
      <c r="T356" s="88"/>
      <c r="U356" s="88"/>
      <c r="V356" s="88"/>
      <c r="W356" s="88"/>
      <c r="X356" s="88"/>
      <c r="Y356" s="88"/>
    </row>
    <row r="357">
      <c r="A357" s="88"/>
      <c r="B357" s="88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Q357" s="88"/>
      <c r="R357" s="88"/>
      <c r="S357" s="88"/>
      <c r="T357" s="88"/>
      <c r="U357" s="88"/>
      <c r="V357" s="88"/>
      <c r="W357" s="88"/>
      <c r="X357" s="88"/>
      <c r="Y357" s="88"/>
    </row>
    <row r="358">
      <c r="A358" s="88"/>
      <c r="B358" s="88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Q358" s="88"/>
      <c r="R358" s="88"/>
      <c r="S358" s="88"/>
      <c r="T358" s="88"/>
      <c r="U358" s="88"/>
      <c r="V358" s="88"/>
      <c r="W358" s="88"/>
      <c r="X358" s="88"/>
      <c r="Y358" s="88"/>
    </row>
    <row r="359">
      <c r="A359" s="88"/>
      <c r="B359" s="88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Q359" s="88"/>
      <c r="R359" s="88"/>
      <c r="S359" s="88"/>
      <c r="T359" s="88"/>
      <c r="U359" s="88"/>
      <c r="V359" s="88"/>
      <c r="W359" s="88"/>
      <c r="X359" s="88"/>
      <c r="Y359" s="88"/>
    </row>
    <row r="360">
      <c r="A360" s="88"/>
      <c r="B360" s="88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Q360" s="88"/>
      <c r="R360" s="88"/>
      <c r="S360" s="88"/>
      <c r="T360" s="88"/>
      <c r="U360" s="88"/>
      <c r="V360" s="88"/>
      <c r="W360" s="88"/>
      <c r="X360" s="88"/>
      <c r="Y360" s="88"/>
    </row>
    <row r="361">
      <c r="A361" s="88"/>
      <c r="B361" s="88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Q361" s="88"/>
      <c r="R361" s="88"/>
      <c r="S361" s="88"/>
      <c r="T361" s="88"/>
      <c r="U361" s="88"/>
      <c r="V361" s="88"/>
      <c r="W361" s="88"/>
      <c r="X361" s="88"/>
      <c r="Y361" s="88"/>
    </row>
    <row r="362">
      <c r="A362" s="88"/>
      <c r="B362" s="88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Q362" s="88"/>
      <c r="R362" s="88"/>
      <c r="S362" s="88"/>
      <c r="T362" s="88"/>
      <c r="U362" s="88"/>
      <c r="V362" s="88"/>
      <c r="W362" s="88"/>
      <c r="X362" s="88"/>
      <c r="Y362" s="88"/>
    </row>
    <row r="363">
      <c r="A363" s="88"/>
      <c r="B363" s="88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Q363" s="88"/>
      <c r="R363" s="88"/>
      <c r="S363" s="88"/>
      <c r="T363" s="88"/>
      <c r="U363" s="88"/>
      <c r="V363" s="88"/>
      <c r="W363" s="88"/>
      <c r="X363" s="88"/>
      <c r="Y363" s="88"/>
    </row>
    <row r="364">
      <c r="A364" s="88"/>
      <c r="B364" s="88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Q364" s="88"/>
      <c r="R364" s="88"/>
      <c r="S364" s="88"/>
      <c r="T364" s="88"/>
      <c r="U364" s="88"/>
      <c r="V364" s="88"/>
      <c r="W364" s="88"/>
      <c r="X364" s="88"/>
      <c r="Y364" s="88"/>
    </row>
    <row r="365">
      <c r="A365" s="88"/>
      <c r="B365" s="88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Q365" s="88"/>
      <c r="R365" s="88"/>
      <c r="S365" s="88"/>
      <c r="T365" s="88"/>
      <c r="U365" s="88"/>
      <c r="V365" s="88"/>
      <c r="W365" s="88"/>
      <c r="X365" s="88"/>
      <c r="Y365" s="88"/>
    </row>
    <row r="366">
      <c r="A366" s="88"/>
      <c r="B366" s="88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Q366" s="88"/>
      <c r="R366" s="88"/>
      <c r="S366" s="88"/>
      <c r="T366" s="88"/>
      <c r="U366" s="88"/>
      <c r="V366" s="88"/>
      <c r="W366" s="88"/>
      <c r="X366" s="88"/>
      <c r="Y366" s="88"/>
    </row>
    <row r="367">
      <c r="A367" s="88"/>
      <c r="B367" s="88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Q367" s="88"/>
      <c r="R367" s="88"/>
      <c r="S367" s="88"/>
      <c r="T367" s="88"/>
      <c r="U367" s="88"/>
      <c r="V367" s="88"/>
      <c r="W367" s="88"/>
      <c r="X367" s="88"/>
      <c r="Y367" s="88"/>
    </row>
    <row r="368">
      <c r="A368" s="88"/>
      <c r="B368" s="88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Q368" s="88"/>
      <c r="R368" s="88"/>
      <c r="S368" s="88"/>
      <c r="T368" s="88"/>
      <c r="U368" s="88"/>
      <c r="V368" s="88"/>
      <c r="W368" s="88"/>
      <c r="X368" s="88"/>
      <c r="Y368" s="88"/>
    </row>
    <row r="369">
      <c r="A369" s="88"/>
      <c r="B369" s="88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Q369" s="88"/>
      <c r="R369" s="88"/>
      <c r="S369" s="88"/>
      <c r="T369" s="88"/>
      <c r="U369" s="88"/>
      <c r="V369" s="88"/>
      <c r="W369" s="88"/>
      <c r="X369" s="88"/>
      <c r="Y369" s="88"/>
    </row>
    <row r="370">
      <c r="A370" s="88"/>
      <c r="B370" s="88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Q370" s="88"/>
      <c r="R370" s="88"/>
      <c r="S370" s="88"/>
      <c r="T370" s="88"/>
      <c r="U370" s="88"/>
      <c r="V370" s="88"/>
      <c r="W370" s="88"/>
      <c r="X370" s="88"/>
      <c r="Y370" s="88"/>
    </row>
    <row r="371">
      <c r="A371" s="88"/>
      <c r="B371" s="88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Q371" s="88"/>
      <c r="R371" s="88"/>
      <c r="S371" s="88"/>
      <c r="T371" s="88"/>
      <c r="U371" s="88"/>
      <c r="V371" s="88"/>
      <c r="W371" s="88"/>
      <c r="X371" s="88"/>
      <c r="Y371" s="88"/>
    </row>
    <row r="372">
      <c r="A372" s="88"/>
      <c r="B372" s="88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Q372" s="88"/>
      <c r="R372" s="88"/>
      <c r="S372" s="88"/>
      <c r="T372" s="88"/>
      <c r="U372" s="88"/>
      <c r="V372" s="88"/>
      <c r="W372" s="88"/>
      <c r="X372" s="88"/>
      <c r="Y372" s="88"/>
    </row>
    <row r="373">
      <c r="A373" s="88"/>
      <c r="B373" s="88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Q373" s="88"/>
      <c r="R373" s="88"/>
      <c r="S373" s="88"/>
      <c r="T373" s="88"/>
      <c r="U373" s="88"/>
      <c r="V373" s="88"/>
      <c r="W373" s="88"/>
      <c r="X373" s="88"/>
      <c r="Y373" s="88"/>
    </row>
    <row r="374">
      <c r="A374" s="88"/>
      <c r="B374" s="88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Q374" s="88"/>
      <c r="R374" s="88"/>
      <c r="S374" s="88"/>
      <c r="T374" s="88"/>
      <c r="U374" s="88"/>
      <c r="V374" s="88"/>
      <c r="W374" s="88"/>
      <c r="X374" s="88"/>
      <c r="Y374" s="88"/>
    </row>
    <row r="375">
      <c r="A375" s="88"/>
      <c r="B375" s="88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Q375" s="88"/>
      <c r="R375" s="88"/>
      <c r="S375" s="88"/>
      <c r="T375" s="88"/>
      <c r="U375" s="88"/>
      <c r="V375" s="88"/>
      <c r="W375" s="88"/>
      <c r="X375" s="88"/>
      <c r="Y375" s="88"/>
    </row>
    <row r="376">
      <c r="A376" s="88"/>
      <c r="B376" s="88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Q376" s="88"/>
      <c r="R376" s="88"/>
      <c r="S376" s="88"/>
      <c r="T376" s="88"/>
      <c r="U376" s="88"/>
      <c r="V376" s="88"/>
      <c r="W376" s="88"/>
      <c r="X376" s="88"/>
      <c r="Y376" s="88"/>
    </row>
    <row r="377">
      <c r="A377" s="88"/>
      <c r="B377" s="88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Q377" s="88"/>
      <c r="R377" s="88"/>
      <c r="S377" s="88"/>
      <c r="T377" s="88"/>
      <c r="U377" s="88"/>
      <c r="V377" s="88"/>
      <c r="W377" s="88"/>
      <c r="X377" s="88"/>
      <c r="Y377" s="88"/>
    </row>
    <row r="378">
      <c r="A378" s="88"/>
      <c r="B378" s="88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Q378" s="88"/>
      <c r="R378" s="88"/>
      <c r="S378" s="88"/>
      <c r="T378" s="88"/>
      <c r="U378" s="88"/>
      <c r="V378" s="88"/>
      <c r="W378" s="88"/>
      <c r="X378" s="88"/>
      <c r="Y378" s="88"/>
    </row>
    <row r="379">
      <c r="A379" s="88"/>
      <c r="B379" s="88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Q379" s="88"/>
      <c r="R379" s="88"/>
      <c r="S379" s="88"/>
      <c r="T379" s="88"/>
      <c r="U379" s="88"/>
      <c r="V379" s="88"/>
      <c r="W379" s="88"/>
      <c r="X379" s="88"/>
      <c r="Y379" s="88"/>
    </row>
    <row r="380">
      <c r="A380" s="88"/>
      <c r="B380" s="88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Q380" s="88"/>
      <c r="R380" s="88"/>
      <c r="S380" s="88"/>
      <c r="T380" s="88"/>
      <c r="U380" s="88"/>
      <c r="V380" s="88"/>
      <c r="W380" s="88"/>
      <c r="X380" s="88"/>
      <c r="Y380" s="88"/>
    </row>
    <row r="381">
      <c r="A381" s="88"/>
      <c r="B381" s="88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Q381" s="88"/>
      <c r="R381" s="88"/>
      <c r="S381" s="88"/>
      <c r="T381" s="88"/>
      <c r="U381" s="88"/>
      <c r="V381" s="88"/>
      <c r="W381" s="88"/>
      <c r="X381" s="88"/>
      <c r="Y381" s="88"/>
    </row>
    <row r="382">
      <c r="A382" s="88"/>
      <c r="B382" s="88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Q382" s="88"/>
      <c r="R382" s="88"/>
      <c r="S382" s="88"/>
      <c r="T382" s="88"/>
      <c r="U382" s="88"/>
      <c r="V382" s="88"/>
      <c r="W382" s="88"/>
      <c r="X382" s="88"/>
      <c r="Y382" s="88"/>
    </row>
    <row r="383">
      <c r="A383" s="88"/>
      <c r="B383" s="88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Q383" s="88"/>
      <c r="R383" s="88"/>
      <c r="S383" s="88"/>
      <c r="T383" s="88"/>
      <c r="U383" s="88"/>
      <c r="V383" s="88"/>
      <c r="W383" s="88"/>
      <c r="X383" s="88"/>
      <c r="Y383" s="88"/>
    </row>
    <row r="384">
      <c r="A384" s="88"/>
      <c r="B384" s="88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Q384" s="88"/>
      <c r="R384" s="88"/>
      <c r="S384" s="88"/>
      <c r="T384" s="88"/>
      <c r="U384" s="88"/>
      <c r="V384" s="88"/>
      <c r="W384" s="88"/>
      <c r="X384" s="88"/>
      <c r="Y384" s="88"/>
    </row>
    <row r="385">
      <c r="A385" s="88"/>
      <c r="B385" s="88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Q385" s="88"/>
      <c r="R385" s="88"/>
      <c r="S385" s="88"/>
      <c r="T385" s="88"/>
      <c r="U385" s="88"/>
      <c r="V385" s="88"/>
      <c r="W385" s="88"/>
      <c r="X385" s="88"/>
      <c r="Y385" s="88"/>
    </row>
    <row r="386">
      <c r="A386" s="88"/>
      <c r="B386" s="88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Q386" s="88"/>
      <c r="R386" s="88"/>
      <c r="S386" s="88"/>
      <c r="T386" s="88"/>
      <c r="U386" s="88"/>
      <c r="V386" s="88"/>
      <c r="W386" s="88"/>
      <c r="X386" s="88"/>
      <c r="Y386" s="88"/>
    </row>
    <row r="387">
      <c r="A387" s="88"/>
      <c r="B387" s="88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Q387" s="88"/>
      <c r="R387" s="88"/>
      <c r="S387" s="88"/>
      <c r="T387" s="88"/>
      <c r="U387" s="88"/>
      <c r="V387" s="88"/>
      <c r="W387" s="88"/>
      <c r="X387" s="88"/>
      <c r="Y387" s="88"/>
    </row>
    <row r="388">
      <c r="A388" s="88"/>
      <c r="B388" s="88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Q388" s="88"/>
      <c r="R388" s="88"/>
      <c r="S388" s="88"/>
      <c r="T388" s="88"/>
      <c r="U388" s="88"/>
      <c r="V388" s="88"/>
      <c r="W388" s="88"/>
      <c r="X388" s="88"/>
      <c r="Y388" s="88"/>
    </row>
    <row r="389">
      <c r="A389" s="88"/>
      <c r="B389" s="88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Q389" s="88"/>
      <c r="R389" s="88"/>
      <c r="S389" s="88"/>
      <c r="T389" s="88"/>
      <c r="U389" s="88"/>
      <c r="V389" s="88"/>
      <c r="W389" s="88"/>
      <c r="X389" s="88"/>
      <c r="Y389" s="88"/>
    </row>
    <row r="390">
      <c r="A390" s="88"/>
      <c r="B390" s="88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Q390" s="88"/>
      <c r="R390" s="88"/>
      <c r="S390" s="88"/>
      <c r="T390" s="88"/>
      <c r="U390" s="88"/>
      <c r="V390" s="88"/>
      <c r="W390" s="88"/>
      <c r="X390" s="88"/>
      <c r="Y390" s="88"/>
    </row>
    <row r="391">
      <c r="A391" s="88"/>
      <c r="B391" s="88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Q391" s="88"/>
      <c r="R391" s="88"/>
      <c r="S391" s="88"/>
      <c r="T391" s="88"/>
      <c r="U391" s="88"/>
      <c r="V391" s="88"/>
      <c r="W391" s="88"/>
      <c r="X391" s="88"/>
      <c r="Y391" s="88"/>
    </row>
    <row r="392">
      <c r="A392" s="88"/>
      <c r="B392" s="88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Q392" s="88"/>
      <c r="R392" s="88"/>
      <c r="S392" s="88"/>
      <c r="T392" s="88"/>
      <c r="U392" s="88"/>
      <c r="V392" s="88"/>
      <c r="W392" s="88"/>
      <c r="X392" s="88"/>
      <c r="Y392" s="88"/>
    </row>
    <row r="393">
      <c r="A393" s="88"/>
      <c r="B393" s="88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Q393" s="88"/>
      <c r="R393" s="88"/>
      <c r="S393" s="88"/>
      <c r="T393" s="88"/>
      <c r="U393" s="88"/>
      <c r="V393" s="88"/>
      <c r="W393" s="88"/>
      <c r="X393" s="88"/>
      <c r="Y393" s="88"/>
    </row>
    <row r="394">
      <c r="A394" s="88"/>
      <c r="B394" s="88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Q394" s="88"/>
      <c r="R394" s="88"/>
      <c r="S394" s="88"/>
      <c r="T394" s="88"/>
      <c r="U394" s="88"/>
      <c r="V394" s="88"/>
      <c r="W394" s="88"/>
      <c r="X394" s="88"/>
      <c r="Y394" s="88"/>
    </row>
    <row r="395">
      <c r="A395" s="88"/>
      <c r="B395" s="88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Q395" s="88"/>
      <c r="R395" s="88"/>
      <c r="S395" s="88"/>
      <c r="T395" s="88"/>
      <c r="U395" s="88"/>
      <c r="V395" s="88"/>
      <c r="W395" s="88"/>
      <c r="X395" s="88"/>
      <c r="Y395" s="88"/>
    </row>
    <row r="396">
      <c r="A396" s="88"/>
      <c r="B396" s="88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Q396" s="88"/>
      <c r="R396" s="88"/>
      <c r="S396" s="88"/>
      <c r="T396" s="88"/>
      <c r="U396" s="88"/>
      <c r="V396" s="88"/>
      <c r="W396" s="88"/>
      <c r="X396" s="88"/>
      <c r="Y396" s="88"/>
    </row>
    <row r="397">
      <c r="A397" s="88"/>
      <c r="B397" s="88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Q397" s="88"/>
      <c r="R397" s="88"/>
      <c r="S397" s="88"/>
      <c r="T397" s="88"/>
      <c r="U397" s="88"/>
      <c r="V397" s="88"/>
      <c r="W397" s="88"/>
      <c r="X397" s="88"/>
      <c r="Y397" s="88"/>
    </row>
    <row r="398">
      <c r="A398" s="88"/>
      <c r="B398" s="88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Q398" s="88"/>
      <c r="R398" s="88"/>
      <c r="S398" s="88"/>
      <c r="T398" s="88"/>
      <c r="U398" s="88"/>
      <c r="V398" s="88"/>
      <c r="W398" s="88"/>
      <c r="X398" s="88"/>
      <c r="Y398" s="88"/>
    </row>
    <row r="399">
      <c r="A399" s="88"/>
      <c r="B399" s="88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Q399" s="88"/>
      <c r="R399" s="88"/>
      <c r="S399" s="88"/>
      <c r="T399" s="88"/>
      <c r="U399" s="88"/>
      <c r="V399" s="88"/>
      <c r="W399" s="88"/>
      <c r="X399" s="88"/>
      <c r="Y399" s="88"/>
    </row>
    <row r="400">
      <c r="A400" s="88"/>
      <c r="B400" s="88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Q400" s="88"/>
      <c r="R400" s="88"/>
      <c r="S400" s="88"/>
      <c r="T400" s="88"/>
      <c r="U400" s="88"/>
      <c r="V400" s="88"/>
      <c r="W400" s="88"/>
      <c r="X400" s="88"/>
      <c r="Y400" s="88"/>
    </row>
    <row r="401">
      <c r="A401" s="88"/>
      <c r="B401" s="88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Q401" s="88"/>
      <c r="R401" s="88"/>
      <c r="S401" s="88"/>
      <c r="T401" s="88"/>
      <c r="U401" s="88"/>
      <c r="V401" s="88"/>
      <c r="W401" s="88"/>
      <c r="X401" s="88"/>
      <c r="Y401" s="88"/>
    </row>
    <row r="402">
      <c r="A402" s="88"/>
      <c r="B402" s="88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Q402" s="88"/>
      <c r="R402" s="88"/>
      <c r="S402" s="88"/>
      <c r="T402" s="88"/>
      <c r="U402" s="88"/>
      <c r="V402" s="88"/>
      <c r="W402" s="88"/>
      <c r="X402" s="88"/>
      <c r="Y402" s="88"/>
    </row>
    <row r="403">
      <c r="A403" s="88"/>
      <c r="B403" s="88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Q403" s="88"/>
      <c r="R403" s="88"/>
      <c r="S403" s="88"/>
      <c r="T403" s="88"/>
      <c r="U403" s="88"/>
      <c r="V403" s="88"/>
      <c r="W403" s="88"/>
      <c r="X403" s="88"/>
      <c r="Y403" s="88"/>
    </row>
    <row r="404">
      <c r="A404" s="88"/>
      <c r="B404" s="88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Q404" s="88"/>
      <c r="R404" s="88"/>
      <c r="S404" s="88"/>
      <c r="T404" s="88"/>
      <c r="U404" s="88"/>
      <c r="V404" s="88"/>
      <c r="W404" s="88"/>
      <c r="X404" s="88"/>
      <c r="Y404" s="88"/>
    </row>
    <row r="405">
      <c r="A405" s="88"/>
      <c r="B405" s="88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Q405" s="88"/>
      <c r="R405" s="88"/>
      <c r="S405" s="88"/>
      <c r="T405" s="88"/>
      <c r="U405" s="88"/>
      <c r="V405" s="88"/>
      <c r="W405" s="88"/>
      <c r="X405" s="88"/>
      <c r="Y405" s="88"/>
    </row>
    <row r="406">
      <c r="A406" s="88"/>
      <c r="B406" s="88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Q406" s="88"/>
      <c r="R406" s="88"/>
      <c r="S406" s="88"/>
      <c r="T406" s="88"/>
      <c r="U406" s="88"/>
      <c r="V406" s="88"/>
      <c r="W406" s="88"/>
      <c r="X406" s="88"/>
      <c r="Y406" s="88"/>
    </row>
    <row r="407">
      <c r="A407" s="88"/>
      <c r="B407" s="88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Q407" s="88"/>
      <c r="R407" s="88"/>
      <c r="S407" s="88"/>
      <c r="T407" s="88"/>
      <c r="U407" s="88"/>
      <c r="V407" s="88"/>
      <c r="W407" s="88"/>
      <c r="X407" s="88"/>
      <c r="Y407" s="88"/>
    </row>
    <row r="408">
      <c r="A408" s="88"/>
      <c r="B408" s="88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Q408" s="88"/>
      <c r="R408" s="88"/>
      <c r="S408" s="88"/>
      <c r="T408" s="88"/>
      <c r="U408" s="88"/>
      <c r="V408" s="88"/>
      <c r="W408" s="88"/>
      <c r="X408" s="88"/>
      <c r="Y408" s="88"/>
    </row>
    <row r="409">
      <c r="A409" s="88"/>
      <c r="B409" s="88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Q409" s="88"/>
      <c r="R409" s="88"/>
      <c r="S409" s="88"/>
      <c r="T409" s="88"/>
      <c r="U409" s="88"/>
      <c r="V409" s="88"/>
      <c r="W409" s="88"/>
      <c r="X409" s="88"/>
      <c r="Y409" s="88"/>
    </row>
    <row r="410">
      <c r="A410" s="88"/>
      <c r="B410" s="88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Q410" s="88"/>
      <c r="R410" s="88"/>
      <c r="S410" s="88"/>
      <c r="T410" s="88"/>
      <c r="U410" s="88"/>
      <c r="V410" s="88"/>
      <c r="W410" s="88"/>
      <c r="X410" s="88"/>
      <c r="Y410" s="88"/>
    </row>
    <row r="411">
      <c r="A411" s="88"/>
      <c r="B411" s="88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Q411" s="88"/>
      <c r="R411" s="88"/>
      <c r="S411" s="88"/>
      <c r="T411" s="88"/>
      <c r="U411" s="88"/>
      <c r="V411" s="88"/>
      <c r="W411" s="88"/>
      <c r="X411" s="88"/>
      <c r="Y411" s="88"/>
    </row>
    <row r="412">
      <c r="A412" s="88"/>
      <c r="B412" s="88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Q412" s="88"/>
      <c r="R412" s="88"/>
      <c r="S412" s="88"/>
      <c r="T412" s="88"/>
      <c r="U412" s="88"/>
      <c r="V412" s="88"/>
      <c r="W412" s="88"/>
      <c r="X412" s="88"/>
      <c r="Y412" s="88"/>
    </row>
    <row r="413">
      <c r="A413" s="88"/>
      <c r="B413" s="88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Q413" s="88"/>
      <c r="R413" s="88"/>
      <c r="S413" s="88"/>
      <c r="T413" s="88"/>
      <c r="U413" s="88"/>
      <c r="V413" s="88"/>
      <c r="W413" s="88"/>
      <c r="X413" s="88"/>
      <c r="Y413" s="88"/>
    </row>
    <row r="414">
      <c r="A414" s="88"/>
      <c r="B414" s="88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Q414" s="88"/>
      <c r="R414" s="88"/>
      <c r="S414" s="88"/>
      <c r="T414" s="88"/>
      <c r="U414" s="88"/>
      <c r="V414" s="88"/>
      <c r="W414" s="88"/>
      <c r="X414" s="88"/>
      <c r="Y414" s="88"/>
    </row>
    <row r="415">
      <c r="A415" s="88"/>
      <c r="B415" s="88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Q415" s="88"/>
      <c r="R415" s="88"/>
      <c r="S415" s="88"/>
      <c r="T415" s="88"/>
      <c r="U415" s="88"/>
      <c r="V415" s="88"/>
      <c r="W415" s="88"/>
      <c r="X415" s="88"/>
      <c r="Y415" s="88"/>
    </row>
    <row r="416">
      <c r="A416" s="88"/>
      <c r="B416" s="88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Q416" s="88"/>
      <c r="R416" s="88"/>
      <c r="S416" s="88"/>
      <c r="T416" s="88"/>
      <c r="U416" s="88"/>
      <c r="V416" s="88"/>
      <c r="W416" s="88"/>
      <c r="X416" s="88"/>
      <c r="Y416" s="88"/>
    </row>
    <row r="417">
      <c r="A417" s="88"/>
      <c r="B417" s="88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Q417" s="88"/>
      <c r="R417" s="88"/>
      <c r="S417" s="88"/>
      <c r="T417" s="88"/>
      <c r="U417" s="88"/>
      <c r="V417" s="88"/>
      <c r="W417" s="88"/>
      <c r="X417" s="88"/>
      <c r="Y417" s="88"/>
    </row>
    <row r="418">
      <c r="A418" s="88"/>
      <c r="B418" s="88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Q418" s="88"/>
      <c r="R418" s="88"/>
      <c r="S418" s="88"/>
      <c r="T418" s="88"/>
      <c r="U418" s="88"/>
      <c r="V418" s="88"/>
      <c r="W418" s="88"/>
      <c r="X418" s="88"/>
      <c r="Y418" s="88"/>
    </row>
    <row r="419">
      <c r="A419" s="88"/>
      <c r="B419" s="88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Q419" s="88"/>
      <c r="R419" s="88"/>
      <c r="S419" s="88"/>
      <c r="T419" s="88"/>
      <c r="U419" s="88"/>
      <c r="V419" s="88"/>
      <c r="W419" s="88"/>
      <c r="X419" s="88"/>
      <c r="Y419" s="88"/>
    </row>
    <row r="420">
      <c r="A420" s="88"/>
      <c r="B420" s="88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Q420" s="88"/>
      <c r="R420" s="88"/>
      <c r="S420" s="88"/>
      <c r="T420" s="88"/>
      <c r="U420" s="88"/>
      <c r="V420" s="88"/>
      <c r="W420" s="88"/>
      <c r="X420" s="88"/>
      <c r="Y420" s="88"/>
    </row>
    <row r="421">
      <c r="A421" s="88"/>
      <c r="B421" s="88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Q421" s="88"/>
      <c r="R421" s="88"/>
      <c r="S421" s="88"/>
      <c r="T421" s="88"/>
      <c r="U421" s="88"/>
      <c r="V421" s="88"/>
      <c r="W421" s="88"/>
      <c r="X421" s="88"/>
      <c r="Y421" s="88"/>
    </row>
    <row r="422">
      <c r="A422" s="88"/>
      <c r="B422" s="88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Q422" s="88"/>
      <c r="R422" s="88"/>
      <c r="S422" s="88"/>
      <c r="T422" s="88"/>
      <c r="U422" s="88"/>
      <c r="V422" s="88"/>
      <c r="W422" s="88"/>
      <c r="X422" s="88"/>
      <c r="Y422" s="88"/>
    </row>
    <row r="423">
      <c r="A423" s="88"/>
      <c r="B423" s="88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Q423" s="88"/>
      <c r="R423" s="88"/>
      <c r="S423" s="88"/>
      <c r="T423" s="88"/>
      <c r="U423" s="88"/>
      <c r="V423" s="88"/>
      <c r="W423" s="88"/>
      <c r="X423" s="88"/>
      <c r="Y423" s="88"/>
    </row>
    <row r="424">
      <c r="A424" s="88"/>
      <c r="B424" s="88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Q424" s="88"/>
      <c r="R424" s="88"/>
      <c r="S424" s="88"/>
      <c r="T424" s="88"/>
      <c r="U424" s="88"/>
      <c r="V424" s="88"/>
      <c r="W424" s="88"/>
      <c r="X424" s="88"/>
      <c r="Y424" s="88"/>
    </row>
    <row r="425">
      <c r="A425" s="88"/>
      <c r="B425" s="88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Q425" s="88"/>
      <c r="R425" s="88"/>
      <c r="S425" s="88"/>
      <c r="T425" s="88"/>
      <c r="U425" s="88"/>
      <c r="V425" s="88"/>
      <c r="W425" s="88"/>
      <c r="X425" s="88"/>
      <c r="Y425" s="88"/>
    </row>
    <row r="426">
      <c r="A426" s="88"/>
      <c r="B426" s="88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Q426" s="88"/>
      <c r="R426" s="88"/>
      <c r="S426" s="88"/>
      <c r="T426" s="88"/>
      <c r="U426" s="88"/>
      <c r="V426" s="88"/>
      <c r="W426" s="88"/>
      <c r="X426" s="88"/>
      <c r="Y426" s="88"/>
    </row>
    <row r="427">
      <c r="A427" s="88"/>
      <c r="B427" s="88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Q427" s="88"/>
      <c r="R427" s="88"/>
      <c r="S427" s="88"/>
      <c r="T427" s="88"/>
      <c r="U427" s="88"/>
      <c r="V427" s="88"/>
      <c r="W427" s="88"/>
      <c r="X427" s="88"/>
      <c r="Y427" s="88"/>
    </row>
    <row r="428">
      <c r="A428" s="88"/>
      <c r="B428" s="88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Q428" s="88"/>
      <c r="R428" s="88"/>
      <c r="S428" s="88"/>
      <c r="T428" s="88"/>
      <c r="U428" s="88"/>
      <c r="V428" s="88"/>
      <c r="W428" s="88"/>
      <c r="X428" s="88"/>
      <c r="Y428" s="88"/>
    </row>
    <row r="429">
      <c r="A429" s="88"/>
      <c r="B429" s="88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Q429" s="88"/>
      <c r="R429" s="88"/>
      <c r="S429" s="88"/>
      <c r="T429" s="88"/>
      <c r="U429" s="88"/>
      <c r="V429" s="88"/>
      <c r="W429" s="88"/>
      <c r="X429" s="88"/>
      <c r="Y429" s="88"/>
    </row>
    <row r="430">
      <c r="A430" s="88"/>
      <c r="B430" s="88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Q430" s="88"/>
      <c r="R430" s="88"/>
      <c r="S430" s="88"/>
      <c r="T430" s="88"/>
      <c r="U430" s="88"/>
      <c r="V430" s="88"/>
      <c r="W430" s="88"/>
      <c r="X430" s="88"/>
      <c r="Y430" s="88"/>
    </row>
    <row r="431">
      <c r="A431" s="88"/>
      <c r="B431" s="88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Q431" s="88"/>
      <c r="R431" s="88"/>
      <c r="S431" s="88"/>
      <c r="T431" s="88"/>
      <c r="U431" s="88"/>
      <c r="V431" s="88"/>
      <c r="W431" s="88"/>
      <c r="X431" s="88"/>
      <c r="Y431" s="88"/>
    </row>
    <row r="432">
      <c r="A432" s="88"/>
      <c r="B432" s="88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Q432" s="88"/>
      <c r="R432" s="88"/>
      <c r="S432" s="88"/>
      <c r="T432" s="88"/>
      <c r="U432" s="88"/>
      <c r="V432" s="88"/>
      <c r="W432" s="88"/>
      <c r="X432" s="88"/>
      <c r="Y432" s="88"/>
    </row>
    <row r="433">
      <c r="A433" s="88"/>
      <c r="B433" s="88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Q433" s="88"/>
      <c r="R433" s="88"/>
      <c r="S433" s="88"/>
      <c r="T433" s="88"/>
      <c r="U433" s="88"/>
      <c r="V433" s="88"/>
      <c r="W433" s="88"/>
      <c r="X433" s="88"/>
      <c r="Y433" s="88"/>
    </row>
    <row r="434">
      <c r="A434" s="88"/>
      <c r="B434" s="88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Q434" s="88"/>
      <c r="R434" s="88"/>
      <c r="S434" s="88"/>
      <c r="T434" s="88"/>
      <c r="U434" s="88"/>
      <c r="V434" s="88"/>
      <c r="W434" s="88"/>
      <c r="X434" s="88"/>
      <c r="Y434" s="88"/>
    </row>
    <row r="435">
      <c r="A435" s="88"/>
      <c r="B435" s="88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Q435" s="88"/>
      <c r="R435" s="88"/>
      <c r="S435" s="88"/>
      <c r="T435" s="88"/>
      <c r="U435" s="88"/>
      <c r="V435" s="88"/>
      <c r="W435" s="88"/>
      <c r="X435" s="88"/>
      <c r="Y435" s="88"/>
    </row>
    <row r="436">
      <c r="A436" s="88"/>
      <c r="B436" s="88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Q436" s="88"/>
      <c r="R436" s="88"/>
      <c r="S436" s="88"/>
      <c r="T436" s="88"/>
      <c r="U436" s="88"/>
      <c r="V436" s="88"/>
      <c r="W436" s="88"/>
      <c r="X436" s="88"/>
      <c r="Y436" s="88"/>
    </row>
    <row r="437">
      <c r="A437" s="88"/>
      <c r="B437" s="88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Q437" s="88"/>
      <c r="R437" s="88"/>
      <c r="S437" s="88"/>
      <c r="T437" s="88"/>
      <c r="U437" s="88"/>
      <c r="V437" s="88"/>
      <c r="W437" s="88"/>
      <c r="X437" s="88"/>
      <c r="Y437" s="88"/>
    </row>
    <row r="438">
      <c r="A438" s="88"/>
      <c r="B438" s="88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Q438" s="88"/>
      <c r="R438" s="88"/>
      <c r="S438" s="88"/>
      <c r="T438" s="88"/>
      <c r="U438" s="88"/>
      <c r="V438" s="88"/>
      <c r="W438" s="88"/>
      <c r="X438" s="88"/>
      <c r="Y438" s="88"/>
    </row>
    <row r="439">
      <c r="A439" s="88"/>
      <c r="B439" s="88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Q439" s="88"/>
      <c r="R439" s="88"/>
      <c r="S439" s="88"/>
      <c r="T439" s="88"/>
      <c r="U439" s="88"/>
      <c r="V439" s="88"/>
      <c r="W439" s="88"/>
      <c r="X439" s="88"/>
      <c r="Y439" s="88"/>
    </row>
    <row r="440">
      <c r="A440" s="88"/>
      <c r="B440" s="88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Q440" s="88"/>
      <c r="R440" s="88"/>
      <c r="S440" s="88"/>
      <c r="T440" s="88"/>
      <c r="U440" s="88"/>
      <c r="V440" s="88"/>
      <c r="W440" s="88"/>
      <c r="X440" s="88"/>
      <c r="Y440" s="88"/>
    </row>
    <row r="441">
      <c r="A441" s="88"/>
      <c r="B441" s="88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Q441" s="88"/>
      <c r="R441" s="88"/>
      <c r="S441" s="88"/>
      <c r="T441" s="88"/>
      <c r="U441" s="88"/>
      <c r="V441" s="88"/>
      <c r="W441" s="88"/>
      <c r="X441" s="88"/>
      <c r="Y441" s="88"/>
    </row>
    <row r="442">
      <c r="A442" s="88"/>
      <c r="B442" s="88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Q442" s="88"/>
      <c r="R442" s="88"/>
      <c r="S442" s="88"/>
      <c r="T442" s="88"/>
      <c r="U442" s="88"/>
      <c r="V442" s="88"/>
      <c r="W442" s="88"/>
      <c r="X442" s="88"/>
      <c r="Y442" s="88"/>
    </row>
    <row r="443">
      <c r="A443" s="88"/>
      <c r="B443" s="88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Q443" s="88"/>
      <c r="R443" s="88"/>
      <c r="S443" s="88"/>
      <c r="T443" s="88"/>
      <c r="U443" s="88"/>
      <c r="V443" s="88"/>
      <c r="W443" s="88"/>
      <c r="X443" s="88"/>
      <c r="Y443" s="88"/>
    </row>
    <row r="444">
      <c r="A444" s="88"/>
      <c r="B444" s="88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Q444" s="88"/>
      <c r="R444" s="88"/>
      <c r="S444" s="88"/>
      <c r="T444" s="88"/>
      <c r="U444" s="88"/>
      <c r="V444" s="88"/>
      <c r="W444" s="88"/>
      <c r="X444" s="88"/>
      <c r="Y444" s="88"/>
    </row>
    <row r="445">
      <c r="A445" s="88"/>
      <c r="B445" s="88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Q445" s="88"/>
      <c r="R445" s="88"/>
      <c r="S445" s="88"/>
      <c r="T445" s="88"/>
      <c r="U445" s="88"/>
      <c r="V445" s="88"/>
      <c r="W445" s="88"/>
      <c r="X445" s="88"/>
      <c r="Y445" s="88"/>
    </row>
    <row r="446">
      <c r="A446" s="88"/>
      <c r="B446" s="88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Q446" s="88"/>
      <c r="R446" s="88"/>
      <c r="S446" s="88"/>
      <c r="T446" s="88"/>
      <c r="U446" s="88"/>
      <c r="V446" s="88"/>
      <c r="W446" s="88"/>
      <c r="X446" s="88"/>
      <c r="Y446" s="88"/>
    </row>
    <row r="447">
      <c r="A447" s="88"/>
      <c r="B447" s="88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Q447" s="88"/>
      <c r="R447" s="88"/>
      <c r="S447" s="88"/>
      <c r="T447" s="88"/>
      <c r="U447" s="88"/>
      <c r="V447" s="88"/>
      <c r="W447" s="88"/>
      <c r="X447" s="88"/>
      <c r="Y447" s="88"/>
    </row>
    <row r="448">
      <c r="A448" s="88"/>
      <c r="B448" s="88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Q448" s="88"/>
      <c r="R448" s="88"/>
      <c r="S448" s="88"/>
      <c r="T448" s="88"/>
      <c r="U448" s="88"/>
      <c r="V448" s="88"/>
      <c r="W448" s="88"/>
      <c r="X448" s="88"/>
      <c r="Y448" s="88"/>
    </row>
    <row r="449">
      <c r="A449" s="88"/>
      <c r="B449" s="88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Q449" s="88"/>
      <c r="R449" s="88"/>
      <c r="S449" s="88"/>
      <c r="T449" s="88"/>
      <c r="U449" s="88"/>
      <c r="V449" s="88"/>
      <c r="W449" s="88"/>
      <c r="X449" s="88"/>
      <c r="Y449" s="88"/>
    </row>
    <row r="450">
      <c r="A450" s="88"/>
      <c r="B450" s="88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Q450" s="88"/>
      <c r="R450" s="88"/>
      <c r="S450" s="88"/>
      <c r="T450" s="88"/>
      <c r="U450" s="88"/>
      <c r="V450" s="88"/>
      <c r="W450" s="88"/>
      <c r="X450" s="88"/>
      <c r="Y450" s="88"/>
    </row>
    <row r="451">
      <c r="A451" s="88"/>
      <c r="B451" s="88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Q451" s="88"/>
      <c r="R451" s="88"/>
      <c r="S451" s="88"/>
      <c r="T451" s="88"/>
      <c r="U451" s="88"/>
      <c r="V451" s="88"/>
      <c r="W451" s="88"/>
      <c r="X451" s="88"/>
      <c r="Y451" s="88"/>
    </row>
    <row r="452">
      <c r="A452" s="88"/>
      <c r="B452" s="88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Q452" s="88"/>
      <c r="R452" s="88"/>
      <c r="S452" s="88"/>
      <c r="T452" s="88"/>
      <c r="U452" s="88"/>
      <c r="V452" s="88"/>
      <c r="W452" s="88"/>
      <c r="X452" s="88"/>
      <c r="Y452" s="88"/>
    </row>
    <row r="453">
      <c r="A453" s="88"/>
      <c r="B453" s="88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Q453" s="88"/>
      <c r="R453" s="88"/>
      <c r="S453" s="88"/>
      <c r="T453" s="88"/>
      <c r="U453" s="88"/>
      <c r="V453" s="88"/>
      <c r="W453" s="88"/>
      <c r="X453" s="88"/>
      <c r="Y453" s="88"/>
    </row>
    <row r="454">
      <c r="A454" s="88"/>
      <c r="B454" s="88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Q454" s="88"/>
      <c r="R454" s="88"/>
      <c r="S454" s="88"/>
      <c r="T454" s="88"/>
      <c r="U454" s="88"/>
      <c r="V454" s="88"/>
      <c r="W454" s="88"/>
      <c r="X454" s="88"/>
      <c r="Y454" s="88"/>
    </row>
    <row r="455">
      <c r="A455" s="88"/>
      <c r="B455" s="88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Q455" s="88"/>
      <c r="R455" s="88"/>
      <c r="S455" s="88"/>
      <c r="T455" s="88"/>
      <c r="U455" s="88"/>
      <c r="V455" s="88"/>
      <c r="W455" s="88"/>
      <c r="X455" s="88"/>
      <c r="Y455" s="88"/>
    </row>
    <row r="456">
      <c r="A456" s="88"/>
      <c r="B456" s="88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Q456" s="88"/>
      <c r="R456" s="88"/>
      <c r="S456" s="88"/>
      <c r="T456" s="88"/>
      <c r="U456" s="88"/>
      <c r="V456" s="88"/>
      <c r="W456" s="88"/>
      <c r="X456" s="88"/>
      <c r="Y456" s="88"/>
    </row>
    <row r="457">
      <c r="A457" s="88"/>
      <c r="B457" s="88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Q457" s="88"/>
      <c r="R457" s="88"/>
      <c r="S457" s="88"/>
      <c r="T457" s="88"/>
      <c r="U457" s="88"/>
      <c r="V457" s="88"/>
      <c r="W457" s="88"/>
      <c r="X457" s="88"/>
      <c r="Y457" s="88"/>
    </row>
    <row r="458">
      <c r="A458" s="88"/>
      <c r="B458" s="88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Q458" s="88"/>
      <c r="R458" s="88"/>
      <c r="S458" s="88"/>
      <c r="T458" s="88"/>
      <c r="U458" s="88"/>
      <c r="V458" s="88"/>
      <c r="W458" s="88"/>
      <c r="X458" s="88"/>
      <c r="Y458" s="88"/>
    </row>
    <row r="459">
      <c r="A459" s="88"/>
      <c r="B459" s="88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Q459" s="88"/>
      <c r="R459" s="88"/>
      <c r="S459" s="88"/>
      <c r="T459" s="88"/>
      <c r="U459" s="88"/>
      <c r="V459" s="88"/>
      <c r="W459" s="88"/>
      <c r="X459" s="88"/>
      <c r="Y459" s="88"/>
    </row>
    <row r="460">
      <c r="A460" s="88"/>
      <c r="B460" s="88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Q460" s="88"/>
      <c r="R460" s="88"/>
      <c r="S460" s="88"/>
      <c r="T460" s="88"/>
      <c r="U460" s="88"/>
      <c r="V460" s="88"/>
      <c r="W460" s="88"/>
      <c r="X460" s="88"/>
      <c r="Y460" s="88"/>
    </row>
    <row r="461">
      <c r="A461" s="88"/>
      <c r="B461" s="88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Q461" s="88"/>
      <c r="R461" s="88"/>
      <c r="S461" s="88"/>
      <c r="T461" s="88"/>
      <c r="U461" s="88"/>
      <c r="V461" s="88"/>
      <c r="W461" s="88"/>
      <c r="X461" s="88"/>
      <c r="Y461" s="88"/>
    </row>
    <row r="462">
      <c r="A462" s="88"/>
      <c r="B462" s="88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Q462" s="88"/>
      <c r="R462" s="88"/>
      <c r="S462" s="88"/>
      <c r="T462" s="88"/>
      <c r="U462" s="88"/>
      <c r="V462" s="88"/>
      <c r="W462" s="88"/>
      <c r="X462" s="88"/>
      <c r="Y462" s="88"/>
    </row>
    <row r="463">
      <c r="A463" s="88"/>
      <c r="B463" s="88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Q463" s="88"/>
      <c r="R463" s="88"/>
      <c r="S463" s="88"/>
      <c r="T463" s="88"/>
      <c r="U463" s="88"/>
      <c r="V463" s="88"/>
      <c r="W463" s="88"/>
      <c r="X463" s="88"/>
      <c r="Y463" s="88"/>
    </row>
    <row r="464">
      <c r="A464" s="88"/>
      <c r="B464" s="88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Q464" s="88"/>
      <c r="R464" s="88"/>
      <c r="S464" s="88"/>
      <c r="T464" s="88"/>
      <c r="U464" s="88"/>
      <c r="V464" s="88"/>
      <c r="W464" s="88"/>
      <c r="X464" s="88"/>
      <c r="Y464" s="88"/>
    </row>
    <row r="465">
      <c r="A465" s="88"/>
      <c r="B465" s="88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Q465" s="88"/>
      <c r="R465" s="88"/>
      <c r="S465" s="88"/>
      <c r="T465" s="88"/>
      <c r="U465" s="88"/>
      <c r="V465" s="88"/>
      <c r="W465" s="88"/>
      <c r="X465" s="88"/>
      <c r="Y465" s="88"/>
    </row>
    <row r="466">
      <c r="A466" s="88"/>
      <c r="B466" s="88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Q466" s="88"/>
      <c r="R466" s="88"/>
      <c r="S466" s="88"/>
      <c r="T466" s="88"/>
      <c r="U466" s="88"/>
      <c r="V466" s="88"/>
      <c r="W466" s="88"/>
      <c r="X466" s="88"/>
      <c r="Y466" s="88"/>
    </row>
    <row r="467">
      <c r="A467" s="88"/>
      <c r="B467" s="88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Q467" s="88"/>
      <c r="R467" s="88"/>
      <c r="S467" s="88"/>
      <c r="T467" s="88"/>
      <c r="U467" s="88"/>
      <c r="V467" s="88"/>
      <c r="W467" s="88"/>
      <c r="X467" s="88"/>
      <c r="Y467" s="88"/>
    </row>
    <row r="468">
      <c r="A468" s="88"/>
      <c r="B468" s="88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Q468" s="88"/>
      <c r="R468" s="88"/>
      <c r="S468" s="88"/>
      <c r="T468" s="88"/>
      <c r="U468" s="88"/>
      <c r="V468" s="88"/>
      <c r="W468" s="88"/>
      <c r="X468" s="88"/>
      <c r="Y468" s="88"/>
    </row>
    <row r="469">
      <c r="A469" s="88"/>
      <c r="B469" s="88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Q469" s="88"/>
      <c r="R469" s="88"/>
      <c r="S469" s="88"/>
      <c r="T469" s="88"/>
      <c r="U469" s="88"/>
      <c r="V469" s="88"/>
      <c r="W469" s="88"/>
      <c r="X469" s="88"/>
      <c r="Y469" s="88"/>
    </row>
    <row r="470">
      <c r="A470" s="88"/>
      <c r="B470" s="88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Q470" s="88"/>
      <c r="R470" s="88"/>
      <c r="S470" s="88"/>
      <c r="T470" s="88"/>
      <c r="U470" s="88"/>
      <c r="V470" s="88"/>
      <c r="W470" s="88"/>
      <c r="X470" s="88"/>
      <c r="Y470" s="88"/>
    </row>
    <row r="471">
      <c r="A471" s="88"/>
      <c r="B471" s="88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Q471" s="88"/>
      <c r="R471" s="88"/>
      <c r="S471" s="88"/>
      <c r="T471" s="88"/>
      <c r="U471" s="88"/>
      <c r="V471" s="88"/>
      <c r="W471" s="88"/>
      <c r="X471" s="88"/>
      <c r="Y471" s="88"/>
    </row>
    <row r="472">
      <c r="A472" s="88"/>
      <c r="B472" s="88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Q472" s="88"/>
      <c r="R472" s="88"/>
      <c r="S472" s="88"/>
      <c r="T472" s="88"/>
      <c r="U472" s="88"/>
      <c r="V472" s="88"/>
      <c r="W472" s="88"/>
      <c r="X472" s="88"/>
      <c r="Y472" s="88"/>
    </row>
    <row r="473">
      <c r="A473" s="88"/>
      <c r="B473" s="88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Q473" s="88"/>
      <c r="R473" s="88"/>
      <c r="S473" s="88"/>
      <c r="T473" s="88"/>
      <c r="U473" s="88"/>
      <c r="V473" s="88"/>
      <c r="W473" s="88"/>
      <c r="X473" s="88"/>
      <c r="Y473" s="88"/>
    </row>
    <row r="474">
      <c r="A474" s="88"/>
      <c r="B474" s="88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Q474" s="88"/>
      <c r="R474" s="88"/>
      <c r="S474" s="88"/>
      <c r="T474" s="88"/>
      <c r="U474" s="88"/>
      <c r="V474" s="88"/>
      <c r="W474" s="88"/>
      <c r="X474" s="88"/>
      <c r="Y474" s="88"/>
    </row>
    <row r="475">
      <c r="A475" s="88"/>
      <c r="B475" s="88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Q475" s="88"/>
      <c r="R475" s="88"/>
      <c r="S475" s="88"/>
      <c r="T475" s="88"/>
      <c r="U475" s="88"/>
      <c r="V475" s="88"/>
      <c r="W475" s="88"/>
      <c r="X475" s="88"/>
      <c r="Y475" s="88"/>
    </row>
    <row r="476">
      <c r="A476" s="88"/>
      <c r="B476" s="88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Q476" s="88"/>
      <c r="R476" s="88"/>
      <c r="S476" s="88"/>
      <c r="T476" s="88"/>
      <c r="U476" s="88"/>
      <c r="V476" s="88"/>
      <c r="W476" s="88"/>
      <c r="X476" s="88"/>
      <c r="Y476" s="88"/>
    </row>
    <row r="477">
      <c r="A477" s="88"/>
      <c r="B477" s="88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Q477" s="88"/>
      <c r="R477" s="88"/>
      <c r="S477" s="88"/>
      <c r="T477" s="88"/>
      <c r="U477" s="88"/>
      <c r="V477" s="88"/>
      <c r="W477" s="88"/>
      <c r="X477" s="88"/>
      <c r="Y477" s="88"/>
    </row>
    <row r="478">
      <c r="A478" s="88"/>
      <c r="B478" s="88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Q478" s="88"/>
      <c r="R478" s="88"/>
      <c r="S478" s="88"/>
      <c r="T478" s="88"/>
      <c r="U478" s="88"/>
      <c r="V478" s="88"/>
      <c r="W478" s="88"/>
      <c r="X478" s="88"/>
      <c r="Y478" s="88"/>
    </row>
    <row r="479">
      <c r="A479" s="88"/>
      <c r="B479" s="88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Q479" s="88"/>
      <c r="R479" s="88"/>
      <c r="S479" s="88"/>
      <c r="T479" s="88"/>
      <c r="U479" s="88"/>
      <c r="V479" s="88"/>
      <c r="W479" s="88"/>
      <c r="X479" s="88"/>
      <c r="Y479" s="88"/>
    </row>
    <row r="480">
      <c r="A480" s="88"/>
      <c r="B480" s="88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Q480" s="88"/>
      <c r="R480" s="88"/>
      <c r="S480" s="88"/>
      <c r="T480" s="88"/>
      <c r="U480" s="88"/>
      <c r="V480" s="88"/>
      <c r="W480" s="88"/>
      <c r="X480" s="88"/>
      <c r="Y480" s="88"/>
    </row>
    <row r="481">
      <c r="A481" s="88"/>
      <c r="B481" s="88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Q481" s="88"/>
      <c r="R481" s="88"/>
      <c r="S481" s="88"/>
      <c r="T481" s="88"/>
      <c r="U481" s="88"/>
      <c r="V481" s="88"/>
      <c r="W481" s="88"/>
      <c r="X481" s="88"/>
      <c r="Y481" s="88"/>
    </row>
    <row r="482">
      <c r="A482" s="88"/>
      <c r="B482" s="88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Q482" s="88"/>
      <c r="R482" s="88"/>
      <c r="S482" s="88"/>
      <c r="T482" s="88"/>
      <c r="U482" s="88"/>
      <c r="V482" s="88"/>
      <c r="W482" s="88"/>
      <c r="X482" s="88"/>
      <c r="Y482" s="88"/>
    </row>
    <row r="483">
      <c r="A483" s="88"/>
      <c r="B483" s="88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Q483" s="88"/>
      <c r="R483" s="88"/>
      <c r="S483" s="88"/>
      <c r="T483" s="88"/>
      <c r="U483" s="88"/>
      <c r="V483" s="88"/>
      <c r="W483" s="88"/>
      <c r="X483" s="88"/>
      <c r="Y483" s="88"/>
    </row>
    <row r="484">
      <c r="A484" s="88"/>
      <c r="B484" s="88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Q484" s="88"/>
      <c r="R484" s="88"/>
      <c r="S484" s="88"/>
      <c r="T484" s="88"/>
      <c r="U484" s="88"/>
      <c r="V484" s="88"/>
      <c r="W484" s="88"/>
      <c r="X484" s="88"/>
      <c r="Y484" s="88"/>
    </row>
    <row r="485">
      <c r="A485" s="88"/>
      <c r="B485" s="88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Q485" s="88"/>
      <c r="R485" s="88"/>
      <c r="S485" s="88"/>
      <c r="T485" s="88"/>
      <c r="U485" s="88"/>
      <c r="V485" s="88"/>
      <c r="W485" s="88"/>
      <c r="X485" s="88"/>
      <c r="Y485" s="88"/>
    </row>
    <row r="486">
      <c r="A486" s="88"/>
      <c r="B486" s="88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Q486" s="88"/>
      <c r="R486" s="88"/>
      <c r="S486" s="88"/>
      <c r="T486" s="88"/>
      <c r="U486" s="88"/>
      <c r="V486" s="88"/>
      <c r="W486" s="88"/>
      <c r="X486" s="88"/>
      <c r="Y486" s="88"/>
    </row>
    <row r="487">
      <c r="A487" s="88"/>
      <c r="B487" s="88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Q487" s="88"/>
      <c r="R487" s="88"/>
      <c r="S487" s="88"/>
      <c r="T487" s="88"/>
      <c r="U487" s="88"/>
      <c r="V487" s="88"/>
      <c r="W487" s="88"/>
      <c r="X487" s="88"/>
      <c r="Y487" s="88"/>
    </row>
    <row r="488">
      <c r="A488" s="88"/>
      <c r="B488" s="88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Q488" s="88"/>
      <c r="R488" s="88"/>
      <c r="S488" s="88"/>
      <c r="T488" s="88"/>
      <c r="U488" s="88"/>
      <c r="V488" s="88"/>
      <c r="W488" s="88"/>
      <c r="X488" s="88"/>
      <c r="Y488" s="88"/>
    </row>
    <row r="489">
      <c r="A489" s="88"/>
      <c r="B489" s="88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Q489" s="88"/>
      <c r="R489" s="88"/>
      <c r="S489" s="88"/>
      <c r="T489" s="88"/>
      <c r="U489" s="88"/>
      <c r="V489" s="88"/>
      <c r="W489" s="88"/>
      <c r="X489" s="88"/>
      <c r="Y489" s="88"/>
    </row>
    <row r="490">
      <c r="A490" s="88"/>
      <c r="B490" s="88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Q490" s="88"/>
      <c r="R490" s="88"/>
      <c r="S490" s="88"/>
      <c r="T490" s="88"/>
      <c r="U490" s="88"/>
      <c r="V490" s="88"/>
      <c r="W490" s="88"/>
      <c r="X490" s="88"/>
      <c r="Y490" s="88"/>
    </row>
    <row r="491">
      <c r="A491" s="88"/>
      <c r="B491" s="88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Q491" s="88"/>
      <c r="R491" s="88"/>
      <c r="S491" s="88"/>
      <c r="T491" s="88"/>
      <c r="U491" s="88"/>
      <c r="V491" s="88"/>
      <c r="W491" s="88"/>
      <c r="X491" s="88"/>
      <c r="Y491" s="88"/>
    </row>
    <row r="492">
      <c r="A492" s="88"/>
      <c r="B492" s="88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Q492" s="88"/>
      <c r="R492" s="88"/>
      <c r="S492" s="88"/>
      <c r="T492" s="88"/>
      <c r="U492" s="88"/>
      <c r="V492" s="88"/>
      <c r="W492" s="88"/>
      <c r="X492" s="88"/>
      <c r="Y492" s="88"/>
    </row>
    <row r="493">
      <c r="A493" s="88"/>
      <c r="B493" s="88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Q493" s="88"/>
      <c r="R493" s="88"/>
      <c r="S493" s="88"/>
      <c r="T493" s="88"/>
      <c r="U493" s="88"/>
      <c r="V493" s="88"/>
      <c r="W493" s="88"/>
      <c r="X493" s="88"/>
      <c r="Y493" s="88"/>
    </row>
    <row r="494">
      <c r="A494" s="88"/>
      <c r="B494" s="88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Q494" s="88"/>
      <c r="R494" s="88"/>
      <c r="S494" s="88"/>
      <c r="T494" s="88"/>
      <c r="U494" s="88"/>
      <c r="V494" s="88"/>
      <c r="W494" s="88"/>
      <c r="X494" s="88"/>
      <c r="Y494" s="88"/>
    </row>
    <row r="495">
      <c r="A495" s="88"/>
      <c r="B495" s="88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Q495" s="88"/>
      <c r="R495" s="88"/>
      <c r="S495" s="88"/>
      <c r="T495" s="88"/>
      <c r="U495" s="88"/>
      <c r="V495" s="88"/>
      <c r="W495" s="88"/>
      <c r="X495" s="88"/>
      <c r="Y495" s="88"/>
    </row>
    <row r="496">
      <c r="A496" s="88"/>
      <c r="B496" s="88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Q496" s="88"/>
      <c r="R496" s="88"/>
      <c r="S496" s="88"/>
      <c r="T496" s="88"/>
      <c r="U496" s="88"/>
      <c r="V496" s="88"/>
      <c r="W496" s="88"/>
      <c r="X496" s="88"/>
      <c r="Y496" s="88"/>
    </row>
    <row r="497">
      <c r="A497" s="88"/>
      <c r="B497" s="88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Q497" s="88"/>
      <c r="R497" s="88"/>
      <c r="S497" s="88"/>
      <c r="T497" s="88"/>
      <c r="U497" s="88"/>
      <c r="V497" s="88"/>
      <c r="W497" s="88"/>
      <c r="X497" s="88"/>
      <c r="Y497" s="88"/>
    </row>
    <row r="498">
      <c r="A498" s="88"/>
      <c r="B498" s="88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Q498" s="88"/>
      <c r="R498" s="88"/>
      <c r="S498" s="88"/>
      <c r="T498" s="88"/>
      <c r="U498" s="88"/>
      <c r="V498" s="88"/>
      <c r="W498" s="88"/>
      <c r="X498" s="88"/>
      <c r="Y498" s="88"/>
    </row>
    <row r="499">
      <c r="A499" s="88"/>
      <c r="B499" s="88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Q499" s="88"/>
      <c r="R499" s="88"/>
      <c r="S499" s="88"/>
      <c r="T499" s="88"/>
      <c r="U499" s="88"/>
      <c r="V499" s="88"/>
      <c r="W499" s="88"/>
      <c r="X499" s="88"/>
      <c r="Y499" s="88"/>
    </row>
    <row r="500">
      <c r="A500" s="88"/>
      <c r="B500" s="88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Q500" s="88"/>
      <c r="R500" s="88"/>
      <c r="S500" s="88"/>
      <c r="T500" s="88"/>
      <c r="U500" s="88"/>
      <c r="V500" s="88"/>
      <c r="W500" s="88"/>
      <c r="X500" s="88"/>
      <c r="Y500" s="88"/>
    </row>
    <row r="501">
      <c r="A501" s="88"/>
      <c r="B501" s="88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Q501" s="88"/>
      <c r="R501" s="88"/>
      <c r="S501" s="88"/>
      <c r="T501" s="88"/>
      <c r="U501" s="88"/>
      <c r="V501" s="88"/>
      <c r="W501" s="88"/>
      <c r="X501" s="88"/>
      <c r="Y501" s="88"/>
    </row>
    <row r="502">
      <c r="A502" s="88"/>
      <c r="B502" s="88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Q502" s="88"/>
      <c r="R502" s="88"/>
      <c r="S502" s="88"/>
      <c r="T502" s="88"/>
      <c r="U502" s="88"/>
      <c r="V502" s="88"/>
      <c r="W502" s="88"/>
      <c r="X502" s="88"/>
      <c r="Y502" s="88"/>
    </row>
    <row r="503">
      <c r="A503" s="88"/>
      <c r="B503" s="88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Q503" s="88"/>
      <c r="R503" s="88"/>
      <c r="S503" s="88"/>
      <c r="T503" s="88"/>
      <c r="U503" s="88"/>
      <c r="V503" s="88"/>
      <c r="W503" s="88"/>
      <c r="X503" s="88"/>
      <c r="Y503" s="88"/>
    </row>
    <row r="504">
      <c r="A504" s="88"/>
      <c r="B504" s="88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Q504" s="88"/>
      <c r="R504" s="88"/>
      <c r="S504" s="88"/>
      <c r="T504" s="88"/>
      <c r="U504" s="88"/>
      <c r="V504" s="88"/>
      <c r="W504" s="88"/>
      <c r="X504" s="88"/>
      <c r="Y504" s="88"/>
    </row>
    <row r="505">
      <c r="A505" s="88"/>
      <c r="B505" s="88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Q505" s="88"/>
      <c r="R505" s="88"/>
      <c r="S505" s="88"/>
      <c r="T505" s="88"/>
      <c r="U505" s="88"/>
      <c r="V505" s="88"/>
      <c r="W505" s="88"/>
      <c r="X505" s="88"/>
      <c r="Y505" s="88"/>
    </row>
    <row r="506">
      <c r="A506" s="88"/>
      <c r="B506" s="88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Q506" s="88"/>
      <c r="R506" s="88"/>
      <c r="S506" s="88"/>
      <c r="T506" s="88"/>
      <c r="U506" s="88"/>
      <c r="V506" s="88"/>
      <c r="W506" s="88"/>
      <c r="X506" s="88"/>
      <c r="Y506" s="88"/>
    </row>
    <row r="507">
      <c r="A507" s="88"/>
      <c r="B507" s="88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Q507" s="88"/>
      <c r="R507" s="88"/>
      <c r="S507" s="88"/>
      <c r="T507" s="88"/>
      <c r="U507" s="88"/>
      <c r="V507" s="88"/>
      <c r="W507" s="88"/>
      <c r="X507" s="88"/>
      <c r="Y507" s="88"/>
    </row>
    <row r="508">
      <c r="A508" s="88"/>
      <c r="B508" s="88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Q508" s="88"/>
      <c r="R508" s="88"/>
      <c r="S508" s="88"/>
      <c r="T508" s="88"/>
      <c r="U508" s="88"/>
      <c r="V508" s="88"/>
      <c r="W508" s="88"/>
      <c r="X508" s="88"/>
      <c r="Y508" s="88"/>
    </row>
    <row r="509">
      <c r="A509" s="88"/>
      <c r="B509" s="88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Q509" s="88"/>
      <c r="R509" s="88"/>
      <c r="S509" s="88"/>
      <c r="T509" s="88"/>
      <c r="U509" s="88"/>
      <c r="V509" s="88"/>
      <c r="W509" s="88"/>
      <c r="X509" s="88"/>
      <c r="Y509" s="88"/>
    </row>
    <row r="510">
      <c r="A510" s="88"/>
      <c r="B510" s="88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Q510" s="88"/>
      <c r="R510" s="88"/>
      <c r="S510" s="88"/>
      <c r="T510" s="88"/>
      <c r="U510" s="88"/>
      <c r="V510" s="88"/>
      <c r="W510" s="88"/>
      <c r="X510" s="88"/>
      <c r="Y510" s="88"/>
    </row>
    <row r="511">
      <c r="A511" s="88"/>
      <c r="B511" s="88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Q511" s="88"/>
      <c r="R511" s="88"/>
      <c r="S511" s="88"/>
      <c r="T511" s="88"/>
      <c r="U511" s="88"/>
      <c r="V511" s="88"/>
      <c r="W511" s="88"/>
      <c r="X511" s="88"/>
      <c r="Y511" s="88"/>
    </row>
    <row r="512">
      <c r="A512" s="88"/>
      <c r="B512" s="88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Q512" s="88"/>
      <c r="R512" s="88"/>
      <c r="S512" s="88"/>
      <c r="T512" s="88"/>
      <c r="U512" s="88"/>
      <c r="V512" s="88"/>
      <c r="W512" s="88"/>
      <c r="X512" s="88"/>
      <c r="Y512" s="88"/>
    </row>
    <row r="513">
      <c r="A513" s="88"/>
      <c r="B513" s="88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Q513" s="88"/>
      <c r="R513" s="88"/>
      <c r="S513" s="88"/>
      <c r="T513" s="88"/>
      <c r="U513" s="88"/>
      <c r="V513" s="88"/>
      <c r="W513" s="88"/>
      <c r="X513" s="88"/>
      <c r="Y513" s="88"/>
    </row>
    <row r="514">
      <c r="A514" s="88"/>
      <c r="B514" s="88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Q514" s="88"/>
      <c r="R514" s="88"/>
      <c r="S514" s="88"/>
      <c r="T514" s="88"/>
      <c r="U514" s="88"/>
      <c r="V514" s="88"/>
      <c r="W514" s="88"/>
      <c r="X514" s="88"/>
      <c r="Y514" s="88"/>
    </row>
    <row r="515">
      <c r="A515" s="88"/>
      <c r="B515" s="88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Q515" s="88"/>
      <c r="R515" s="88"/>
      <c r="S515" s="88"/>
      <c r="T515" s="88"/>
      <c r="U515" s="88"/>
      <c r="V515" s="88"/>
      <c r="W515" s="88"/>
      <c r="X515" s="88"/>
      <c r="Y515" s="88"/>
    </row>
    <row r="516">
      <c r="A516" s="88"/>
      <c r="B516" s="88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Q516" s="88"/>
      <c r="R516" s="88"/>
      <c r="S516" s="88"/>
      <c r="T516" s="88"/>
      <c r="U516" s="88"/>
      <c r="V516" s="88"/>
      <c r="W516" s="88"/>
      <c r="X516" s="88"/>
      <c r="Y516" s="88"/>
    </row>
    <row r="517">
      <c r="A517" s="88"/>
      <c r="B517" s="88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Q517" s="88"/>
      <c r="R517" s="88"/>
      <c r="S517" s="88"/>
      <c r="T517" s="88"/>
      <c r="U517" s="88"/>
      <c r="V517" s="88"/>
      <c r="W517" s="88"/>
      <c r="X517" s="88"/>
      <c r="Y517" s="88"/>
    </row>
    <row r="518">
      <c r="A518" s="88"/>
      <c r="B518" s="88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Q518" s="88"/>
      <c r="R518" s="88"/>
      <c r="S518" s="88"/>
      <c r="T518" s="88"/>
      <c r="U518" s="88"/>
      <c r="V518" s="88"/>
      <c r="W518" s="88"/>
      <c r="X518" s="88"/>
      <c r="Y518" s="88"/>
    </row>
    <row r="519">
      <c r="A519" s="88"/>
      <c r="B519" s="88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Q519" s="88"/>
      <c r="R519" s="88"/>
      <c r="S519" s="88"/>
      <c r="T519" s="88"/>
      <c r="U519" s="88"/>
      <c r="V519" s="88"/>
      <c r="W519" s="88"/>
      <c r="X519" s="88"/>
      <c r="Y519" s="88"/>
    </row>
    <row r="520">
      <c r="A520" s="88"/>
      <c r="B520" s="88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Q520" s="88"/>
      <c r="R520" s="88"/>
      <c r="S520" s="88"/>
      <c r="T520" s="88"/>
      <c r="U520" s="88"/>
      <c r="V520" s="88"/>
      <c r="W520" s="88"/>
      <c r="X520" s="88"/>
      <c r="Y520" s="88"/>
    </row>
    <row r="521">
      <c r="A521" s="88"/>
      <c r="B521" s="88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Q521" s="88"/>
      <c r="R521" s="88"/>
      <c r="S521" s="88"/>
      <c r="T521" s="88"/>
      <c r="U521" s="88"/>
      <c r="V521" s="88"/>
      <c r="W521" s="88"/>
      <c r="X521" s="88"/>
      <c r="Y521" s="88"/>
    </row>
    <row r="522">
      <c r="A522" s="88"/>
      <c r="B522" s="88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Q522" s="88"/>
      <c r="R522" s="88"/>
      <c r="S522" s="88"/>
      <c r="T522" s="88"/>
      <c r="U522" s="88"/>
      <c r="V522" s="88"/>
      <c r="W522" s="88"/>
      <c r="X522" s="88"/>
      <c r="Y522" s="88"/>
    </row>
    <row r="523">
      <c r="A523" s="88"/>
      <c r="B523" s="88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Q523" s="88"/>
      <c r="R523" s="88"/>
      <c r="S523" s="88"/>
      <c r="T523" s="88"/>
      <c r="U523" s="88"/>
      <c r="V523" s="88"/>
      <c r="W523" s="88"/>
      <c r="X523" s="88"/>
      <c r="Y523" s="88"/>
    </row>
    <row r="524">
      <c r="A524" s="88"/>
      <c r="B524" s="88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Q524" s="88"/>
      <c r="R524" s="88"/>
      <c r="S524" s="88"/>
      <c r="T524" s="88"/>
      <c r="U524" s="88"/>
      <c r="V524" s="88"/>
      <c r="W524" s="88"/>
      <c r="X524" s="88"/>
      <c r="Y524" s="88"/>
    </row>
    <row r="525">
      <c r="A525" s="88"/>
      <c r="B525" s="88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Q525" s="88"/>
      <c r="R525" s="88"/>
      <c r="S525" s="88"/>
      <c r="T525" s="88"/>
      <c r="U525" s="88"/>
      <c r="V525" s="88"/>
      <c r="W525" s="88"/>
      <c r="X525" s="88"/>
      <c r="Y525" s="88"/>
    </row>
    <row r="526">
      <c r="A526" s="88"/>
      <c r="B526" s="88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Q526" s="88"/>
      <c r="R526" s="88"/>
      <c r="S526" s="88"/>
      <c r="T526" s="88"/>
      <c r="U526" s="88"/>
      <c r="V526" s="88"/>
      <c r="W526" s="88"/>
      <c r="X526" s="88"/>
      <c r="Y526" s="88"/>
    </row>
    <row r="527">
      <c r="A527" s="88"/>
      <c r="B527" s="88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Q527" s="88"/>
      <c r="R527" s="88"/>
      <c r="S527" s="88"/>
      <c r="T527" s="88"/>
      <c r="U527" s="88"/>
      <c r="V527" s="88"/>
      <c r="W527" s="88"/>
      <c r="X527" s="88"/>
      <c r="Y527" s="88"/>
    </row>
    <row r="528">
      <c r="A528" s="88"/>
      <c r="B528" s="88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Q528" s="88"/>
      <c r="R528" s="88"/>
      <c r="S528" s="88"/>
      <c r="T528" s="88"/>
      <c r="U528" s="88"/>
      <c r="V528" s="88"/>
      <c r="W528" s="88"/>
      <c r="X528" s="88"/>
      <c r="Y528" s="88"/>
    </row>
    <row r="529">
      <c r="A529" s="88"/>
      <c r="B529" s="88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Q529" s="88"/>
      <c r="R529" s="88"/>
      <c r="S529" s="88"/>
      <c r="T529" s="88"/>
      <c r="U529" s="88"/>
      <c r="V529" s="88"/>
      <c r="W529" s="88"/>
      <c r="X529" s="88"/>
      <c r="Y529" s="88"/>
    </row>
    <row r="530">
      <c r="A530" s="88"/>
      <c r="B530" s="88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Q530" s="88"/>
      <c r="R530" s="88"/>
      <c r="S530" s="88"/>
      <c r="T530" s="88"/>
      <c r="U530" s="88"/>
      <c r="V530" s="88"/>
      <c r="W530" s="88"/>
      <c r="X530" s="88"/>
      <c r="Y530" s="88"/>
    </row>
    <row r="531">
      <c r="A531" s="88"/>
      <c r="B531" s="88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Q531" s="88"/>
      <c r="R531" s="88"/>
      <c r="S531" s="88"/>
      <c r="T531" s="88"/>
      <c r="U531" s="88"/>
      <c r="V531" s="88"/>
      <c r="W531" s="88"/>
      <c r="X531" s="88"/>
      <c r="Y531" s="88"/>
    </row>
    <row r="532">
      <c r="A532" s="88"/>
      <c r="B532" s="88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Q532" s="88"/>
      <c r="R532" s="88"/>
      <c r="S532" s="88"/>
      <c r="T532" s="88"/>
      <c r="U532" s="88"/>
      <c r="V532" s="88"/>
      <c r="W532" s="88"/>
      <c r="X532" s="88"/>
      <c r="Y532" s="88"/>
    </row>
    <row r="533">
      <c r="A533" s="88"/>
      <c r="B533" s="88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Q533" s="88"/>
      <c r="R533" s="88"/>
      <c r="S533" s="88"/>
      <c r="T533" s="88"/>
      <c r="U533" s="88"/>
      <c r="V533" s="88"/>
      <c r="W533" s="88"/>
      <c r="X533" s="88"/>
      <c r="Y533" s="88"/>
    </row>
    <row r="534">
      <c r="A534" s="88"/>
      <c r="B534" s="88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Q534" s="88"/>
      <c r="R534" s="88"/>
      <c r="S534" s="88"/>
      <c r="T534" s="88"/>
      <c r="U534" s="88"/>
      <c r="V534" s="88"/>
      <c r="W534" s="88"/>
      <c r="X534" s="88"/>
      <c r="Y534" s="88"/>
    </row>
    <row r="535">
      <c r="A535" s="88"/>
      <c r="B535" s="88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Q535" s="88"/>
      <c r="R535" s="88"/>
      <c r="S535" s="88"/>
      <c r="T535" s="88"/>
      <c r="U535" s="88"/>
      <c r="V535" s="88"/>
      <c r="W535" s="88"/>
      <c r="X535" s="88"/>
      <c r="Y535" s="88"/>
    </row>
    <row r="536">
      <c r="A536" s="88"/>
      <c r="B536" s="88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Q536" s="88"/>
      <c r="R536" s="88"/>
      <c r="S536" s="88"/>
      <c r="T536" s="88"/>
      <c r="U536" s="88"/>
      <c r="V536" s="88"/>
      <c r="W536" s="88"/>
      <c r="X536" s="88"/>
      <c r="Y536" s="88"/>
    </row>
    <row r="537">
      <c r="A537" s="88"/>
      <c r="B537" s="88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Q537" s="88"/>
      <c r="R537" s="88"/>
      <c r="S537" s="88"/>
      <c r="T537" s="88"/>
      <c r="U537" s="88"/>
      <c r="V537" s="88"/>
      <c r="W537" s="88"/>
      <c r="X537" s="88"/>
      <c r="Y537" s="88"/>
    </row>
    <row r="538">
      <c r="A538" s="88"/>
      <c r="B538" s="88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Q538" s="88"/>
      <c r="R538" s="88"/>
      <c r="S538" s="88"/>
      <c r="T538" s="88"/>
      <c r="U538" s="88"/>
      <c r="V538" s="88"/>
      <c r="W538" s="88"/>
      <c r="X538" s="88"/>
      <c r="Y538" s="88"/>
    </row>
    <row r="539">
      <c r="A539" s="88"/>
      <c r="B539" s="88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Q539" s="88"/>
      <c r="R539" s="88"/>
      <c r="S539" s="88"/>
      <c r="T539" s="88"/>
      <c r="U539" s="88"/>
      <c r="V539" s="88"/>
      <c r="W539" s="88"/>
      <c r="X539" s="88"/>
      <c r="Y539" s="88"/>
    </row>
    <row r="540">
      <c r="A540" s="88"/>
      <c r="B540" s="88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Q540" s="88"/>
      <c r="R540" s="88"/>
      <c r="S540" s="88"/>
      <c r="T540" s="88"/>
      <c r="U540" s="88"/>
      <c r="V540" s="88"/>
      <c r="W540" s="88"/>
      <c r="X540" s="88"/>
      <c r="Y540" s="88"/>
    </row>
    <row r="541">
      <c r="A541" s="88"/>
      <c r="B541" s="88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Q541" s="88"/>
      <c r="R541" s="88"/>
      <c r="S541" s="88"/>
      <c r="T541" s="88"/>
      <c r="U541" s="88"/>
      <c r="V541" s="88"/>
      <c r="W541" s="88"/>
      <c r="X541" s="88"/>
      <c r="Y541" s="88"/>
    </row>
    <row r="542">
      <c r="A542" s="88"/>
      <c r="B542" s="88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Q542" s="88"/>
      <c r="R542" s="88"/>
      <c r="S542" s="88"/>
      <c r="T542" s="88"/>
      <c r="U542" s="88"/>
      <c r="V542" s="88"/>
      <c r="W542" s="88"/>
      <c r="X542" s="88"/>
      <c r="Y542" s="88"/>
    </row>
    <row r="543">
      <c r="A543" s="88"/>
      <c r="B543" s="88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Q543" s="88"/>
      <c r="R543" s="88"/>
      <c r="S543" s="88"/>
      <c r="T543" s="88"/>
      <c r="U543" s="88"/>
      <c r="V543" s="88"/>
      <c r="W543" s="88"/>
      <c r="X543" s="88"/>
      <c r="Y543" s="88"/>
    </row>
    <row r="544">
      <c r="A544" s="88"/>
      <c r="B544" s="88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Q544" s="88"/>
      <c r="R544" s="88"/>
      <c r="S544" s="88"/>
      <c r="T544" s="88"/>
      <c r="U544" s="88"/>
      <c r="V544" s="88"/>
      <c r="W544" s="88"/>
      <c r="X544" s="88"/>
      <c r="Y544" s="88"/>
    </row>
    <row r="545">
      <c r="A545" s="88"/>
      <c r="B545" s="88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Q545" s="88"/>
      <c r="R545" s="88"/>
      <c r="S545" s="88"/>
      <c r="T545" s="88"/>
      <c r="U545" s="88"/>
      <c r="V545" s="88"/>
      <c r="W545" s="88"/>
      <c r="X545" s="88"/>
      <c r="Y545" s="88"/>
    </row>
    <row r="546">
      <c r="A546" s="88"/>
      <c r="B546" s="88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Q546" s="88"/>
      <c r="R546" s="88"/>
      <c r="S546" s="88"/>
      <c r="T546" s="88"/>
      <c r="U546" s="88"/>
      <c r="V546" s="88"/>
      <c r="W546" s="88"/>
      <c r="X546" s="88"/>
      <c r="Y546" s="88"/>
    </row>
    <row r="547">
      <c r="A547" s="88"/>
      <c r="B547" s="88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Q547" s="88"/>
      <c r="R547" s="88"/>
      <c r="S547" s="88"/>
      <c r="T547" s="88"/>
      <c r="U547" s="88"/>
      <c r="V547" s="88"/>
      <c r="W547" s="88"/>
      <c r="X547" s="88"/>
      <c r="Y547" s="88"/>
    </row>
    <row r="548">
      <c r="A548" s="88"/>
      <c r="B548" s="88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Q548" s="88"/>
      <c r="R548" s="88"/>
      <c r="S548" s="88"/>
      <c r="T548" s="88"/>
      <c r="U548" s="88"/>
      <c r="V548" s="88"/>
      <c r="W548" s="88"/>
      <c r="X548" s="88"/>
      <c r="Y548" s="88"/>
    </row>
    <row r="549">
      <c r="A549" s="88"/>
      <c r="B549" s="88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Q549" s="88"/>
      <c r="R549" s="88"/>
      <c r="S549" s="88"/>
      <c r="T549" s="88"/>
      <c r="U549" s="88"/>
      <c r="V549" s="88"/>
      <c r="W549" s="88"/>
      <c r="X549" s="88"/>
      <c r="Y549" s="88"/>
    </row>
    <row r="550">
      <c r="A550" s="88"/>
      <c r="B550" s="88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Q550" s="88"/>
      <c r="R550" s="88"/>
      <c r="S550" s="88"/>
      <c r="T550" s="88"/>
      <c r="U550" s="88"/>
      <c r="V550" s="88"/>
      <c r="W550" s="88"/>
      <c r="X550" s="88"/>
      <c r="Y550" s="88"/>
    </row>
    <row r="551">
      <c r="A551" s="88"/>
      <c r="B551" s="88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Q551" s="88"/>
      <c r="R551" s="88"/>
      <c r="S551" s="88"/>
      <c r="T551" s="88"/>
      <c r="U551" s="88"/>
      <c r="V551" s="88"/>
      <c r="W551" s="88"/>
      <c r="X551" s="88"/>
      <c r="Y551" s="88"/>
    </row>
    <row r="552">
      <c r="A552" s="88"/>
      <c r="B552" s="88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Q552" s="88"/>
      <c r="R552" s="88"/>
      <c r="S552" s="88"/>
      <c r="T552" s="88"/>
      <c r="U552" s="88"/>
      <c r="V552" s="88"/>
      <c r="W552" s="88"/>
      <c r="X552" s="88"/>
      <c r="Y552" s="88"/>
    </row>
    <row r="553">
      <c r="A553" s="88"/>
      <c r="B553" s="88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Q553" s="88"/>
      <c r="R553" s="88"/>
      <c r="S553" s="88"/>
      <c r="T553" s="88"/>
      <c r="U553" s="88"/>
      <c r="V553" s="88"/>
      <c r="W553" s="88"/>
      <c r="X553" s="88"/>
      <c r="Y553" s="88"/>
    </row>
    <row r="554">
      <c r="A554" s="88"/>
      <c r="B554" s="88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Q554" s="88"/>
      <c r="R554" s="88"/>
      <c r="S554" s="88"/>
      <c r="T554" s="88"/>
      <c r="U554" s="88"/>
      <c r="V554" s="88"/>
      <c r="W554" s="88"/>
      <c r="X554" s="88"/>
      <c r="Y554" s="88"/>
    </row>
    <row r="555">
      <c r="A555" s="88"/>
      <c r="B555" s="88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Q555" s="88"/>
      <c r="R555" s="88"/>
      <c r="S555" s="88"/>
      <c r="T555" s="88"/>
      <c r="U555" s="88"/>
      <c r="V555" s="88"/>
      <c r="W555" s="88"/>
      <c r="X555" s="88"/>
      <c r="Y555" s="88"/>
    </row>
    <row r="556">
      <c r="A556" s="88"/>
      <c r="B556" s="88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Q556" s="88"/>
      <c r="R556" s="88"/>
      <c r="S556" s="88"/>
      <c r="T556" s="88"/>
      <c r="U556" s="88"/>
      <c r="V556" s="88"/>
      <c r="W556" s="88"/>
      <c r="X556" s="88"/>
      <c r="Y556" s="88"/>
    </row>
    <row r="557">
      <c r="A557" s="88"/>
      <c r="B557" s="88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Q557" s="88"/>
      <c r="R557" s="88"/>
      <c r="S557" s="88"/>
      <c r="T557" s="88"/>
      <c r="U557" s="88"/>
      <c r="V557" s="88"/>
      <c r="W557" s="88"/>
      <c r="X557" s="88"/>
      <c r="Y557" s="88"/>
    </row>
    <row r="558">
      <c r="A558" s="88"/>
      <c r="B558" s="88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Q558" s="88"/>
      <c r="R558" s="88"/>
      <c r="S558" s="88"/>
      <c r="T558" s="88"/>
      <c r="U558" s="88"/>
      <c r="V558" s="88"/>
      <c r="W558" s="88"/>
      <c r="X558" s="88"/>
      <c r="Y558" s="88"/>
    </row>
    <row r="559">
      <c r="A559" s="88"/>
      <c r="B559" s="88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Q559" s="88"/>
      <c r="R559" s="88"/>
      <c r="S559" s="88"/>
      <c r="T559" s="88"/>
      <c r="U559" s="88"/>
      <c r="V559" s="88"/>
      <c r="W559" s="88"/>
      <c r="X559" s="88"/>
      <c r="Y559" s="88"/>
    </row>
    <row r="560">
      <c r="A560" s="88"/>
      <c r="B560" s="88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Q560" s="88"/>
      <c r="R560" s="88"/>
      <c r="S560" s="88"/>
      <c r="T560" s="88"/>
      <c r="U560" s="88"/>
      <c r="V560" s="88"/>
      <c r="W560" s="88"/>
      <c r="X560" s="88"/>
      <c r="Y560" s="88"/>
    </row>
    <row r="561">
      <c r="A561" s="88"/>
      <c r="B561" s="88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Q561" s="88"/>
      <c r="R561" s="88"/>
      <c r="S561" s="88"/>
      <c r="T561" s="88"/>
      <c r="U561" s="88"/>
      <c r="V561" s="88"/>
      <c r="W561" s="88"/>
      <c r="X561" s="88"/>
      <c r="Y561" s="88"/>
    </row>
    <row r="562">
      <c r="A562" s="88"/>
      <c r="B562" s="88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Q562" s="88"/>
      <c r="R562" s="88"/>
      <c r="S562" s="88"/>
      <c r="T562" s="88"/>
      <c r="U562" s="88"/>
      <c r="V562" s="88"/>
      <c r="W562" s="88"/>
      <c r="X562" s="88"/>
      <c r="Y562" s="88"/>
    </row>
    <row r="563">
      <c r="A563" s="88"/>
      <c r="B563" s="88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Q563" s="88"/>
      <c r="R563" s="88"/>
      <c r="S563" s="88"/>
      <c r="T563" s="88"/>
      <c r="U563" s="88"/>
      <c r="V563" s="88"/>
      <c r="W563" s="88"/>
      <c r="X563" s="88"/>
      <c r="Y563" s="88"/>
    </row>
    <row r="564">
      <c r="A564" s="88"/>
      <c r="B564" s="88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Q564" s="88"/>
      <c r="R564" s="88"/>
      <c r="S564" s="88"/>
      <c r="T564" s="88"/>
      <c r="U564" s="88"/>
      <c r="V564" s="88"/>
      <c r="W564" s="88"/>
      <c r="X564" s="88"/>
      <c r="Y564" s="88"/>
    </row>
    <row r="565">
      <c r="A565" s="88"/>
      <c r="B565" s="88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Q565" s="88"/>
      <c r="R565" s="88"/>
      <c r="S565" s="88"/>
      <c r="T565" s="88"/>
      <c r="U565" s="88"/>
      <c r="V565" s="88"/>
      <c r="W565" s="88"/>
      <c r="X565" s="88"/>
      <c r="Y565" s="88"/>
    </row>
    <row r="566">
      <c r="A566" s="88"/>
      <c r="B566" s="88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Q566" s="88"/>
      <c r="R566" s="88"/>
      <c r="S566" s="88"/>
      <c r="T566" s="88"/>
      <c r="U566" s="88"/>
      <c r="V566" s="88"/>
      <c r="W566" s="88"/>
      <c r="X566" s="88"/>
      <c r="Y566" s="88"/>
    </row>
    <row r="567">
      <c r="A567" s="88"/>
      <c r="B567" s="88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Q567" s="88"/>
      <c r="R567" s="88"/>
      <c r="S567" s="88"/>
      <c r="T567" s="88"/>
      <c r="U567" s="88"/>
      <c r="V567" s="88"/>
      <c r="W567" s="88"/>
      <c r="X567" s="88"/>
      <c r="Y567" s="88"/>
    </row>
    <row r="568">
      <c r="A568" s="88"/>
      <c r="B568" s="88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Q568" s="88"/>
      <c r="R568" s="88"/>
      <c r="S568" s="88"/>
      <c r="T568" s="88"/>
      <c r="U568" s="88"/>
      <c r="V568" s="88"/>
      <c r="W568" s="88"/>
      <c r="X568" s="88"/>
      <c r="Y568" s="88"/>
    </row>
    <row r="569">
      <c r="A569" s="88"/>
      <c r="B569" s="88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Q569" s="88"/>
      <c r="R569" s="88"/>
      <c r="S569" s="88"/>
      <c r="T569" s="88"/>
      <c r="U569" s="88"/>
      <c r="V569" s="88"/>
      <c r="W569" s="88"/>
      <c r="X569" s="88"/>
      <c r="Y569" s="88"/>
    </row>
    <row r="570">
      <c r="A570" s="88"/>
      <c r="B570" s="88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Q570" s="88"/>
      <c r="R570" s="88"/>
      <c r="S570" s="88"/>
      <c r="T570" s="88"/>
      <c r="U570" s="88"/>
      <c r="V570" s="88"/>
      <c r="W570" s="88"/>
      <c r="X570" s="88"/>
      <c r="Y570" s="88"/>
    </row>
    <row r="571">
      <c r="A571" s="88"/>
      <c r="B571" s="88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Q571" s="88"/>
      <c r="R571" s="88"/>
      <c r="S571" s="88"/>
      <c r="T571" s="88"/>
      <c r="U571" s="88"/>
      <c r="V571" s="88"/>
      <c r="W571" s="88"/>
      <c r="X571" s="88"/>
      <c r="Y571" s="88"/>
    </row>
    <row r="572">
      <c r="A572" s="88"/>
      <c r="B572" s="88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Q572" s="88"/>
      <c r="R572" s="88"/>
      <c r="S572" s="88"/>
      <c r="T572" s="88"/>
      <c r="U572" s="88"/>
      <c r="V572" s="88"/>
      <c r="W572" s="88"/>
      <c r="X572" s="88"/>
      <c r="Y572" s="88"/>
    </row>
    <row r="573">
      <c r="A573" s="88"/>
      <c r="B573" s="88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Q573" s="88"/>
      <c r="R573" s="88"/>
      <c r="S573" s="88"/>
      <c r="T573" s="88"/>
      <c r="U573" s="88"/>
      <c r="V573" s="88"/>
      <c r="W573" s="88"/>
      <c r="X573" s="88"/>
      <c r="Y573" s="88"/>
    </row>
    <row r="574">
      <c r="A574" s="88"/>
      <c r="B574" s="88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Q574" s="88"/>
      <c r="R574" s="88"/>
      <c r="S574" s="88"/>
      <c r="T574" s="88"/>
      <c r="U574" s="88"/>
      <c r="V574" s="88"/>
      <c r="W574" s="88"/>
      <c r="X574" s="88"/>
      <c r="Y574" s="88"/>
    </row>
    <row r="575">
      <c r="A575" s="88"/>
      <c r="B575" s="88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Q575" s="88"/>
      <c r="R575" s="88"/>
      <c r="S575" s="88"/>
      <c r="T575" s="88"/>
      <c r="U575" s="88"/>
      <c r="V575" s="88"/>
      <c r="W575" s="88"/>
      <c r="X575" s="88"/>
      <c r="Y575" s="88"/>
    </row>
    <row r="576">
      <c r="A576" s="88"/>
      <c r="B576" s="88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Q576" s="88"/>
      <c r="R576" s="88"/>
      <c r="S576" s="88"/>
      <c r="T576" s="88"/>
      <c r="U576" s="88"/>
      <c r="V576" s="88"/>
      <c r="W576" s="88"/>
      <c r="X576" s="88"/>
      <c r="Y576" s="88"/>
    </row>
    <row r="577">
      <c r="A577" s="88"/>
      <c r="B577" s="88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Q577" s="88"/>
      <c r="R577" s="88"/>
      <c r="S577" s="88"/>
      <c r="T577" s="88"/>
      <c r="U577" s="88"/>
      <c r="V577" s="88"/>
      <c r="W577" s="88"/>
      <c r="X577" s="88"/>
      <c r="Y577" s="88"/>
    </row>
    <row r="578">
      <c r="A578" s="88"/>
      <c r="B578" s="88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Q578" s="88"/>
      <c r="R578" s="88"/>
      <c r="S578" s="88"/>
      <c r="T578" s="88"/>
      <c r="U578" s="88"/>
      <c r="V578" s="88"/>
      <c r="W578" s="88"/>
      <c r="X578" s="88"/>
      <c r="Y578" s="88"/>
    </row>
    <row r="579">
      <c r="A579" s="88"/>
      <c r="B579" s="88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Q579" s="88"/>
      <c r="R579" s="88"/>
      <c r="S579" s="88"/>
      <c r="T579" s="88"/>
      <c r="U579" s="88"/>
      <c r="V579" s="88"/>
      <c r="W579" s="88"/>
      <c r="X579" s="88"/>
      <c r="Y579" s="88"/>
    </row>
    <row r="580">
      <c r="A580" s="88"/>
      <c r="B580" s="88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Q580" s="88"/>
      <c r="R580" s="88"/>
      <c r="S580" s="88"/>
      <c r="T580" s="88"/>
      <c r="U580" s="88"/>
      <c r="V580" s="88"/>
      <c r="W580" s="88"/>
      <c r="X580" s="88"/>
      <c r="Y580" s="88"/>
    </row>
    <row r="581">
      <c r="A581" s="88"/>
      <c r="B581" s="88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Q581" s="88"/>
      <c r="R581" s="88"/>
      <c r="S581" s="88"/>
      <c r="T581" s="88"/>
      <c r="U581" s="88"/>
      <c r="V581" s="88"/>
      <c r="W581" s="88"/>
      <c r="X581" s="88"/>
      <c r="Y581" s="88"/>
    </row>
    <row r="582">
      <c r="A582" s="88"/>
      <c r="B582" s="88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Q582" s="88"/>
      <c r="R582" s="88"/>
      <c r="S582" s="88"/>
      <c r="T582" s="88"/>
      <c r="U582" s="88"/>
      <c r="V582" s="88"/>
      <c r="W582" s="88"/>
      <c r="X582" s="88"/>
      <c r="Y582" s="88"/>
    </row>
    <row r="583">
      <c r="A583" s="88"/>
      <c r="B583" s="88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Q583" s="88"/>
      <c r="R583" s="88"/>
      <c r="S583" s="88"/>
      <c r="T583" s="88"/>
      <c r="U583" s="88"/>
      <c r="V583" s="88"/>
      <c r="W583" s="88"/>
      <c r="X583" s="88"/>
      <c r="Y583" s="88"/>
    </row>
    <row r="584">
      <c r="A584" s="88"/>
      <c r="B584" s="88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Q584" s="88"/>
      <c r="R584" s="88"/>
      <c r="S584" s="88"/>
      <c r="T584" s="88"/>
      <c r="U584" s="88"/>
      <c r="V584" s="88"/>
      <c r="W584" s="88"/>
      <c r="X584" s="88"/>
      <c r="Y584" s="88"/>
    </row>
    <row r="585">
      <c r="A585" s="88"/>
      <c r="B585" s="88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Q585" s="88"/>
      <c r="R585" s="88"/>
      <c r="S585" s="88"/>
      <c r="T585" s="88"/>
      <c r="U585" s="88"/>
      <c r="V585" s="88"/>
      <c r="W585" s="88"/>
      <c r="X585" s="88"/>
      <c r="Y585" s="88"/>
    </row>
    <row r="586">
      <c r="A586" s="88"/>
      <c r="B586" s="88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Q586" s="88"/>
      <c r="R586" s="88"/>
      <c r="S586" s="88"/>
      <c r="T586" s="88"/>
      <c r="U586" s="88"/>
      <c r="V586" s="88"/>
      <c r="W586" s="88"/>
      <c r="X586" s="88"/>
      <c r="Y586" s="88"/>
    </row>
    <row r="587">
      <c r="A587" s="88"/>
      <c r="B587" s="88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Q587" s="88"/>
      <c r="R587" s="88"/>
      <c r="S587" s="88"/>
      <c r="T587" s="88"/>
      <c r="U587" s="88"/>
      <c r="V587" s="88"/>
      <c r="W587" s="88"/>
      <c r="X587" s="88"/>
      <c r="Y587" s="88"/>
    </row>
    <row r="588">
      <c r="A588" s="88"/>
      <c r="B588" s="88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Q588" s="88"/>
      <c r="R588" s="88"/>
      <c r="S588" s="88"/>
      <c r="T588" s="88"/>
      <c r="U588" s="88"/>
      <c r="V588" s="88"/>
      <c r="W588" s="88"/>
      <c r="X588" s="88"/>
      <c r="Y588" s="88"/>
    </row>
    <row r="589">
      <c r="A589" s="88"/>
      <c r="B589" s="88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Q589" s="88"/>
      <c r="R589" s="88"/>
      <c r="S589" s="88"/>
      <c r="T589" s="88"/>
      <c r="U589" s="88"/>
      <c r="V589" s="88"/>
      <c r="W589" s="88"/>
      <c r="X589" s="88"/>
      <c r="Y589" s="88"/>
    </row>
    <row r="590">
      <c r="A590" s="88"/>
      <c r="B590" s="88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Q590" s="88"/>
      <c r="R590" s="88"/>
      <c r="S590" s="88"/>
      <c r="T590" s="88"/>
      <c r="U590" s="88"/>
      <c r="V590" s="88"/>
      <c r="W590" s="88"/>
      <c r="X590" s="88"/>
      <c r="Y590" s="88"/>
    </row>
    <row r="591">
      <c r="A591" s="88"/>
      <c r="B591" s="88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Q591" s="88"/>
      <c r="R591" s="88"/>
      <c r="S591" s="88"/>
      <c r="T591" s="88"/>
      <c r="U591" s="88"/>
      <c r="V591" s="88"/>
      <c r="W591" s="88"/>
      <c r="X591" s="88"/>
      <c r="Y591" s="88"/>
    </row>
    <row r="592">
      <c r="A592" s="88"/>
      <c r="B592" s="88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Q592" s="88"/>
      <c r="R592" s="88"/>
      <c r="S592" s="88"/>
      <c r="T592" s="88"/>
      <c r="U592" s="88"/>
      <c r="V592" s="88"/>
      <c r="W592" s="88"/>
      <c r="X592" s="88"/>
      <c r="Y592" s="88"/>
    </row>
    <row r="593">
      <c r="A593" s="88"/>
      <c r="B593" s="88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Q593" s="88"/>
      <c r="R593" s="88"/>
      <c r="S593" s="88"/>
      <c r="T593" s="88"/>
      <c r="U593" s="88"/>
      <c r="V593" s="88"/>
      <c r="W593" s="88"/>
      <c r="X593" s="88"/>
      <c r="Y593" s="88"/>
    </row>
    <row r="594">
      <c r="A594" s="88"/>
      <c r="B594" s="88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Q594" s="88"/>
      <c r="R594" s="88"/>
      <c r="S594" s="88"/>
      <c r="T594" s="88"/>
      <c r="U594" s="88"/>
      <c r="V594" s="88"/>
      <c r="W594" s="88"/>
      <c r="X594" s="88"/>
      <c r="Y594" s="88"/>
    </row>
    <row r="595">
      <c r="A595" s="88"/>
      <c r="B595" s="88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Q595" s="88"/>
      <c r="R595" s="88"/>
      <c r="S595" s="88"/>
      <c r="T595" s="88"/>
      <c r="U595" s="88"/>
      <c r="V595" s="88"/>
      <c r="W595" s="88"/>
      <c r="X595" s="88"/>
      <c r="Y595" s="88"/>
    </row>
    <row r="596">
      <c r="A596" s="88"/>
      <c r="B596" s="88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Q596" s="88"/>
      <c r="R596" s="88"/>
      <c r="S596" s="88"/>
      <c r="T596" s="88"/>
      <c r="U596" s="88"/>
      <c r="V596" s="88"/>
      <c r="W596" s="88"/>
      <c r="X596" s="88"/>
      <c r="Y596" s="88"/>
    </row>
    <row r="597">
      <c r="A597" s="88"/>
      <c r="B597" s="88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Q597" s="88"/>
      <c r="R597" s="88"/>
      <c r="S597" s="88"/>
      <c r="T597" s="88"/>
      <c r="U597" s="88"/>
      <c r="V597" s="88"/>
      <c r="W597" s="88"/>
      <c r="X597" s="88"/>
      <c r="Y597" s="88"/>
    </row>
    <row r="598">
      <c r="A598" s="88"/>
      <c r="B598" s="88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Q598" s="88"/>
      <c r="R598" s="88"/>
      <c r="S598" s="88"/>
      <c r="T598" s="88"/>
      <c r="U598" s="88"/>
      <c r="V598" s="88"/>
      <c r="W598" s="88"/>
      <c r="X598" s="88"/>
      <c r="Y598" s="88"/>
    </row>
    <row r="599">
      <c r="A599" s="88"/>
      <c r="B599" s="88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Q599" s="88"/>
      <c r="R599" s="88"/>
      <c r="S599" s="88"/>
      <c r="T599" s="88"/>
      <c r="U599" s="88"/>
      <c r="V599" s="88"/>
      <c r="W599" s="88"/>
      <c r="X599" s="88"/>
      <c r="Y599" s="88"/>
    </row>
    <row r="600">
      <c r="A600" s="88"/>
      <c r="B600" s="88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Q600" s="88"/>
      <c r="R600" s="88"/>
      <c r="S600" s="88"/>
      <c r="T600" s="88"/>
      <c r="U600" s="88"/>
      <c r="V600" s="88"/>
      <c r="W600" s="88"/>
      <c r="X600" s="88"/>
      <c r="Y600" s="88"/>
    </row>
    <row r="601">
      <c r="A601" s="88"/>
      <c r="B601" s="88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Q601" s="88"/>
      <c r="R601" s="88"/>
      <c r="S601" s="88"/>
      <c r="T601" s="88"/>
      <c r="U601" s="88"/>
      <c r="V601" s="88"/>
      <c r="W601" s="88"/>
      <c r="X601" s="88"/>
      <c r="Y601" s="88"/>
    </row>
    <row r="602">
      <c r="A602" s="88"/>
      <c r="B602" s="88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Q602" s="88"/>
      <c r="R602" s="88"/>
      <c r="S602" s="88"/>
      <c r="T602" s="88"/>
      <c r="U602" s="88"/>
      <c r="V602" s="88"/>
      <c r="W602" s="88"/>
      <c r="X602" s="88"/>
      <c r="Y602" s="88"/>
    </row>
    <row r="603">
      <c r="A603" s="88"/>
      <c r="B603" s="88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Q603" s="88"/>
      <c r="R603" s="88"/>
      <c r="S603" s="88"/>
      <c r="T603" s="88"/>
      <c r="U603" s="88"/>
      <c r="V603" s="88"/>
      <c r="W603" s="88"/>
      <c r="X603" s="88"/>
      <c r="Y603" s="88"/>
    </row>
    <row r="604">
      <c r="A604" s="88"/>
      <c r="B604" s="88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Q604" s="88"/>
      <c r="R604" s="88"/>
      <c r="S604" s="88"/>
      <c r="T604" s="88"/>
      <c r="U604" s="88"/>
      <c r="V604" s="88"/>
      <c r="W604" s="88"/>
      <c r="X604" s="88"/>
      <c r="Y604" s="88"/>
    </row>
    <row r="605">
      <c r="A605" s="88"/>
      <c r="B605" s="88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Q605" s="88"/>
      <c r="R605" s="88"/>
      <c r="S605" s="88"/>
      <c r="T605" s="88"/>
      <c r="U605" s="88"/>
      <c r="V605" s="88"/>
      <c r="W605" s="88"/>
      <c r="X605" s="88"/>
      <c r="Y605" s="88"/>
    </row>
    <row r="606">
      <c r="A606" s="88"/>
      <c r="B606" s="88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Q606" s="88"/>
      <c r="R606" s="88"/>
      <c r="S606" s="88"/>
      <c r="T606" s="88"/>
      <c r="U606" s="88"/>
      <c r="V606" s="88"/>
      <c r="W606" s="88"/>
      <c r="X606" s="88"/>
      <c r="Y606" s="88"/>
    </row>
    <row r="607">
      <c r="A607" s="88"/>
      <c r="B607" s="88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Q607" s="88"/>
      <c r="R607" s="88"/>
      <c r="S607" s="88"/>
      <c r="T607" s="88"/>
      <c r="U607" s="88"/>
      <c r="V607" s="88"/>
      <c r="W607" s="88"/>
      <c r="X607" s="88"/>
      <c r="Y607" s="88"/>
    </row>
    <row r="608">
      <c r="A608" s="88"/>
      <c r="B608" s="88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Q608" s="88"/>
      <c r="R608" s="88"/>
      <c r="S608" s="88"/>
      <c r="T608" s="88"/>
      <c r="U608" s="88"/>
      <c r="V608" s="88"/>
      <c r="W608" s="88"/>
      <c r="X608" s="88"/>
      <c r="Y608" s="88"/>
    </row>
    <row r="609">
      <c r="A609" s="88"/>
      <c r="B609" s="88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Q609" s="88"/>
      <c r="R609" s="88"/>
      <c r="S609" s="88"/>
      <c r="T609" s="88"/>
      <c r="U609" s="88"/>
      <c r="V609" s="88"/>
      <c r="W609" s="88"/>
      <c r="X609" s="88"/>
      <c r="Y609" s="88"/>
    </row>
    <row r="610">
      <c r="A610" s="88"/>
      <c r="B610" s="88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Q610" s="88"/>
      <c r="R610" s="88"/>
      <c r="S610" s="88"/>
      <c r="T610" s="88"/>
      <c r="U610" s="88"/>
      <c r="V610" s="88"/>
      <c r="W610" s="88"/>
      <c r="X610" s="88"/>
      <c r="Y610" s="88"/>
    </row>
    <row r="611">
      <c r="A611" s="88"/>
      <c r="B611" s="88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Q611" s="88"/>
      <c r="R611" s="88"/>
      <c r="S611" s="88"/>
      <c r="T611" s="88"/>
      <c r="U611" s="88"/>
      <c r="V611" s="88"/>
      <c r="W611" s="88"/>
      <c r="X611" s="88"/>
      <c r="Y611" s="88"/>
    </row>
    <row r="612">
      <c r="A612" s="88"/>
      <c r="B612" s="88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Q612" s="88"/>
      <c r="R612" s="88"/>
      <c r="S612" s="88"/>
      <c r="T612" s="88"/>
      <c r="U612" s="88"/>
      <c r="V612" s="88"/>
      <c r="W612" s="88"/>
      <c r="X612" s="88"/>
      <c r="Y612" s="88"/>
    </row>
    <row r="613">
      <c r="A613" s="88"/>
      <c r="B613" s="88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Q613" s="88"/>
      <c r="R613" s="88"/>
      <c r="S613" s="88"/>
      <c r="T613" s="88"/>
      <c r="U613" s="88"/>
      <c r="V613" s="88"/>
      <c r="W613" s="88"/>
      <c r="X613" s="88"/>
      <c r="Y613" s="88"/>
    </row>
    <row r="614">
      <c r="A614" s="88"/>
      <c r="B614" s="88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Q614" s="88"/>
      <c r="R614" s="88"/>
      <c r="S614" s="88"/>
      <c r="T614" s="88"/>
      <c r="U614" s="88"/>
      <c r="V614" s="88"/>
      <c r="W614" s="88"/>
      <c r="X614" s="88"/>
      <c r="Y614" s="88"/>
    </row>
    <row r="615">
      <c r="A615" s="88"/>
      <c r="B615" s="88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Q615" s="88"/>
      <c r="R615" s="88"/>
      <c r="S615" s="88"/>
      <c r="T615" s="88"/>
      <c r="U615" s="88"/>
      <c r="V615" s="88"/>
      <c r="W615" s="88"/>
      <c r="X615" s="88"/>
      <c r="Y615" s="88"/>
    </row>
    <row r="616">
      <c r="A616" s="88"/>
      <c r="B616" s="88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Q616" s="88"/>
      <c r="R616" s="88"/>
      <c r="S616" s="88"/>
      <c r="T616" s="88"/>
      <c r="U616" s="88"/>
      <c r="V616" s="88"/>
      <c r="W616" s="88"/>
      <c r="X616" s="88"/>
      <c r="Y616" s="88"/>
    </row>
    <row r="617">
      <c r="A617" s="88"/>
      <c r="B617" s="88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Q617" s="88"/>
      <c r="R617" s="88"/>
      <c r="S617" s="88"/>
      <c r="T617" s="88"/>
      <c r="U617" s="88"/>
      <c r="V617" s="88"/>
      <c r="W617" s="88"/>
      <c r="X617" s="88"/>
      <c r="Y617" s="88"/>
    </row>
    <row r="618">
      <c r="A618" s="88"/>
      <c r="B618" s="88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Q618" s="88"/>
      <c r="R618" s="88"/>
      <c r="S618" s="88"/>
      <c r="T618" s="88"/>
      <c r="U618" s="88"/>
      <c r="V618" s="88"/>
      <c r="W618" s="88"/>
      <c r="X618" s="88"/>
      <c r="Y618" s="88"/>
    </row>
    <row r="619">
      <c r="A619" s="88"/>
      <c r="B619" s="88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Q619" s="88"/>
      <c r="R619" s="88"/>
      <c r="S619" s="88"/>
      <c r="T619" s="88"/>
      <c r="U619" s="88"/>
      <c r="V619" s="88"/>
      <c r="W619" s="88"/>
      <c r="X619" s="88"/>
      <c r="Y619" s="88"/>
    </row>
    <row r="620">
      <c r="A620" s="88"/>
      <c r="B620" s="88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Q620" s="88"/>
      <c r="R620" s="88"/>
      <c r="S620" s="88"/>
      <c r="T620" s="88"/>
      <c r="U620" s="88"/>
      <c r="V620" s="88"/>
      <c r="W620" s="88"/>
      <c r="X620" s="88"/>
      <c r="Y620" s="88"/>
    </row>
    <row r="621">
      <c r="A621" s="88"/>
      <c r="B621" s="88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Q621" s="88"/>
      <c r="R621" s="88"/>
      <c r="S621" s="88"/>
      <c r="T621" s="88"/>
      <c r="U621" s="88"/>
      <c r="V621" s="88"/>
      <c r="W621" s="88"/>
      <c r="X621" s="88"/>
      <c r="Y621" s="88"/>
    </row>
    <row r="622">
      <c r="A622" s="88"/>
      <c r="B622" s="88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Q622" s="88"/>
      <c r="R622" s="88"/>
      <c r="S622" s="88"/>
      <c r="T622" s="88"/>
      <c r="U622" s="88"/>
      <c r="V622" s="88"/>
      <c r="W622" s="88"/>
      <c r="X622" s="88"/>
      <c r="Y622" s="88"/>
    </row>
    <row r="623">
      <c r="A623" s="88"/>
      <c r="B623" s="88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Q623" s="88"/>
      <c r="R623" s="88"/>
      <c r="S623" s="88"/>
      <c r="T623" s="88"/>
      <c r="U623" s="88"/>
      <c r="V623" s="88"/>
      <c r="W623" s="88"/>
      <c r="X623" s="88"/>
      <c r="Y623" s="88"/>
    </row>
    <row r="624">
      <c r="A624" s="88"/>
      <c r="B624" s="88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Q624" s="88"/>
      <c r="R624" s="88"/>
      <c r="S624" s="88"/>
      <c r="T624" s="88"/>
      <c r="U624" s="88"/>
      <c r="V624" s="88"/>
      <c r="W624" s="88"/>
      <c r="X624" s="88"/>
      <c r="Y624" s="88"/>
    </row>
    <row r="625">
      <c r="A625" s="88"/>
      <c r="B625" s="88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Q625" s="88"/>
      <c r="R625" s="88"/>
      <c r="S625" s="88"/>
      <c r="T625" s="88"/>
      <c r="U625" s="88"/>
      <c r="V625" s="88"/>
      <c r="W625" s="88"/>
      <c r="X625" s="88"/>
      <c r="Y625" s="88"/>
    </row>
    <row r="626">
      <c r="A626" s="88"/>
      <c r="B626" s="88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Q626" s="88"/>
      <c r="R626" s="88"/>
      <c r="S626" s="88"/>
      <c r="T626" s="88"/>
      <c r="U626" s="88"/>
      <c r="V626" s="88"/>
      <c r="W626" s="88"/>
      <c r="X626" s="88"/>
      <c r="Y626" s="88"/>
    </row>
    <row r="627">
      <c r="A627" s="88"/>
      <c r="B627" s="88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Q627" s="88"/>
      <c r="R627" s="88"/>
      <c r="S627" s="88"/>
      <c r="T627" s="88"/>
      <c r="U627" s="88"/>
      <c r="V627" s="88"/>
      <c r="W627" s="88"/>
      <c r="X627" s="88"/>
      <c r="Y627" s="88"/>
    </row>
    <row r="628">
      <c r="A628" s="88"/>
      <c r="B628" s="88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Q628" s="88"/>
      <c r="R628" s="88"/>
      <c r="S628" s="88"/>
      <c r="T628" s="88"/>
      <c r="U628" s="88"/>
      <c r="V628" s="88"/>
      <c r="W628" s="88"/>
      <c r="X628" s="88"/>
      <c r="Y628" s="88"/>
    </row>
    <row r="629">
      <c r="A629" s="88"/>
      <c r="B629" s="88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Q629" s="88"/>
      <c r="R629" s="88"/>
      <c r="S629" s="88"/>
      <c r="T629" s="88"/>
      <c r="U629" s="88"/>
      <c r="V629" s="88"/>
      <c r="W629" s="88"/>
      <c r="X629" s="88"/>
      <c r="Y629" s="88"/>
    </row>
    <row r="630">
      <c r="A630" s="88"/>
      <c r="B630" s="88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Q630" s="88"/>
      <c r="R630" s="88"/>
      <c r="S630" s="88"/>
      <c r="T630" s="88"/>
      <c r="U630" s="88"/>
      <c r="V630" s="88"/>
      <c r="W630" s="88"/>
      <c r="X630" s="88"/>
      <c r="Y630" s="88"/>
    </row>
    <row r="631">
      <c r="A631" s="88"/>
      <c r="B631" s="88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Q631" s="88"/>
      <c r="R631" s="88"/>
      <c r="S631" s="88"/>
      <c r="T631" s="88"/>
      <c r="U631" s="88"/>
      <c r="V631" s="88"/>
      <c r="W631" s="88"/>
      <c r="X631" s="88"/>
      <c r="Y631" s="88"/>
    </row>
    <row r="632">
      <c r="A632" s="88"/>
      <c r="B632" s="88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Q632" s="88"/>
      <c r="R632" s="88"/>
      <c r="S632" s="88"/>
      <c r="T632" s="88"/>
      <c r="U632" s="88"/>
      <c r="V632" s="88"/>
      <c r="W632" s="88"/>
      <c r="X632" s="88"/>
      <c r="Y632" s="88"/>
    </row>
    <row r="633">
      <c r="A633" s="88"/>
      <c r="B633" s="88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Q633" s="88"/>
      <c r="R633" s="88"/>
      <c r="S633" s="88"/>
      <c r="T633" s="88"/>
      <c r="U633" s="88"/>
      <c r="V633" s="88"/>
      <c r="W633" s="88"/>
      <c r="X633" s="88"/>
      <c r="Y633" s="88"/>
    </row>
    <row r="634">
      <c r="A634" s="88"/>
      <c r="B634" s="88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Q634" s="88"/>
      <c r="R634" s="88"/>
      <c r="S634" s="88"/>
      <c r="T634" s="88"/>
      <c r="U634" s="88"/>
      <c r="V634" s="88"/>
      <c r="W634" s="88"/>
      <c r="X634" s="88"/>
      <c r="Y634" s="88"/>
    </row>
    <row r="635">
      <c r="A635" s="88"/>
      <c r="B635" s="88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Q635" s="88"/>
      <c r="R635" s="88"/>
      <c r="S635" s="88"/>
      <c r="T635" s="88"/>
      <c r="U635" s="88"/>
      <c r="V635" s="88"/>
      <c r="W635" s="88"/>
      <c r="X635" s="88"/>
      <c r="Y635" s="88"/>
    </row>
    <row r="636">
      <c r="A636" s="88"/>
      <c r="B636" s="88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Q636" s="88"/>
      <c r="R636" s="88"/>
      <c r="S636" s="88"/>
      <c r="T636" s="88"/>
      <c r="U636" s="88"/>
      <c r="V636" s="88"/>
      <c r="W636" s="88"/>
      <c r="X636" s="88"/>
      <c r="Y636" s="88"/>
    </row>
    <row r="637">
      <c r="A637" s="88"/>
      <c r="B637" s="88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Q637" s="88"/>
      <c r="R637" s="88"/>
      <c r="S637" s="88"/>
      <c r="T637" s="88"/>
      <c r="U637" s="88"/>
      <c r="V637" s="88"/>
      <c r="W637" s="88"/>
      <c r="X637" s="88"/>
      <c r="Y637" s="88"/>
    </row>
    <row r="638">
      <c r="A638" s="88"/>
      <c r="B638" s="88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Q638" s="88"/>
      <c r="R638" s="88"/>
      <c r="S638" s="88"/>
      <c r="T638" s="88"/>
      <c r="U638" s="88"/>
      <c r="V638" s="88"/>
      <c r="W638" s="88"/>
      <c r="X638" s="88"/>
      <c r="Y638" s="88"/>
    </row>
    <row r="639">
      <c r="A639" s="88"/>
      <c r="B639" s="88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Q639" s="88"/>
      <c r="R639" s="88"/>
      <c r="S639" s="88"/>
      <c r="T639" s="88"/>
      <c r="U639" s="88"/>
      <c r="V639" s="88"/>
      <c r="W639" s="88"/>
      <c r="X639" s="88"/>
      <c r="Y639" s="88"/>
    </row>
    <row r="640">
      <c r="A640" s="88"/>
      <c r="B640" s="88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Q640" s="88"/>
      <c r="R640" s="88"/>
      <c r="S640" s="88"/>
      <c r="T640" s="88"/>
      <c r="U640" s="88"/>
      <c r="V640" s="88"/>
      <c r="W640" s="88"/>
      <c r="X640" s="88"/>
      <c r="Y640" s="88"/>
    </row>
    <row r="641">
      <c r="A641" s="88"/>
      <c r="B641" s="88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Q641" s="88"/>
      <c r="R641" s="88"/>
      <c r="S641" s="88"/>
      <c r="T641" s="88"/>
      <c r="U641" s="88"/>
      <c r="V641" s="88"/>
      <c r="W641" s="88"/>
      <c r="X641" s="88"/>
      <c r="Y641" s="88"/>
    </row>
    <row r="642">
      <c r="A642" s="88"/>
      <c r="B642" s="88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Q642" s="88"/>
      <c r="R642" s="88"/>
      <c r="S642" s="88"/>
      <c r="T642" s="88"/>
      <c r="U642" s="88"/>
      <c r="V642" s="88"/>
      <c r="W642" s="88"/>
      <c r="X642" s="88"/>
      <c r="Y642" s="88"/>
    </row>
    <row r="643">
      <c r="A643" s="88"/>
      <c r="B643" s="88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Q643" s="88"/>
      <c r="R643" s="88"/>
      <c r="S643" s="88"/>
      <c r="T643" s="88"/>
      <c r="U643" s="88"/>
      <c r="V643" s="88"/>
      <c r="W643" s="88"/>
      <c r="X643" s="88"/>
      <c r="Y643" s="88"/>
    </row>
    <row r="644">
      <c r="A644" s="88"/>
      <c r="B644" s="88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Q644" s="88"/>
      <c r="R644" s="88"/>
      <c r="S644" s="88"/>
      <c r="T644" s="88"/>
      <c r="U644" s="88"/>
      <c r="V644" s="88"/>
      <c r="W644" s="88"/>
      <c r="X644" s="88"/>
      <c r="Y644" s="88"/>
    </row>
    <row r="645">
      <c r="A645" s="88"/>
      <c r="B645" s="88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Q645" s="88"/>
      <c r="R645" s="88"/>
      <c r="S645" s="88"/>
      <c r="T645" s="88"/>
      <c r="U645" s="88"/>
      <c r="V645" s="88"/>
      <c r="W645" s="88"/>
      <c r="X645" s="88"/>
      <c r="Y645" s="88"/>
    </row>
    <row r="646">
      <c r="A646" s="88"/>
      <c r="B646" s="88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Q646" s="88"/>
      <c r="R646" s="88"/>
      <c r="S646" s="88"/>
      <c r="T646" s="88"/>
      <c r="U646" s="88"/>
      <c r="V646" s="88"/>
      <c r="W646" s="88"/>
      <c r="X646" s="88"/>
      <c r="Y646" s="88"/>
    </row>
    <row r="647">
      <c r="A647" s="88"/>
      <c r="B647" s="88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Q647" s="88"/>
      <c r="R647" s="88"/>
      <c r="S647" s="88"/>
      <c r="T647" s="88"/>
      <c r="U647" s="88"/>
      <c r="V647" s="88"/>
      <c r="W647" s="88"/>
      <c r="X647" s="88"/>
      <c r="Y647" s="88"/>
    </row>
    <row r="648">
      <c r="A648" s="88"/>
      <c r="B648" s="88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Q648" s="88"/>
      <c r="R648" s="88"/>
      <c r="S648" s="88"/>
      <c r="T648" s="88"/>
      <c r="U648" s="88"/>
      <c r="V648" s="88"/>
      <c r="W648" s="88"/>
      <c r="X648" s="88"/>
      <c r="Y648" s="88"/>
    </row>
    <row r="649">
      <c r="A649" s="88"/>
      <c r="B649" s="88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Q649" s="88"/>
      <c r="R649" s="88"/>
      <c r="S649" s="88"/>
      <c r="T649" s="88"/>
      <c r="U649" s="88"/>
      <c r="V649" s="88"/>
      <c r="W649" s="88"/>
      <c r="X649" s="88"/>
      <c r="Y649" s="88"/>
    </row>
    <row r="650">
      <c r="A650" s="88"/>
      <c r="B650" s="88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Q650" s="88"/>
      <c r="R650" s="88"/>
      <c r="S650" s="88"/>
      <c r="T650" s="88"/>
      <c r="U650" s="88"/>
      <c r="V650" s="88"/>
      <c r="W650" s="88"/>
      <c r="X650" s="88"/>
      <c r="Y650" s="88"/>
    </row>
    <row r="651">
      <c r="A651" s="88"/>
      <c r="B651" s="88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Q651" s="88"/>
      <c r="R651" s="88"/>
      <c r="S651" s="88"/>
      <c r="T651" s="88"/>
      <c r="U651" s="88"/>
      <c r="V651" s="88"/>
      <c r="W651" s="88"/>
      <c r="X651" s="88"/>
      <c r="Y651" s="88"/>
    </row>
    <row r="652">
      <c r="A652" s="88"/>
      <c r="B652" s="88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Q652" s="88"/>
      <c r="R652" s="88"/>
      <c r="S652" s="88"/>
      <c r="T652" s="88"/>
      <c r="U652" s="88"/>
      <c r="V652" s="88"/>
      <c r="W652" s="88"/>
      <c r="X652" s="88"/>
      <c r="Y652" s="88"/>
    </row>
    <row r="653">
      <c r="A653" s="88"/>
      <c r="B653" s="88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Q653" s="88"/>
      <c r="R653" s="88"/>
      <c r="S653" s="88"/>
      <c r="T653" s="88"/>
      <c r="U653" s="88"/>
      <c r="V653" s="88"/>
      <c r="W653" s="88"/>
      <c r="X653" s="88"/>
      <c r="Y653" s="88"/>
    </row>
    <row r="654">
      <c r="A654" s="88"/>
      <c r="B654" s="88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Q654" s="88"/>
      <c r="R654" s="88"/>
      <c r="S654" s="88"/>
      <c r="T654" s="88"/>
      <c r="U654" s="88"/>
      <c r="V654" s="88"/>
      <c r="W654" s="88"/>
      <c r="X654" s="88"/>
      <c r="Y654" s="88"/>
    </row>
    <row r="655">
      <c r="A655" s="88"/>
      <c r="B655" s="88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Q655" s="88"/>
      <c r="R655" s="88"/>
      <c r="S655" s="88"/>
      <c r="T655" s="88"/>
      <c r="U655" s="88"/>
      <c r="V655" s="88"/>
      <c r="W655" s="88"/>
      <c r="X655" s="88"/>
      <c r="Y655" s="88"/>
    </row>
    <row r="656">
      <c r="A656" s="88"/>
      <c r="B656" s="88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Q656" s="88"/>
      <c r="R656" s="88"/>
      <c r="S656" s="88"/>
      <c r="T656" s="88"/>
      <c r="U656" s="88"/>
      <c r="V656" s="88"/>
      <c r="W656" s="88"/>
      <c r="X656" s="88"/>
      <c r="Y656" s="88"/>
    </row>
    <row r="657">
      <c r="A657" s="88"/>
      <c r="B657" s="88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Q657" s="88"/>
      <c r="R657" s="88"/>
      <c r="S657" s="88"/>
      <c r="T657" s="88"/>
      <c r="U657" s="88"/>
      <c r="V657" s="88"/>
      <c r="W657" s="88"/>
      <c r="X657" s="88"/>
      <c r="Y657" s="88"/>
    </row>
    <row r="658">
      <c r="A658" s="88"/>
      <c r="B658" s="88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Q658" s="88"/>
      <c r="R658" s="88"/>
      <c r="S658" s="88"/>
      <c r="T658" s="88"/>
      <c r="U658" s="88"/>
      <c r="V658" s="88"/>
      <c r="W658" s="88"/>
      <c r="X658" s="88"/>
      <c r="Y658" s="88"/>
    </row>
    <row r="659">
      <c r="A659" s="88"/>
      <c r="B659" s="88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Q659" s="88"/>
      <c r="R659" s="88"/>
      <c r="S659" s="88"/>
      <c r="T659" s="88"/>
      <c r="U659" s="88"/>
      <c r="V659" s="88"/>
      <c r="W659" s="88"/>
      <c r="X659" s="88"/>
      <c r="Y659" s="88"/>
    </row>
    <row r="660">
      <c r="A660" s="88"/>
      <c r="B660" s="88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Q660" s="88"/>
      <c r="R660" s="88"/>
      <c r="S660" s="88"/>
      <c r="T660" s="88"/>
      <c r="U660" s="88"/>
      <c r="V660" s="88"/>
      <c r="W660" s="88"/>
      <c r="X660" s="88"/>
      <c r="Y660" s="88"/>
    </row>
    <row r="661">
      <c r="A661" s="88"/>
      <c r="B661" s="88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Q661" s="88"/>
      <c r="R661" s="88"/>
      <c r="S661" s="88"/>
      <c r="T661" s="88"/>
      <c r="U661" s="88"/>
      <c r="V661" s="88"/>
      <c r="W661" s="88"/>
      <c r="X661" s="88"/>
      <c r="Y661" s="88"/>
    </row>
    <row r="662">
      <c r="A662" s="88"/>
      <c r="B662" s="88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Q662" s="88"/>
      <c r="R662" s="88"/>
      <c r="S662" s="88"/>
      <c r="T662" s="88"/>
      <c r="U662" s="88"/>
      <c r="V662" s="88"/>
      <c r="W662" s="88"/>
      <c r="X662" s="88"/>
      <c r="Y662" s="88"/>
    </row>
    <row r="663">
      <c r="A663" s="88"/>
      <c r="B663" s="88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Q663" s="88"/>
      <c r="R663" s="88"/>
      <c r="S663" s="88"/>
      <c r="T663" s="88"/>
      <c r="U663" s="88"/>
      <c r="V663" s="88"/>
      <c r="W663" s="88"/>
      <c r="X663" s="88"/>
      <c r="Y663" s="88"/>
    </row>
    <row r="664">
      <c r="A664" s="88"/>
      <c r="B664" s="88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Q664" s="88"/>
      <c r="R664" s="88"/>
      <c r="S664" s="88"/>
      <c r="T664" s="88"/>
      <c r="U664" s="88"/>
      <c r="V664" s="88"/>
      <c r="W664" s="88"/>
      <c r="X664" s="88"/>
      <c r="Y664" s="88"/>
    </row>
    <row r="665">
      <c r="A665" s="88"/>
      <c r="B665" s="88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Q665" s="88"/>
      <c r="R665" s="88"/>
      <c r="S665" s="88"/>
      <c r="T665" s="88"/>
      <c r="U665" s="88"/>
      <c r="V665" s="88"/>
      <c r="W665" s="88"/>
      <c r="X665" s="88"/>
      <c r="Y665" s="88"/>
    </row>
    <row r="666">
      <c r="A666" s="88"/>
      <c r="B666" s="88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Q666" s="88"/>
      <c r="R666" s="88"/>
      <c r="S666" s="88"/>
      <c r="T666" s="88"/>
      <c r="U666" s="88"/>
      <c r="V666" s="88"/>
      <c r="W666" s="88"/>
      <c r="X666" s="88"/>
      <c r="Y666" s="88"/>
    </row>
    <row r="667">
      <c r="A667" s="88"/>
      <c r="B667" s="88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Q667" s="88"/>
      <c r="R667" s="88"/>
      <c r="S667" s="88"/>
      <c r="T667" s="88"/>
      <c r="U667" s="88"/>
      <c r="V667" s="88"/>
      <c r="W667" s="88"/>
      <c r="X667" s="88"/>
      <c r="Y667" s="88"/>
    </row>
    <row r="668">
      <c r="A668" s="88"/>
      <c r="B668" s="88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Q668" s="88"/>
      <c r="R668" s="88"/>
      <c r="S668" s="88"/>
      <c r="T668" s="88"/>
      <c r="U668" s="88"/>
      <c r="V668" s="88"/>
      <c r="W668" s="88"/>
      <c r="X668" s="88"/>
      <c r="Y668" s="88"/>
    </row>
    <row r="669">
      <c r="A669" s="88"/>
      <c r="B669" s="88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Q669" s="88"/>
      <c r="R669" s="88"/>
      <c r="S669" s="88"/>
      <c r="T669" s="88"/>
      <c r="U669" s="88"/>
      <c r="V669" s="88"/>
      <c r="W669" s="88"/>
      <c r="X669" s="88"/>
      <c r="Y669" s="88"/>
    </row>
    <row r="670">
      <c r="A670" s="88"/>
      <c r="B670" s="88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Q670" s="88"/>
      <c r="R670" s="88"/>
      <c r="S670" s="88"/>
      <c r="T670" s="88"/>
      <c r="U670" s="88"/>
      <c r="V670" s="88"/>
      <c r="W670" s="88"/>
      <c r="X670" s="88"/>
      <c r="Y670" s="88"/>
    </row>
    <row r="671">
      <c r="A671" s="88"/>
      <c r="B671" s="88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Q671" s="88"/>
      <c r="R671" s="88"/>
      <c r="S671" s="88"/>
      <c r="T671" s="88"/>
      <c r="U671" s="88"/>
      <c r="V671" s="88"/>
      <c r="W671" s="88"/>
      <c r="X671" s="88"/>
      <c r="Y671" s="88"/>
    </row>
    <row r="672">
      <c r="A672" s="88"/>
      <c r="B672" s="88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Q672" s="88"/>
      <c r="R672" s="88"/>
      <c r="S672" s="88"/>
      <c r="T672" s="88"/>
      <c r="U672" s="88"/>
      <c r="V672" s="88"/>
      <c r="W672" s="88"/>
      <c r="X672" s="88"/>
      <c r="Y672" s="88"/>
    </row>
    <row r="673">
      <c r="A673" s="88"/>
      <c r="B673" s="88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Q673" s="88"/>
      <c r="R673" s="88"/>
      <c r="S673" s="88"/>
      <c r="T673" s="88"/>
      <c r="U673" s="88"/>
      <c r="V673" s="88"/>
      <c r="W673" s="88"/>
      <c r="X673" s="88"/>
      <c r="Y673" s="88"/>
    </row>
    <row r="674">
      <c r="A674" s="88"/>
      <c r="B674" s="88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Q674" s="88"/>
      <c r="R674" s="88"/>
      <c r="S674" s="88"/>
      <c r="T674" s="88"/>
      <c r="U674" s="88"/>
      <c r="V674" s="88"/>
      <c r="W674" s="88"/>
      <c r="X674" s="88"/>
      <c r="Y674" s="88"/>
    </row>
    <row r="675">
      <c r="A675" s="88"/>
      <c r="B675" s="88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Q675" s="88"/>
      <c r="R675" s="88"/>
      <c r="S675" s="88"/>
      <c r="T675" s="88"/>
      <c r="U675" s="88"/>
      <c r="V675" s="88"/>
      <c r="W675" s="88"/>
      <c r="X675" s="88"/>
      <c r="Y675" s="88"/>
    </row>
    <row r="676">
      <c r="A676" s="88"/>
      <c r="B676" s="88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Q676" s="88"/>
      <c r="R676" s="88"/>
      <c r="S676" s="88"/>
      <c r="T676" s="88"/>
      <c r="U676" s="88"/>
      <c r="V676" s="88"/>
      <c r="W676" s="88"/>
      <c r="X676" s="88"/>
      <c r="Y676" s="88"/>
    </row>
    <row r="677">
      <c r="A677" s="88"/>
      <c r="B677" s="88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Q677" s="88"/>
      <c r="R677" s="88"/>
      <c r="S677" s="88"/>
      <c r="T677" s="88"/>
      <c r="U677" s="88"/>
      <c r="V677" s="88"/>
      <c r="W677" s="88"/>
      <c r="X677" s="88"/>
      <c r="Y677" s="88"/>
    </row>
    <row r="678">
      <c r="A678" s="88"/>
      <c r="B678" s="88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Q678" s="88"/>
      <c r="R678" s="88"/>
      <c r="S678" s="88"/>
      <c r="T678" s="88"/>
      <c r="U678" s="88"/>
      <c r="V678" s="88"/>
      <c r="W678" s="88"/>
      <c r="X678" s="88"/>
      <c r="Y678" s="88"/>
    </row>
    <row r="679">
      <c r="A679" s="88"/>
      <c r="B679" s="88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Q679" s="88"/>
      <c r="R679" s="88"/>
      <c r="S679" s="88"/>
      <c r="T679" s="88"/>
      <c r="U679" s="88"/>
      <c r="V679" s="88"/>
      <c r="W679" s="88"/>
      <c r="X679" s="88"/>
      <c r="Y679" s="88"/>
    </row>
    <row r="680">
      <c r="A680" s="88"/>
      <c r="B680" s="88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Q680" s="88"/>
      <c r="R680" s="88"/>
      <c r="S680" s="88"/>
      <c r="T680" s="88"/>
      <c r="U680" s="88"/>
      <c r="V680" s="88"/>
      <c r="W680" s="88"/>
      <c r="X680" s="88"/>
      <c r="Y680" s="88"/>
    </row>
    <row r="681">
      <c r="A681" s="88"/>
      <c r="B681" s="88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Q681" s="88"/>
      <c r="R681" s="88"/>
      <c r="S681" s="88"/>
      <c r="T681" s="88"/>
      <c r="U681" s="88"/>
      <c r="V681" s="88"/>
      <c r="W681" s="88"/>
      <c r="X681" s="88"/>
      <c r="Y681" s="88"/>
    </row>
    <row r="682">
      <c r="A682" s="88"/>
      <c r="B682" s="88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Q682" s="88"/>
      <c r="R682" s="88"/>
      <c r="S682" s="88"/>
      <c r="T682" s="88"/>
      <c r="U682" s="88"/>
      <c r="V682" s="88"/>
      <c r="W682" s="88"/>
      <c r="X682" s="88"/>
      <c r="Y682" s="88"/>
    </row>
    <row r="683">
      <c r="A683" s="88"/>
      <c r="B683" s="88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Q683" s="88"/>
      <c r="R683" s="88"/>
      <c r="S683" s="88"/>
      <c r="T683" s="88"/>
      <c r="U683" s="88"/>
      <c r="V683" s="88"/>
      <c r="W683" s="88"/>
      <c r="X683" s="88"/>
      <c r="Y683" s="88"/>
    </row>
    <row r="684">
      <c r="A684" s="88"/>
      <c r="B684" s="88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Q684" s="88"/>
      <c r="R684" s="88"/>
      <c r="S684" s="88"/>
      <c r="T684" s="88"/>
      <c r="U684" s="88"/>
      <c r="V684" s="88"/>
      <c r="W684" s="88"/>
      <c r="X684" s="88"/>
      <c r="Y684" s="88"/>
    </row>
    <row r="685">
      <c r="A685" s="88"/>
      <c r="B685" s="88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Q685" s="88"/>
      <c r="R685" s="88"/>
      <c r="S685" s="88"/>
      <c r="T685" s="88"/>
      <c r="U685" s="88"/>
      <c r="V685" s="88"/>
      <c r="W685" s="88"/>
      <c r="X685" s="88"/>
      <c r="Y685" s="88"/>
    </row>
    <row r="686">
      <c r="A686" s="88"/>
      <c r="B686" s="88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Q686" s="88"/>
      <c r="R686" s="88"/>
      <c r="S686" s="88"/>
      <c r="T686" s="88"/>
      <c r="U686" s="88"/>
      <c r="V686" s="88"/>
      <c r="W686" s="88"/>
      <c r="X686" s="88"/>
      <c r="Y686" s="88"/>
    </row>
    <row r="687">
      <c r="A687" s="88"/>
      <c r="B687" s="88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Q687" s="88"/>
      <c r="R687" s="88"/>
      <c r="S687" s="88"/>
      <c r="T687" s="88"/>
      <c r="U687" s="88"/>
      <c r="V687" s="88"/>
      <c r="W687" s="88"/>
      <c r="X687" s="88"/>
      <c r="Y687" s="88"/>
    </row>
    <row r="688">
      <c r="A688" s="88"/>
      <c r="B688" s="88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Q688" s="88"/>
      <c r="R688" s="88"/>
      <c r="S688" s="88"/>
      <c r="T688" s="88"/>
      <c r="U688" s="88"/>
      <c r="V688" s="88"/>
      <c r="W688" s="88"/>
      <c r="X688" s="88"/>
      <c r="Y688" s="88"/>
    </row>
    <row r="689">
      <c r="A689" s="88"/>
      <c r="B689" s="88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Q689" s="88"/>
      <c r="R689" s="88"/>
      <c r="S689" s="88"/>
      <c r="T689" s="88"/>
      <c r="U689" s="88"/>
      <c r="V689" s="88"/>
      <c r="W689" s="88"/>
      <c r="X689" s="88"/>
      <c r="Y689" s="88"/>
    </row>
    <row r="690">
      <c r="A690" s="88"/>
      <c r="B690" s="88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Q690" s="88"/>
      <c r="R690" s="88"/>
      <c r="S690" s="88"/>
      <c r="T690" s="88"/>
      <c r="U690" s="88"/>
      <c r="V690" s="88"/>
      <c r="W690" s="88"/>
      <c r="X690" s="88"/>
      <c r="Y690" s="88"/>
    </row>
    <row r="691">
      <c r="A691" s="88"/>
      <c r="B691" s="88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Q691" s="88"/>
      <c r="R691" s="88"/>
      <c r="S691" s="88"/>
      <c r="T691" s="88"/>
      <c r="U691" s="88"/>
      <c r="V691" s="88"/>
      <c r="W691" s="88"/>
      <c r="X691" s="88"/>
      <c r="Y691" s="88"/>
    </row>
    <row r="692">
      <c r="A692" s="88"/>
      <c r="B692" s="88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Q692" s="88"/>
      <c r="R692" s="88"/>
      <c r="S692" s="88"/>
      <c r="T692" s="88"/>
      <c r="U692" s="88"/>
      <c r="V692" s="88"/>
      <c r="W692" s="88"/>
      <c r="X692" s="88"/>
      <c r="Y692" s="88"/>
    </row>
    <row r="693">
      <c r="A693" s="88"/>
      <c r="B693" s="88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Q693" s="88"/>
      <c r="R693" s="88"/>
      <c r="S693" s="88"/>
      <c r="T693" s="88"/>
      <c r="U693" s="88"/>
      <c r="V693" s="88"/>
      <c r="W693" s="88"/>
      <c r="X693" s="88"/>
      <c r="Y693" s="88"/>
    </row>
    <row r="694">
      <c r="A694" s="88"/>
      <c r="B694" s="88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Q694" s="88"/>
      <c r="R694" s="88"/>
      <c r="S694" s="88"/>
      <c r="T694" s="88"/>
      <c r="U694" s="88"/>
      <c r="V694" s="88"/>
      <c r="W694" s="88"/>
      <c r="X694" s="88"/>
      <c r="Y694" s="88"/>
    </row>
    <row r="695">
      <c r="A695" s="88"/>
      <c r="B695" s="88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Q695" s="88"/>
      <c r="R695" s="88"/>
      <c r="S695" s="88"/>
      <c r="T695" s="88"/>
      <c r="U695" s="88"/>
      <c r="V695" s="88"/>
      <c r="W695" s="88"/>
      <c r="X695" s="88"/>
      <c r="Y695" s="88"/>
    </row>
    <row r="696">
      <c r="A696" s="88"/>
      <c r="B696" s="88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Q696" s="88"/>
      <c r="R696" s="88"/>
      <c r="S696" s="88"/>
      <c r="T696" s="88"/>
      <c r="U696" s="88"/>
      <c r="V696" s="88"/>
      <c r="W696" s="88"/>
      <c r="X696" s="88"/>
      <c r="Y696" s="88"/>
    </row>
    <row r="697">
      <c r="A697" s="88"/>
      <c r="B697" s="88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Q697" s="88"/>
      <c r="R697" s="88"/>
      <c r="S697" s="88"/>
      <c r="T697" s="88"/>
      <c r="U697" s="88"/>
      <c r="V697" s="88"/>
      <c r="W697" s="88"/>
      <c r="X697" s="88"/>
      <c r="Y697" s="88"/>
    </row>
    <row r="698">
      <c r="A698" s="88"/>
      <c r="B698" s="88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Q698" s="88"/>
      <c r="R698" s="88"/>
      <c r="S698" s="88"/>
      <c r="T698" s="88"/>
      <c r="U698" s="88"/>
      <c r="V698" s="88"/>
      <c r="W698" s="88"/>
      <c r="X698" s="88"/>
      <c r="Y698" s="88"/>
    </row>
    <row r="699">
      <c r="A699" s="88"/>
      <c r="B699" s="88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Q699" s="88"/>
      <c r="R699" s="88"/>
      <c r="S699" s="88"/>
      <c r="T699" s="88"/>
      <c r="U699" s="88"/>
      <c r="V699" s="88"/>
      <c r="W699" s="88"/>
      <c r="X699" s="88"/>
      <c r="Y699" s="88"/>
    </row>
    <row r="700">
      <c r="A700" s="88"/>
      <c r="B700" s="88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Q700" s="88"/>
      <c r="R700" s="88"/>
      <c r="S700" s="88"/>
      <c r="T700" s="88"/>
      <c r="U700" s="88"/>
      <c r="V700" s="88"/>
      <c r="W700" s="88"/>
      <c r="X700" s="88"/>
      <c r="Y700" s="88"/>
    </row>
    <row r="701">
      <c r="A701" s="88"/>
      <c r="B701" s="88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Q701" s="88"/>
      <c r="R701" s="88"/>
      <c r="S701" s="88"/>
      <c r="T701" s="88"/>
      <c r="U701" s="88"/>
      <c r="V701" s="88"/>
      <c r="W701" s="88"/>
      <c r="X701" s="88"/>
      <c r="Y701" s="88"/>
    </row>
    <row r="702">
      <c r="A702" s="88"/>
      <c r="B702" s="88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Q702" s="88"/>
      <c r="R702" s="88"/>
      <c r="S702" s="88"/>
      <c r="T702" s="88"/>
      <c r="U702" s="88"/>
      <c r="V702" s="88"/>
      <c r="W702" s="88"/>
      <c r="X702" s="88"/>
      <c r="Y702" s="88"/>
    </row>
    <row r="703">
      <c r="A703" s="88"/>
      <c r="B703" s="88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Q703" s="88"/>
      <c r="R703" s="88"/>
      <c r="S703" s="88"/>
      <c r="T703" s="88"/>
      <c r="U703" s="88"/>
      <c r="V703" s="88"/>
      <c r="W703" s="88"/>
      <c r="X703" s="88"/>
      <c r="Y703" s="88"/>
    </row>
    <row r="704">
      <c r="A704" s="88"/>
      <c r="B704" s="88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Q704" s="88"/>
      <c r="R704" s="88"/>
      <c r="S704" s="88"/>
      <c r="T704" s="88"/>
      <c r="U704" s="88"/>
      <c r="V704" s="88"/>
      <c r="W704" s="88"/>
      <c r="X704" s="88"/>
      <c r="Y704" s="88"/>
    </row>
    <row r="705">
      <c r="A705" s="88"/>
      <c r="B705" s="88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Q705" s="88"/>
      <c r="R705" s="88"/>
      <c r="S705" s="88"/>
      <c r="T705" s="88"/>
      <c r="U705" s="88"/>
      <c r="V705" s="88"/>
      <c r="W705" s="88"/>
      <c r="X705" s="88"/>
      <c r="Y705" s="88"/>
    </row>
    <row r="706">
      <c r="A706" s="88"/>
      <c r="B706" s="88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Q706" s="88"/>
      <c r="R706" s="88"/>
      <c r="S706" s="88"/>
      <c r="T706" s="88"/>
      <c r="U706" s="88"/>
      <c r="V706" s="88"/>
      <c r="W706" s="88"/>
      <c r="X706" s="88"/>
      <c r="Y706" s="88"/>
    </row>
    <row r="707">
      <c r="A707" s="88"/>
      <c r="B707" s="88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Q707" s="88"/>
      <c r="R707" s="88"/>
      <c r="S707" s="88"/>
      <c r="T707" s="88"/>
      <c r="U707" s="88"/>
      <c r="V707" s="88"/>
      <c r="W707" s="88"/>
      <c r="X707" s="88"/>
      <c r="Y707" s="88"/>
    </row>
    <row r="708">
      <c r="A708" s="88"/>
      <c r="B708" s="88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Q708" s="88"/>
      <c r="R708" s="88"/>
      <c r="S708" s="88"/>
      <c r="T708" s="88"/>
      <c r="U708" s="88"/>
      <c r="V708" s="88"/>
      <c r="W708" s="88"/>
      <c r="X708" s="88"/>
      <c r="Y708" s="88"/>
    </row>
    <row r="709">
      <c r="A709" s="88"/>
      <c r="B709" s="88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Q709" s="88"/>
      <c r="R709" s="88"/>
      <c r="S709" s="88"/>
      <c r="T709" s="88"/>
      <c r="U709" s="88"/>
      <c r="V709" s="88"/>
      <c r="W709" s="88"/>
      <c r="X709" s="88"/>
      <c r="Y709" s="88"/>
    </row>
    <row r="710">
      <c r="A710" s="88"/>
      <c r="B710" s="88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Q710" s="88"/>
      <c r="R710" s="88"/>
      <c r="S710" s="88"/>
      <c r="T710" s="88"/>
      <c r="U710" s="88"/>
      <c r="V710" s="88"/>
      <c r="W710" s="88"/>
      <c r="X710" s="88"/>
      <c r="Y710" s="88"/>
    </row>
    <row r="711">
      <c r="A711" s="88"/>
      <c r="B711" s="88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Q711" s="88"/>
      <c r="R711" s="88"/>
      <c r="S711" s="88"/>
      <c r="T711" s="88"/>
      <c r="U711" s="88"/>
      <c r="V711" s="88"/>
      <c r="W711" s="88"/>
      <c r="X711" s="88"/>
      <c r="Y711" s="88"/>
    </row>
    <row r="712">
      <c r="A712" s="88"/>
      <c r="B712" s="88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Q712" s="88"/>
      <c r="R712" s="88"/>
      <c r="S712" s="88"/>
      <c r="T712" s="88"/>
      <c r="U712" s="88"/>
      <c r="V712" s="88"/>
      <c r="W712" s="88"/>
      <c r="X712" s="88"/>
      <c r="Y712" s="88"/>
    </row>
    <row r="713">
      <c r="A713" s="88"/>
      <c r="B713" s="88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Q713" s="88"/>
      <c r="R713" s="88"/>
      <c r="S713" s="88"/>
      <c r="T713" s="88"/>
      <c r="U713" s="88"/>
      <c r="V713" s="88"/>
      <c r="W713" s="88"/>
      <c r="X713" s="88"/>
      <c r="Y713" s="88"/>
    </row>
    <row r="714">
      <c r="A714" s="88"/>
      <c r="B714" s="88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Q714" s="88"/>
      <c r="R714" s="88"/>
      <c r="S714" s="88"/>
      <c r="T714" s="88"/>
      <c r="U714" s="88"/>
      <c r="V714" s="88"/>
      <c r="W714" s="88"/>
      <c r="X714" s="88"/>
      <c r="Y714" s="88"/>
    </row>
    <row r="715">
      <c r="A715" s="88"/>
      <c r="B715" s="88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Q715" s="88"/>
      <c r="R715" s="88"/>
      <c r="S715" s="88"/>
      <c r="T715" s="88"/>
      <c r="U715" s="88"/>
      <c r="V715" s="88"/>
      <c r="W715" s="88"/>
      <c r="X715" s="88"/>
      <c r="Y715" s="88"/>
    </row>
    <row r="716">
      <c r="A716" s="88"/>
      <c r="B716" s="88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Q716" s="88"/>
      <c r="R716" s="88"/>
      <c r="S716" s="88"/>
      <c r="T716" s="88"/>
      <c r="U716" s="88"/>
      <c r="V716" s="88"/>
      <c r="W716" s="88"/>
      <c r="X716" s="88"/>
      <c r="Y716" s="88"/>
    </row>
    <row r="717">
      <c r="A717" s="88"/>
      <c r="B717" s="88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Q717" s="88"/>
      <c r="R717" s="88"/>
      <c r="S717" s="88"/>
      <c r="T717" s="88"/>
      <c r="U717" s="88"/>
      <c r="V717" s="88"/>
      <c r="W717" s="88"/>
      <c r="X717" s="88"/>
      <c r="Y717" s="88"/>
    </row>
    <row r="718">
      <c r="A718" s="88"/>
      <c r="B718" s="88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Q718" s="88"/>
      <c r="R718" s="88"/>
      <c r="S718" s="88"/>
      <c r="T718" s="88"/>
      <c r="U718" s="88"/>
      <c r="V718" s="88"/>
      <c r="W718" s="88"/>
      <c r="X718" s="88"/>
      <c r="Y718" s="88"/>
    </row>
    <row r="719">
      <c r="A719" s="88"/>
      <c r="B719" s="88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Q719" s="88"/>
      <c r="R719" s="88"/>
      <c r="S719" s="88"/>
      <c r="T719" s="88"/>
      <c r="U719" s="88"/>
      <c r="V719" s="88"/>
      <c r="W719" s="88"/>
      <c r="X719" s="88"/>
      <c r="Y719" s="88"/>
    </row>
    <row r="720">
      <c r="A720" s="88"/>
      <c r="B720" s="88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Q720" s="88"/>
      <c r="R720" s="88"/>
      <c r="S720" s="88"/>
      <c r="T720" s="88"/>
      <c r="U720" s="88"/>
      <c r="V720" s="88"/>
      <c r="W720" s="88"/>
      <c r="X720" s="88"/>
      <c r="Y720" s="88"/>
    </row>
    <row r="721">
      <c r="A721" s="88"/>
      <c r="B721" s="88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Q721" s="88"/>
      <c r="R721" s="88"/>
      <c r="S721" s="88"/>
      <c r="T721" s="88"/>
      <c r="U721" s="88"/>
      <c r="V721" s="88"/>
      <c r="W721" s="88"/>
      <c r="X721" s="88"/>
      <c r="Y721" s="88"/>
    </row>
    <row r="722">
      <c r="A722" s="88"/>
      <c r="B722" s="88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Q722" s="88"/>
      <c r="R722" s="88"/>
      <c r="S722" s="88"/>
      <c r="T722" s="88"/>
      <c r="U722" s="88"/>
      <c r="V722" s="88"/>
      <c r="W722" s="88"/>
      <c r="X722" s="88"/>
      <c r="Y722" s="88"/>
    </row>
    <row r="723">
      <c r="A723" s="88"/>
      <c r="B723" s="88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Q723" s="88"/>
      <c r="R723" s="88"/>
      <c r="S723" s="88"/>
      <c r="T723" s="88"/>
      <c r="U723" s="88"/>
      <c r="V723" s="88"/>
      <c r="W723" s="88"/>
      <c r="X723" s="88"/>
      <c r="Y723" s="88"/>
    </row>
    <row r="724">
      <c r="A724" s="88"/>
      <c r="B724" s="88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Q724" s="88"/>
      <c r="R724" s="88"/>
      <c r="S724" s="88"/>
      <c r="T724" s="88"/>
      <c r="U724" s="88"/>
      <c r="V724" s="88"/>
      <c r="W724" s="88"/>
      <c r="X724" s="88"/>
      <c r="Y724" s="88"/>
    </row>
    <row r="725">
      <c r="A725" s="88"/>
      <c r="B725" s="88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Q725" s="88"/>
      <c r="R725" s="88"/>
      <c r="S725" s="88"/>
      <c r="T725" s="88"/>
      <c r="U725" s="88"/>
      <c r="V725" s="88"/>
      <c r="W725" s="88"/>
      <c r="X725" s="88"/>
      <c r="Y725" s="88"/>
    </row>
    <row r="726">
      <c r="A726" s="88"/>
      <c r="B726" s="88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Q726" s="88"/>
      <c r="R726" s="88"/>
      <c r="S726" s="88"/>
      <c r="T726" s="88"/>
      <c r="U726" s="88"/>
      <c r="V726" s="88"/>
      <c r="W726" s="88"/>
      <c r="X726" s="88"/>
      <c r="Y726" s="88"/>
    </row>
    <row r="727">
      <c r="A727" s="88"/>
      <c r="B727" s="88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Q727" s="88"/>
      <c r="R727" s="88"/>
      <c r="S727" s="88"/>
      <c r="T727" s="88"/>
      <c r="U727" s="88"/>
      <c r="V727" s="88"/>
      <c r="W727" s="88"/>
      <c r="X727" s="88"/>
      <c r="Y727" s="88"/>
    </row>
    <row r="728">
      <c r="A728" s="88"/>
      <c r="B728" s="88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Q728" s="88"/>
      <c r="R728" s="88"/>
      <c r="S728" s="88"/>
      <c r="T728" s="88"/>
      <c r="U728" s="88"/>
      <c r="V728" s="88"/>
      <c r="W728" s="88"/>
      <c r="X728" s="88"/>
      <c r="Y728" s="88"/>
    </row>
    <row r="729">
      <c r="A729" s="88"/>
      <c r="B729" s="88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Q729" s="88"/>
      <c r="R729" s="88"/>
      <c r="S729" s="88"/>
      <c r="T729" s="88"/>
      <c r="U729" s="88"/>
      <c r="V729" s="88"/>
      <c r="W729" s="88"/>
      <c r="X729" s="88"/>
      <c r="Y729" s="88"/>
    </row>
    <row r="730">
      <c r="A730" s="88"/>
      <c r="B730" s="88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Q730" s="88"/>
      <c r="R730" s="88"/>
      <c r="S730" s="88"/>
      <c r="T730" s="88"/>
      <c r="U730" s="88"/>
      <c r="V730" s="88"/>
      <c r="W730" s="88"/>
      <c r="X730" s="88"/>
      <c r="Y730" s="88"/>
    </row>
    <row r="731">
      <c r="A731" s="88"/>
      <c r="B731" s="88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Q731" s="88"/>
      <c r="R731" s="88"/>
      <c r="S731" s="88"/>
      <c r="T731" s="88"/>
      <c r="U731" s="88"/>
      <c r="V731" s="88"/>
      <c r="W731" s="88"/>
      <c r="X731" s="88"/>
      <c r="Y731" s="88"/>
    </row>
    <row r="732">
      <c r="A732" s="88"/>
      <c r="B732" s="88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Q732" s="88"/>
      <c r="R732" s="88"/>
      <c r="S732" s="88"/>
      <c r="T732" s="88"/>
      <c r="U732" s="88"/>
      <c r="V732" s="88"/>
      <c r="W732" s="88"/>
      <c r="X732" s="88"/>
      <c r="Y732" s="88"/>
    </row>
    <row r="733">
      <c r="A733" s="88"/>
      <c r="B733" s="88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Q733" s="88"/>
      <c r="R733" s="88"/>
      <c r="S733" s="88"/>
      <c r="T733" s="88"/>
      <c r="U733" s="88"/>
      <c r="V733" s="88"/>
      <c r="W733" s="88"/>
      <c r="X733" s="88"/>
      <c r="Y733" s="88"/>
    </row>
    <row r="734">
      <c r="A734" s="88"/>
      <c r="B734" s="88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Q734" s="88"/>
      <c r="R734" s="88"/>
      <c r="S734" s="88"/>
      <c r="T734" s="88"/>
      <c r="U734" s="88"/>
      <c r="V734" s="88"/>
      <c r="W734" s="88"/>
      <c r="X734" s="88"/>
      <c r="Y734" s="88"/>
    </row>
    <row r="735">
      <c r="A735" s="88"/>
      <c r="B735" s="88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Q735" s="88"/>
      <c r="R735" s="88"/>
      <c r="S735" s="88"/>
      <c r="T735" s="88"/>
      <c r="U735" s="88"/>
      <c r="V735" s="88"/>
      <c r="W735" s="88"/>
      <c r="X735" s="88"/>
      <c r="Y735" s="88"/>
    </row>
    <row r="736">
      <c r="A736" s="88"/>
      <c r="B736" s="88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Q736" s="88"/>
      <c r="R736" s="88"/>
      <c r="S736" s="88"/>
      <c r="T736" s="88"/>
      <c r="U736" s="88"/>
      <c r="V736" s="88"/>
      <c r="W736" s="88"/>
      <c r="X736" s="88"/>
      <c r="Y736" s="88"/>
    </row>
    <row r="737">
      <c r="A737" s="88"/>
      <c r="B737" s="88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Q737" s="88"/>
      <c r="R737" s="88"/>
      <c r="S737" s="88"/>
      <c r="T737" s="88"/>
      <c r="U737" s="88"/>
      <c r="V737" s="88"/>
      <c r="W737" s="88"/>
      <c r="X737" s="88"/>
      <c r="Y737" s="88"/>
    </row>
    <row r="738">
      <c r="A738" s="88"/>
      <c r="B738" s="88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Q738" s="88"/>
      <c r="R738" s="88"/>
      <c r="S738" s="88"/>
      <c r="T738" s="88"/>
      <c r="U738" s="88"/>
      <c r="V738" s="88"/>
      <c r="W738" s="88"/>
      <c r="X738" s="88"/>
      <c r="Y738" s="88"/>
    </row>
    <row r="739">
      <c r="A739" s="88"/>
      <c r="B739" s="88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Q739" s="88"/>
      <c r="R739" s="88"/>
      <c r="S739" s="88"/>
      <c r="T739" s="88"/>
      <c r="U739" s="88"/>
      <c r="V739" s="88"/>
      <c r="W739" s="88"/>
      <c r="X739" s="88"/>
      <c r="Y739" s="88"/>
    </row>
    <row r="740">
      <c r="A740" s="88"/>
      <c r="B740" s="88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Q740" s="88"/>
      <c r="R740" s="88"/>
      <c r="S740" s="88"/>
      <c r="T740" s="88"/>
      <c r="U740" s="88"/>
      <c r="V740" s="88"/>
      <c r="W740" s="88"/>
      <c r="X740" s="88"/>
      <c r="Y740" s="88"/>
    </row>
    <row r="741">
      <c r="A741" s="88"/>
      <c r="B741" s="88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Q741" s="88"/>
      <c r="R741" s="88"/>
      <c r="S741" s="88"/>
      <c r="T741" s="88"/>
      <c r="U741" s="88"/>
      <c r="V741" s="88"/>
      <c r="W741" s="88"/>
      <c r="X741" s="88"/>
      <c r="Y741" s="88"/>
    </row>
    <row r="742">
      <c r="A742" s="88"/>
      <c r="B742" s="88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Q742" s="88"/>
      <c r="R742" s="88"/>
      <c r="S742" s="88"/>
      <c r="T742" s="88"/>
      <c r="U742" s="88"/>
      <c r="V742" s="88"/>
      <c r="W742" s="88"/>
      <c r="X742" s="88"/>
      <c r="Y742" s="88"/>
    </row>
    <row r="743">
      <c r="A743" s="88"/>
      <c r="B743" s="88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Q743" s="88"/>
      <c r="R743" s="88"/>
      <c r="S743" s="88"/>
      <c r="T743" s="88"/>
      <c r="U743" s="88"/>
      <c r="V743" s="88"/>
      <c r="W743" s="88"/>
      <c r="X743" s="88"/>
      <c r="Y743" s="88"/>
    </row>
    <row r="744">
      <c r="A744" s="88"/>
      <c r="B744" s="88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Q744" s="88"/>
      <c r="R744" s="88"/>
      <c r="S744" s="88"/>
      <c r="T744" s="88"/>
      <c r="U744" s="88"/>
      <c r="V744" s="88"/>
      <c r="W744" s="88"/>
      <c r="X744" s="88"/>
      <c r="Y744" s="88"/>
    </row>
    <row r="745">
      <c r="A745" s="88"/>
      <c r="B745" s="88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Q745" s="88"/>
      <c r="R745" s="88"/>
      <c r="S745" s="88"/>
      <c r="T745" s="88"/>
      <c r="U745" s="88"/>
      <c r="V745" s="88"/>
      <c r="W745" s="88"/>
      <c r="X745" s="88"/>
      <c r="Y745" s="88"/>
    </row>
    <row r="746">
      <c r="A746" s="88"/>
      <c r="B746" s="88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Q746" s="88"/>
      <c r="R746" s="88"/>
      <c r="S746" s="88"/>
      <c r="T746" s="88"/>
      <c r="U746" s="88"/>
      <c r="V746" s="88"/>
      <c r="W746" s="88"/>
      <c r="X746" s="88"/>
      <c r="Y746" s="88"/>
    </row>
    <row r="747">
      <c r="A747" s="88"/>
      <c r="B747" s="88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Q747" s="88"/>
      <c r="R747" s="88"/>
      <c r="S747" s="88"/>
      <c r="T747" s="88"/>
      <c r="U747" s="88"/>
      <c r="V747" s="88"/>
      <c r="W747" s="88"/>
      <c r="X747" s="88"/>
      <c r="Y747" s="88"/>
    </row>
    <row r="748">
      <c r="A748" s="88"/>
      <c r="B748" s="88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Q748" s="88"/>
      <c r="R748" s="88"/>
      <c r="S748" s="88"/>
      <c r="T748" s="88"/>
      <c r="U748" s="88"/>
      <c r="V748" s="88"/>
      <c r="W748" s="88"/>
      <c r="X748" s="88"/>
      <c r="Y748" s="88"/>
    </row>
    <row r="749">
      <c r="A749" s="88"/>
      <c r="B749" s="88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Q749" s="88"/>
      <c r="R749" s="88"/>
      <c r="S749" s="88"/>
      <c r="T749" s="88"/>
      <c r="U749" s="88"/>
      <c r="V749" s="88"/>
      <c r="W749" s="88"/>
      <c r="X749" s="88"/>
      <c r="Y749" s="88"/>
    </row>
    <row r="750">
      <c r="A750" s="88"/>
      <c r="B750" s="88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Q750" s="88"/>
      <c r="R750" s="88"/>
      <c r="S750" s="88"/>
      <c r="T750" s="88"/>
      <c r="U750" s="88"/>
      <c r="V750" s="88"/>
      <c r="W750" s="88"/>
      <c r="X750" s="88"/>
      <c r="Y750" s="88"/>
    </row>
    <row r="751">
      <c r="A751" s="88"/>
      <c r="B751" s="88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Q751" s="88"/>
      <c r="R751" s="88"/>
      <c r="S751" s="88"/>
      <c r="T751" s="88"/>
      <c r="U751" s="88"/>
      <c r="V751" s="88"/>
      <c r="W751" s="88"/>
      <c r="X751" s="88"/>
      <c r="Y751" s="88"/>
    </row>
    <row r="752">
      <c r="A752" s="88"/>
      <c r="B752" s="88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Q752" s="88"/>
      <c r="R752" s="88"/>
      <c r="S752" s="88"/>
      <c r="T752" s="88"/>
      <c r="U752" s="88"/>
      <c r="V752" s="88"/>
      <c r="W752" s="88"/>
      <c r="X752" s="88"/>
      <c r="Y752" s="88"/>
    </row>
    <row r="753">
      <c r="A753" s="88"/>
      <c r="B753" s="88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Q753" s="88"/>
      <c r="R753" s="88"/>
      <c r="S753" s="88"/>
      <c r="T753" s="88"/>
      <c r="U753" s="88"/>
      <c r="V753" s="88"/>
      <c r="W753" s="88"/>
      <c r="X753" s="88"/>
      <c r="Y753" s="88"/>
    </row>
    <row r="754">
      <c r="A754" s="88"/>
      <c r="B754" s="88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Q754" s="88"/>
      <c r="R754" s="88"/>
      <c r="S754" s="88"/>
      <c r="T754" s="88"/>
      <c r="U754" s="88"/>
      <c r="V754" s="88"/>
      <c r="W754" s="88"/>
      <c r="X754" s="88"/>
      <c r="Y754" s="88"/>
    </row>
    <row r="755">
      <c r="A755" s="88"/>
      <c r="B755" s="88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Q755" s="88"/>
      <c r="R755" s="88"/>
      <c r="S755" s="88"/>
      <c r="T755" s="88"/>
      <c r="U755" s="88"/>
      <c r="V755" s="88"/>
      <c r="W755" s="88"/>
      <c r="X755" s="88"/>
      <c r="Y755" s="88"/>
    </row>
    <row r="756">
      <c r="A756" s="88"/>
      <c r="B756" s="88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Q756" s="88"/>
      <c r="R756" s="88"/>
      <c r="S756" s="88"/>
      <c r="T756" s="88"/>
      <c r="U756" s="88"/>
      <c r="V756" s="88"/>
      <c r="W756" s="88"/>
      <c r="X756" s="88"/>
      <c r="Y756" s="88"/>
    </row>
    <row r="757">
      <c r="A757" s="88"/>
      <c r="B757" s="88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Q757" s="88"/>
      <c r="R757" s="88"/>
      <c r="S757" s="88"/>
      <c r="T757" s="88"/>
      <c r="U757" s="88"/>
      <c r="V757" s="88"/>
      <c r="W757" s="88"/>
      <c r="X757" s="88"/>
      <c r="Y757" s="88"/>
    </row>
    <row r="758">
      <c r="A758" s="88"/>
      <c r="B758" s="88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Q758" s="88"/>
      <c r="R758" s="88"/>
      <c r="S758" s="88"/>
      <c r="T758" s="88"/>
      <c r="U758" s="88"/>
      <c r="V758" s="88"/>
      <c r="W758" s="88"/>
      <c r="X758" s="88"/>
      <c r="Y758" s="88"/>
    </row>
    <row r="759">
      <c r="A759" s="88"/>
      <c r="B759" s="88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Q759" s="88"/>
      <c r="R759" s="88"/>
      <c r="S759" s="88"/>
      <c r="T759" s="88"/>
      <c r="U759" s="88"/>
      <c r="V759" s="88"/>
      <c r="W759" s="88"/>
      <c r="X759" s="88"/>
      <c r="Y759" s="88"/>
    </row>
    <row r="760">
      <c r="A760" s="88"/>
      <c r="B760" s="88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Q760" s="88"/>
      <c r="R760" s="88"/>
      <c r="S760" s="88"/>
      <c r="T760" s="88"/>
      <c r="U760" s="88"/>
      <c r="V760" s="88"/>
      <c r="W760" s="88"/>
      <c r="X760" s="88"/>
      <c r="Y760" s="88"/>
    </row>
    <row r="761">
      <c r="A761" s="88"/>
      <c r="B761" s="88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Q761" s="88"/>
      <c r="R761" s="88"/>
      <c r="S761" s="88"/>
      <c r="T761" s="88"/>
      <c r="U761" s="88"/>
      <c r="V761" s="88"/>
      <c r="W761" s="88"/>
      <c r="X761" s="88"/>
      <c r="Y761" s="88"/>
    </row>
    <row r="762">
      <c r="A762" s="88"/>
      <c r="B762" s="88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Q762" s="88"/>
      <c r="R762" s="88"/>
      <c r="S762" s="88"/>
      <c r="T762" s="88"/>
      <c r="U762" s="88"/>
      <c r="V762" s="88"/>
      <c r="W762" s="88"/>
      <c r="X762" s="88"/>
      <c r="Y762" s="88"/>
    </row>
    <row r="763">
      <c r="A763" s="88"/>
      <c r="B763" s="88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Q763" s="88"/>
      <c r="R763" s="88"/>
      <c r="S763" s="88"/>
      <c r="T763" s="88"/>
      <c r="U763" s="88"/>
      <c r="V763" s="88"/>
      <c r="W763" s="88"/>
      <c r="X763" s="88"/>
      <c r="Y763" s="88"/>
    </row>
    <row r="764">
      <c r="A764" s="88"/>
      <c r="B764" s="88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Q764" s="88"/>
      <c r="R764" s="88"/>
      <c r="S764" s="88"/>
      <c r="T764" s="88"/>
      <c r="U764" s="88"/>
      <c r="V764" s="88"/>
      <c r="W764" s="88"/>
      <c r="X764" s="88"/>
      <c r="Y764" s="88"/>
    </row>
    <row r="765">
      <c r="A765" s="88"/>
      <c r="B765" s="88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Q765" s="88"/>
      <c r="R765" s="88"/>
      <c r="S765" s="88"/>
      <c r="T765" s="88"/>
      <c r="U765" s="88"/>
      <c r="V765" s="88"/>
      <c r="W765" s="88"/>
      <c r="X765" s="88"/>
      <c r="Y765" s="88"/>
    </row>
    <row r="766">
      <c r="A766" s="88"/>
      <c r="B766" s="88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Q766" s="88"/>
      <c r="R766" s="88"/>
      <c r="S766" s="88"/>
      <c r="T766" s="88"/>
      <c r="U766" s="88"/>
      <c r="V766" s="88"/>
      <c r="W766" s="88"/>
      <c r="X766" s="88"/>
      <c r="Y766" s="88"/>
    </row>
    <row r="767">
      <c r="A767" s="88"/>
      <c r="B767" s="88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Q767" s="88"/>
      <c r="R767" s="88"/>
      <c r="S767" s="88"/>
      <c r="T767" s="88"/>
      <c r="U767" s="88"/>
      <c r="V767" s="88"/>
      <c r="W767" s="88"/>
      <c r="X767" s="88"/>
      <c r="Y767" s="88"/>
    </row>
    <row r="768">
      <c r="A768" s="88"/>
      <c r="B768" s="88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Q768" s="88"/>
      <c r="R768" s="88"/>
      <c r="S768" s="88"/>
      <c r="T768" s="88"/>
      <c r="U768" s="88"/>
      <c r="V768" s="88"/>
      <c r="W768" s="88"/>
      <c r="X768" s="88"/>
      <c r="Y768" s="88"/>
    </row>
    <row r="769">
      <c r="A769" s="88"/>
      <c r="B769" s="88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Q769" s="88"/>
      <c r="R769" s="88"/>
      <c r="S769" s="88"/>
      <c r="T769" s="88"/>
      <c r="U769" s="88"/>
      <c r="V769" s="88"/>
      <c r="W769" s="88"/>
      <c r="X769" s="88"/>
      <c r="Y769" s="88"/>
    </row>
    <row r="770">
      <c r="A770" s="88"/>
      <c r="B770" s="88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Q770" s="88"/>
      <c r="R770" s="88"/>
      <c r="S770" s="88"/>
      <c r="T770" s="88"/>
      <c r="U770" s="88"/>
      <c r="V770" s="88"/>
      <c r="W770" s="88"/>
      <c r="X770" s="88"/>
      <c r="Y770" s="88"/>
    </row>
    <row r="771">
      <c r="A771" s="88"/>
      <c r="B771" s="88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Q771" s="88"/>
      <c r="R771" s="88"/>
      <c r="S771" s="88"/>
      <c r="T771" s="88"/>
      <c r="U771" s="88"/>
      <c r="V771" s="88"/>
      <c r="W771" s="88"/>
      <c r="X771" s="88"/>
      <c r="Y771" s="88"/>
    </row>
    <row r="772">
      <c r="A772" s="88"/>
      <c r="B772" s="88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Q772" s="88"/>
      <c r="R772" s="88"/>
      <c r="S772" s="88"/>
      <c r="T772" s="88"/>
      <c r="U772" s="88"/>
      <c r="V772" s="88"/>
      <c r="W772" s="88"/>
      <c r="X772" s="88"/>
      <c r="Y772" s="88"/>
    </row>
    <row r="773">
      <c r="A773" s="88"/>
      <c r="B773" s="88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Q773" s="88"/>
      <c r="R773" s="88"/>
      <c r="S773" s="88"/>
      <c r="T773" s="88"/>
      <c r="U773" s="88"/>
      <c r="V773" s="88"/>
      <c r="W773" s="88"/>
      <c r="X773" s="88"/>
      <c r="Y773" s="88"/>
    </row>
    <row r="774">
      <c r="A774" s="88"/>
      <c r="B774" s="88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Q774" s="88"/>
      <c r="R774" s="88"/>
      <c r="S774" s="88"/>
      <c r="T774" s="88"/>
      <c r="U774" s="88"/>
      <c r="V774" s="88"/>
      <c r="W774" s="88"/>
      <c r="X774" s="88"/>
      <c r="Y774" s="88"/>
    </row>
    <row r="775">
      <c r="A775" s="88"/>
      <c r="B775" s="88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Q775" s="88"/>
      <c r="R775" s="88"/>
      <c r="S775" s="88"/>
      <c r="T775" s="88"/>
      <c r="U775" s="88"/>
      <c r="V775" s="88"/>
      <c r="W775" s="88"/>
      <c r="X775" s="88"/>
      <c r="Y775" s="88"/>
    </row>
    <row r="776">
      <c r="A776" s="88"/>
      <c r="B776" s="88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Q776" s="88"/>
      <c r="R776" s="88"/>
      <c r="S776" s="88"/>
      <c r="T776" s="88"/>
      <c r="U776" s="88"/>
      <c r="V776" s="88"/>
      <c r="W776" s="88"/>
      <c r="X776" s="88"/>
      <c r="Y776" s="88"/>
    </row>
    <row r="777">
      <c r="A777" s="88"/>
      <c r="B777" s="88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Q777" s="88"/>
      <c r="R777" s="88"/>
      <c r="S777" s="88"/>
      <c r="T777" s="88"/>
      <c r="U777" s="88"/>
      <c r="V777" s="88"/>
      <c r="W777" s="88"/>
      <c r="X777" s="88"/>
      <c r="Y777" s="88"/>
    </row>
    <row r="778">
      <c r="A778" s="88"/>
      <c r="B778" s="88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Q778" s="88"/>
      <c r="R778" s="88"/>
      <c r="S778" s="88"/>
      <c r="T778" s="88"/>
      <c r="U778" s="88"/>
      <c r="V778" s="88"/>
      <c r="W778" s="88"/>
      <c r="X778" s="88"/>
      <c r="Y778" s="88"/>
    </row>
    <row r="779">
      <c r="A779" s="88"/>
      <c r="B779" s="88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Q779" s="88"/>
      <c r="R779" s="88"/>
      <c r="S779" s="88"/>
      <c r="T779" s="88"/>
      <c r="U779" s="88"/>
      <c r="V779" s="88"/>
      <c r="W779" s="88"/>
      <c r="X779" s="88"/>
      <c r="Y779" s="88"/>
    </row>
    <row r="780">
      <c r="A780" s="88"/>
      <c r="B780" s="88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Q780" s="88"/>
      <c r="R780" s="88"/>
      <c r="S780" s="88"/>
      <c r="T780" s="88"/>
      <c r="U780" s="88"/>
      <c r="V780" s="88"/>
      <c r="W780" s="88"/>
      <c r="X780" s="88"/>
      <c r="Y780" s="88"/>
    </row>
    <row r="781">
      <c r="A781" s="88"/>
      <c r="B781" s="88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Q781" s="88"/>
      <c r="R781" s="88"/>
      <c r="S781" s="88"/>
      <c r="T781" s="88"/>
      <c r="U781" s="88"/>
      <c r="V781" s="88"/>
      <c r="W781" s="88"/>
      <c r="X781" s="88"/>
      <c r="Y781" s="88"/>
    </row>
    <row r="782">
      <c r="A782" s="88"/>
      <c r="B782" s="88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Q782" s="88"/>
      <c r="R782" s="88"/>
      <c r="S782" s="88"/>
      <c r="T782" s="88"/>
      <c r="U782" s="88"/>
      <c r="V782" s="88"/>
      <c r="W782" s="88"/>
      <c r="X782" s="88"/>
      <c r="Y782" s="88"/>
    </row>
    <row r="783">
      <c r="A783" s="88"/>
      <c r="B783" s="88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Q783" s="88"/>
      <c r="R783" s="88"/>
      <c r="S783" s="88"/>
      <c r="T783" s="88"/>
      <c r="U783" s="88"/>
      <c r="V783" s="88"/>
      <c r="W783" s="88"/>
      <c r="X783" s="88"/>
      <c r="Y783" s="88"/>
    </row>
    <row r="784">
      <c r="A784" s="88"/>
      <c r="B784" s="88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Q784" s="88"/>
      <c r="R784" s="88"/>
      <c r="S784" s="88"/>
      <c r="T784" s="88"/>
      <c r="U784" s="88"/>
      <c r="V784" s="88"/>
      <c r="W784" s="88"/>
      <c r="X784" s="88"/>
      <c r="Y784" s="88"/>
    </row>
    <row r="785">
      <c r="A785" s="88"/>
      <c r="B785" s="88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Q785" s="88"/>
      <c r="R785" s="88"/>
      <c r="S785" s="88"/>
      <c r="T785" s="88"/>
      <c r="U785" s="88"/>
      <c r="V785" s="88"/>
      <c r="W785" s="88"/>
      <c r="X785" s="88"/>
      <c r="Y785" s="88"/>
    </row>
    <row r="786">
      <c r="A786" s="88"/>
      <c r="B786" s="88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Q786" s="88"/>
      <c r="R786" s="88"/>
      <c r="S786" s="88"/>
      <c r="T786" s="88"/>
      <c r="U786" s="88"/>
      <c r="V786" s="88"/>
      <c r="W786" s="88"/>
      <c r="X786" s="88"/>
      <c r="Y786" s="88"/>
    </row>
    <row r="787">
      <c r="A787" s="88"/>
      <c r="B787" s="88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Q787" s="88"/>
      <c r="R787" s="88"/>
      <c r="S787" s="88"/>
      <c r="T787" s="88"/>
      <c r="U787" s="88"/>
      <c r="V787" s="88"/>
      <c r="W787" s="88"/>
      <c r="X787" s="88"/>
      <c r="Y787" s="88"/>
    </row>
    <row r="788">
      <c r="A788" s="88"/>
      <c r="B788" s="88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Q788" s="88"/>
      <c r="R788" s="88"/>
      <c r="S788" s="88"/>
      <c r="T788" s="88"/>
      <c r="U788" s="88"/>
      <c r="V788" s="88"/>
      <c r="W788" s="88"/>
      <c r="X788" s="88"/>
      <c r="Y788" s="88"/>
    </row>
    <row r="789">
      <c r="A789" s="88"/>
      <c r="B789" s="88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Q789" s="88"/>
      <c r="R789" s="88"/>
      <c r="S789" s="88"/>
      <c r="T789" s="88"/>
      <c r="U789" s="88"/>
      <c r="V789" s="88"/>
      <c r="W789" s="88"/>
      <c r="X789" s="88"/>
      <c r="Y789" s="88"/>
    </row>
    <row r="790">
      <c r="A790" s="88"/>
      <c r="B790" s="88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Q790" s="88"/>
      <c r="R790" s="88"/>
      <c r="S790" s="88"/>
      <c r="T790" s="88"/>
      <c r="U790" s="88"/>
      <c r="V790" s="88"/>
      <c r="W790" s="88"/>
      <c r="X790" s="88"/>
      <c r="Y790" s="88"/>
    </row>
    <row r="791">
      <c r="A791" s="88"/>
      <c r="B791" s="88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Q791" s="88"/>
      <c r="R791" s="88"/>
      <c r="S791" s="88"/>
      <c r="T791" s="88"/>
      <c r="U791" s="88"/>
      <c r="V791" s="88"/>
      <c r="W791" s="88"/>
      <c r="X791" s="88"/>
      <c r="Y791" s="88"/>
    </row>
    <row r="792">
      <c r="A792" s="88"/>
      <c r="B792" s="88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Q792" s="88"/>
      <c r="R792" s="88"/>
      <c r="S792" s="88"/>
      <c r="T792" s="88"/>
      <c r="U792" s="88"/>
      <c r="V792" s="88"/>
      <c r="W792" s="88"/>
      <c r="X792" s="88"/>
      <c r="Y792" s="88"/>
    </row>
    <row r="793">
      <c r="A793" s="88"/>
      <c r="B793" s="88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Q793" s="88"/>
      <c r="R793" s="88"/>
      <c r="S793" s="88"/>
      <c r="T793" s="88"/>
      <c r="U793" s="88"/>
      <c r="V793" s="88"/>
      <c r="W793" s="88"/>
      <c r="X793" s="88"/>
      <c r="Y793" s="88"/>
    </row>
    <row r="794">
      <c r="A794" s="88"/>
      <c r="B794" s="88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Q794" s="88"/>
      <c r="R794" s="88"/>
      <c r="S794" s="88"/>
      <c r="T794" s="88"/>
      <c r="U794" s="88"/>
      <c r="V794" s="88"/>
      <c r="W794" s="88"/>
      <c r="X794" s="88"/>
      <c r="Y794" s="88"/>
    </row>
    <row r="795">
      <c r="A795" s="88"/>
      <c r="B795" s="88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Q795" s="88"/>
      <c r="R795" s="88"/>
      <c r="S795" s="88"/>
      <c r="T795" s="88"/>
      <c r="U795" s="88"/>
      <c r="V795" s="88"/>
      <c r="W795" s="88"/>
      <c r="X795" s="88"/>
      <c r="Y795" s="88"/>
    </row>
    <row r="796">
      <c r="A796" s="88"/>
      <c r="B796" s="88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Q796" s="88"/>
      <c r="R796" s="88"/>
      <c r="S796" s="88"/>
      <c r="T796" s="88"/>
      <c r="U796" s="88"/>
      <c r="V796" s="88"/>
      <c r="W796" s="88"/>
      <c r="X796" s="88"/>
      <c r="Y796" s="88"/>
    </row>
    <row r="797">
      <c r="A797" s="88"/>
      <c r="B797" s="88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Q797" s="88"/>
      <c r="R797" s="88"/>
      <c r="S797" s="88"/>
      <c r="T797" s="88"/>
      <c r="U797" s="88"/>
      <c r="V797" s="88"/>
      <c r="W797" s="88"/>
      <c r="X797" s="88"/>
      <c r="Y797" s="88"/>
    </row>
    <row r="798">
      <c r="A798" s="88"/>
      <c r="B798" s="88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Q798" s="88"/>
      <c r="R798" s="88"/>
      <c r="S798" s="88"/>
      <c r="T798" s="88"/>
      <c r="U798" s="88"/>
      <c r="V798" s="88"/>
      <c r="W798" s="88"/>
      <c r="X798" s="88"/>
      <c r="Y798" s="88"/>
    </row>
    <row r="799">
      <c r="A799" s="88"/>
      <c r="B799" s="88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Q799" s="88"/>
      <c r="R799" s="88"/>
      <c r="S799" s="88"/>
      <c r="T799" s="88"/>
      <c r="U799" s="88"/>
      <c r="V799" s="88"/>
      <c r="W799" s="88"/>
      <c r="X799" s="88"/>
      <c r="Y799" s="88"/>
    </row>
    <row r="800">
      <c r="A800" s="88"/>
      <c r="B800" s="88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Q800" s="88"/>
      <c r="R800" s="88"/>
      <c r="S800" s="88"/>
      <c r="T800" s="88"/>
      <c r="U800" s="88"/>
      <c r="V800" s="88"/>
      <c r="W800" s="88"/>
      <c r="X800" s="88"/>
      <c r="Y800" s="88"/>
    </row>
    <row r="801">
      <c r="A801" s="88"/>
      <c r="B801" s="88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Q801" s="88"/>
      <c r="R801" s="88"/>
      <c r="S801" s="88"/>
      <c r="T801" s="88"/>
      <c r="U801" s="88"/>
      <c r="V801" s="88"/>
      <c r="W801" s="88"/>
      <c r="X801" s="88"/>
      <c r="Y801" s="88"/>
    </row>
    <row r="802">
      <c r="A802" s="88"/>
      <c r="B802" s="88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Q802" s="88"/>
      <c r="R802" s="88"/>
      <c r="S802" s="88"/>
      <c r="T802" s="88"/>
      <c r="U802" s="88"/>
      <c r="V802" s="88"/>
      <c r="W802" s="88"/>
      <c r="X802" s="88"/>
      <c r="Y802" s="88"/>
    </row>
    <row r="803">
      <c r="A803" s="88"/>
      <c r="B803" s="88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Q803" s="88"/>
      <c r="R803" s="88"/>
      <c r="S803" s="88"/>
      <c r="T803" s="88"/>
      <c r="U803" s="88"/>
      <c r="V803" s="88"/>
      <c r="W803" s="88"/>
      <c r="X803" s="88"/>
      <c r="Y803" s="88"/>
    </row>
    <row r="804">
      <c r="A804" s="88"/>
      <c r="B804" s="88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Q804" s="88"/>
      <c r="R804" s="88"/>
      <c r="S804" s="88"/>
      <c r="T804" s="88"/>
      <c r="U804" s="88"/>
      <c r="V804" s="88"/>
      <c r="W804" s="88"/>
      <c r="X804" s="88"/>
      <c r="Y804" s="88"/>
    </row>
    <row r="805">
      <c r="A805" s="88"/>
      <c r="B805" s="88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Q805" s="88"/>
      <c r="R805" s="88"/>
      <c r="S805" s="88"/>
      <c r="T805" s="88"/>
      <c r="U805" s="88"/>
      <c r="V805" s="88"/>
      <c r="W805" s="88"/>
      <c r="X805" s="88"/>
      <c r="Y805" s="88"/>
    </row>
    <row r="806">
      <c r="A806" s="88"/>
      <c r="B806" s="88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Q806" s="88"/>
      <c r="R806" s="88"/>
      <c r="S806" s="88"/>
      <c r="T806" s="88"/>
      <c r="U806" s="88"/>
      <c r="V806" s="88"/>
      <c r="W806" s="88"/>
      <c r="X806" s="88"/>
      <c r="Y806" s="88"/>
    </row>
    <row r="807">
      <c r="A807" s="88"/>
      <c r="B807" s="88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Q807" s="88"/>
      <c r="R807" s="88"/>
      <c r="S807" s="88"/>
      <c r="T807" s="88"/>
      <c r="U807" s="88"/>
      <c r="V807" s="88"/>
      <c r="W807" s="88"/>
      <c r="X807" s="88"/>
      <c r="Y807" s="88"/>
    </row>
    <row r="808">
      <c r="A808" s="88"/>
      <c r="B808" s="88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Q808" s="88"/>
      <c r="R808" s="88"/>
      <c r="S808" s="88"/>
      <c r="T808" s="88"/>
      <c r="U808" s="88"/>
      <c r="V808" s="88"/>
      <c r="W808" s="88"/>
      <c r="X808" s="88"/>
      <c r="Y808" s="88"/>
    </row>
    <row r="809">
      <c r="A809" s="88"/>
      <c r="B809" s="88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Q809" s="88"/>
      <c r="R809" s="88"/>
      <c r="S809" s="88"/>
      <c r="T809" s="88"/>
      <c r="U809" s="88"/>
      <c r="V809" s="88"/>
      <c r="W809" s="88"/>
      <c r="X809" s="88"/>
      <c r="Y809" s="88"/>
    </row>
    <row r="810">
      <c r="A810" s="88"/>
      <c r="B810" s="88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Q810" s="88"/>
      <c r="R810" s="88"/>
      <c r="S810" s="88"/>
      <c r="T810" s="88"/>
      <c r="U810" s="88"/>
      <c r="V810" s="88"/>
      <c r="W810" s="88"/>
      <c r="X810" s="88"/>
      <c r="Y810" s="88"/>
    </row>
    <row r="811">
      <c r="A811" s="88"/>
      <c r="B811" s="88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Q811" s="88"/>
      <c r="R811" s="88"/>
      <c r="S811" s="88"/>
      <c r="T811" s="88"/>
      <c r="U811" s="88"/>
      <c r="V811" s="88"/>
      <c r="W811" s="88"/>
      <c r="X811" s="88"/>
      <c r="Y811" s="88"/>
    </row>
    <row r="812">
      <c r="A812" s="88"/>
      <c r="B812" s="88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Q812" s="88"/>
      <c r="R812" s="88"/>
      <c r="S812" s="88"/>
      <c r="T812" s="88"/>
      <c r="U812" s="88"/>
      <c r="V812" s="88"/>
      <c r="W812" s="88"/>
      <c r="X812" s="88"/>
      <c r="Y812" s="88"/>
    </row>
    <row r="813">
      <c r="A813" s="88"/>
      <c r="B813" s="88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Q813" s="88"/>
      <c r="R813" s="88"/>
      <c r="S813" s="88"/>
      <c r="T813" s="88"/>
      <c r="U813" s="88"/>
      <c r="V813" s="88"/>
      <c r="W813" s="88"/>
      <c r="X813" s="88"/>
      <c r="Y813" s="88"/>
    </row>
    <row r="814">
      <c r="A814" s="88"/>
      <c r="B814" s="88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Q814" s="88"/>
      <c r="R814" s="88"/>
      <c r="S814" s="88"/>
      <c r="T814" s="88"/>
      <c r="U814" s="88"/>
      <c r="V814" s="88"/>
      <c r="W814" s="88"/>
      <c r="X814" s="88"/>
      <c r="Y814" s="88"/>
    </row>
    <row r="815">
      <c r="A815" s="88"/>
      <c r="B815" s="88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Q815" s="88"/>
      <c r="R815" s="88"/>
      <c r="S815" s="88"/>
      <c r="T815" s="88"/>
      <c r="U815" s="88"/>
      <c r="V815" s="88"/>
      <c r="W815" s="88"/>
      <c r="X815" s="88"/>
      <c r="Y815" s="88"/>
    </row>
    <row r="816">
      <c r="A816" s="88"/>
      <c r="B816" s="88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Q816" s="88"/>
      <c r="R816" s="88"/>
      <c r="S816" s="88"/>
      <c r="T816" s="88"/>
      <c r="U816" s="88"/>
      <c r="V816" s="88"/>
      <c r="W816" s="88"/>
      <c r="X816" s="88"/>
      <c r="Y816" s="88"/>
    </row>
    <row r="817">
      <c r="A817" s="88"/>
      <c r="B817" s="88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Q817" s="88"/>
      <c r="R817" s="88"/>
      <c r="S817" s="88"/>
      <c r="T817" s="88"/>
      <c r="U817" s="88"/>
      <c r="V817" s="88"/>
      <c r="W817" s="88"/>
      <c r="X817" s="88"/>
      <c r="Y817" s="88"/>
    </row>
    <row r="818">
      <c r="A818" s="88"/>
      <c r="B818" s="88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Q818" s="88"/>
      <c r="R818" s="88"/>
      <c r="S818" s="88"/>
      <c r="T818" s="88"/>
      <c r="U818" s="88"/>
      <c r="V818" s="88"/>
      <c r="W818" s="88"/>
      <c r="X818" s="88"/>
      <c r="Y818" s="88"/>
    </row>
    <row r="819">
      <c r="A819" s="88"/>
      <c r="B819" s="88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Q819" s="88"/>
      <c r="R819" s="88"/>
      <c r="S819" s="88"/>
      <c r="T819" s="88"/>
      <c r="U819" s="88"/>
      <c r="V819" s="88"/>
      <c r="W819" s="88"/>
      <c r="X819" s="88"/>
      <c r="Y819" s="88"/>
    </row>
    <row r="820">
      <c r="A820" s="88"/>
      <c r="B820" s="88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Q820" s="88"/>
      <c r="R820" s="88"/>
      <c r="S820" s="88"/>
      <c r="T820" s="88"/>
      <c r="U820" s="88"/>
      <c r="V820" s="88"/>
      <c r="W820" s="88"/>
      <c r="X820" s="88"/>
      <c r="Y820" s="88"/>
    </row>
    <row r="821">
      <c r="A821" s="88"/>
      <c r="B821" s="88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Q821" s="88"/>
      <c r="R821" s="88"/>
      <c r="S821" s="88"/>
      <c r="T821" s="88"/>
      <c r="U821" s="88"/>
      <c r="V821" s="88"/>
      <c r="W821" s="88"/>
      <c r="X821" s="88"/>
      <c r="Y821" s="88"/>
    </row>
    <row r="822">
      <c r="A822" s="88"/>
      <c r="B822" s="88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Q822" s="88"/>
      <c r="R822" s="88"/>
      <c r="S822" s="88"/>
      <c r="T822" s="88"/>
      <c r="U822" s="88"/>
      <c r="V822" s="88"/>
      <c r="W822" s="88"/>
      <c r="X822" s="88"/>
      <c r="Y822" s="88"/>
    </row>
    <row r="823">
      <c r="A823" s="88"/>
      <c r="B823" s="88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Q823" s="88"/>
      <c r="R823" s="88"/>
      <c r="S823" s="88"/>
      <c r="T823" s="88"/>
      <c r="U823" s="88"/>
      <c r="V823" s="88"/>
      <c r="W823" s="88"/>
      <c r="X823" s="88"/>
      <c r="Y823" s="88"/>
    </row>
    <row r="824">
      <c r="A824" s="88"/>
      <c r="B824" s="88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Q824" s="88"/>
      <c r="R824" s="88"/>
      <c r="S824" s="88"/>
      <c r="T824" s="88"/>
      <c r="U824" s="88"/>
      <c r="V824" s="88"/>
      <c r="W824" s="88"/>
      <c r="X824" s="88"/>
      <c r="Y824" s="88"/>
    </row>
    <row r="825">
      <c r="A825" s="88"/>
      <c r="B825" s="88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Q825" s="88"/>
      <c r="R825" s="88"/>
      <c r="S825" s="88"/>
      <c r="T825" s="88"/>
      <c r="U825" s="88"/>
      <c r="V825" s="88"/>
      <c r="W825" s="88"/>
      <c r="X825" s="88"/>
      <c r="Y825" s="88"/>
    </row>
    <row r="826">
      <c r="A826" s="88"/>
      <c r="B826" s="88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Q826" s="88"/>
      <c r="R826" s="88"/>
      <c r="S826" s="88"/>
      <c r="T826" s="88"/>
      <c r="U826" s="88"/>
      <c r="V826" s="88"/>
      <c r="W826" s="88"/>
      <c r="X826" s="88"/>
      <c r="Y826" s="88"/>
    </row>
    <row r="827">
      <c r="A827" s="88"/>
      <c r="B827" s="88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Q827" s="88"/>
      <c r="R827" s="88"/>
      <c r="S827" s="88"/>
      <c r="T827" s="88"/>
      <c r="U827" s="88"/>
      <c r="V827" s="88"/>
      <c r="W827" s="88"/>
      <c r="X827" s="88"/>
      <c r="Y827" s="88"/>
    </row>
    <row r="828">
      <c r="A828" s="88"/>
      <c r="B828" s="88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Q828" s="88"/>
      <c r="R828" s="88"/>
      <c r="S828" s="88"/>
      <c r="T828" s="88"/>
      <c r="U828" s="88"/>
      <c r="V828" s="88"/>
      <c r="W828" s="88"/>
      <c r="X828" s="88"/>
      <c r="Y828" s="88"/>
    </row>
    <row r="829">
      <c r="A829" s="88"/>
      <c r="B829" s="88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Q829" s="88"/>
      <c r="R829" s="88"/>
      <c r="S829" s="88"/>
      <c r="T829" s="88"/>
      <c r="U829" s="88"/>
      <c r="V829" s="88"/>
      <c r="W829" s="88"/>
      <c r="X829" s="88"/>
      <c r="Y829" s="88"/>
    </row>
    <row r="830">
      <c r="A830" s="88"/>
      <c r="B830" s="88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Q830" s="88"/>
      <c r="R830" s="88"/>
      <c r="S830" s="88"/>
      <c r="T830" s="88"/>
      <c r="U830" s="88"/>
      <c r="V830" s="88"/>
      <c r="W830" s="88"/>
      <c r="X830" s="88"/>
      <c r="Y830" s="88"/>
    </row>
    <row r="831">
      <c r="A831" s="88"/>
      <c r="B831" s="88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Q831" s="88"/>
      <c r="R831" s="88"/>
      <c r="S831" s="88"/>
      <c r="T831" s="88"/>
      <c r="U831" s="88"/>
      <c r="V831" s="88"/>
      <c r="W831" s="88"/>
      <c r="X831" s="88"/>
      <c r="Y831" s="88"/>
    </row>
    <row r="832">
      <c r="A832" s="88"/>
      <c r="B832" s="88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Q832" s="88"/>
      <c r="R832" s="88"/>
      <c r="S832" s="88"/>
      <c r="T832" s="88"/>
      <c r="U832" s="88"/>
      <c r="V832" s="88"/>
      <c r="W832" s="88"/>
      <c r="X832" s="88"/>
      <c r="Y832" s="88"/>
    </row>
    <row r="833">
      <c r="A833" s="88"/>
      <c r="B833" s="88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Q833" s="88"/>
      <c r="R833" s="88"/>
      <c r="S833" s="88"/>
      <c r="T833" s="88"/>
      <c r="U833" s="88"/>
      <c r="V833" s="88"/>
      <c r="W833" s="88"/>
      <c r="X833" s="88"/>
      <c r="Y833" s="88"/>
    </row>
    <row r="834">
      <c r="A834" s="88"/>
      <c r="B834" s="88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Q834" s="88"/>
      <c r="R834" s="88"/>
      <c r="S834" s="88"/>
      <c r="T834" s="88"/>
      <c r="U834" s="88"/>
      <c r="V834" s="88"/>
      <c r="W834" s="88"/>
      <c r="X834" s="88"/>
      <c r="Y834" s="88"/>
    </row>
    <row r="835">
      <c r="A835" s="88"/>
      <c r="B835" s="88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Q835" s="88"/>
      <c r="R835" s="88"/>
      <c r="S835" s="88"/>
      <c r="T835" s="88"/>
      <c r="U835" s="88"/>
      <c r="V835" s="88"/>
      <c r="W835" s="88"/>
      <c r="X835" s="88"/>
      <c r="Y835" s="88"/>
    </row>
    <row r="836">
      <c r="A836" s="88"/>
      <c r="B836" s="88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Q836" s="88"/>
      <c r="R836" s="88"/>
      <c r="S836" s="88"/>
      <c r="T836" s="88"/>
      <c r="U836" s="88"/>
      <c r="V836" s="88"/>
      <c r="W836" s="88"/>
      <c r="X836" s="88"/>
      <c r="Y836" s="88"/>
    </row>
    <row r="837">
      <c r="A837" s="88"/>
      <c r="B837" s="88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Q837" s="88"/>
      <c r="R837" s="88"/>
      <c r="S837" s="88"/>
      <c r="T837" s="88"/>
      <c r="U837" s="88"/>
      <c r="V837" s="88"/>
      <c r="W837" s="88"/>
      <c r="X837" s="88"/>
      <c r="Y837" s="88"/>
    </row>
    <row r="838">
      <c r="A838" s="88"/>
      <c r="B838" s="88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Q838" s="88"/>
      <c r="R838" s="88"/>
      <c r="S838" s="88"/>
      <c r="T838" s="88"/>
      <c r="U838" s="88"/>
      <c r="V838" s="88"/>
      <c r="W838" s="88"/>
      <c r="X838" s="88"/>
      <c r="Y838" s="88"/>
    </row>
    <row r="839">
      <c r="A839" s="88"/>
      <c r="B839" s="88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Q839" s="88"/>
      <c r="R839" s="88"/>
      <c r="S839" s="88"/>
      <c r="T839" s="88"/>
      <c r="U839" s="88"/>
      <c r="V839" s="88"/>
      <c r="W839" s="88"/>
      <c r="X839" s="88"/>
      <c r="Y839" s="88"/>
    </row>
    <row r="840">
      <c r="A840" s="88"/>
      <c r="B840" s="88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Q840" s="88"/>
      <c r="R840" s="88"/>
      <c r="S840" s="88"/>
      <c r="T840" s="88"/>
      <c r="U840" s="88"/>
      <c r="V840" s="88"/>
      <c r="W840" s="88"/>
      <c r="X840" s="88"/>
      <c r="Y840" s="88"/>
    </row>
    <row r="841">
      <c r="A841" s="88"/>
      <c r="B841" s="88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Q841" s="88"/>
      <c r="R841" s="88"/>
      <c r="S841" s="88"/>
      <c r="T841" s="88"/>
      <c r="U841" s="88"/>
      <c r="V841" s="88"/>
      <c r="W841" s="88"/>
      <c r="X841" s="88"/>
      <c r="Y841" s="88"/>
    </row>
    <row r="842">
      <c r="A842" s="88"/>
      <c r="B842" s="88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Q842" s="88"/>
      <c r="R842" s="88"/>
      <c r="S842" s="88"/>
      <c r="T842" s="88"/>
      <c r="U842" s="88"/>
      <c r="V842" s="88"/>
      <c r="W842" s="88"/>
      <c r="X842" s="88"/>
      <c r="Y842" s="88"/>
    </row>
    <row r="843">
      <c r="A843" s="88"/>
      <c r="B843" s="88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Q843" s="88"/>
      <c r="R843" s="88"/>
      <c r="S843" s="88"/>
      <c r="T843" s="88"/>
      <c r="U843" s="88"/>
      <c r="V843" s="88"/>
      <c r="W843" s="88"/>
      <c r="X843" s="88"/>
      <c r="Y843" s="88"/>
    </row>
    <row r="844">
      <c r="A844" s="88"/>
      <c r="B844" s="88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Q844" s="88"/>
      <c r="R844" s="88"/>
      <c r="S844" s="88"/>
      <c r="T844" s="88"/>
      <c r="U844" s="88"/>
      <c r="V844" s="88"/>
      <c r="W844" s="88"/>
      <c r="X844" s="88"/>
      <c r="Y844" s="88"/>
    </row>
    <row r="845">
      <c r="A845" s="88"/>
      <c r="B845" s="88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Q845" s="88"/>
      <c r="R845" s="88"/>
      <c r="S845" s="88"/>
      <c r="T845" s="88"/>
      <c r="U845" s="88"/>
      <c r="V845" s="88"/>
      <c r="W845" s="88"/>
      <c r="X845" s="88"/>
      <c r="Y845" s="88"/>
    </row>
    <row r="846">
      <c r="A846" s="88"/>
      <c r="B846" s="88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Q846" s="88"/>
      <c r="R846" s="88"/>
      <c r="S846" s="88"/>
      <c r="T846" s="88"/>
      <c r="U846" s="88"/>
      <c r="V846" s="88"/>
      <c r="W846" s="88"/>
      <c r="X846" s="88"/>
      <c r="Y846" s="88"/>
    </row>
    <row r="847">
      <c r="A847" s="88"/>
      <c r="B847" s="88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Q847" s="88"/>
      <c r="R847" s="88"/>
      <c r="S847" s="88"/>
      <c r="T847" s="88"/>
      <c r="U847" s="88"/>
      <c r="V847" s="88"/>
      <c r="W847" s="88"/>
      <c r="X847" s="88"/>
      <c r="Y847" s="88"/>
    </row>
    <row r="848">
      <c r="A848" s="88"/>
      <c r="B848" s="88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Q848" s="88"/>
      <c r="R848" s="88"/>
      <c r="S848" s="88"/>
      <c r="T848" s="88"/>
      <c r="U848" s="88"/>
      <c r="V848" s="88"/>
      <c r="W848" s="88"/>
      <c r="X848" s="88"/>
      <c r="Y848" s="88"/>
    </row>
    <row r="849">
      <c r="A849" s="88"/>
      <c r="B849" s="88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Q849" s="88"/>
      <c r="R849" s="88"/>
      <c r="S849" s="88"/>
      <c r="T849" s="88"/>
      <c r="U849" s="88"/>
      <c r="V849" s="88"/>
      <c r="W849" s="88"/>
      <c r="X849" s="88"/>
      <c r="Y849" s="88"/>
    </row>
    <row r="850">
      <c r="A850" s="88"/>
      <c r="B850" s="88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Q850" s="88"/>
      <c r="R850" s="88"/>
      <c r="S850" s="88"/>
      <c r="T850" s="88"/>
      <c r="U850" s="88"/>
      <c r="V850" s="88"/>
      <c r="W850" s="88"/>
      <c r="X850" s="88"/>
      <c r="Y850" s="88"/>
    </row>
    <row r="851">
      <c r="A851" s="88"/>
      <c r="B851" s="88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Q851" s="88"/>
      <c r="R851" s="88"/>
      <c r="S851" s="88"/>
      <c r="T851" s="88"/>
      <c r="U851" s="88"/>
      <c r="V851" s="88"/>
      <c r="W851" s="88"/>
      <c r="X851" s="88"/>
      <c r="Y851" s="88"/>
    </row>
    <row r="852">
      <c r="A852" s="88"/>
      <c r="B852" s="88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Q852" s="88"/>
      <c r="R852" s="88"/>
      <c r="S852" s="88"/>
      <c r="T852" s="88"/>
      <c r="U852" s="88"/>
      <c r="V852" s="88"/>
      <c r="W852" s="88"/>
      <c r="X852" s="88"/>
      <c r="Y852" s="88"/>
    </row>
    <row r="853">
      <c r="A853" s="88"/>
      <c r="B853" s="88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Q853" s="88"/>
      <c r="R853" s="88"/>
      <c r="S853" s="88"/>
      <c r="T853" s="88"/>
      <c r="U853" s="88"/>
      <c r="V853" s="88"/>
      <c r="W853" s="88"/>
      <c r="X853" s="88"/>
      <c r="Y853" s="88"/>
    </row>
    <row r="854">
      <c r="A854" s="88"/>
      <c r="B854" s="88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Q854" s="88"/>
      <c r="R854" s="88"/>
      <c r="S854" s="88"/>
      <c r="T854" s="88"/>
      <c r="U854" s="88"/>
      <c r="V854" s="88"/>
      <c r="W854" s="88"/>
      <c r="X854" s="88"/>
      <c r="Y854" s="88"/>
    </row>
    <row r="855">
      <c r="A855" s="88"/>
      <c r="B855" s="88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Q855" s="88"/>
      <c r="R855" s="88"/>
      <c r="S855" s="88"/>
      <c r="T855" s="88"/>
      <c r="U855" s="88"/>
      <c r="V855" s="88"/>
      <c r="W855" s="88"/>
      <c r="X855" s="88"/>
      <c r="Y855" s="88"/>
    </row>
    <row r="856">
      <c r="A856" s="88"/>
      <c r="B856" s="88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Q856" s="88"/>
      <c r="R856" s="88"/>
      <c r="S856" s="88"/>
      <c r="T856" s="88"/>
      <c r="U856" s="88"/>
      <c r="V856" s="88"/>
      <c r="W856" s="88"/>
      <c r="X856" s="88"/>
      <c r="Y856" s="88"/>
    </row>
    <row r="857">
      <c r="A857" s="88"/>
      <c r="B857" s="88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Q857" s="88"/>
      <c r="R857" s="88"/>
      <c r="S857" s="88"/>
      <c r="T857" s="88"/>
      <c r="U857" s="88"/>
      <c r="V857" s="88"/>
      <c r="W857" s="88"/>
      <c r="X857" s="88"/>
      <c r="Y857" s="88"/>
    </row>
    <row r="858">
      <c r="A858" s="88"/>
      <c r="B858" s="88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Q858" s="88"/>
      <c r="R858" s="88"/>
      <c r="S858" s="88"/>
      <c r="T858" s="88"/>
      <c r="U858" s="88"/>
      <c r="V858" s="88"/>
      <c r="W858" s="88"/>
      <c r="X858" s="88"/>
      <c r="Y858" s="88"/>
    </row>
    <row r="859">
      <c r="A859" s="88"/>
      <c r="B859" s="88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Q859" s="88"/>
      <c r="R859" s="88"/>
      <c r="S859" s="88"/>
      <c r="T859" s="88"/>
      <c r="U859" s="88"/>
      <c r="V859" s="88"/>
      <c r="W859" s="88"/>
      <c r="X859" s="88"/>
      <c r="Y859" s="88"/>
    </row>
    <row r="860">
      <c r="A860" s="88"/>
      <c r="B860" s="88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Q860" s="88"/>
      <c r="R860" s="88"/>
      <c r="S860" s="88"/>
      <c r="T860" s="88"/>
      <c r="U860" s="88"/>
      <c r="V860" s="88"/>
      <c r="W860" s="88"/>
      <c r="X860" s="88"/>
      <c r="Y860" s="88"/>
    </row>
    <row r="861">
      <c r="A861" s="88"/>
      <c r="B861" s="88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Q861" s="88"/>
      <c r="R861" s="88"/>
      <c r="S861" s="88"/>
      <c r="T861" s="88"/>
      <c r="U861" s="88"/>
      <c r="V861" s="88"/>
      <c r="W861" s="88"/>
      <c r="X861" s="88"/>
      <c r="Y861" s="88"/>
    </row>
    <row r="862">
      <c r="A862" s="88"/>
      <c r="B862" s="88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Q862" s="88"/>
      <c r="R862" s="88"/>
      <c r="S862" s="88"/>
      <c r="T862" s="88"/>
      <c r="U862" s="88"/>
      <c r="V862" s="88"/>
      <c r="W862" s="88"/>
      <c r="X862" s="88"/>
      <c r="Y862" s="88"/>
    </row>
    <row r="863">
      <c r="A863" s="88"/>
      <c r="B863" s="88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Q863" s="88"/>
      <c r="R863" s="88"/>
      <c r="S863" s="88"/>
      <c r="T863" s="88"/>
      <c r="U863" s="88"/>
      <c r="V863" s="88"/>
      <c r="W863" s="88"/>
      <c r="X863" s="88"/>
      <c r="Y863" s="88"/>
    </row>
    <row r="864">
      <c r="A864" s="88"/>
      <c r="B864" s="88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Q864" s="88"/>
      <c r="R864" s="88"/>
      <c r="S864" s="88"/>
      <c r="T864" s="88"/>
      <c r="U864" s="88"/>
      <c r="V864" s="88"/>
      <c r="W864" s="88"/>
      <c r="X864" s="88"/>
      <c r="Y864" s="88"/>
    </row>
    <row r="865">
      <c r="A865" s="88"/>
      <c r="B865" s="88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Q865" s="88"/>
      <c r="R865" s="88"/>
      <c r="S865" s="88"/>
      <c r="T865" s="88"/>
      <c r="U865" s="88"/>
      <c r="V865" s="88"/>
      <c r="W865" s="88"/>
      <c r="X865" s="88"/>
      <c r="Y865" s="88"/>
    </row>
    <row r="866">
      <c r="A866" s="88"/>
      <c r="B866" s="88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Q866" s="88"/>
      <c r="R866" s="88"/>
      <c r="S866" s="88"/>
      <c r="T866" s="88"/>
      <c r="U866" s="88"/>
      <c r="V866" s="88"/>
      <c r="W866" s="88"/>
      <c r="X866" s="88"/>
      <c r="Y866" s="88"/>
    </row>
    <row r="867">
      <c r="A867" s="88"/>
      <c r="B867" s="88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Q867" s="88"/>
      <c r="R867" s="88"/>
      <c r="S867" s="88"/>
      <c r="T867" s="88"/>
      <c r="U867" s="88"/>
      <c r="V867" s="88"/>
      <c r="W867" s="88"/>
      <c r="X867" s="88"/>
      <c r="Y867" s="88"/>
    </row>
    <row r="868">
      <c r="A868" s="88"/>
      <c r="B868" s="88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Q868" s="88"/>
      <c r="R868" s="88"/>
      <c r="S868" s="88"/>
      <c r="T868" s="88"/>
      <c r="U868" s="88"/>
      <c r="V868" s="88"/>
      <c r="W868" s="88"/>
      <c r="X868" s="88"/>
      <c r="Y868" s="88"/>
    </row>
    <row r="869">
      <c r="A869" s="88"/>
      <c r="B869" s="88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Q869" s="88"/>
      <c r="R869" s="88"/>
      <c r="S869" s="88"/>
      <c r="T869" s="88"/>
      <c r="U869" s="88"/>
      <c r="V869" s="88"/>
      <c r="W869" s="88"/>
      <c r="X869" s="88"/>
      <c r="Y869" s="88"/>
    </row>
    <row r="870">
      <c r="A870" s="88"/>
      <c r="B870" s="88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Q870" s="88"/>
      <c r="R870" s="88"/>
      <c r="S870" s="88"/>
      <c r="T870" s="88"/>
      <c r="U870" s="88"/>
      <c r="V870" s="88"/>
      <c r="W870" s="88"/>
      <c r="X870" s="88"/>
      <c r="Y870" s="88"/>
    </row>
    <row r="871">
      <c r="A871" s="88"/>
      <c r="B871" s="88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Q871" s="88"/>
      <c r="R871" s="88"/>
      <c r="S871" s="88"/>
      <c r="T871" s="88"/>
      <c r="U871" s="88"/>
      <c r="V871" s="88"/>
      <c r="W871" s="88"/>
      <c r="X871" s="88"/>
      <c r="Y871" s="88"/>
    </row>
    <row r="872">
      <c r="A872" s="88"/>
      <c r="B872" s="88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Q872" s="88"/>
      <c r="R872" s="88"/>
      <c r="S872" s="88"/>
      <c r="T872" s="88"/>
      <c r="U872" s="88"/>
      <c r="V872" s="88"/>
      <c r="W872" s="88"/>
      <c r="X872" s="88"/>
      <c r="Y872" s="88"/>
    </row>
    <row r="873">
      <c r="A873" s="88"/>
      <c r="B873" s="88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Q873" s="88"/>
      <c r="R873" s="88"/>
      <c r="S873" s="88"/>
      <c r="T873" s="88"/>
      <c r="U873" s="88"/>
      <c r="V873" s="88"/>
      <c r="W873" s="88"/>
      <c r="X873" s="88"/>
      <c r="Y873" s="88"/>
    </row>
    <row r="874">
      <c r="A874" s="88"/>
      <c r="B874" s="88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Q874" s="88"/>
      <c r="R874" s="88"/>
      <c r="S874" s="88"/>
      <c r="T874" s="88"/>
      <c r="U874" s="88"/>
      <c r="V874" s="88"/>
      <c r="W874" s="88"/>
      <c r="X874" s="88"/>
      <c r="Y874" s="88"/>
    </row>
    <row r="875">
      <c r="A875" s="88"/>
      <c r="B875" s="88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Q875" s="88"/>
      <c r="R875" s="88"/>
      <c r="S875" s="88"/>
      <c r="T875" s="88"/>
      <c r="U875" s="88"/>
      <c r="V875" s="88"/>
      <c r="W875" s="88"/>
      <c r="X875" s="88"/>
      <c r="Y875" s="88"/>
    </row>
    <row r="876">
      <c r="A876" s="88"/>
      <c r="B876" s="88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Q876" s="88"/>
      <c r="R876" s="88"/>
      <c r="S876" s="88"/>
      <c r="T876" s="88"/>
      <c r="U876" s="88"/>
      <c r="V876" s="88"/>
      <c r="W876" s="88"/>
      <c r="X876" s="88"/>
      <c r="Y876" s="88"/>
    </row>
    <row r="877">
      <c r="A877" s="88"/>
      <c r="B877" s="88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Q877" s="88"/>
      <c r="R877" s="88"/>
      <c r="S877" s="88"/>
      <c r="T877" s="88"/>
      <c r="U877" s="88"/>
      <c r="V877" s="88"/>
      <c r="W877" s="88"/>
      <c r="X877" s="88"/>
      <c r="Y877" s="88"/>
    </row>
    <row r="878">
      <c r="A878" s="88"/>
      <c r="B878" s="88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Q878" s="88"/>
      <c r="R878" s="88"/>
      <c r="S878" s="88"/>
      <c r="T878" s="88"/>
      <c r="U878" s="88"/>
      <c r="V878" s="88"/>
      <c r="W878" s="88"/>
      <c r="X878" s="88"/>
      <c r="Y878" s="88"/>
    </row>
    <row r="879">
      <c r="A879" s="88"/>
      <c r="B879" s="88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Q879" s="88"/>
      <c r="R879" s="88"/>
      <c r="S879" s="88"/>
      <c r="T879" s="88"/>
      <c r="U879" s="88"/>
      <c r="V879" s="88"/>
      <c r="W879" s="88"/>
      <c r="X879" s="88"/>
      <c r="Y879" s="88"/>
    </row>
    <row r="880">
      <c r="A880" s="88"/>
      <c r="B880" s="88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Q880" s="88"/>
      <c r="R880" s="88"/>
      <c r="S880" s="88"/>
      <c r="T880" s="88"/>
      <c r="U880" s="88"/>
      <c r="V880" s="88"/>
      <c r="W880" s="88"/>
      <c r="X880" s="88"/>
      <c r="Y880" s="88"/>
    </row>
    <row r="881">
      <c r="A881" s="88"/>
      <c r="B881" s="88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Q881" s="88"/>
      <c r="R881" s="88"/>
      <c r="S881" s="88"/>
      <c r="T881" s="88"/>
      <c r="U881" s="88"/>
      <c r="V881" s="88"/>
      <c r="W881" s="88"/>
      <c r="X881" s="88"/>
      <c r="Y881" s="88"/>
    </row>
    <row r="882">
      <c r="A882" s="88"/>
      <c r="B882" s="88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Q882" s="88"/>
      <c r="R882" s="88"/>
      <c r="S882" s="88"/>
      <c r="T882" s="88"/>
      <c r="U882" s="88"/>
      <c r="V882" s="88"/>
      <c r="W882" s="88"/>
      <c r="X882" s="88"/>
      <c r="Y882" s="88"/>
    </row>
    <row r="883">
      <c r="A883" s="88"/>
      <c r="B883" s="88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Q883" s="88"/>
      <c r="R883" s="88"/>
      <c r="S883" s="88"/>
      <c r="T883" s="88"/>
      <c r="U883" s="88"/>
      <c r="V883" s="88"/>
      <c r="W883" s="88"/>
      <c r="X883" s="88"/>
      <c r="Y883" s="88"/>
    </row>
    <row r="884">
      <c r="A884" s="88"/>
      <c r="B884" s="88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Q884" s="88"/>
      <c r="R884" s="88"/>
      <c r="S884" s="88"/>
      <c r="T884" s="88"/>
      <c r="U884" s="88"/>
      <c r="V884" s="88"/>
      <c r="W884" s="88"/>
      <c r="X884" s="88"/>
      <c r="Y884" s="88"/>
    </row>
    <row r="885">
      <c r="A885" s="88"/>
      <c r="B885" s="88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Q885" s="88"/>
      <c r="R885" s="88"/>
      <c r="S885" s="88"/>
      <c r="T885" s="88"/>
      <c r="U885" s="88"/>
      <c r="V885" s="88"/>
      <c r="W885" s="88"/>
      <c r="X885" s="88"/>
      <c r="Y885" s="88"/>
    </row>
    <row r="886">
      <c r="A886" s="88"/>
      <c r="B886" s="88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Q886" s="88"/>
      <c r="R886" s="88"/>
      <c r="S886" s="88"/>
      <c r="T886" s="88"/>
      <c r="U886" s="88"/>
      <c r="V886" s="88"/>
      <c r="W886" s="88"/>
      <c r="X886" s="88"/>
      <c r="Y886" s="88"/>
    </row>
    <row r="887">
      <c r="A887" s="88"/>
      <c r="B887" s="88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Q887" s="88"/>
      <c r="R887" s="88"/>
      <c r="S887" s="88"/>
      <c r="T887" s="88"/>
      <c r="U887" s="88"/>
      <c r="V887" s="88"/>
      <c r="W887" s="88"/>
      <c r="X887" s="88"/>
      <c r="Y887" s="88"/>
    </row>
    <row r="888">
      <c r="A888" s="88"/>
      <c r="B888" s="88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Q888" s="88"/>
      <c r="R888" s="88"/>
      <c r="S888" s="88"/>
      <c r="T888" s="88"/>
      <c r="U888" s="88"/>
      <c r="V888" s="88"/>
      <c r="W888" s="88"/>
      <c r="X888" s="88"/>
      <c r="Y888" s="88"/>
    </row>
    <row r="889">
      <c r="A889" s="88"/>
      <c r="B889" s="88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Q889" s="88"/>
      <c r="R889" s="88"/>
      <c r="S889" s="88"/>
      <c r="T889" s="88"/>
      <c r="U889" s="88"/>
      <c r="V889" s="88"/>
      <c r="W889" s="88"/>
      <c r="X889" s="88"/>
      <c r="Y889" s="88"/>
    </row>
    <row r="890">
      <c r="A890" s="88"/>
      <c r="B890" s="88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Q890" s="88"/>
      <c r="R890" s="88"/>
      <c r="S890" s="88"/>
      <c r="T890" s="88"/>
      <c r="U890" s="88"/>
      <c r="V890" s="88"/>
      <c r="W890" s="88"/>
      <c r="X890" s="88"/>
      <c r="Y890" s="88"/>
    </row>
    <row r="891">
      <c r="A891" s="88"/>
      <c r="B891" s="88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Q891" s="88"/>
      <c r="R891" s="88"/>
      <c r="S891" s="88"/>
      <c r="T891" s="88"/>
      <c r="U891" s="88"/>
      <c r="V891" s="88"/>
      <c r="W891" s="88"/>
      <c r="X891" s="88"/>
      <c r="Y891" s="88"/>
    </row>
    <row r="892">
      <c r="A892" s="88"/>
      <c r="B892" s="88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Q892" s="88"/>
      <c r="R892" s="88"/>
      <c r="S892" s="88"/>
      <c r="T892" s="88"/>
      <c r="U892" s="88"/>
      <c r="V892" s="88"/>
      <c r="W892" s="88"/>
      <c r="X892" s="88"/>
      <c r="Y892" s="88"/>
    </row>
    <row r="893">
      <c r="A893" s="88"/>
      <c r="B893" s="88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Q893" s="88"/>
      <c r="R893" s="88"/>
      <c r="S893" s="88"/>
      <c r="T893" s="88"/>
      <c r="U893" s="88"/>
      <c r="V893" s="88"/>
      <c r="W893" s="88"/>
      <c r="X893" s="88"/>
      <c r="Y893" s="88"/>
    </row>
    <row r="894">
      <c r="A894" s="88"/>
      <c r="B894" s="88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Q894" s="88"/>
      <c r="R894" s="88"/>
      <c r="S894" s="88"/>
      <c r="T894" s="88"/>
      <c r="U894" s="88"/>
      <c r="V894" s="88"/>
      <c r="W894" s="88"/>
      <c r="X894" s="88"/>
      <c r="Y894" s="88"/>
    </row>
    <row r="895">
      <c r="A895" s="88"/>
      <c r="B895" s="88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Q895" s="88"/>
      <c r="R895" s="88"/>
      <c r="S895" s="88"/>
      <c r="T895" s="88"/>
      <c r="U895" s="88"/>
      <c r="V895" s="88"/>
      <c r="W895" s="88"/>
      <c r="X895" s="88"/>
      <c r="Y895" s="88"/>
    </row>
    <row r="896">
      <c r="A896" s="88"/>
      <c r="B896" s="88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Q896" s="88"/>
      <c r="R896" s="88"/>
      <c r="S896" s="88"/>
      <c r="T896" s="88"/>
      <c r="U896" s="88"/>
      <c r="V896" s="88"/>
      <c r="W896" s="88"/>
      <c r="X896" s="88"/>
      <c r="Y896" s="88"/>
    </row>
    <row r="897">
      <c r="A897" s="88"/>
      <c r="B897" s="88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Q897" s="88"/>
      <c r="R897" s="88"/>
      <c r="S897" s="88"/>
      <c r="T897" s="88"/>
      <c r="U897" s="88"/>
      <c r="V897" s="88"/>
      <c r="W897" s="88"/>
      <c r="X897" s="88"/>
      <c r="Y897" s="88"/>
    </row>
    <row r="898">
      <c r="A898" s="88"/>
      <c r="B898" s="88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Q898" s="88"/>
      <c r="R898" s="88"/>
      <c r="S898" s="88"/>
      <c r="T898" s="88"/>
      <c r="U898" s="88"/>
      <c r="V898" s="88"/>
      <c r="W898" s="88"/>
      <c r="X898" s="88"/>
      <c r="Y898" s="88"/>
    </row>
    <row r="899">
      <c r="A899" s="88"/>
      <c r="B899" s="88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Q899" s="88"/>
      <c r="R899" s="88"/>
      <c r="S899" s="88"/>
      <c r="T899" s="88"/>
      <c r="U899" s="88"/>
      <c r="V899" s="88"/>
      <c r="W899" s="88"/>
      <c r="X899" s="88"/>
      <c r="Y899" s="88"/>
    </row>
    <row r="900">
      <c r="A900" s="88"/>
      <c r="B900" s="88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Q900" s="88"/>
      <c r="R900" s="88"/>
      <c r="S900" s="88"/>
      <c r="T900" s="88"/>
      <c r="U900" s="88"/>
      <c r="V900" s="88"/>
      <c r="W900" s="88"/>
      <c r="X900" s="88"/>
      <c r="Y900" s="88"/>
    </row>
    <row r="901">
      <c r="A901" s="88"/>
      <c r="B901" s="88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Q901" s="88"/>
      <c r="R901" s="88"/>
      <c r="S901" s="88"/>
      <c r="T901" s="88"/>
      <c r="U901" s="88"/>
      <c r="V901" s="88"/>
      <c r="W901" s="88"/>
      <c r="X901" s="88"/>
      <c r="Y901" s="88"/>
    </row>
    <row r="902">
      <c r="A902" s="88"/>
      <c r="B902" s="88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Q902" s="88"/>
      <c r="R902" s="88"/>
      <c r="S902" s="88"/>
      <c r="T902" s="88"/>
      <c r="U902" s="88"/>
      <c r="V902" s="88"/>
      <c r="W902" s="88"/>
      <c r="X902" s="88"/>
      <c r="Y902" s="88"/>
    </row>
    <row r="903">
      <c r="A903" s="88"/>
      <c r="B903" s="88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Q903" s="88"/>
      <c r="R903" s="88"/>
      <c r="S903" s="88"/>
      <c r="T903" s="88"/>
      <c r="U903" s="88"/>
      <c r="V903" s="88"/>
      <c r="W903" s="88"/>
      <c r="X903" s="88"/>
      <c r="Y903" s="88"/>
    </row>
    <row r="904">
      <c r="A904" s="88"/>
      <c r="B904" s="88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Q904" s="88"/>
      <c r="R904" s="88"/>
      <c r="S904" s="88"/>
      <c r="T904" s="88"/>
      <c r="U904" s="88"/>
      <c r="V904" s="88"/>
      <c r="W904" s="88"/>
      <c r="X904" s="88"/>
      <c r="Y904" s="88"/>
    </row>
    <row r="905">
      <c r="A905" s="88"/>
      <c r="B905" s="88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Q905" s="88"/>
      <c r="R905" s="88"/>
      <c r="S905" s="88"/>
      <c r="T905" s="88"/>
      <c r="U905" s="88"/>
      <c r="V905" s="88"/>
      <c r="W905" s="88"/>
      <c r="X905" s="88"/>
      <c r="Y905" s="88"/>
    </row>
    <row r="906">
      <c r="A906" s="88"/>
      <c r="B906" s="88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Q906" s="88"/>
      <c r="R906" s="88"/>
      <c r="S906" s="88"/>
      <c r="T906" s="88"/>
      <c r="U906" s="88"/>
      <c r="V906" s="88"/>
      <c r="W906" s="88"/>
      <c r="X906" s="88"/>
      <c r="Y906" s="88"/>
    </row>
    <row r="907">
      <c r="A907" s="88"/>
      <c r="B907" s="88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Q907" s="88"/>
      <c r="R907" s="88"/>
      <c r="S907" s="88"/>
      <c r="T907" s="88"/>
      <c r="U907" s="88"/>
      <c r="V907" s="88"/>
      <c r="W907" s="88"/>
      <c r="X907" s="88"/>
      <c r="Y907" s="88"/>
    </row>
    <row r="908">
      <c r="A908" s="88"/>
      <c r="B908" s="88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Q908" s="88"/>
      <c r="R908" s="88"/>
      <c r="S908" s="88"/>
      <c r="T908" s="88"/>
      <c r="U908" s="88"/>
      <c r="V908" s="88"/>
      <c r="W908" s="88"/>
      <c r="X908" s="88"/>
      <c r="Y908" s="88"/>
    </row>
    <row r="909">
      <c r="A909" s="88"/>
      <c r="B909" s="88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Q909" s="88"/>
      <c r="R909" s="88"/>
      <c r="S909" s="88"/>
      <c r="T909" s="88"/>
      <c r="U909" s="88"/>
      <c r="V909" s="88"/>
      <c r="W909" s="88"/>
      <c r="X909" s="88"/>
      <c r="Y909" s="88"/>
    </row>
    <row r="910">
      <c r="A910" s="88"/>
      <c r="B910" s="88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Q910" s="88"/>
      <c r="R910" s="88"/>
      <c r="S910" s="88"/>
      <c r="T910" s="88"/>
      <c r="U910" s="88"/>
      <c r="V910" s="88"/>
      <c r="W910" s="88"/>
      <c r="X910" s="88"/>
      <c r="Y910" s="88"/>
    </row>
    <row r="911">
      <c r="A911" s="88"/>
      <c r="B911" s="88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Q911" s="88"/>
      <c r="R911" s="88"/>
      <c r="S911" s="88"/>
      <c r="T911" s="88"/>
      <c r="U911" s="88"/>
      <c r="V911" s="88"/>
      <c r="W911" s="88"/>
      <c r="X911" s="88"/>
      <c r="Y911" s="88"/>
    </row>
    <row r="912">
      <c r="A912" s="88"/>
      <c r="B912" s="88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Q912" s="88"/>
      <c r="R912" s="88"/>
      <c r="S912" s="88"/>
      <c r="T912" s="88"/>
      <c r="U912" s="88"/>
      <c r="V912" s="88"/>
      <c r="W912" s="88"/>
      <c r="X912" s="88"/>
      <c r="Y912" s="88"/>
    </row>
    <row r="913">
      <c r="A913" s="88"/>
      <c r="B913" s="88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Q913" s="88"/>
      <c r="R913" s="88"/>
      <c r="S913" s="88"/>
      <c r="T913" s="88"/>
      <c r="U913" s="88"/>
      <c r="V913" s="88"/>
      <c r="W913" s="88"/>
      <c r="X913" s="88"/>
      <c r="Y913" s="88"/>
    </row>
    <row r="914">
      <c r="A914" s="88"/>
      <c r="B914" s="88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Q914" s="88"/>
      <c r="R914" s="88"/>
      <c r="S914" s="88"/>
      <c r="T914" s="88"/>
      <c r="U914" s="88"/>
      <c r="V914" s="88"/>
      <c r="W914" s="88"/>
      <c r="X914" s="88"/>
      <c r="Y914" s="88"/>
    </row>
    <row r="915">
      <c r="A915" s="88"/>
      <c r="B915" s="88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Q915" s="88"/>
      <c r="R915" s="88"/>
      <c r="S915" s="88"/>
      <c r="T915" s="88"/>
      <c r="U915" s="88"/>
      <c r="V915" s="88"/>
      <c r="W915" s="88"/>
      <c r="X915" s="88"/>
      <c r="Y915" s="88"/>
    </row>
    <row r="916">
      <c r="A916" s="88"/>
      <c r="B916" s="88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Q916" s="88"/>
      <c r="R916" s="88"/>
      <c r="S916" s="88"/>
      <c r="T916" s="88"/>
      <c r="U916" s="88"/>
      <c r="V916" s="88"/>
      <c r="W916" s="88"/>
      <c r="X916" s="88"/>
      <c r="Y916" s="88"/>
    </row>
    <row r="917">
      <c r="A917" s="88"/>
      <c r="B917" s="88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Q917" s="88"/>
      <c r="R917" s="88"/>
      <c r="S917" s="88"/>
      <c r="T917" s="88"/>
      <c r="U917" s="88"/>
      <c r="V917" s="88"/>
      <c r="W917" s="88"/>
      <c r="X917" s="88"/>
      <c r="Y917" s="88"/>
    </row>
    <row r="918">
      <c r="A918" s="88"/>
      <c r="B918" s="88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Q918" s="88"/>
      <c r="R918" s="88"/>
      <c r="S918" s="88"/>
      <c r="T918" s="88"/>
      <c r="U918" s="88"/>
      <c r="V918" s="88"/>
      <c r="W918" s="88"/>
      <c r="X918" s="88"/>
      <c r="Y918" s="88"/>
    </row>
    <row r="919">
      <c r="A919" s="88"/>
      <c r="B919" s="88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Q919" s="88"/>
      <c r="R919" s="88"/>
      <c r="S919" s="88"/>
      <c r="T919" s="88"/>
      <c r="U919" s="88"/>
      <c r="V919" s="88"/>
      <c r="W919" s="88"/>
      <c r="X919" s="88"/>
      <c r="Y919" s="88"/>
    </row>
    <row r="920">
      <c r="A920" s="88"/>
      <c r="B920" s="88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Q920" s="88"/>
      <c r="R920" s="88"/>
      <c r="S920" s="88"/>
      <c r="T920" s="88"/>
      <c r="U920" s="88"/>
      <c r="V920" s="88"/>
      <c r="W920" s="88"/>
      <c r="X920" s="88"/>
      <c r="Y920" s="88"/>
    </row>
    <row r="921">
      <c r="A921" s="88"/>
      <c r="B921" s="88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Q921" s="88"/>
      <c r="R921" s="88"/>
      <c r="S921" s="88"/>
      <c r="T921" s="88"/>
      <c r="U921" s="88"/>
      <c r="V921" s="88"/>
      <c r="W921" s="88"/>
      <c r="X921" s="88"/>
      <c r="Y921" s="88"/>
    </row>
    <row r="922">
      <c r="A922" s="88"/>
      <c r="B922" s="88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Q922" s="88"/>
      <c r="R922" s="88"/>
      <c r="S922" s="88"/>
      <c r="T922" s="88"/>
      <c r="U922" s="88"/>
      <c r="V922" s="88"/>
      <c r="W922" s="88"/>
      <c r="X922" s="88"/>
      <c r="Y922" s="88"/>
    </row>
    <row r="923">
      <c r="A923" s="88"/>
      <c r="B923" s="88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Q923" s="88"/>
      <c r="R923" s="88"/>
      <c r="S923" s="88"/>
      <c r="T923" s="88"/>
      <c r="U923" s="88"/>
      <c r="V923" s="88"/>
      <c r="W923" s="88"/>
      <c r="X923" s="88"/>
      <c r="Y923" s="88"/>
    </row>
    <row r="924">
      <c r="A924" s="88"/>
      <c r="B924" s="88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Q924" s="88"/>
      <c r="R924" s="88"/>
      <c r="S924" s="88"/>
      <c r="T924" s="88"/>
      <c r="U924" s="88"/>
      <c r="V924" s="88"/>
      <c r="W924" s="88"/>
      <c r="X924" s="88"/>
      <c r="Y924" s="88"/>
    </row>
    <row r="925">
      <c r="A925" s="88"/>
      <c r="B925" s="88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Q925" s="88"/>
      <c r="R925" s="88"/>
      <c r="S925" s="88"/>
      <c r="T925" s="88"/>
      <c r="U925" s="88"/>
      <c r="V925" s="88"/>
      <c r="W925" s="88"/>
      <c r="X925" s="88"/>
      <c r="Y925" s="88"/>
    </row>
    <row r="926">
      <c r="A926" s="88"/>
      <c r="B926" s="88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Q926" s="88"/>
      <c r="R926" s="88"/>
      <c r="S926" s="88"/>
      <c r="T926" s="88"/>
      <c r="U926" s="88"/>
      <c r="V926" s="88"/>
      <c r="W926" s="88"/>
      <c r="X926" s="88"/>
      <c r="Y926" s="88"/>
    </row>
    <row r="927">
      <c r="A927" s="88"/>
      <c r="B927" s="88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Q927" s="88"/>
      <c r="R927" s="88"/>
      <c r="S927" s="88"/>
      <c r="T927" s="88"/>
      <c r="U927" s="88"/>
      <c r="V927" s="88"/>
      <c r="W927" s="88"/>
      <c r="X927" s="88"/>
      <c r="Y927" s="88"/>
    </row>
    <row r="928">
      <c r="A928" s="88"/>
      <c r="B928" s="88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Q928" s="88"/>
      <c r="R928" s="88"/>
      <c r="S928" s="88"/>
      <c r="T928" s="88"/>
      <c r="U928" s="88"/>
      <c r="V928" s="88"/>
      <c r="W928" s="88"/>
      <c r="X928" s="88"/>
      <c r="Y928" s="88"/>
    </row>
    <row r="929">
      <c r="A929" s="88"/>
      <c r="B929" s="88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Q929" s="88"/>
      <c r="R929" s="88"/>
      <c r="S929" s="88"/>
      <c r="T929" s="88"/>
      <c r="U929" s="88"/>
      <c r="V929" s="88"/>
      <c r="W929" s="88"/>
      <c r="X929" s="88"/>
      <c r="Y929" s="88"/>
    </row>
    <row r="930">
      <c r="A930" s="88"/>
      <c r="B930" s="88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Q930" s="88"/>
      <c r="R930" s="88"/>
      <c r="S930" s="88"/>
      <c r="T930" s="88"/>
      <c r="U930" s="88"/>
      <c r="V930" s="88"/>
      <c r="W930" s="88"/>
      <c r="X930" s="88"/>
      <c r="Y930" s="88"/>
    </row>
    <row r="931">
      <c r="A931" s="88"/>
      <c r="B931" s="88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Q931" s="88"/>
      <c r="R931" s="88"/>
      <c r="S931" s="88"/>
      <c r="T931" s="88"/>
      <c r="U931" s="88"/>
      <c r="V931" s="88"/>
      <c r="W931" s="88"/>
      <c r="X931" s="88"/>
      <c r="Y931" s="88"/>
    </row>
    <row r="932">
      <c r="A932" s="88"/>
      <c r="B932" s="88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Q932" s="88"/>
      <c r="R932" s="88"/>
      <c r="S932" s="88"/>
      <c r="T932" s="88"/>
      <c r="U932" s="88"/>
      <c r="V932" s="88"/>
      <c r="W932" s="88"/>
      <c r="X932" s="88"/>
      <c r="Y932" s="88"/>
    </row>
    <row r="933">
      <c r="A933" s="88"/>
      <c r="B933" s="88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Q933" s="88"/>
      <c r="R933" s="88"/>
      <c r="S933" s="88"/>
      <c r="T933" s="88"/>
      <c r="U933" s="88"/>
      <c r="V933" s="88"/>
      <c r="W933" s="88"/>
      <c r="X933" s="88"/>
      <c r="Y933" s="88"/>
    </row>
    <row r="934">
      <c r="A934" s="88"/>
      <c r="B934" s="88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Q934" s="88"/>
      <c r="R934" s="88"/>
      <c r="S934" s="88"/>
      <c r="T934" s="88"/>
      <c r="U934" s="88"/>
      <c r="V934" s="88"/>
      <c r="W934" s="88"/>
      <c r="X934" s="88"/>
      <c r="Y934" s="88"/>
    </row>
    <row r="935">
      <c r="A935" s="88"/>
      <c r="B935" s="88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Q935" s="88"/>
      <c r="R935" s="88"/>
      <c r="S935" s="88"/>
      <c r="T935" s="88"/>
      <c r="U935" s="88"/>
      <c r="V935" s="88"/>
      <c r="W935" s="88"/>
      <c r="X935" s="88"/>
      <c r="Y935" s="88"/>
    </row>
    <row r="936">
      <c r="A936" s="88"/>
      <c r="B936" s="88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Q936" s="88"/>
      <c r="R936" s="88"/>
      <c r="S936" s="88"/>
      <c r="T936" s="88"/>
      <c r="U936" s="88"/>
      <c r="V936" s="88"/>
      <c r="W936" s="88"/>
      <c r="X936" s="88"/>
      <c r="Y936" s="88"/>
    </row>
    <row r="937">
      <c r="A937" s="88"/>
      <c r="B937" s="88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Q937" s="88"/>
      <c r="R937" s="88"/>
      <c r="S937" s="88"/>
      <c r="T937" s="88"/>
      <c r="U937" s="88"/>
      <c r="V937" s="88"/>
      <c r="W937" s="88"/>
      <c r="X937" s="88"/>
      <c r="Y937" s="88"/>
    </row>
    <row r="938">
      <c r="A938" s="88"/>
      <c r="B938" s="88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Q938" s="88"/>
      <c r="R938" s="88"/>
      <c r="S938" s="88"/>
      <c r="T938" s="88"/>
      <c r="U938" s="88"/>
      <c r="V938" s="88"/>
      <c r="W938" s="88"/>
      <c r="X938" s="88"/>
      <c r="Y938" s="88"/>
    </row>
    <row r="939">
      <c r="A939" s="88"/>
      <c r="B939" s="88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Q939" s="88"/>
      <c r="R939" s="88"/>
      <c r="S939" s="88"/>
      <c r="T939" s="88"/>
      <c r="U939" s="88"/>
      <c r="V939" s="88"/>
      <c r="W939" s="88"/>
      <c r="X939" s="88"/>
      <c r="Y939" s="88"/>
    </row>
    <row r="940">
      <c r="A940" s="88"/>
      <c r="B940" s="88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Q940" s="88"/>
      <c r="R940" s="88"/>
      <c r="S940" s="88"/>
      <c r="T940" s="88"/>
      <c r="U940" s="88"/>
      <c r="V940" s="88"/>
      <c r="W940" s="88"/>
      <c r="X940" s="88"/>
      <c r="Y940" s="88"/>
    </row>
    <row r="941">
      <c r="A941" s="88"/>
      <c r="B941" s="88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Q941" s="88"/>
      <c r="R941" s="88"/>
      <c r="S941" s="88"/>
      <c r="T941" s="88"/>
      <c r="U941" s="88"/>
      <c r="V941" s="88"/>
      <c r="W941" s="88"/>
      <c r="X941" s="88"/>
      <c r="Y941" s="88"/>
    </row>
    <row r="942">
      <c r="A942" s="88"/>
      <c r="B942" s="88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Q942" s="88"/>
      <c r="R942" s="88"/>
      <c r="S942" s="88"/>
      <c r="T942" s="88"/>
      <c r="U942" s="88"/>
      <c r="V942" s="88"/>
      <c r="W942" s="88"/>
      <c r="X942" s="88"/>
      <c r="Y942" s="88"/>
    </row>
    <row r="943">
      <c r="A943" s="88"/>
      <c r="B943" s="88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Q943" s="88"/>
      <c r="R943" s="88"/>
      <c r="S943" s="88"/>
      <c r="T943" s="88"/>
      <c r="U943" s="88"/>
      <c r="V943" s="88"/>
      <c r="W943" s="88"/>
      <c r="X943" s="88"/>
      <c r="Y943" s="88"/>
    </row>
    <row r="944">
      <c r="A944" s="88"/>
      <c r="B944" s="88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Q944" s="88"/>
      <c r="R944" s="88"/>
      <c r="S944" s="88"/>
      <c r="T944" s="88"/>
      <c r="U944" s="88"/>
      <c r="V944" s="88"/>
      <c r="W944" s="88"/>
      <c r="X944" s="88"/>
      <c r="Y944" s="88"/>
    </row>
    <row r="945">
      <c r="A945" s="88"/>
      <c r="B945" s="88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Q945" s="88"/>
      <c r="R945" s="88"/>
      <c r="S945" s="88"/>
      <c r="T945" s="88"/>
      <c r="U945" s="88"/>
      <c r="V945" s="88"/>
      <c r="W945" s="88"/>
      <c r="X945" s="88"/>
      <c r="Y945" s="88"/>
    </row>
    <row r="946">
      <c r="A946" s="88"/>
      <c r="B946" s="88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Q946" s="88"/>
      <c r="R946" s="88"/>
      <c r="S946" s="88"/>
      <c r="T946" s="88"/>
      <c r="U946" s="88"/>
      <c r="V946" s="88"/>
      <c r="W946" s="88"/>
      <c r="X946" s="88"/>
      <c r="Y946" s="88"/>
    </row>
    <row r="947">
      <c r="A947" s="88"/>
      <c r="B947" s="88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Q947" s="88"/>
      <c r="R947" s="88"/>
      <c r="S947" s="88"/>
      <c r="T947" s="88"/>
      <c r="U947" s="88"/>
      <c r="V947" s="88"/>
      <c r="W947" s="88"/>
      <c r="X947" s="88"/>
      <c r="Y947" s="88"/>
    </row>
    <row r="948">
      <c r="A948" s="88"/>
      <c r="B948" s="88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Q948" s="88"/>
      <c r="R948" s="88"/>
      <c r="S948" s="88"/>
      <c r="T948" s="88"/>
      <c r="U948" s="88"/>
      <c r="V948" s="88"/>
      <c r="W948" s="88"/>
      <c r="X948" s="88"/>
      <c r="Y948" s="88"/>
    </row>
    <row r="949">
      <c r="A949" s="88"/>
      <c r="B949" s="88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Q949" s="88"/>
      <c r="R949" s="88"/>
      <c r="S949" s="88"/>
      <c r="T949" s="88"/>
      <c r="U949" s="88"/>
      <c r="V949" s="88"/>
      <c r="W949" s="88"/>
      <c r="X949" s="88"/>
      <c r="Y949" s="88"/>
    </row>
    <row r="950">
      <c r="A950" s="88"/>
      <c r="B950" s="88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Q950" s="88"/>
      <c r="R950" s="88"/>
      <c r="S950" s="88"/>
      <c r="T950" s="88"/>
      <c r="U950" s="88"/>
      <c r="V950" s="88"/>
      <c r="W950" s="88"/>
      <c r="X950" s="88"/>
      <c r="Y950" s="88"/>
    </row>
    <row r="951">
      <c r="A951" s="88"/>
      <c r="B951" s="88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Q951" s="88"/>
      <c r="R951" s="88"/>
      <c r="S951" s="88"/>
      <c r="T951" s="88"/>
      <c r="U951" s="88"/>
      <c r="V951" s="88"/>
      <c r="W951" s="88"/>
      <c r="X951" s="88"/>
      <c r="Y951" s="88"/>
    </row>
    <row r="952">
      <c r="A952" s="88"/>
      <c r="B952" s="88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Q952" s="88"/>
      <c r="R952" s="88"/>
      <c r="S952" s="88"/>
      <c r="T952" s="88"/>
      <c r="U952" s="88"/>
      <c r="V952" s="88"/>
      <c r="W952" s="88"/>
      <c r="X952" s="88"/>
      <c r="Y952" s="88"/>
    </row>
    <row r="953">
      <c r="A953" s="88"/>
      <c r="B953" s="88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Q953" s="88"/>
      <c r="R953" s="88"/>
      <c r="S953" s="88"/>
      <c r="T953" s="88"/>
      <c r="U953" s="88"/>
      <c r="V953" s="88"/>
      <c r="W953" s="88"/>
      <c r="X953" s="88"/>
      <c r="Y953" s="88"/>
    </row>
    <row r="954">
      <c r="A954" s="88"/>
      <c r="B954" s="88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Q954" s="88"/>
      <c r="R954" s="88"/>
      <c r="S954" s="88"/>
      <c r="T954" s="88"/>
      <c r="U954" s="88"/>
      <c r="V954" s="88"/>
      <c r="W954" s="88"/>
      <c r="X954" s="88"/>
      <c r="Y954" s="88"/>
    </row>
    <row r="955">
      <c r="A955" s="88"/>
      <c r="B955" s="88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Q955" s="88"/>
      <c r="R955" s="88"/>
      <c r="S955" s="88"/>
      <c r="T955" s="88"/>
      <c r="U955" s="88"/>
      <c r="V955" s="88"/>
      <c r="W955" s="88"/>
      <c r="X955" s="88"/>
      <c r="Y955" s="88"/>
    </row>
    <row r="956">
      <c r="A956" s="88"/>
      <c r="B956" s="88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Q956" s="88"/>
      <c r="R956" s="88"/>
      <c r="S956" s="88"/>
      <c r="T956" s="88"/>
      <c r="U956" s="88"/>
      <c r="V956" s="88"/>
      <c r="W956" s="88"/>
      <c r="X956" s="88"/>
      <c r="Y956" s="88"/>
    </row>
    <row r="957">
      <c r="A957" s="88"/>
      <c r="B957" s="88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Q957" s="88"/>
      <c r="R957" s="88"/>
      <c r="S957" s="88"/>
      <c r="T957" s="88"/>
      <c r="U957" s="88"/>
      <c r="V957" s="88"/>
      <c r="W957" s="88"/>
      <c r="X957" s="88"/>
      <c r="Y957" s="88"/>
    </row>
    <row r="958">
      <c r="A958" s="88"/>
      <c r="B958" s="88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Q958" s="88"/>
      <c r="R958" s="88"/>
      <c r="S958" s="88"/>
      <c r="T958" s="88"/>
      <c r="U958" s="88"/>
      <c r="V958" s="88"/>
      <c r="W958" s="88"/>
      <c r="X958" s="88"/>
      <c r="Y958" s="88"/>
    </row>
    <row r="959">
      <c r="A959" s="88"/>
      <c r="B959" s="88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Q959" s="88"/>
      <c r="R959" s="88"/>
      <c r="S959" s="88"/>
      <c r="T959" s="88"/>
      <c r="U959" s="88"/>
      <c r="V959" s="88"/>
      <c r="W959" s="88"/>
      <c r="X959" s="88"/>
      <c r="Y959" s="88"/>
    </row>
    <row r="960">
      <c r="A960" s="88"/>
      <c r="B960" s="88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Q960" s="88"/>
      <c r="R960" s="88"/>
      <c r="S960" s="88"/>
      <c r="T960" s="88"/>
      <c r="U960" s="88"/>
      <c r="V960" s="88"/>
      <c r="W960" s="88"/>
      <c r="X960" s="88"/>
      <c r="Y960" s="88"/>
    </row>
    <row r="961">
      <c r="A961" s="88"/>
      <c r="B961" s="88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Q961" s="88"/>
      <c r="R961" s="88"/>
      <c r="S961" s="88"/>
      <c r="T961" s="88"/>
      <c r="U961" s="88"/>
      <c r="V961" s="88"/>
      <c r="W961" s="88"/>
      <c r="X961" s="88"/>
      <c r="Y961" s="88"/>
    </row>
    <row r="962">
      <c r="A962" s="88"/>
      <c r="B962" s="88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Q962" s="88"/>
      <c r="R962" s="88"/>
      <c r="S962" s="88"/>
      <c r="T962" s="88"/>
      <c r="U962" s="88"/>
      <c r="V962" s="88"/>
      <c r="W962" s="88"/>
      <c r="X962" s="88"/>
      <c r="Y962" s="88"/>
    </row>
    <row r="963">
      <c r="A963" s="88"/>
      <c r="B963" s="88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Q963" s="88"/>
      <c r="R963" s="88"/>
      <c r="S963" s="88"/>
      <c r="T963" s="88"/>
      <c r="U963" s="88"/>
      <c r="V963" s="88"/>
      <c r="W963" s="88"/>
      <c r="X963" s="88"/>
      <c r="Y963" s="88"/>
    </row>
    <row r="964">
      <c r="A964" s="88"/>
      <c r="B964" s="88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Q964" s="88"/>
      <c r="R964" s="88"/>
      <c r="S964" s="88"/>
      <c r="T964" s="88"/>
      <c r="U964" s="88"/>
      <c r="V964" s="88"/>
      <c r="W964" s="88"/>
      <c r="X964" s="88"/>
      <c r="Y964" s="88"/>
    </row>
    <row r="965">
      <c r="A965" s="88"/>
      <c r="B965" s="88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Q965" s="88"/>
      <c r="R965" s="88"/>
      <c r="S965" s="88"/>
      <c r="T965" s="88"/>
      <c r="U965" s="88"/>
      <c r="V965" s="88"/>
      <c r="W965" s="88"/>
      <c r="X965" s="88"/>
      <c r="Y965" s="88"/>
    </row>
    <row r="966">
      <c r="A966" s="88"/>
      <c r="B966" s="88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Q966" s="88"/>
      <c r="R966" s="88"/>
      <c r="S966" s="88"/>
      <c r="T966" s="88"/>
      <c r="U966" s="88"/>
      <c r="V966" s="88"/>
      <c r="W966" s="88"/>
      <c r="X966" s="88"/>
      <c r="Y966" s="88"/>
    </row>
    <row r="967">
      <c r="A967" s="88"/>
      <c r="B967" s="88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Q967" s="88"/>
      <c r="R967" s="88"/>
      <c r="S967" s="88"/>
      <c r="T967" s="88"/>
      <c r="U967" s="88"/>
      <c r="V967" s="88"/>
      <c r="W967" s="88"/>
      <c r="X967" s="88"/>
      <c r="Y967" s="88"/>
    </row>
    <row r="968">
      <c r="A968" s="88"/>
      <c r="B968" s="88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Q968" s="88"/>
      <c r="R968" s="88"/>
      <c r="S968" s="88"/>
      <c r="T968" s="88"/>
      <c r="U968" s="88"/>
      <c r="V968" s="88"/>
      <c r="W968" s="88"/>
      <c r="X968" s="88"/>
      <c r="Y968" s="88"/>
    </row>
    <row r="969">
      <c r="A969" s="88"/>
      <c r="B969" s="88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Q969" s="88"/>
      <c r="R969" s="88"/>
      <c r="S969" s="88"/>
      <c r="T969" s="88"/>
      <c r="U969" s="88"/>
      <c r="V969" s="88"/>
      <c r="W969" s="88"/>
      <c r="X969" s="88"/>
      <c r="Y969" s="88"/>
    </row>
    <row r="970">
      <c r="A970" s="88"/>
      <c r="B970" s="88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Q970" s="88"/>
      <c r="R970" s="88"/>
      <c r="S970" s="88"/>
      <c r="T970" s="88"/>
      <c r="U970" s="88"/>
      <c r="V970" s="88"/>
      <c r="W970" s="88"/>
      <c r="X970" s="88"/>
      <c r="Y970" s="88"/>
    </row>
    <row r="971">
      <c r="A971" s="88"/>
      <c r="B971" s="88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Q971" s="88"/>
      <c r="R971" s="88"/>
      <c r="S971" s="88"/>
      <c r="T971" s="88"/>
      <c r="U971" s="88"/>
      <c r="V971" s="88"/>
      <c r="W971" s="88"/>
      <c r="X971" s="88"/>
      <c r="Y971" s="88"/>
    </row>
    <row r="972">
      <c r="A972" s="88"/>
      <c r="B972" s="88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Q972" s="88"/>
      <c r="R972" s="88"/>
      <c r="S972" s="88"/>
      <c r="T972" s="88"/>
      <c r="U972" s="88"/>
      <c r="V972" s="88"/>
      <c r="W972" s="88"/>
      <c r="X972" s="88"/>
      <c r="Y972" s="88"/>
    </row>
    <row r="973">
      <c r="A973" s="88"/>
      <c r="B973" s="88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Q973" s="88"/>
      <c r="R973" s="88"/>
      <c r="S973" s="88"/>
      <c r="T973" s="88"/>
      <c r="U973" s="88"/>
      <c r="V973" s="88"/>
      <c r="W973" s="88"/>
      <c r="X973" s="88"/>
      <c r="Y973" s="88"/>
    </row>
    <row r="974">
      <c r="A974" s="88"/>
      <c r="B974" s="88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Q974" s="88"/>
      <c r="R974" s="88"/>
      <c r="S974" s="88"/>
      <c r="T974" s="88"/>
      <c r="U974" s="88"/>
      <c r="V974" s="88"/>
      <c r="W974" s="88"/>
      <c r="X974" s="88"/>
      <c r="Y974" s="88"/>
    </row>
    <row r="975">
      <c r="A975" s="88"/>
      <c r="B975" s="88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Q975" s="88"/>
      <c r="R975" s="88"/>
      <c r="S975" s="88"/>
      <c r="T975" s="88"/>
      <c r="U975" s="88"/>
      <c r="V975" s="88"/>
      <c r="W975" s="88"/>
      <c r="X975" s="88"/>
      <c r="Y975" s="88"/>
    </row>
    <row r="976">
      <c r="A976" s="88"/>
      <c r="B976" s="88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Q976" s="88"/>
      <c r="R976" s="88"/>
      <c r="S976" s="88"/>
      <c r="T976" s="88"/>
      <c r="U976" s="88"/>
      <c r="V976" s="88"/>
      <c r="W976" s="88"/>
      <c r="X976" s="88"/>
      <c r="Y976" s="88"/>
    </row>
    <row r="977">
      <c r="A977" s="88"/>
      <c r="B977" s="88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Q977" s="88"/>
      <c r="R977" s="88"/>
      <c r="S977" s="88"/>
      <c r="T977" s="88"/>
      <c r="U977" s="88"/>
      <c r="V977" s="88"/>
      <c r="W977" s="88"/>
      <c r="X977" s="88"/>
      <c r="Y977" s="88"/>
    </row>
    <row r="978">
      <c r="A978" s="88"/>
      <c r="B978" s="88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Q978" s="88"/>
      <c r="R978" s="88"/>
      <c r="S978" s="88"/>
      <c r="T978" s="88"/>
      <c r="U978" s="88"/>
      <c r="V978" s="88"/>
      <c r="W978" s="88"/>
      <c r="X978" s="88"/>
      <c r="Y978" s="88"/>
    </row>
    <row r="979">
      <c r="A979" s="88"/>
      <c r="B979" s="88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Q979" s="88"/>
      <c r="R979" s="88"/>
      <c r="S979" s="88"/>
      <c r="T979" s="88"/>
      <c r="U979" s="88"/>
      <c r="V979" s="88"/>
      <c r="W979" s="88"/>
      <c r="X979" s="88"/>
      <c r="Y979" s="88"/>
    </row>
    <row r="980">
      <c r="A980" s="88"/>
      <c r="B980" s="88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Q980" s="88"/>
      <c r="R980" s="88"/>
      <c r="S980" s="88"/>
      <c r="T980" s="88"/>
      <c r="U980" s="88"/>
      <c r="V980" s="88"/>
      <c r="W980" s="88"/>
      <c r="X980" s="88"/>
      <c r="Y980" s="88"/>
    </row>
    <row r="981">
      <c r="A981" s="88"/>
      <c r="B981" s="88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Q981" s="88"/>
      <c r="R981" s="88"/>
      <c r="S981" s="88"/>
      <c r="T981" s="88"/>
      <c r="U981" s="88"/>
      <c r="V981" s="88"/>
      <c r="W981" s="88"/>
      <c r="X981" s="88"/>
      <c r="Y981" s="88"/>
    </row>
    <row r="982">
      <c r="A982" s="88"/>
      <c r="B982" s="88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Q982" s="88"/>
      <c r="R982" s="88"/>
      <c r="S982" s="88"/>
      <c r="T982" s="88"/>
      <c r="U982" s="88"/>
      <c r="V982" s="88"/>
      <c r="W982" s="88"/>
      <c r="X982" s="88"/>
      <c r="Y982" s="88"/>
    </row>
    <row r="983">
      <c r="A983" s="88"/>
      <c r="B983" s="88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Q983" s="88"/>
      <c r="R983" s="88"/>
      <c r="S983" s="88"/>
      <c r="T983" s="88"/>
      <c r="U983" s="88"/>
      <c r="V983" s="88"/>
      <c r="W983" s="88"/>
      <c r="X983" s="88"/>
      <c r="Y983" s="88"/>
    </row>
    <row r="984">
      <c r="A984" s="88"/>
      <c r="B984" s="88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Q984" s="88"/>
      <c r="R984" s="88"/>
      <c r="S984" s="88"/>
      <c r="T984" s="88"/>
      <c r="U984" s="88"/>
      <c r="V984" s="88"/>
      <c r="W984" s="88"/>
      <c r="X984" s="88"/>
      <c r="Y984" s="88"/>
    </row>
    <row r="985">
      <c r="A985" s="88"/>
      <c r="B985" s="88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Q985" s="88"/>
      <c r="R985" s="88"/>
      <c r="S985" s="88"/>
      <c r="T985" s="88"/>
      <c r="U985" s="88"/>
      <c r="V985" s="88"/>
      <c r="W985" s="88"/>
      <c r="X985" s="88"/>
      <c r="Y985" s="88"/>
    </row>
    <row r="986">
      <c r="A986" s="88"/>
      <c r="B986" s="88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Q986" s="88"/>
      <c r="R986" s="88"/>
      <c r="S986" s="88"/>
      <c r="T986" s="88"/>
      <c r="U986" s="88"/>
      <c r="V986" s="88"/>
      <c r="W986" s="88"/>
      <c r="X986" s="88"/>
      <c r="Y986" s="88"/>
    </row>
    <row r="987">
      <c r="A987" s="88"/>
      <c r="B987" s="88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Q987" s="88"/>
      <c r="R987" s="88"/>
      <c r="S987" s="88"/>
      <c r="T987" s="88"/>
      <c r="U987" s="88"/>
      <c r="V987" s="88"/>
      <c r="W987" s="88"/>
      <c r="X987" s="88"/>
      <c r="Y987" s="88"/>
    </row>
    <row r="988">
      <c r="A988" s="88"/>
      <c r="B988" s="88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Q988" s="88"/>
      <c r="R988" s="88"/>
      <c r="S988" s="88"/>
      <c r="T988" s="88"/>
      <c r="U988" s="88"/>
      <c r="V988" s="88"/>
      <c r="W988" s="88"/>
      <c r="X988" s="88"/>
      <c r="Y988" s="88"/>
    </row>
    <row r="989">
      <c r="A989" s="88"/>
      <c r="B989" s="88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Q989" s="88"/>
      <c r="R989" s="88"/>
      <c r="S989" s="88"/>
      <c r="T989" s="88"/>
      <c r="U989" s="88"/>
      <c r="V989" s="88"/>
      <c r="W989" s="88"/>
      <c r="X989" s="88"/>
      <c r="Y989" s="88"/>
    </row>
    <row r="990">
      <c r="A990" s="88"/>
      <c r="B990" s="88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Q990" s="88"/>
      <c r="R990" s="88"/>
      <c r="S990" s="88"/>
      <c r="T990" s="88"/>
      <c r="U990" s="88"/>
      <c r="V990" s="88"/>
      <c r="W990" s="88"/>
      <c r="X990" s="88"/>
      <c r="Y990" s="88"/>
    </row>
    <row r="991">
      <c r="A991" s="88"/>
      <c r="B991" s="88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Q991" s="88"/>
      <c r="R991" s="88"/>
      <c r="S991" s="88"/>
      <c r="T991" s="88"/>
      <c r="U991" s="88"/>
      <c r="V991" s="88"/>
      <c r="W991" s="88"/>
      <c r="X991" s="88"/>
      <c r="Y991" s="88"/>
    </row>
    <row r="992">
      <c r="A992" s="88"/>
      <c r="B992" s="88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Q992" s="88"/>
      <c r="R992" s="88"/>
      <c r="S992" s="88"/>
      <c r="T992" s="88"/>
      <c r="U992" s="88"/>
      <c r="V992" s="88"/>
      <c r="W992" s="88"/>
      <c r="X992" s="88"/>
      <c r="Y992" s="88"/>
    </row>
    <row r="993">
      <c r="A993" s="88"/>
      <c r="B993" s="88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Q993" s="88"/>
      <c r="R993" s="88"/>
      <c r="S993" s="88"/>
      <c r="T993" s="88"/>
      <c r="U993" s="88"/>
      <c r="V993" s="88"/>
      <c r="W993" s="88"/>
      <c r="X993" s="88"/>
      <c r="Y993" s="88"/>
    </row>
    <row r="994">
      <c r="A994" s="88"/>
      <c r="B994" s="88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Q994" s="88"/>
      <c r="R994" s="88"/>
      <c r="S994" s="88"/>
      <c r="T994" s="88"/>
      <c r="U994" s="88"/>
      <c r="V994" s="88"/>
      <c r="W994" s="88"/>
      <c r="X994" s="88"/>
      <c r="Y994" s="88"/>
    </row>
    <row r="995">
      <c r="A995" s="88"/>
      <c r="B995" s="88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Q995" s="88"/>
      <c r="R995" s="88"/>
      <c r="S995" s="88"/>
      <c r="T995" s="88"/>
      <c r="U995" s="88"/>
      <c r="V995" s="88"/>
      <c r="W995" s="88"/>
      <c r="X995" s="88"/>
      <c r="Y995" s="88"/>
    </row>
    <row r="996">
      <c r="A996" s="88"/>
      <c r="B996" s="88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Q996" s="88"/>
      <c r="R996" s="88"/>
      <c r="S996" s="88"/>
      <c r="T996" s="88"/>
      <c r="U996" s="88"/>
      <c r="V996" s="88"/>
      <c r="W996" s="88"/>
      <c r="X996" s="88"/>
      <c r="Y996" s="88"/>
    </row>
    <row r="997">
      <c r="A997" s="88"/>
      <c r="B997" s="88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Q997" s="88"/>
      <c r="R997" s="88"/>
      <c r="S997" s="88"/>
      <c r="T997" s="88"/>
      <c r="U997" s="88"/>
      <c r="V997" s="88"/>
      <c r="W997" s="88"/>
      <c r="X997" s="88"/>
      <c r="Y997" s="88"/>
    </row>
    <row r="998">
      <c r="A998" s="88"/>
      <c r="B998" s="88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Q998" s="88"/>
      <c r="R998" s="88"/>
      <c r="S998" s="88"/>
      <c r="T998" s="88"/>
      <c r="U998" s="88"/>
      <c r="V998" s="88"/>
      <c r="W998" s="88"/>
      <c r="X998" s="88"/>
      <c r="Y998" s="88"/>
    </row>
    <row r="999">
      <c r="A999" s="88"/>
      <c r="B999" s="88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Q999" s="88"/>
      <c r="R999" s="88"/>
      <c r="S999" s="88"/>
      <c r="T999" s="88"/>
      <c r="U999" s="88"/>
      <c r="V999" s="88"/>
      <c r="W999" s="88"/>
      <c r="X999" s="88"/>
      <c r="Y999" s="88"/>
    </row>
    <row r="1000">
      <c r="A1000" s="88"/>
      <c r="B1000" s="88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Q1000" s="88"/>
      <c r="R1000" s="88"/>
      <c r="S1000" s="88"/>
      <c r="T1000" s="88"/>
      <c r="U1000" s="88"/>
      <c r="V1000" s="88"/>
      <c r="W1000" s="88"/>
      <c r="X1000" s="88"/>
      <c r="Y1000" s="88"/>
    </row>
    <row r="1001">
      <c r="A1001" s="88"/>
      <c r="B1001" s="88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Q1001" s="88"/>
      <c r="R1001" s="88"/>
      <c r="S1001" s="88"/>
      <c r="T1001" s="88"/>
      <c r="U1001" s="88"/>
      <c r="V1001" s="88"/>
      <c r="W1001" s="88"/>
      <c r="X1001" s="88"/>
      <c r="Y1001" s="88"/>
    </row>
    <row r="1002">
      <c r="A1002" s="88"/>
      <c r="B1002" s="88"/>
      <c r="C1002" s="88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Q1002" s="88"/>
      <c r="R1002" s="88"/>
      <c r="S1002" s="88"/>
      <c r="T1002" s="88"/>
      <c r="U1002" s="88"/>
      <c r="V1002" s="88"/>
      <c r="W1002" s="88"/>
      <c r="X1002" s="88"/>
      <c r="Y1002" s="88"/>
    </row>
    <row r="1003">
      <c r="A1003" s="88"/>
      <c r="B1003" s="88"/>
      <c r="C1003" s="88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Q1003" s="88"/>
      <c r="R1003" s="88"/>
      <c r="S1003" s="88"/>
      <c r="T1003" s="88"/>
      <c r="U1003" s="88"/>
      <c r="V1003" s="88"/>
      <c r="W1003" s="88"/>
      <c r="X1003" s="88"/>
      <c r="Y1003" s="88"/>
    </row>
    <row r="1004">
      <c r="A1004" s="88"/>
      <c r="B1004" s="88"/>
      <c r="C1004" s="88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Q1004" s="88"/>
      <c r="R1004" s="88"/>
      <c r="S1004" s="88"/>
      <c r="T1004" s="88"/>
      <c r="U1004" s="88"/>
      <c r="V1004" s="88"/>
      <c r="W1004" s="88"/>
      <c r="X1004" s="88"/>
      <c r="Y1004" s="88"/>
    </row>
    <row r="1005">
      <c r="A1005" s="88"/>
      <c r="B1005" s="88"/>
      <c r="C1005" s="88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Q1005" s="88"/>
      <c r="R1005" s="88"/>
      <c r="S1005" s="88"/>
      <c r="T1005" s="88"/>
      <c r="U1005" s="88"/>
      <c r="V1005" s="88"/>
      <c r="W1005" s="88"/>
      <c r="X1005" s="88"/>
      <c r="Y1005" s="88"/>
    </row>
    <row r="1006">
      <c r="A1006" s="88"/>
      <c r="B1006" s="88"/>
      <c r="C1006" s="88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Q1006" s="88"/>
      <c r="R1006" s="88"/>
      <c r="S1006" s="88"/>
      <c r="T1006" s="88"/>
      <c r="U1006" s="88"/>
      <c r="V1006" s="88"/>
      <c r="W1006" s="88"/>
      <c r="X1006" s="88"/>
      <c r="Y1006" s="88"/>
    </row>
    <row r="1007">
      <c r="A1007" s="88"/>
      <c r="B1007" s="88"/>
      <c r="C1007" s="88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Q1007" s="88"/>
      <c r="R1007" s="88"/>
      <c r="S1007" s="88"/>
      <c r="T1007" s="88"/>
      <c r="U1007" s="88"/>
      <c r="V1007" s="88"/>
      <c r="W1007" s="88"/>
      <c r="X1007" s="88"/>
      <c r="Y1007" s="88"/>
    </row>
    <row r="1008">
      <c r="A1008" s="140"/>
      <c r="B1008" s="88"/>
      <c r="C1008" s="88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Q1008" s="88"/>
      <c r="R1008" s="88"/>
      <c r="S1008" s="88"/>
      <c r="T1008" s="88"/>
      <c r="U1008" s="88"/>
      <c r="V1008" s="88"/>
      <c r="W1008" s="88"/>
      <c r="X1008" s="88"/>
      <c r="Y1008" s="88"/>
    </row>
    <row r="1009">
      <c r="Q1009" s="88"/>
      <c r="R1009" s="88"/>
      <c r="S1009" s="88"/>
      <c r="T1009" s="88"/>
      <c r="U1009" s="88"/>
      <c r="V1009" s="88"/>
      <c r="W1009" s="88"/>
      <c r="X1009" s="88"/>
      <c r="Y1009" s="88"/>
    </row>
    <row r="1010">
      <c r="Q1010" s="88"/>
      <c r="R1010" s="88"/>
      <c r="S1010" s="88"/>
      <c r="T1010" s="88"/>
      <c r="U1010" s="88"/>
      <c r="V1010" s="88"/>
      <c r="W1010" s="88"/>
      <c r="X1010" s="88"/>
      <c r="Y1010" s="88"/>
    </row>
    <row r="1011">
      <c r="Q1011" s="88"/>
      <c r="R1011" s="88"/>
      <c r="S1011" s="88"/>
      <c r="T1011" s="88"/>
      <c r="U1011" s="88"/>
      <c r="V1011" s="88"/>
      <c r="W1011" s="88"/>
      <c r="X1011" s="88"/>
      <c r="Y1011" s="88"/>
    </row>
    <row r="1012">
      <c r="Q1012" s="88"/>
      <c r="R1012" s="88"/>
      <c r="S1012" s="88"/>
      <c r="T1012" s="88"/>
      <c r="U1012" s="88"/>
      <c r="V1012" s="88"/>
      <c r="W1012" s="88"/>
      <c r="X1012" s="88"/>
      <c r="Y1012" s="88"/>
    </row>
    <row r="1013">
      <c r="Q1013" s="88"/>
      <c r="R1013" s="88"/>
      <c r="S1013" s="88"/>
      <c r="T1013" s="88"/>
      <c r="U1013" s="88"/>
      <c r="V1013" s="88"/>
      <c r="W1013" s="88"/>
      <c r="X1013" s="88"/>
      <c r="Y1013" s="88"/>
    </row>
    <row r="1014">
      <c r="Q1014" s="88"/>
      <c r="R1014" s="88"/>
      <c r="S1014" s="88"/>
      <c r="T1014" s="88"/>
      <c r="U1014" s="88"/>
      <c r="V1014" s="88"/>
      <c r="W1014" s="88"/>
      <c r="X1014" s="88"/>
      <c r="Y1014" s="88"/>
    </row>
    <row r="1015">
      <c r="Q1015" s="88"/>
      <c r="R1015" s="88"/>
      <c r="S1015" s="88"/>
      <c r="T1015" s="88"/>
      <c r="U1015" s="88"/>
      <c r="V1015" s="88"/>
      <c r="W1015" s="88"/>
      <c r="X1015" s="88"/>
      <c r="Y1015" s="88"/>
    </row>
  </sheetData>
  <mergeCells count="1">
    <mergeCell ref="A1:F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A86E8"/>
    <outlinePr summaryBelow="0" summaryRight="0"/>
  </sheetPr>
  <sheetViews>
    <sheetView workbookViewId="0"/>
  </sheetViews>
  <sheetFormatPr customHeight="1" defaultColWidth="12.63" defaultRowHeight="15.75"/>
  <cols>
    <col customWidth="1" min="1" max="25" width="29.38"/>
  </cols>
  <sheetData>
    <row r="1">
      <c r="A1" s="253"/>
      <c r="B1" s="253"/>
      <c r="C1" s="253"/>
      <c r="D1" s="253"/>
      <c r="E1" s="253"/>
      <c r="F1" s="253"/>
      <c r="G1" s="253"/>
      <c r="H1" s="253"/>
      <c r="J1" s="254" t="s">
        <v>812</v>
      </c>
      <c r="K1" s="254" t="s">
        <v>813</v>
      </c>
      <c r="L1" s="253"/>
      <c r="M1" s="253"/>
      <c r="N1" s="253"/>
      <c r="O1" s="253"/>
      <c r="P1" s="253"/>
      <c r="Q1" s="253"/>
      <c r="R1" s="253"/>
      <c r="S1" s="253"/>
      <c r="T1" s="253"/>
      <c r="U1" s="253"/>
      <c r="V1" s="253"/>
      <c r="W1" s="253"/>
      <c r="X1" s="253"/>
      <c r="Y1" s="253"/>
    </row>
    <row r="2">
      <c r="A2" s="254" t="s">
        <v>814</v>
      </c>
      <c r="B2" s="254" t="s">
        <v>815</v>
      </c>
      <c r="C2" s="254" t="s">
        <v>328</v>
      </c>
      <c r="D2" s="254" t="s">
        <v>816</v>
      </c>
      <c r="E2" s="254" t="s">
        <v>2</v>
      </c>
      <c r="F2" s="254" t="s">
        <v>4</v>
      </c>
      <c r="G2" s="254" t="s">
        <v>43</v>
      </c>
      <c r="H2" s="254" t="s">
        <v>14</v>
      </c>
      <c r="I2" s="254" t="s">
        <v>7</v>
      </c>
      <c r="K2" s="253">
        <f>SUM(D3:D1000)</f>
        <v>187.90652</v>
      </c>
      <c r="L2" s="253"/>
      <c r="M2" s="253"/>
      <c r="N2" s="253"/>
      <c r="O2" s="253"/>
      <c r="P2" s="253"/>
      <c r="Q2" s="253"/>
      <c r="R2" s="253"/>
      <c r="S2" s="253"/>
      <c r="T2" s="253"/>
      <c r="U2" s="253"/>
      <c r="V2" s="253"/>
      <c r="W2" s="253"/>
      <c r="X2" s="253"/>
      <c r="Y2" s="253"/>
    </row>
    <row r="3">
      <c r="A3" s="254" t="s">
        <v>817</v>
      </c>
      <c r="B3" s="254">
        <v>19.99</v>
      </c>
      <c r="C3" s="254">
        <f t="shared" ref="C3:C21" si="1">B3*1.13</f>
        <v>22.5887</v>
      </c>
      <c r="D3" s="253">
        <f t="shared" ref="D3:D40" si="2">(C3/5)</f>
        <v>4.51774</v>
      </c>
      <c r="E3" s="254" t="s">
        <v>10</v>
      </c>
      <c r="F3" s="254" t="s">
        <v>10</v>
      </c>
      <c r="G3" s="254" t="s">
        <v>10</v>
      </c>
      <c r="H3" s="254" t="s">
        <v>10</v>
      </c>
      <c r="I3" s="254" t="s">
        <v>10</v>
      </c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53"/>
      <c r="U3" s="253"/>
      <c r="V3" s="253"/>
      <c r="W3" s="253"/>
      <c r="X3" s="253"/>
      <c r="Y3" s="253"/>
    </row>
    <row r="4">
      <c r="A4" s="254" t="s">
        <v>727</v>
      </c>
      <c r="B4" s="254">
        <v>9.99</v>
      </c>
      <c r="C4" s="254">
        <f t="shared" si="1"/>
        <v>11.2887</v>
      </c>
      <c r="D4" s="253">
        <f t="shared" si="2"/>
        <v>2.25774</v>
      </c>
      <c r="E4" s="254" t="s">
        <v>10</v>
      </c>
      <c r="F4" s="254" t="s">
        <v>10</v>
      </c>
      <c r="G4" s="254" t="s">
        <v>10</v>
      </c>
      <c r="H4" s="254" t="s">
        <v>10</v>
      </c>
      <c r="I4" s="254" t="s">
        <v>10</v>
      </c>
      <c r="J4" s="253"/>
      <c r="K4" s="253"/>
      <c r="L4" s="253"/>
      <c r="M4" s="253"/>
      <c r="N4" s="253"/>
      <c r="O4" s="253"/>
      <c r="P4" s="253"/>
      <c r="Q4" s="253"/>
      <c r="R4" s="253"/>
      <c r="S4" s="253"/>
      <c r="T4" s="253"/>
      <c r="U4" s="253"/>
      <c r="V4" s="253"/>
      <c r="W4" s="253"/>
      <c r="X4" s="253"/>
      <c r="Y4" s="253"/>
    </row>
    <row r="5">
      <c r="A5" s="254" t="s">
        <v>818</v>
      </c>
      <c r="B5" s="254">
        <v>59.99</v>
      </c>
      <c r="C5" s="254">
        <f t="shared" si="1"/>
        <v>67.7887</v>
      </c>
      <c r="D5" s="253">
        <f t="shared" si="2"/>
        <v>13.55774</v>
      </c>
      <c r="E5" s="254" t="s">
        <v>10</v>
      </c>
      <c r="F5" s="254" t="s">
        <v>10</v>
      </c>
      <c r="G5" s="254" t="s">
        <v>10</v>
      </c>
      <c r="H5" s="254" t="s">
        <v>10</v>
      </c>
      <c r="I5" s="254" t="s">
        <v>10</v>
      </c>
      <c r="J5" s="253"/>
      <c r="K5" s="253"/>
      <c r="L5" s="253"/>
      <c r="M5" s="253"/>
      <c r="N5" s="253"/>
      <c r="O5" s="253"/>
      <c r="P5" s="253"/>
      <c r="Q5" s="253"/>
      <c r="R5" s="253"/>
      <c r="S5" s="253"/>
      <c r="T5" s="253"/>
      <c r="U5" s="253"/>
      <c r="V5" s="253"/>
      <c r="W5" s="253"/>
      <c r="X5" s="253"/>
      <c r="Y5" s="253"/>
    </row>
    <row r="6">
      <c r="A6" s="254" t="s">
        <v>498</v>
      </c>
      <c r="B6" s="254">
        <v>9.99</v>
      </c>
      <c r="C6" s="254">
        <f t="shared" si="1"/>
        <v>11.2887</v>
      </c>
      <c r="D6" s="253">
        <f t="shared" si="2"/>
        <v>2.25774</v>
      </c>
      <c r="E6" s="254" t="s">
        <v>10</v>
      </c>
      <c r="F6" s="254" t="s">
        <v>10</v>
      </c>
      <c r="G6" s="254" t="s">
        <v>10</v>
      </c>
      <c r="H6" s="254" t="s">
        <v>10</v>
      </c>
      <c r="I6" s="254" t="s">
        <v>10</v>
      </c>
      <c r="J6" s="253"/>
      <c r="K6" s="253"/>
      <c r="L6" s="253"/>
      <c r="M6" s="253"/>
      <c r="N6" s="253"/>
      <c r="O6" s="253"/>
      <c r="P6" s="253"/>
      <c r="Q6" s="253"/>
      <c r="R6" s="253"/>
      <c r="S6" s="253"/>
      <c r="T6" s="253"/>
      <c r="U6" s="253"/>
      <c r="V6" s="253"/>
      <c r="W6" s="253"/>
      <c r="X6" s="253"/>
      <c r="Y6" s="253"/>
    </row>
    <row r="7">
      <c r="A7" s="254" t="s">
        <v>819</v>
      </c>
      <c r="B7" s="254">
        <v>19.99</v>
      </c>
      <c r="C7" s="254">
        <f t="shared" si="1"/>
        <v>22.5887</v>
      </c>
      <c r="D7" s="253">
        <f t="shared" si="2"/>
        <v>4.51774</v>
      </c>
      <c r="E7" s="254" t="s">
        <v>10</v>
      </c>
      <c r="F7" s="254" t="s">
        <v>10</v>
      </c>
      <c r="G7" s="254" t="s">
        <v>10</v>
      </c>
      <c r="H7" s="254" t="s">
        <v>10</v>
      </c>
      <c r="I7" s="254" t="s">
        <v>10</v>
      </c>
      <c r="J7" s="253"/>
      <c r="K7" s="253"/>
      <c r="L7" s="253"/>
      <c r="M7" s="253"/>
      <c r="N7" s="253"/>
      <c r="O7" s="253"/>
      <c r="P7" s="253"/>
      <c r="Q7" s="253"/>
      <c r="R7" s="253"/>
      <c r="S7" s="253"/>
      <c r="T7" s="253"/>
      <c r="U7" s="253"/>
      <c r="V7" s="253"/>
      <c r="W7" s="253"/>
      <c r="X7" s="253"/>
      <c r="Y7" s="253"/>
    </row>
    <row r="8">
      <c r="A8" s="254" t="s">
        <v>820</v>
      </c>
      <c r="B8" s="254">
        <v>5.49</v>
      </c>
      <c r="C8" s="254">
        <f t="shared" si="1"/>
        <v>6.2037</v>
      </c>
      <c r="D8" s="253">
        <f t="shared" si="2"/>
        <v>1.24074</v>
      </c>
      <c r="E8" s="254" t="s">
        <v>10</v>
      </c>
      <c r="F8" s="254" t="s">
        <v>10</v>
      </c>
      <c r="G8" s="254" t="s">
        <v>10</v>
      </c>
      <c r="H8" s="254" t="s">
        <v>10</v>
      </c>
      <c r="I8" s="254" t="s">
        <v>10</v>
      </c>
      <c r="J8" s="253"/>
      <c r="K8" s="253"/>
      <c r="L8" s="253"/>
      <c r="M8" s="253"/>
      <c r="N8" s="253"/>
      <c r="O8" s="253"/>
      <c r="P8" s="253"/>
      <c r="Q8" s="253"/>
      <c r="R8" s="253"/>
      <c r="S8" s="253"/>
      <c r="T8" s="253"/>
      <c r="U8" s="253"/>
      <c r="V8" s="253"/>
      <c r="W8" s="253"/>
      <c r="X8" s="253"/>
      <c r="Y8" s="253"/>
    </row>
    <row r="9">
      <c r="A9" s="254" t="s">
        <v>821</v>
      </c>
      <c r="B9" s="254">
        <v>16.99</v>
      </c>
      <c r="C9" s="254">
        <f t="shared" si="1"/>
        <v>19.1987</v>
      </c>
      <c r="D9" s="253">
        <f t="shared" si="2"/>
        <v>3.83974</v>
      </c>
      <c r="E9" s="254" t="s">
        <v>10</v>
      </c>
      <c r="F9" s="254" t="s">
        <v>10</v>
      </c>
      <c r="G9" s="254" t="s">
        <v>10</v>
      </c>
      <c r="H9" s="254" t="s">
        <v>10</v>
      </c>
      <c r="I9" s="254" t="s">
        <v>10</v>
      </c>
      <c r="J9" s="253"/>
      <c r="K9" s="253"/>
      <c r="L9" s="253"/>
      <c r="M9" s="253"/>
      <c r="N9" s="253"/>
      <c r="O9" s="253"/>
      <c r="P9" s="253"/>
      <c r="Q9" s="253"/>
      <c r="R9" s="253"/>
      <c r="S9" s="253"/>
      <c r="T9" s="253"/>
      <c r="U9" s="253"/>
      <c r="V9" s="253"/>
      <c r="W9" s="253"/>
      <c r="X9" s="253"/>
      <c r="Y9" s="253"/>
    </row>
    <row r="10">
      <c r="A10" s="254" t="s">
        <v>822</v>
      </c>
      <c r="B10" s="254">
        <v>1.49</v>
      </c>
      <c r="C10" s="254">
        <f t="shared" si="1"/>
        <v>1.6837</v>
      </c>
      <c r="D10" s="253">
        <f t="shared" si="2"/>
        <v>0.33674</v>
      </c>
      <c r="E10" s="254" t="s">
        <v>10</v>
      </c>
      <c r="F10" s="254" t="s">
        <v>10</v>
      </c>
      <c r="G10" s="254" t="s">
        <v>10</v>
      </c>
      <c r="H10" s="254" t="s">
        <v>10</v>
      </c>
      <c r="I10" s="254" t="s">
        <v>10</v>
      </c>
      <c r="J10" s="253"/>
      <c r="K10" s="253"/>
      <c r="L10" s="253"/>
      <c r="M10" s="253"/>
      <c r="N10" s="253"/>
      <c r="O10" s="253"/>
      <c r="P10" s="253"/>
      <c r="Q10" s="253"/>
      <c r="R10" s="253"/>
      <c r="S10" s="253"/>
      <c r="T10" s="253"/>
      <c r="U10" s="253"/>
      <c r="V10" s="253"/>
      <c r="W10" s="253"/>
      <c r="X10" s="253"/>
      <c r="Y10" s="253"/>
    </row>
    <row r="11">
      <c r="A11" s="254" t="s">
        <v>823</v>
      </c>
      <c r="B11" s="254">
        <v>24.99</v>
      </c>
      <c r="C11" s="254">
        <f t="shared" si="1"/>
        <v>28.2387</v>
      </c>
      <c r="D11" s="253">
        <f t="shared" si="2"/>
        <v>5.64774</v>
      </c>
      <c r="E11" s="254" t="s">
        <v>10</v>
      </c>
      <c r="F11" s="254" t="s">
        <v>10</v>
      </c>
      <c r="G11" s="254" t="s">
        <v>10</v>
      </c>
      <c r="H11" s="254" t="s">
        <v>10</v>
      </c>
      <c r="I11" s="254" t="s">
        <v>10</v>
      </c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3"/>
      <c r="U11" s="253"/>
      <c r="V11" s="253"/>
      <c r="W11" s="253"/>
      <c r="X11" s="253"/>
      <c r="Y11" s="253"/>
    </row>
    <row r="12">
      <c r="A12" s="255" t="s">
        <v>824</v>
      </c>
      <c r="B12" s="254">
        <v>8.0</v>
      </c>
      <c r="C12" s="254">
        <f t="shared" si="1"/>
        <v>9.04</v>
      </c>
      <c r="D12" s="253">
        <f t="shared" si="2"/>
        <v>1.808</v>
      </c>
      <c r="E12" s="254" t="s">
        <v>10</v>
      </c>
      <c r="F12" s="254" t="s">
        <v>10</v>
      </c>
      <c r="G12" s="254" t="s">
        <v>10</v>
      </c>
      <c r="H12" s="254" t="s">
        <v>10</v>
      </c>
      <c r="I12" s="254" t="s">
        <v>10</v>
      </c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</row>
    <row r="13">
      <c r="A13" s="255" t="s">
        <v>825</v>
      </c>
      <c r="B13" s="254">
        <v>1.69</v>
      </c>
      <c r="C13" s="254">
        <f t="shared" si="1"/>
        <v>1.9097</v>
      </c>
      <c r="D13" s="253">
        <f t="shared" si="2"/>
        <v>0.38194</v>
      </c>
      <c r="E13" s="254" t="s">
        <v>10</v>
      </c>
      <c r="F13" s="254" t="s">
        <v>10</v>
      </c>
      <c r="G13" s="254" t="s">
        <v>10</v>
      </c>
      <c r="H13" s="254" t="s">
        <v>10</v>
      </c>
      <c r="I13" s="254" t="s">
        <v>10</v>
      </c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3"/>
      <c r="U13" s="253"/>
      <c r="V13" s="253"/>
      <c r="W13" s="253"/>
      <c r="X13" s="253"/>
      <c r="Y13" s="253"/>
    </row>
    <row r="14">
      <c r="A14" s="254" t="s">
        <v>826</v>
      </c>
      <c r="B14" s="254">
        <v>6.49</v>
      </c>
      <c r="C14" s="254">
        <f t="shared" si="1"/>
        <v>7.3337</v>
      </c>
      <c r="D14" s="253">
        <f t="shared" si="2"/>
        <v>1.46674</v>
      </c>
      <c r="E14" s="254" t="s">
        <v>10</v>
      </c>
      <c r="F14" s="254" t="s">
        <v>10</v>
      </c>
      <c r="G14" s="254" t="s">
        <v>10</v>
      </c>
      <c r="H14" s="254" t="s">
        <v>10</v>
      </c>
      <c r="I14" s="254" t="s">
        <v>10</v>
      </c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3"/>
      <c r="U14" s="253"/>
      <c r="V14" s="253"/>
      <c r="W14" s="253"/>
      <c r="X14" s="253"/>
      <c r="Y14" s="253"/>
    </row>
    <row r="15">
      <c r="A15" s="254" t="s">
        <v>827</v>
      </c>
      <c r="B15" s="254">
        <v>3.99</v>
      </c>
      <c r="C15" s="254">
        <f t="shared" si="1"/>
        <v>4.5087</v>
      </c>
      <c r="D15" s="253">
        <f t="shared" si="2"/>
        <v>0.90174</v>
      </c>
      <c r="E15" s="254" t="s">
        <v>10</v>
      </c>
      <c r="F15" s="254" t="s">
        <v>10</v>
      </c>
      <c r="G15" s="254" t="s">
        <v>10</v>
      </c>
      <c r="H15" s="254" t="s">
        <v>10</v>
      </c>
      <c r="I15" s="254" t="s">
        <v>10</v>
      </c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</row>
    <row r="16">
      <c r="A16" s="254" t="s">
        <v>828</v>
      </c>
      <c r="B16" s="254">
        <v>9.78</v>
      </c>
      <c r="C16" s="254">
        <f t="shared" si="1"/>
        <v>11.0514</v>
      </c>
      <c r="D16" s="253">
        <f t="shared" si="2"/>
        <v>2.21028</v>
      </c>
      <c r="E16" s="254" t="s">
        <v>10</v>
      </c>
      <c r="F16" s="254" t="s">
        <v>10</v>
      </c>
      <c r="G16" s="254" t="s">
        <v>10</v>
      </c>
      <c r="H16" s="254" t="s">
        <v>10</v>
      </c>
      <c r="I16" s="254" t="s">
        <v>10</v>
      </c>
      <c r="J16" s="253"/>
      <c r="K16" s="253"/>
      <c r="L16" s="253"/>
      <c r="M16" s="253"/>
      <c r="N16" s="253"/>
      <c r="O16" s="253"/>
      <c r="P16" s="253"/>
      <c r="Q16" s="253"/>
      <c r="R16" s="253"/>
      <c r="S16" s="253"/>
      <c r="T16" s="253"/>
      <c r="U16" s="253"/>
      <c r="V16" s="253"/>
      <c r="W16" s="253"/>
      <c r="X16" s="253"/>
      <c r="Y16" s="253"/>
    </row>
    <row r="17">
      <c r="A17" s="254" t="s">
        <v>829</v>
      </c>
      <c r="B17" s="254">
        <v>12.59</v>
      </c>
      <c r="C17" s="254">
        <f t="shared" si="1"/>
        <v>14.2267</v>
      </c>
      <c r="D17" s="253">
        <f t="shared" si="2"/>
        <v>2.84534</v>
      </c>
      <c r="E17" s="254" t="s">
        <v>10</v>
      </c>
      <c r="F17" s="254" t="s">
        <v>10</v>
      </c>
      <c r="G17" s="254" t="s">
        <v>10</v>
      </c>
      <c r="H17" s="254" t="s">
        <v>10</v>
      </c>
      <c r="I17" s="254" t="s">
        <v>10</v>
      </c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3"/>
      <c r="U17" s="253"/>
      <c r="V17" s="253"/>
      <c r="W17" s="253"/>
      <c r="X17" s="253"/>
      <c r="Y17" s="253"/>
    </row>
    <row r="18">
      <c r="A18" s="254" t="s">
        <v>830</v>
      </c>
      <c r="B18" s="254">
        <v>10.98</v>
      </c>
      <c r="C18" s="254">
        <f t="shared" si="1"/>
        <v>12.4074</v>
      </c>
      <c r="D18" s="253">
        <f t="shared" si="2"/>
        <v>2.48148</v>
      </c>
      <c r="E18" s="254" t="s">
        <v>10</v>
      </c>
      <c r="F18" s="254" t="s">
        <v>10</v>
      </c>
      <c r="G18" s="254" t="s">
        <v>10</v>
      </c>
      <c r="H18" s="254" t="s">
        <v>10</v>
      </c>
      <c r="I18" s="254" t="s">
        <v>10</v>
      </c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</row>
    <row r="19">
      <c r="A19" s="254" t="s">
        <v>831</v>
      </c>
      <c r="B19" s="254">
        <v>4.0</v>
      </c>
      <c r="C19" s="254">
        <f t="shared" si="1"/>
        <v>4.52</v>
      </c>
      <c r="D19" s="253">
        <f t="shared" si="2"/>
        <v>0.904</v>
      </c>
      <c r="E19" s="254" t="s">
        <v>10</v>
      </c>
      <c r="F19" s="254" t="s">
        <v>10</v>
      </c>
      <c r="G19" s="254" t="s">
        <v>10</v>
      </c>
      <c r="H19" s="254" t="s">
        <v>10</v>
      </c>
      <c r="I19" s="254" t="s">
        <v>10</v>
      </c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</row>
    <row r="20">
      <c r="A20" s="254" t="s">
        <v>832</v>
      </c>
      <c r="B20" s="254">
        <v>3.38</v>
      </c>
      <c r="C20" s="254">
        <f t="shared" si="1"/>
        <v>3.8194</v>
      </c>
      <c r="D20" s="253">
        <f t="shared" si="2"/>
        <v>0.76388</v>
      </c>
      <c r="E20" s="254" t="s">
        <v>10</v>
      </c>
      <c r="F20" s="254" t="s">
        <v>10</v>
      </c>
      <c r="G20" s="254" t="s">
        <v>10</v>
      </c>
      <c r="H20" s="254" t="s">
        <v>10</v>
      </c>
      <c r="I20" s="254" t="s">
        <v>10</v>
      </c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3"/>
      <c r="U20" s="253"/>
      <c r="V20" s="253"/>
      <c r="W20" s="253"/>
      <c r="X20" s="253"/>
      <c r="Y20" s="253"/>
    </row>
    <row r="21">
      <c r="A21" s="254" t="s">
        <v>833</v>
      </c>
      <c r="B21" s="12">
        <v>58.0</v>
      </c>
      <c r="C21" s="254">
        <f t="shared" si="1"/>
        <v>65.54</v>
      </c>
      <c r="D21" s="253">
        <f t="shared" si="2"/>
        <v>13.108</v>
      </c>
      <c r="E21" s="254" t="s">
        <v>10</v>
      </c>
      <c r="F21" s="254" t="s">
        <v>10</v>
      </c>
      <c r="G21" s="254" t="s">
        <v>10</v>
      </c>
      <c r="H21" s="254" t="s">
        <v>10</v>
      </c>
      <c r="I21" s="254" t="s">
        <v>10</v>
      </c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3"/>
      <c r="U21" s="253"/>
      <c r="V21" s="253"/>
      <c r="W21" s="253"/>
      <c r="X21" s="253"/>
      <c r="Y21" s="253"/>
    </row>
    <row r="22">
      <c r="A22" s="254" t="s">
        <v>834</v>
      </c>
      <c r="B22" s="254">
        <v>15.0</v>
      </c>
      <c r="C22" s="254">
        <v>15.0</v>
      </c>
      <c r="D22" s="253">
        <f t="shared" si="2"/>
        <v>3</v>
      </c>
      <c r="E22" s="254" t="s">
        <v>10</v>
      </c>
      <c r="F22" s="254" t="s">
        <v>10</v>
      </c>
      <c r="G22" s="254" t="s">
        <v>10</v>
      </c>
      <c r="H22" s="254" t="s">
        <v>10</v>
      </c>
      <c r="I22" s="254" t="s">
        <v>10</v>
      </c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253"/>
      <c r="X22" s="253"/>
      <c r="Y22" s="253"/>
    </row>
    <row r="23">
      <c r="A23" s="12" t="s">
        <v>835</v>
      </c>
      <c r="B23" s="254">
        <v>50.0</v>
      </c>
      <c r="C23" s="254">
        <v>50.0</v>
      </c>
      <c r="D23" s="253">
        <f t="shared" si="2"/>
        <v>10</v>
      </c>
      <c r="E23" s="254" t="s">
        <v>10</v>
      </c>
      <c r="F23" s="254" t="s">
        <v>10</v>
      </c>
      <c r="G23" s="254" t="s">
        <v>10</v>
      </c>
      <c r="H23" s="254" t="s">
        <v>10</v>
      </c>
      <c r="I23" s="254" t="s">
        <v>10</v>
      </c>
      <c r="J23" s="253"/>
      <c r="K23" s="253"/>
      <c r="L23" s="253"/>
      <c r="M23" s="253"/>
      <c r="N23" s="253"/>
      <c r="O23" s="253"/>
      <c r="P23" s="253"/>
      <c r="Q23" s="253"/>
      <c r="R23" s="253"/>
      <c r="S23" s="253"/>
      <c r="T23" s="253"/>
      <c r="U23" s="253"/>
      <c r="V23" s="253"/>
      <c r="W23" s="253"/>
      <c r="X23" s="253"/>
      <c r="Y23" s="253"/>
    </row>
    <row r="24">
      <c r="A24" s="256" t="s">
        <v>831</v>
      </c>
      <c r="B24" s="254">
        <v>6.0</v>
      </c>
      <c r="C24" s="254">
        <f t="shared" ref="C24:C31" si="3">B24*1.13</f>
        <v>6.78</v>
      </c>
      <c r="D24" s="253">
        <f t="shared" si="2"/>
        <v>1.356</v>
      </c>
      <c r="E24" s="254" t="s">
        <v>10</v>
      </c>
      <c r="F24" s="254" t="s">
        <v>10</v>
      </c>
      <c r="G24" s="254" t="s">
        <v>10</v>
      </c>
      <c r="H24" s="254" t="s">
        <v>10</v>
      </c>
      <c r="I24" s="254" t="s">
        <v>10</v>
      </c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3"/>
      <c r="U24" s="253"/>
      <c r="V24" s="253"/>
      <c r="W24" s="253"/>
      <c r="X24" s="253"/>
      <c r="Y24" s="253"/>
    </row>
    <row r="25">
      <c r="A25" s="254" t="s">
        <v>494</v>
      </c>
      <c r="B25" s="254">
        <v>25.0</v>
      </c>
      <c r="C25" s="254">
        <f t="shared" si="3"/>
        <v>28.25</v>
      </c>
      <c r="D25" s="253">
        <f t="shared" si="2"/>
        <v>5.65</v>
      </c>
      <c r="E25" s="254" t="s">
        <v>10</v>
      </c>
      <c r="F25" s="254" t="s">
        <v>10</v>
      </c>
      <c r="G25" s="254" t="s">
        <v>10</v>
      </c>
      <c r="H25" s="254" t="s">
        <v>10</v>
      </c>
      <c r="I25" s="254" t="s">
        <v>10</v>
      </c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3"/>
      <c r="U25" s="253"/>
      <c r="V25" s="253"/>
      <c r="W25" s="253"/>
      <c r="X25" s="253"/>
      <c r="Y25" s="253"/>
    </row>
    <row r="26">
      <c r="A26" s="254" t="s">
        <v>836</v>
      </c>
      <c r="B26" s="254">
        <v>25.0</v>
      </c>
      <c r="C26" s="254">
        <f t="shared" si="3"/>
        <v>28.25</v>
      </c>
      <c r="D26" s="253">
        <f t="shared" si="2"/>
        <v>5.65</v>
      </c>
      <c r="E26" s="254" t="s">
        <v>10</v>
      </c>
      <c r="F26" s="254" t="s">
        <v>10</v>
      </c>
      <c r="G26" s="254" t="s">
        <v>10</v>
      </c>
      <c r="H26" s="254" t="s">
        <v>10</v>
      </c>
      <c r="I26" s="254" t="s">
        <v>10</v>
      </c>
      <c r="J26" s="253"/>
      <c r="K26" s="253"/>
      <c r="L26" s="253"/>
      <c r="M26" s="253"/>
      <c r="N26" s="253"/>
      <c r="O26" s="253"/>
      <c r="P26" s="253"/>
      <c r="Q26" s="253"/>
      <c r="R26" s="253"/>
      <c r="S26" s="253"/>
      <c r="T26" s="253"/>
      <c r="U26" s="253"/>
      <c r="V26" s="253"/>
      <c r="W26" s="253"/>
      <c r="X26" s="253"/>
      <c r="Y26" s="253"/>
    </row>
    <row r="27">
      <c r="A27" s="254" t="s">
        <v>837</v>
      </c>
      <c r="B27" s="254">
        <v>35.0</v>
      </c>
      <c r="C27" s="254">
        <f t="shared" si="3"/>
        <v>39.55</v>
      </c>
      <c r="D27" s="253">
        <f t="shared" si="2"/>
        <v>7.91</v>
      </c>
      <c r="E27" s="254" t="s">
        <v>10</v>
      </c>
      <c r="F27" s="254" t="s">
        <v>10</v>
      </c>
      <c r="G27" s="254" t="s">
        <v>10</v>
      </c>
      <c r="H27" s="254" t="s">
        <v>10</v>
      </c>
      <c r="I27" s="254" t="s">
        <v>10</v>
      </c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253"/>
      <c r="X27" s="253"/>
      <c r="Y27" s="253"/>
    </row>
    <row r="28">
      <c r="A28" s="254" t="s">
        <v>838</v>
      </c>
      <c r="B28" s="254">
        <v>20.0</v>
      </c>
      <c r="C28" s="254">
        <f t="shared" si="3"/>
        <v>22.6</v>
      </c>
      <c r="D28" s="253">
        <f t="shared" si="2"/>
        <v>4.52</v>
      </c>
      <c r="E28" s="254" t="s">
        <v>10</v>
      </c>
      <c r="F28" s="254" t="s">
        <v>10</v>
      </c>
      <c r="G28" s="254" t="s">
        <v>10</v>
      </c>
      <c r="H28" s="254" t="s">
        <v>10</v>
      </c>
      <c r="I28" s="254" t="s">
        <v>10</v>
      </c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253"/>
      <c r="X28" s="253"/>
      <c r="Y28" s="253"/>
    </row>
    <row r="29">
      <c r="A29" s="254" t="s">
        <v>839</v>
      </c>
      <c r="B29" s="254">
        <v>24.0</v>
      </c>
      <c r="C29" s="254">
        <f t="shared" si="3"/>
        <v>27.12</v>
      </c>
      <c r="D29" s="253">
        <f t="shared" si="2"/>
        <v>5.424</v>
      </c>
      <c r="E29" s="254" t="s">
        <v>10</v>
      </c>
      <c r="F29" s="254" t="s">
        <v>10</v>
      </c>
      <c r="G29" s="254" t="s">
        <v>10</v>
      </c>
      <c r="H29" s="254" t="s">
        <v>10</v>
      </c>
      <c r="I29" s="254" t="s">
        <v>10</v>
      </c>
      <c r="J29" s="253"/>
      <c r="K29" s="253"/>
      <c r="L29" s="253"/>
      <c r="M29" s="253"/>
      <c r="N29" s="253"/>
      <c r="O29" s="253"/>
      <c r="P29" s="253"/>
      <c r="Q29" s="253"/>
      <c r="R29" s="253"/>
      <c r="S29" s="253"/>
      <c r="T29" s="253"/>
      <c r="U29" s="253"/>
      <c r="V29" s="253"/>
      <c r="W29" s="253"/>
      <c r="X29" s="253"/>
      <c r="Y29" s="253"/>
    </row>
    <row r="30">
      <c r="A30" s="254" t="s">
        <v>840</v>
      </c>
      <c r="B30" s="254">
        <v>2.5</v>
      </c>
      <c r="C30" s="254">
        <f t="shared" si="3"/>
        <v>2.825</v>
      </c>
      <c r="D30" s="253">
        <f t="shared" si="2"/>
        <v>0.565</v>
      </c>
      <c r="E30" s="254" t="s">
        <v>10</v>
      </c>
      <c r="F30" s="254" t="s">
        <v>10</v>
      </c>
      <c r="G30" s="254" t="s">
        <v>10</v>
      </c>
      <c r="H30" s="254" t="s">
        <v>10</v>
      </c>
      <c r="I30" s="254" t="s">
        <v>10</v>
      </c>
      <c r="J30" s="253"/>
      <c r="K30" s="253"/>
      <c r="L30" s="253"/>
      <c r="M30" s="253"/>
      <c r="N30" s="253"/>
      <c r="O30" s="253"/>
      <c r="P30" s="253"/>
      <c r="Q30" s="253"/>
      <c r="R30" s="253"/>
      <c r="S30" s="253"/>
      <c r="T30" s="253"/>
      <c r="U30" s="253"/>
      <c r="V30" s="253"/>
      <c r="W30" s="253"/>
      <c r="X30" s="253"/>
      <c r="Y30" s="253"/>
    </row>
    <row r="31">
      <c r="A31" s="254" t="s">
        <v>841</v>
      </c>
      <c r="B31" s="254">
        <v>2.5</v>
      </c>
      <c r="C31" s="254">
        <f t="shared" si="3"/>
        <v>2.825</v>
      </c>
      <c r="D31" s="253">
        <f t="shared" si="2"/>
        <v>0.565</v>
      </c>
      <c r="E31" s="254" t="s">
        <v>10</v>
      </c>
      <c r="F31" s="254" t="s">
        <v>10</v>
      </c>
      <c r="G31" s="254" t="s">
        <v>10</v>
      </c>
      <c r="H31" s="254" t="s">
        <v>10</v>
      </c>
      <c r="I31" s="254" t="s">
        <v>10</v>
      </c>
      <c r="J31" s="253"/>
      <c r="K31" s="253"/>
      <c r="L31" s="253"/>
      <c r="M31" s="253"/>
      <c r="N31" s="253"/>
      <c r="O31" s="253"/>
      <c r="P31" s="253"/>
      <c r="Q31" s="253"/>
      <c r="R31" s="253"/>
      <c r="S31" s="253"/>
      <c r="T31" s="253"/>
      <c r="U31" s="253"/>
      <c r="V31" s="253"/>
      <c r="W31" s="253"/>
      <c r="X31" s="253"/>
      <c r="Y31" s="253"/>
    </row>
    <row r="32">
      <c r="A32" s="254" t="s">
        <v>842</v>
      </c>
      <c r="B32" s="254">
        <v>275.0</v>
      </c>
      <c r="C32" s="254">
        <v>275.0</v>
      </c>
      <c r="D32" s="253">
        <f t="shared" si="2"/>
        <v>55</v>
      </c>
      <c r="E32" s="254" t="s">
        <v>10</v>
      </c>
      <c r="F32" s="254" t="s">
        <v>10</v>
      </c>
      <c r="G32" s="254" t="s">
        <v>10</v>
      </c>
      <c r="H32" s="254" t="s">
        <v>10</v>
      </c>
      <c r="I32" s="254" t="s">
        <v>10</v>
      </c>
      <c r="J32" s="253"/>
      <c r="K32" s="253"/>
      <c r="L32" s="253"/>
      <c r="M32" s="253"/>
      <c r="N32" s="253"/>
      <c r="O32" s="253"/>
      <c r="P32" s="253"/>
      <c r="Q32" s="253"/>
      <c r="R32" s="253"/>
      <c r="S32" s="253"/>
      <c r="T32" s="253"/>
      <c r="U32" s="253"/>
      <c r="V32" s="253"/>
      <c r="W32" s="253"/>
      <c r="X32" s="253"/>
      <c r="Y32" s="253"/>
    </row>
    <row r="33">
      <c r="A33" s="254" t="s">
        <v>843</v>
      </c>
      <c r="B33" s="254">
        <v>5.0</v>
      </c>
      <c r="C33" s="254">
        <f t="shared" ref="C33:C34" si="4">B33*1.13</f>
        <v>5.65</v>
      </c>
      <c r="D33" s="253">
        <f t="shared" si="2"/>
        <v>1.13</v>
      </c>
      <c r="E33" s="254" t="s">
        <v>10</v>
      </c>
      <c r="F33" s="254" t="s">
        <v>10</v>
      </c>
      <c r="G33" s="254" t="s">
        <v>10</v>
      </c>
      <c r="H33" s="254" t="s">
        <v>10</v>
      </c>
      <c r="I33" s="254" t="s">
        <v>10</v>
      </c>
      <c r="J33" s="253"/>
      <c r="K33" s="253"/>
      <c r="L33" s="253"/>
      <c r="M33" s="253"/>
      <c r="N33" s="253"/>
      <c r="O33" s="253"/>
      <c r="P33" s="253"/>
      <c r="Q33" s="253"/>
      <c r="R33" s="253"/>
      <c r="S33" s="253"/>
      <c r="T33" s="253"/>
      <c r="U33" s="253"/>
      <c r="V33" s="253"/>
      <c r="W33" s="253"/>
      <c r="X33" s="253"/>
      <c r="Y33" s="253"/>
    </row>
    <row r="34">
      <c r="A34" s="254" t="s">
        <v>844</v>
      </c>
      <c r="B34" s="254">
        <v>3.0</v>
      </c>
      <c r="C34" s="254">
        <f t="shared" si="4"/>
        <v>3.39</v>
      </c>
      <c r="D34" s="253">
        <f t="shared" si="2"/>
        <v>0.678</v>
      </c>
      <c r="E34" s="254" t="s">
        <v>10</v>
      </c>
      <c r="F34" s="254" t="s">
        <v>10</v>
      </c>
      <c r="G34" s="254" t="s">
        <v>10</v>
      </c>
      <c r="H34" s="254" t="s">
        <v>10</v>
      </c>
      <c r="I34" s="254" t="s">
        <v>10</v>
      </c>
      <c r="J34" s="253"/>
      <c r="K34" s="253"/>
      <c r="L34" s="253"/>
      <c r="M34" s="253"/>
      <c r="N34" s="253"/>
      <c r="O34" s="253"/>
      <c r="P34" s="253"/>
      <c r="Q34" s="253"/>
      <c r="R34" s="253"/>
      <c r="S34" s="253"/>
      <c r="T34" s="253"/>
      <c r="U34" s="253"/>
      <c r="V34" s="253"/>
      <c r="W34" s="253"/>
      <c r="X34" s="253"/>
      <c r="Y34" s="253"/>
    </row>
    <row r="35">
      <c r="A35" s="254" t="s">
        <v>845</v>
      </c>
      <c r="B35" s="254"/>
      <c r="C35" s="254">
        <v>4.01</v>
      </c>
      <c r="D35" s="253">
        <f t="shared" si="2"/>
        <v>0.802</v>
      </c>
      <c r="E35" s="254" t="s">
        <v>10</v>
      </c>
      <c r="F35" s="254" t="s">
        <v>10</v>
      </c>
      <c r="G35" s="254" t="s">
        <v>10</v>
      </c>
      <c r="H35" s="254" t="s">
        <v>10</v>
      </c>
      <c r="I35" s="254" t="s">
        <v>10</v>
      </c>
      <c r="J35" s="253"/>
      <c r="K35" s="253"/>
      <c r="L35" s="253"/>
      <c r="M35" s="253"/>
      <c r="N35" s="253"/>
      <c r="O35" s="253"/>
      <c r="P35" s="253"/>
      <c r="Q35" s="253"/>
      <c r="R35" s="253"/>
      <c r="S35" s="253"/>
      <c r="T35" s="253"/>
      <c r="U35" s="253"/>
      <c r="V35" s="253"/>
      <c r="W35" s="253"/>
      <c r="X35" s="253"/>
      <c r="Y35" s="253"/>
    </row>
    <row r="36">
      <c r="A36" s="254" t="s">
        <v>846</v>
      </c>
      <c r="B36" s="254">
        <v>2.23</v>
      </c>
      <c r="C36" s="254">
        <f>B36*1.13</f>
        <v>2.5199</v>
      </c>
      <c r="D36" s="253">
        <f t="shared" si="2"/>
        <v>0.50398</v>
      </c>
      <c r="E36" s="254" t="s">
        <v>10</v>
      </c>
      <c r="F36" s="254" t="s">
        <v>10</v>
      </c>
      <c r="G36" s="254" t="s">
        <v>10</v>
      </c>
      <c r="H36" s="254" t="s">
        <v>10</v>
      </c>
      <c r="I36" s="254" t="s">
        <v>10</v>
      </c>
      <c r="J36" s="253"/>
      <c r="K36" s="253"/>
      <c r="L36" s="253"/>
      <c r="M36" s="253"/>
      <c r="N36" s="253"/>
      <c r="O36" s="253"/>
      <c r="P36" s="253"/>
      <c r="Q36" s="253"/>
      <c r="R36" s="253"/>
      <c r="S36" s="253"/>
      <c r="T36" s="253"/>
      <c r="U36" s="253"/>
      <c r="V36" s="253"/>
      <c r="W36" s="253"/>
      <c r="X36" s="253"/>
      <c r="Y36" s="253"/>
    </row>
    <row r="37">
      <c r="A37" s="254" t="s">
        <v>653</v>
      </c>
      <c r="B37" s="253"/>
      <c r="C37" s="254">
        <v>3.38</v>
      </c>
      <c r="D37" s="253">
        <f t="shared" si="2"/>
        <v>0.676</v>
      </c>
      <c r="E37" s="254" t="s">
        <v>10</v>
      </c>
      <c r="F37" s="254" t="s">
        <v>10</v>
      </c>
      <c r="G37" s="254" t="s">
        <v>10</v>
      </c>
      <c r="H37" s="254" t="s">
        <v>10</v>
      </c>
      <c r="I37" s="254" t="s">
        <v>10</v>
      </c>
      <c r="J37" s="253"/>
      <c r="K37" s="253"/>
      <c r="L37" s="253"/>
      <c r="M37" s="253"/>
      <c r="N37" s="253"/>
      <c r="O37" s="253"/>
      <c r="P37" s="253"/>
      <c r="Q37" s="253"/>
      <c r="R37" s="253"/>
      <c r="S37" s="253"/>
      <c r="T37" s="253"/>
      <c r="U37" s="253"/>
      <c r="V37" s="253"/>
      <c r="W37" s="253"/>
      <c r="X37" s="253"/>
      <c r="Y37" s="253"/>
    </row>
    <row r="38">
      <c r="A38" s="254" t="s">
        <v>847</v>
      </c>
      <c r="B38" s="254">
        <v>2.99</v>
      </c>
      <c r="C38" s="254">
        <f t="shared" ref="C38:C40" si="5">B38*1.13</f>
        <v>3.3787</v>
      </c>
      <c r="D38" s="253">
        <f t="shared" si="2"/>
        <v>0.67574</v>
      </c>
      <c r="E38" s="254" t="s">
        <v>10</v>
      </c>
      <c r="F38" s="254" t="s">
        <v>10</v>
      </c>
      <c r="G38" s="254" t="s">
        <v>10</v>
      </c>
      <c r="H38" s="254" t="s">
        <v>10</v>
      </c>
      <c r="I38" s="254" t="s">
        <v>10</v>
      </c>
      <c r="J38" s="253"/>
      <c r="K38" s="253"/>
      <c r="L38" s="253"/>
      <c r="M38" s="253"/>
      <c r="N38" s="253"/>
      <c r="O38" s="253"/>
      <c r="P38" s="253"/>
      <c r="Q38" s="253"/>
      <c r="R38" s="253"/>
      <c r="S38" s="253"/>
      <c r="T38" s="253"/>
      <c r="U38" s="253"/>
      <c r="V38" s="253"/>
      <c r="W38" s="253"/>
      <c r="X38" s="253"/>
      <c r="Y38" s="253"/>
    </row>
    <row r="39">
      <c r="A39" s="254" t="s">
        <v>848</v>
      </c>
      <c r="B39" s="254">
        <v>70.0</v>
      </c>
      <c r="C39" s="254">
        <f t="shared" si="5"/>
        <v>79.1</v>
      </c>
      <c r="D39" s="253">
        <f t="shared" si="2"/>
        <v>15.82</v>
      </c>
      <c r="E39" s="254" t="s">
        <v>10</v>
      </c>
      <c r="F39" s="254" t="s">
        <v>10</v>
      </c>
      <c r="G39" s="254" t="s">
        <v>10</v>
      </c>
      <c r="H39" s="254" t="s">
        <v>10</v>
      </c>
      <c r="I39" s="254" t="s">
        <v>10</v>
      </c>
      <c r="J39" s="253"/>
      <c r="K39" s="253"/>
      <c r="L39" s="253"/>
      <c r="M39" s="253"/>
      <c r="N39" s="253"/>
      <c r="O39" s="253"/>
      <c r="P39" s="253"/>
      <c r="Q39" s="253"/>
      <c r="R39" s="253"/>
      <c r="S39" s="253"/>
      <c r="T39" s="253"/>
      <c r="U39" s="253"/>
      <c r="V39" s="253"/>
      <c r="W39" s="253"/>
      <c r="X39" s="253"/>
      <c r="Y39" s="253"/>
    </row>
    <row r="40">
      <c r="A40" s="254" t="s">
        <v>717</v>
      </c>
      <c r="B40" s="254">
        <v>12.99</v>
      </c>
      <c r="C40" s="254">
        <f t="shared" si="5"/>
        <v>14.6787</v>
      </c>
      <c r="D40" s="253">
        <f t="shared" si="2"/>
        <v>2.93574</v>
      </c>
      <c r="E40" s="254" t="s">
        <v>10</v>
      </c>
      <c r="F40" s="254" t="s">
        <v>10</v>
      </c>
      <c r="G40" s="254" t="s">
        <v>10</v>
      </c>
      <c r="H40" s="254" t="s">
        <v>10</v>
      </c>
      <c r="I40" s="254" t="s">
        <v>10</v>
      </c>
      <c r="J40" s="253"/>
      <c r="K40" s="253"/>
      <c r="L40" s="253"/>
      <c r="M40" s="253"/>
      <c r="N40" s="253"/>
      <c r="O40" s="253"/>
      <c r="P40" s="253"/>
      <c r="Q40" s="253"/>
      <c r="R40" s="253"/>
      <c r="S40" s="253"/>
      <c r="T40" s="253"/>
      <c r="U40" s="253"/>
      <c r="V40" s="253"/>
      <c r="W40" s="253"/>
      <c r="X40" s="253"/>
      <c r="Y40" s="253"/>
    </row>
    <row r="41">
      <c r="A41" s="253"/>
      <c r="B41" s="253"/>
      <c r="C41" s="253"/>
      <c r="D41" s="253"/>
      <c r="E41" s="253"/>
      <c r="F41" s="253"/>
      <c r="G41" s="253"/>
      <c r="H41" s="253"/>
      <c r="I41" s="253"/>
      <c r="J41" s="253"/>
      <c r="K41" s="253"/>
      <c r="L41" s="253"/>
      <c r="M41" s="253"/>
      <c r="N41" s="253"/>
      <c r="O41" s="253"/>
      <c r="P41" s="253"/>
      <c r="Q41" s="253"/>
      <c r="R41" s="253"/>
      <c r="S41" s="253"/>
      <c r="T41" s="253"/>
      <c r="U41" s="253"/>
      <c r="V41" s="253"/>
      <c r="W41" s="253"/>
      <c r="X41" s="253"/>
      <c r="Y41" s="253"/>
    </row>
    <row r="42">
      <c r="A42" s="253"/>
      <c r="B42" s="253"/>
      <c r="C42" s="253"/>
      <c r="D42" s="253"/>
      <c r="E42" s="253"/>
      <c r="F42" s="253"/>
      <c r="G42" s="253"/>
      <c r="H42" s="253"/>
      <c r="I42" s="253"/>
      <c r="J42" s="253"/>
      <c r="K42" s="253"/>
      <c r="L42" s="253"/>
      <c r="M42" s="253"/>
      <c r="N42" s="253"/>
      <c r="O42" s="253"/>
      <c r="P42" s="253"/>
      <c r="Q42" s="253"/>
      <c r="R42" s="253"/>
      <c r="S42" s="253"/>
      <c r="T42" s="253"/>
      <c r="U42" s="253"/>
      <c r="V42" s="253"/>
      <c r="W42" s="253"/>
      <c r="X42" s="253"/>
      <c r="Y42" s="253"/>
    </row>
    <row r="43">
      <c r="A43" s="253"/>
      <c r="B43" s="253"/>
      <c r="C43" s="253"/>
      <c r="D43" s="253"/>
      <c r="E43" s="253"/>
      <c r="F43" s="253"/>
      <c r="G43" s="253"/>
      <c r="H43" s="253"/>
      <c r="I43" s="253"/>
      <c r="J43" s="253"/>
      <c r="K43" s="253"/>
      <c r="L43" s="253"/>
      <c r="M43" s="253"/>
      <c r="N43" s="253"/>
      <c r="O43" s="253"/>
      <c r="P43" s="253"/>
      <c r="Q43" s="253"/>
      <c r="R43" s="253"/>
      <c r="S43" s="253"/>
      <c r="T43" s="253"/>
      <c r="U43" s="253"/>
      <c r="V43" s="253"/>
      <c r="W43" s="253"/>
      <c r="X43" s="253"/>
      <c r="Y43" s="253"/>
    </row>
    <row r="44">
      <c r="A44" s="253"/>
      <c r="B44" s="253"/>
      <c r="C44" s="253"/>
      <c r="D44" s="253"/>
      <c r="E44" s="253"/>
      <c r="F44" s="253"/>
      <c r="G44" s="253"/>
      <c r="H44" s="253"/>
      <c r="I44" s="253"/>
      <c r="J44" s="253"/>
      <c r="K44" s="253"/>
      <c r="L44" s="253"/>
      <c r="M44" s="253"/>
      <c r="N44" s="253"/>
      <c r="O44" s="253"/>
      <c r="P44" s="253"/>
      <c r="Q44" s="253"/>
      <c r="R44" s="253"/>
      <c r="S44" s="253"/>
      <c r="T44" s="253"/>
      <c r="U44" s="253"/>
      <c r="V44" s="253"/>
      <c r="W44" s="253"/>
      <c r="X44" s="253"/>
      <c r="Y44" s="253"/>
    </row>
    <row r="4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</row>
    <row r="46">
      <c r="A46" s="253"/>
      <c r="B46" s="253"/>
      <c r="C46" s="253"/>
      <c r="D46" s="253"/>
      <c r="E46" s="253"/>
      <c r="F46" s="253"/>
      <c r="G46" s="253"/>
      <c r="H46" s="253"/>
      <c r="I46" s="253"/>
      <c r="J46" s="253"/>
      <c r="K46" s="253"/>
      <c r="L46" s="253"/>
      <c r="M46" s="253"/>
      <c r="N46" s="253"/>
      <c r="O46" s="253"/>
      <c r="P46" s="253"/>
      <c r="Q46" s="253"/>
      <c r="R46" s="253"/>
      <c r="S46" s="253"/>
      <c r="T46" s="253"/>
      <c r="U46" s="253"/>
      <c r="V46" s="253"/>
      <c r="W46" s="253"/>
      <c r="X46" s="253"/>
      <c r="Y46" s="253"/>
    </row>
    <row r="47">
      <c r="A47" s="253"/>
      <c r="B47" s="253"/>
      <c r="C47" s="253"/>
      <c r="D47" s="253"/>
      <c r="E47" s="253"/>
      <c r="F47" s="253"/>
      <c r="G47" s="253"/>
      <c r="H47" s="253"/>
      <c r="I47" s="253"/>
      <c r="J47" s="253"/>
      <c r="K47" s="253"/>
      <c r="L47" s="253"/>
      <c r="M47" s="253"/>
      <c r="N47" s="253"/>
      <c r="O47" s="253"/>
      <c r="P47" s="253"/>
      <c r="Q47" s="253"/>
      <c r="R47" s="253"/>
      <c r="S47" s="253"/>
      <c r="T47" s="253"/>
      <c r="U47" s="253"/>
      <c r="V47" s="253"/>
      <c r="W47" s="253"/>
      <c r="X47" s="253"/>
      <c r="Y47" s="253"/>
    </row>
    <row r="48">
      <c r="A48" s="253"/>
      <c r="B48" s="253"/>
      <c r="C48" s="253"/>
      <c r="D48" s="253"/>
      <c r="E48" s="253"/>
      <c r="F48" s="253"/>
      <c r="G48" s="253"/>
      <c r="H48" s="253"/>
      <c r="I48" s="253"/>
      <c r="J48" s="253"/>
      <c r="K48" s="253"/>
      <c r="L48" s="253"/>
      <c r="M48" s="253"/>
      <c r="N48" s="253"/>
      <c r="O48" s="253"/>
      <c r="P48" s="253"/>
      <c r="Q48" s="253"/>
      <c r="R48" s="253"/>
      <c r="S48" s="253"/>
      <c r="T48" s="253"/>
      <c r="U48" s="253"/>
      <c r="V48" s="253"/>
      <c r="W48" s="253"/>
      <c r="X48" s="253"/>
      <c r="Y48" s="253"/>
    </row>
    <row r="49">
      <c r="A49" s="253"/>
      <c r="B49" s="253"/>
      <c r="C49" s="253"/>
      <c r="D49" s="253"/>
      <c r="E49" s="253"/>
      <c r="F49" s="253"/>
      <c r="G49" s="253"/>
      <c r="H49" s="253"/>
      <c r="I49" s="253"/>
      <c r="J49" s="253"/>
      <c r="K49" s="253"/>
      <c r="L49" s="253"/>
      <c r="M49" s="253"/>
      <c r="N49" s="253"/>
      <c r="O49" s="253"/>
      <c r="P49" s="253"/>
      <c r="Q49" s="253"/>
      <c r="R49" s="253"/>
      <c r="S49" s="253"/>
      <c r="T49" s="253"/>
      <c r="U49" s="253"/>
      <c r="V49" s="253"/>
      <c r="W49" s="253"/>
      <c r="X49" s="253"/>
      <c r="Y49" s="253"/>
    </row>
    <row r="50">
      <c r="A50" s="253"/>
      <c r="B50" s="253"/>
      <c r="C50" s="253"/>
      <c r="D50" s="253"/>
      <c r="E50" s="253"/>
      <c r="F50" s="253"/>
      <c r="G50" s="253"/>
      <c r="H50" s="253"/>
      <c r="I50" s="253"/>
      <c r="J50" s="253"/>
      <c r="K50" s="253"/>
      <c r="L50" s="253"/>
      <c r="M50" s="253"/>
      <c r="N50" s="253"/>
      <c r="O50" s="253"/>
      <c r="P50" s="253"/>
      <c r="Q50" s="253"/>
      <c r="R50" s="253"/>
      <c r="S50" s="253"/>
      <c r="T50" s="253"/>
      <c r="U50" s="253"/>
      <c r="V50" s="253"/>
      <c r="W50" s="253"/>
      <c r="X50" s="253"/>
      <c r="Y50" s="253"/>
    </row>
    <row r="51">
      <c r="A51" s="253"/>
      <c r="B51" s="253"/>
      <c r="C51" s="253"/>
      <c r="D51" s="253"/>
      <c r="E51" s="253"/>
      <c r="F51" s="253"/>
      <c r="G51" s="253"/>
      <c r="H51" s="253"/>
      <c r="I51" s="253"/>
      <c r="J51" s="253"/>
      <c r="K51" s="253"/>
      <c r="L51" s="253"/>
      <c r="M51" s="253"/>
      <c r="N51" s="253"/>
      <c r="O51" s="253"/>
      <c r="P51" s="253"/>
      <c r="Q51" s="253"/>
      <c r="R51" s="253"/>
      <c r="S51" s="253"/>
      <c r="T51" s="253"/>
      <c r="U51" s="253"/>
      <c r="V51" s="253"/>
      <c r="W51" s="253"/>
      <c r="X51" s="253"/>
      <c r="Y51" s="253"/>
    </row>
    <row r="52">
      <c r="A52" s="253"/>
      <c r="B52" s="253"/>
      <c r="C52" s="253"/>
      <c r="D52" s="253"/>
      <c r="E52" s="253"/>
      <c r="F52" s="253"/>
      <c r="G52" s="253"/>
      <c r="H52" s="253"/>
      <c r="I52" s="253"/>
      <c r="J52" s="253"/>
      <c r="K52" s="253"/>
      <c r="L52" s="253"/>
      <c r="M52" s="253"/>
      <c r="N52" s="253"/>
      <c r="O52" s="253"/>
      <c r="P52" s="253"/>
      <c r="Q52" s="253"/>
      <c r="R52" s="253"/>
      <c r="S52" s="253"/>
      <c r="T52" s="253"/>
      <c r="U52" s="253"/>
      <c r="V52" s="253"/>
      <c r="W52" s="253"/>
      <c r="X52" s="253"/>
      <c r="Y52" s="253"/>
    </row>
    <row r="53">
      <c r="A53" s="253"/>
      <c r="B53" s="253"/>
      <c r="C53" s="253"/>
      <c r="D53" s="253"/>
      <c r="E53" s="253"/>
      <c r="F53" s="253"/>
      <c r="G53" s="253"/>
      <c r="H53" s="253"/>
      <c r="I53" s="253"/>
      <c r="J53" s="253"/>
      <c r="K53" s="253"/>
      <c r="L53" s="253"/>
      <c r="M53" s="253"/>
      <c r="N53" s="253"/>
      <c r="O53" s="253"/>
      <c r="P53" s="253"/>
      <c r="Q53" s="253"/>
      <c r="R53" s="253"/>
      <c r="S53" s="253"/>
      <c r="T53" s="253"/>
      <c r="U53" s="253"/>
      <c r="V53" s="253"/>
      <c r="W53" s="253"/>
      <c r="X53" s="253"/>
      <c r="Y53" s="253"/>
    </row>
    <row r="54">
      <c r="A54" s="253"/>
      <c r="B54" s="253"/>
      <c r="C54" s="253"/>
      <c r="D54" s="253"/>
      <c r="E54" s="253"/>
      <c r="F54" s="253"/>
      <c r="G54" s="253"/>
      <c r="H54" s="253"/>
      <c r="I54" s="253"/>
      <c r="J54" s="253"/>
      <c r="K54" s="253"/>
      <c r="L54" s="253"/>
      <c r="M54" s="253"/>
      <c r="N54" s="253"/>
      <c r="O54" s="253"/>
      <c r="P54" s="253"/>
      <c r="Q54" s="253"/>
      <c r="R54" s="253"/>
      <c r="S54" s="253"/>
      <c r="T54" s="253"/>
      <c r="U54" s="253"/>
      <c r="V54" s="253"/>
      <c r="W54" s="253"/>
      <c r="X54" s="253"/>
      <c r="Y54" s="253"/>
    </row>
    <row r="55">
      <c r="A55" s="253"/>
      <c r="B55" s="253"/>
      <c r="C55" s="253"/>
      <c r="D55" s="253"/>
      <c r="E55" s="253"/>
      <c r="F55" s="253"/>
      <c r="G55" s="253"/>
      <c r="H55" s="253"/>
      <c r="I55" s="253"/>
      <c r="J55" s="253"/>
      <c r="K55" s="253"/>
      <c r="L55" s="253"/>
      <c r="M55" s="253"/>
      <c r="N55" s="253"/>
      <c r="O55" s="253"/>
      <c r="P55" s="253"/>
      <c r="Q55" s="253"/>
      <c r="R55" s="253"/>
      <c r="S55" s="253"/>
      <c r="T55" s="253"/>
      <c r="U55" s="253"/>
      <c r="V55" s="253"/>
      <c r="W55" s="253"/>
      <c r="X55" s="253"/>
      <c r="Y55" s="253"/>
    </row>
    <row r="56">
      <c r="A56" s="253"/>
      <c r="B56" s="253"/>
      <c r="C56" s="253"/>
      <c r="D56" s="253"/>
      <c r="E56" s="253"/>
      <c r="F56" s="253"/>
      <c r="G56" s="253"/>
      <c r="H56" s="253"/>
      <c r="I56" s="253"/>
      <c r="J56" s="253"/>
      <c r="K56" s="253"/>
      <c r="L56" s="253"/>
      <c r="M56" s="253"/>
      <c r="N56" s="253"/>
      <c r="O56" s="253"/>
      <c r="P56" s="253"/>
      <c r="Q56" s="253"/>
      <c r="R56" s="253"/>
      <c r="S56" s="253"/>
      <c r="T56" s="253"/>
      <c r="U56" s="253"/>
      <c r="V56" s="253"/>
      <c r="W56" s="253"/>
      <c r="X56" s="253"/>
      <c r="Y56" s="253"/>
    </row>
    <row r="57">
      <c r="A57" s="253"/>
      <c r="B57" s="253"/>
      <c r="C57" s="253"/>
      <c r="D57" s="253"/>
      <c r="E57" s="253"/>
      <c r="F57" s="253"/>
      <c r="G57" s="253"/>
      <c r="H57" s="253"/>
      <c r="I57" s="253"/>
      <c r="J57" s="253"/>
      <c r="K57" s="253"/>
      <c r="L57" s="253"/>
      <c r="M57" s="253"/>
      <c r="N57" s="253"/>
      <c r="O57" s="253"/>
      <c r="P57" s="253"/>
      <c r="Q57" s="253"/>
      <c r="R57" s="253"/>
      <c r="S57" s="253"/>
      <c r="T57" s="253"/>
      <c r="U57" s="253"/>
      <c r="V57" s="253"/>
      <c r="W57" s="253"/>
      <c r="X57" s="253"/>
      <c r="Y57" s="253"/>
    </row>
    <row r="58">
      <c r="A58" s="253"/>
      <c r="B58" s="253"/>
      <c r="C58" s="253"/>
      <c r="D58" s="253"/>
      <c r="E58" s="253"/>
      <c r="F58" s="253"/>
      <c r="G58" s="253"/>
      <c r="H58" s="253"/>
      <c r="I58" s="253"/>
      <c r="J58" s="253"/>
      <c r="K58" s="253"/>
      <c r="L58" s="253"/>
      <c r="M58" s="253"/>
      <c r="N58" s="253"/>
      <c r="O58" s="253"/>
      <c r="P58" s="253"/>
      <c r="Q58" s="253"/>
      <c r="R58" s="253"/>
      <c r="S58" s="253"/>
      <c r="T58" s="253"/>
      <c r="U58" s="253"/>
      <c r="V58" s="253"/>
      <c r="W58" s="253"/>
      <c r="X58" s="253"/>
      <c r="Y58" s="253"/>
    </row>
    <row r="59">
      <c r="A59" s="253"/>
      <c r="B59" s="253"/>
      <c r="C59" s="253"/>
      <c r="D59" s="253"/>
      <c r="E59" s="253"/>
      <c r="F59" s="253"/>
      <c r="G59" s="253"/>
      <c r="H59" s="253"/>
      <c r="I59" s="253"/>
      <c r="J59" s="253"/>
      <c r="K59" s="253"/>
      <c r="L59" s="253"/>
      <c r="M59" s="253"/>
      <c r="N59" s="253"/>
      <c r="O59" s="253"/>
      <c r="P59" s="253"/>
      <c r="Q59" s="253"/>
      <c r="R59" s="253"/>
      <c r="S59" s="253"/>
      <c r="T59" s="253"/>
      <c r="U59" s="253"/>
      <c r="V59" s="253"/>
      <c r="W59" s="253"/>
      <c r="X59" s="253"/>
      <c r="Y59" s="253"/>
    </row>
    <row r="60">
      <c r="A60" s="253"/>
      <c r="B60" s="253"/>
      <c r="C60" s="253"/>
      <c r="D60" s="253"/>
      <c r="E60" s="253"/>
      <c r="F60" s="253"/>
      <c r="G60" s="253"/>
      <c r="H60" s="253"/>
      <c r="I60" s="253"/>
      <c r="J60" s="253"/>
      <c r="K60" s="253"/>
      <c r="L60" s="253"/>
      <c r="M60" s="253"/>
      <c r="N60" s="253"/>
      <c r="O60" s="253"/>
      <c r="P60" s="253"/>
      <c r="Q60" s="253"/>
      <c r="R60" s="253"/>
      <c r="S60" s="253"/>
      <c r="T60" s="253"/>
      <c r="U60" s="253"/>
      <c r="V60" s="253"/>
      <c r="W60" s="253"/>
      <c r="X60" s="253"/>
      <c r="Y60" s="253"/>
    </row>
    <row r="61">
      <c r="A61" s="253"/>
      <c r="B61" s="253"/>
      <c r="C61" s="253"/>
      <c r="D61" s="253"/>
      <c r="E61" s="253"/>
      <c r="F61" s="253"/>
      <c r="G61" s="253"/>
      <c r="H61" s="253"/>
      <c r="I61" s="253"/>
      <c r="J61" s="253"/>
      <c r="K61" s="253"/>
      <c r="L61" s="253"/>
      <c r="M61" s="253"/>
      <c r="N61" s="253"/>
      <c r="O61" s="253"/>
      <c r="P61" s="253"/>
      <c r="Q61" s="253"/>
      <c r="R61" s="253"/>
      <c r="S61" s="253"/>
      <c r="T61" s="253"/>
      <c r="U61" s="253"/>
      <c r="V61" s="253"/>
      <c r="W61" s="253"/>
      <c r="X61" s="253"/>
      <c r="Y61" s="253"/>
    </row>
    <row r="62">
      <c r="A62" s="253"/>
      <c r="B62" s="253"/>
      <c r="C62" s="253"/>
      <c r="D62" s="253"/>
      <c r="E62" s="253"/>
      <c r="F62" s="253"/>
      <c r="G62" s="253"/>
      <c r="H62" s="253"/>
      <c r="I62" s="253"/>
      <c r="J62" s="253"/>
      <c r="K62" s="253"/>
      <c r="L62" s="253"/>
      <c r="M62" s="253"/>
      <c r="N62" s="253"/>
      <c r="O62" s="253"/>
      <c r="P62" s="253"/>
      <c r="Q62" s="253"/>
      <c r="R62" s="253"/>
      <c r="S62" s="253"/>
      <c r="T62" s="253"/>
      <c r="U62" s="253"/>
      <c r="V62" s="253"/>
      <c r="W62" s="253"/>
      <c r="X62" s="253"/>
      <c r="Y62" s="253"/>
    </row>
    <row r="63">
      <c r="A63" s="253"/>
      <c r="B63" s="253"/>
      <c r="C63" s="253"/>
      <c r="D63" s="253"/>
      <c r="E63" s="253"/>
      <c r="F63" s="253"/>
      <c r="G63" s="253"/>
      <c r="H63" s="253"/>
      <c r="I63" s="253"/>
      <c r="J63" s="253"/>
      <c r="K63" s="253"/>
      <c r="L63" s="253"/>
      <c r="M63" s="253"/>
      <c r="N63" s="253"/>
      <c r="O63" s="253"/>
      <c r="P63" s="253"/>
      <c r="Q63" s="253"/>
      <c r="R63" s="253"/>
      <c r="S63" s="253"/>
      <c r="T63" s="253"/>
      <c r="U63" s="253"/>
      <c r="V63" s="253"/>
      <c r="W63" s="253"/>
      <c r="X63" s="253"/>
      <c r="Y63" s="253"/>
    </row>
    <row r="64">
      <c r="A64" s="253"/>
      <c r="B64" s="253"/>
      <c r="C64" s="253"/>
      <c r="D64" s="253"/>
      <c r="E64" s="253"/>
      <c r="F64" s="253"/>
      <c r="G64" s="253"/>
      <c r="H64" s="253"/>
      <c r="I64" s="253"/>
      <c r="J64" s="253"/>
      <c r="K64" s="253"/>
      <c r="L64" s="253"/>
      <c r="M64" s="253"/>
      <c r="N64" s="253"/>
      <c r="O64" s="253"/>
      <c r="P64" s="253"/>
      <c r="Q64" s="253"/>
      <c r="R64" s="253"/>
      <c r="S64" s="253"/>
      <c r="T64" s="253"/>
      <c r="U64" s="253"/>
      <c r="V64" s="253"/>
      <c r="W64" s="253"/>
      <c r="X64" s="253"/>
      <c r="Y64" s="253"/>
    </row>
    <row r="65">
      <c r="A65" s="253"/>
      <c r="B65" s="253"/>
      <c r="C65" s="253"/>
      <c r="D65" s="253"/>
      <c r="E65" s="253"/>
      <c r="F65" s="253"/>
      <c r="G65" s="253"/>
      <c r="H65" s="253"/>
      <c r="I65" s="253"/>
      <c r="J65" s="253"/>
      <c r="K65" s="253"/>
      <c r="L65" s="253"/>
      <c r="M65" s="253"/>
      <c r="N65" s="253"/>
      <c r="O65" s="253"/>
      <c r="P65" s="253"/>
      <c r="Q65" s="253"/>
      <c r="R65" s="253"/>
      <c r="S65" s="253"/>
      <c r="T65" s="253"/>
      <c r="U65" s="253"/>
      <c r="V65" s="253"/>
      <c r="W65" s="253"/>
      <c r="X65" s="253"/>
      <c r="Y65" s="253"/>
    </row>
    <row r="66">
      <c r="A66" s="253"/>
      <c r="B66" s="253"/>
      <c r="C66" s="253"/>
      <c r="D66" s="253"/>
      <c r="E66" s="253"/>
      <c r="F66" s="253"/>
      <c r="G66" s="253"/>
      <c r="H66" s="253"/>
      <c r="I66" s="253"/>
      <c r="J66" s="253"/>
      <c r="K66" s="253"/>
      <c r="L66" s="253"/>
      <c r="M66" s="253"/>
      <c r="N66" s="253"/>
      <c r="O66" s="253"/>
      <c r="P66" s="253"/>
      <c r="Q66" s="253"/>
      <c r="R66" s="253"/>
      <c r="S66" s="253"/>
      <c r="T66" s="253"/>
      <c r="U66" s="253"/>
      <c r="V66" s="253"/>
      <c r="W66" s="253"/>
      <c r="X66" s="253"/>
      <c r="Y66" s="253"/>
    </row>
    <row r="67">
      <c r="A67" s="253"/>
      <c r="B67" s="253"/>
      <c r="C67" s="253"/>
      <c r="D67" s="253"/>
      <c r="E67" s="253"/>
      <c r="F67" s="253"/>
      <c r="G67" s="253"/>
      <c r="H67" s="253"/>
      <c r="I67" s="253"/>
      <c r="J67" s="253"/>
      <c r="K67" s="253"/>
      <c r="L67" s="253"/>
      <c r="M67" s="253"/>
      <c r="N67" s="253"/>
      <c r="O67" s="253"/>
      <c r="P67" s="253"/>
      <c r="Q67" s="253"/>
      <c r="R67" s="253"/>
      <c r="S67" s="253"/>
      <c r="T67" s="253"/>
      <c r="U67" s="253"/>
      <c r="V67" s="253"/>
      <c r="W67" s="253"/>
      <c r="X67" s="253"/>
      <c r="Y67" s="253"/>
    </row>
    <row r="68">
      <c r="A68" s="253"/>
      <c r="B68" s="253"/>
      <c r="C68" s="253"/>
      <c r="D68" s="253"/>
      <c r="E68" s="253"/>
      <c r="F68" s="253"/>
      <c r="G68" s="253"/>
      <c r="H68" s="253"/>
      <c r="I68" s="253"/>
      <c r="J68" s="253"/>
      <c r="K68" s="253"/>
      <c r="L68" s="253"/>
      <c r="M68" s="253"/>
      <c r="N68" s="253"/>
      <c r="O68" s="253"/>
      <c r="P68" s="253"/>
      <c r="Q68" s="253"/>
      <c r="R68" s="253"/>
      <c r="S68" s="253"/>
      <c r="T68" s="253"/>
      <c r="U68" s="253"/>
      <c r="V68" s="253"/>
      <c r="W68" s="253"/>
      <c r="X68" s="253"/>
      <c r="Y68" s="253"/>
    </row>
    <row r="69">
      <c r="A69" s="253"/>
      <c r="B69" s="253"/>
      <c r="C69" s="253"/>
      <c r="D69" s="253"/>
      <c r="E69" s="253"/>
      <c r="F69" s="253"/>
      <c r="G69" s="253"/>
      <c r="H69" s="253"/>
      <c r="I69" s="253"/>
      <c r="J69" s="253"/>
      <c r="K69" s="253"/>
      <c r="L69" s="253"/>
      <c r="M69" s="253"/>
      <c r="N69" s="253"/>
      <c r="O69" s="253"/>
      <c r="P69" s="253"/>
      <c r="Q69" s="253"/>
      <c r="R69" s="253"/>
      <c r="S69" s="253"/>
      <c r="T69" s="253"/>
      <c r="U69" s="253"/>
      <c r="V69" s="253"/>
      <c r="W69" s="253"/>
      <c r="X69" s="253"/>
      <c r="Y69" s="253"/>
    </row>
    <row r="70">
      <c r="A70" s="253"/>
      <c r="B70" s="253"/>
      <c r="C70" s="253"/>
      <c r="D70" s="253"/>
      <c r="E70" s="253"/>
      <c r="F70" s="253"/>
      <c r="G70" s="253"/>
      <c r="H70" s="253"/>
      <c r="I70" s="253"/>
      <c r="J70" s="253"/>
      <c r="K70" s="253"/>
      <c r="L70" s="253"/>
      <c r="M70" s="253"/>
      <c r="N70" s="253"/>
      <c r="O70" s="253"/>
      <c r="P70" s="253"/>
      <c r="Q70" s="253"/>
      <c r="R70" s="253"/>
      <c r="S70" s="253"/>
      <c r="T70" s="253"/>
      <c r="U70" s="253"/>
      <c r="V70" s="253"/>
      <c r="W70" s="253"/>
      <c r="X70" s="253"/>
      <c r="Y70" s="253"/>
    </row>
    <row r="71">
      <c r="A71" s="253"/>
      <c r="B71" s="253"/>
      <c r="C71" s="253"/>
      <c r="D71" s="253"/>
      <c r="E71" s="253"/>
      <c r="F71" s="253"/>
      <c r="G71" s="253"/>
      <c r="H71" s="253"/>
      <c r="I71" s="253"/>
      <c r="J71" s="253"/>
      <c r="K71" s="253"/>
      <c r="L71" s="253"/>
      <c r="M71" s="253"/>
      <c r="N71" s="253"/>
      <c r="O71" s="253"/>
      <c r="P71" s="253"/>
      <c r="Q71" s="253"/>
      <c r="R71" s="253"/>
      <c r="S71" s="253"/>
      <c r="T71" s="253"/>
      <c r="U71" s="253"/>
      <c r="V71" s="253"/>
      <c r="W71" s="253"/>
      <c r="X71" s="253"/>
      <c r="Y71" s="253"/>
    </row>
    <row r="72">
      <c r="A72" s="253"/>
      <c r="B72" s="253"/>
      <c r="C72" s="253"/>
      <c r="D72" s="253"/>
      <c r="E72" s="253"/>
      <c r="F72" s="253"/>
      <c r="G72" s="253"/>
      <c r="H72" s="253"/>
      <c r="I72" s="253"/>
      <c r="J72" s="253"/>
      <c r="K72" s="253"/>
      <c r="L72" s="253"/>
      <c r="M72" s="253"/>
      <c r="N72" s="253"/>
      <c r="O72" s="253"/>
      <c r="P72" s="253"/>
      <c r="Q72" s="253"/>
      <c r="R72" s="253"/>
      <c r="S72" s="253"/>
      <c r="T72" s="253"/>
      <c r="U72" s="253"/>
      <c r="V72" s="253"/>
      <c r="W72" s="253"/>
      <c r="X72" s="253"/>
      <c r="Y72" s="253"/>
    </row>
    <row r="73">
      <c r="A73" s="253"/>
      <c r="B73" s="253"/>
      <c r="C73" s="253"/>
      <c r="D73" s="253"/>
      <c r="E73" s="253"/>
      <c r="F73" s="253"/>
      <c r="G73" s="253"/>
      <c r="H73" s="253"/>
      <c r="I73" s="253"/>
      <c r="J73" s="253"/>
      <c r="K73" s="253"/>
      <c r="L73" s="253"/>
      <c r="M73" s="253"/>
      <c r="N73" s="253"/>
      <c r="O73" s="253"/>
      <c r="P73" s="253"/>
      <c r="Q73" s="253"/>
      <c r="R73" s="253"/>
      <c r="S73" s="253"/>
      <c r="T73" s="253"/>
      <c r="U73" s="253"/>
      <c r="V73" s="253"/>
      <c r="W73" s="253"/>
      <c r="X73" s="253"/>
      <c r="Y73" s="253"/>
    </row>
    <row r="74">
      <c r="A74" s="253"/>
      <c r="B74" s="253"/>
      <c r="C74" s="253"/>
      <c r="D74" s="253"/>
      <c r="E74" s="253"/>
      <c r="F74" s="253"/>
      <c r="G74" s="253"/>
      <c r="H74" s="253"/>
      <c r="I74" s="253"/>
      <c r="J74" s="253"/>
      <c r="K74" s="253"/>
      <c r="L74" s="253"/>
      <c r="M74" s="253"/>
      <c r="N74" s="253"/>
      <c r="O74" s="253"/>
      <c r="P74" s="253"/>
      <c r="Q74" s="253"/>
      <c r="R74" s="253"/>
      <c r="S74" s="253"/>
      <c r="T74" s="253"/>
      <c r="U74" s="253"/>
      <c r="V74" s="253"/>
      <c r="W74" s="253"/>
      <c r="X74" s="253"/>
      <c r="Y74" s="253"/>
    </row>
    <row r="75">
      <c r="A75" s="253"/>
      <c r="B75" s="253"/>
      <c r="C75" s="253"/>
      <c r="D75" s="253"/>
      <c r="E75" s="253"/>
      <c r="F75" s="253"/>
      <c r="G75" s="253"/>
      <c r="H75" s="253"/>
      <c r="I75" s="253"/>
      <c r="J75" s="253"/>
      <c r="K75" s="253"/>
      <c r="L75" s="253"/>
      <c r="M75" s="253"/>
      <c r="N75" s="253"/>
      <c r="O75" s="253"/>
      <c r="P75" s="253"/>
      <c r="Q75" s="253"/>
      <c r="R75" s="253"/>
      <c r="S75" s="253"/>
      <c r="T75" s="253"/>
      <c r="U75" s="253"/>
      <c r="V75" s="253"/>
      <c r="W75" s="253"/>
      <c r="X75" s="253"/>
      <c r="Y75" s="253"/>
    </row>
    <row r="76">
      <c r="A76" s="253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</row>
    <row r="77">
      <c r="A77" s="253"/>
      <c r="B77" s="253"/>
      <c r="C77" s="253"/>
      <c r="D77" s="253"/>
      <c r="E77" s="253"/>
      <c r="F77" s="253"/>
      <c r="G77" s="253"/>
      <c r="H77" s="253"/>
      <c r="I77" s="253"/>
      <c r="J77" s="253"/>
      <c r="K77" s="253"/>
      <c r="L77" s="253"/>
      <c r="M77" s="253"/>
      <c r="N77" s="253"/>
      <c r="O77" s="253"/>
      <c r="P77" s="253"/>
      <c r="Q77" s="253"/>
      <c r="R77" s="253"/>
      <c r="S77" s="253"/>
      <c r="T77" s="253"/>
      <c r="U77" s="253"/>
      <c r="V77" s="253"/>
      <c r="W77" s="253"/>
      <c r="X77" s="253"/>
      <c r="Y77" s="253"/>
    </row>
    <row r="78">
      <c r="A78" s="253"/>
      <c r="B78" s="253"/>
      <c r="C78" s="253"/>
      <c r="D78" s="253"/>
      <c r="E78" s="253"/>
      <c r="F78" s="253"/>
      <c r="G78" s="253"/>
      <c r="H78" s="253"/>
      <c r="I78" s="253"/>
      <c r="J78" s="253"/>
      <c r="K78" s="253"/>
      <c r="L78" s="253"/>
      <c r="M78" s="253"/>
      <c r="N78" s="253"/>
      <c r="O78" s="253"/>
      <c r="P78" s="253"/>
      <c r="Q78" s="253"/>
      <c r="R78" s="253"/>
      <c r="S78" s="253"/>
      <c r="T78" s="253"/>
      <c r="U78" s="253"/>
      <c r="V78" s="253"/>
      <c r="W78" s="253"/>
      <c r="X78" s="253"/>
      <c r="Y78" s="253"/>
    </row>
    <row r="79">
      <c r="A79" s="253"/>
      <c r="B79" s="253"/>
      <c r="C79" s="253"/>
      <c r="D79" s="253"/>
      <c r="E79" s="253"/>
      <c r="F79" s="253"/>
      <c r="G79" s="253"/>
      <c r="H79" s="253"/>
      <c r="I79" s="253"/>
      <c r="J79" s="253"/>
      <c r="K79" s="253"/>
      <c r="L79" s="253"/>
      <c r="M79" s="253"/>
      <c r="N79" s="253"/>
      <c r="O79" s="253"/>
      <c r="P79" s="253"/>
      <c r="Q79" s="253"/>
      <c r="R79" s="253"/>
      <c r="S79" s="253"/>
      <c r="T79" s="253"/>
      <c r="U79" s="253"/>
      <c r="V79" s="253"/>
      <c r="W79" s="253"/>
      <c r="X79" s="253"/>
      <c r="Y79" s="253"/>
    </row>
    <row r="80">
      <c r="A80" s="253"/>
      <c r="B80" s="253"/>
      <c r="C80" s="253"/>
      <c r="D80" s="253"/>
      <c r="E80" s="253"/>
      <c r="F80" s="253"/>
      <c r="G80" s="253"/>
      <c r="H80" s="253"/>
      <c r="I80" s="253"/>
      <c r="J80" s="253"/>
      <c r="K80" s="253"/>
      <c r="L80" s="253"/>
      <c r="M80" s="253"/>
      <c r="N80" s="253"/>
      <c r="O80" s="253"/>
      <c r="P80" s="253"/>
      <c r="Q80" s="253"/>
      <c r="R80" s="253"/>
      <c r="S80" s="253"/>
      <c r="T80" s="253"/>
      <c r="U80" s="253"/>
      <c r="V80" s="253"/>
      <c r="W80" s="253"/>
      <c r="X80" s="253"/>
      <c r="Y80" s="253"/>
    </row>
    <row r="81">
      <c r="A81" s="253"/>
      <c r="B81" s="253"/>
      <c r="C81" s="253"/>
      <c r="D81" s="253"/>
      <c r="E81" s="253"/>
      <c r="F81" s="253"/>
      <c r="G81" s="253"/>
      <c r="H81" s="253"/>
      <c r="I81" s="253"/>
      <c r="J81" s="253"/>
      <c r="K81" s="253"/>
      <c r="L81" s="253"/>
      <c r="M81" s="253"/>
      <c r="N81" s="253"/>
      <c r="O81" s="253"/>
      <c r="P81" s="253"/>
      <c r="Q81" s="253"/>
      <c r="R81" s="253"/>
      <c r="S81" s="253"/>
      <c r="T81" s="253"/>
      <c r="U81" s="253"/>
      <c r="V81" s="253"/>
      <c r="W81" s="253"/>
      <c r="X81" s="253"/>
      <c r="Y81" s="253"/>
    </row>
    <row r="82">
      <c r="A82" s="253"/>
      <c r="B82" s="253"/>
      <c r="C82" s="253"/>
      <c r="D82" s="253"/>
      <c r="E82" s="253"/>
      <c r="F82" s="253"/>
      <c r="G82" s="253"/>
      <c r="H82" s="253"/>
      <c r="I82" s="253"/>
      <c r="J82" s="253"/>
      <c r="K82" s="253"/>
      <c r="L82" s="253"/>
      <c r="M82" s="253"/>
      <c r="N82" s="253"/>
      <c r="O82" s="253"/>
      <c r="P82" s="253"/>
      <c r="Q82" s="253"/>
      <c r="R82" s="253"/>
      <c r="S82" s="253"/>
      <c r="T82" s="253"/>
      <c r="U82" s="253"/>
      <c r="V82" s="253"/>
      <c r="W82" s="253"/>
      <c r="X82" s="253"/>
      <c r="Y82" s="253"/>
    </row>
    <row r="83">
      <c r="A83" s="253"/>
      <c r="B83" s="253"/>
      <c r="C83" s="253"/>
      <c r="D83" s="253"/>
      <c r="E83" s="253"/>
      <c r="F83" s="253"/>
      <c r="G83" s="253"/>
      <c r="H83" s="253"/>
      <c r="I83" s="253"/>
      <c r="J83" s="253"/>
      <c r="K83" s="253"/>
      <c r="L83" s="253"/>
      <c r="M83" s="253"/>
      <c r="N83" s="253"/>
      <c r="O83" s="253"/>
      <c r="P83" s="253"/>
      <c r="Q83" s="253"/>
      <c r="R83" s="253"/>
      <c r="S83" s="253"/>
      <c r="T83" s="253"/>
      <c r="U83" s="253"/>
      <c r="V83" s="253"/>
      <c r="W83" s="253"/>
      <c r="X83" s="253"/>
      <c r="Y83" s="253"/>
    </row>
    <row r="84">
      <c r="A84" s="253"/>
      <c r="B84" s="253"/>
      <c r="C84" s="253"/>
      <c r="D84" s="253"/>
      <c r="E84" s="253"/>
      <c r="F84" s="253"/>
      <c r="G84" s="253"/>
      <c r="H84" s="253"/>
      <c r="I84" s="253"/>
      <c r="J84" s="253"/>
      <c r="K84" s="253"/>
      <c r="L84" s="253"/>
      <c r="M84" s="253"/>
      <c r="N84" s="253"/>
      <c r="O84" s="253"/>
      <c r="P84" s="253"/>
      <c r="Q84" s="253"/>
      <c r="R84" s="253"/>
      <c r="S84" s="253"/>
      <c r="T84" s="253"/>
      <c r="U84" s="253"/>
      <c r="V84" s="253"/>
      <c r="W84" s="253"/>
      <c r="X84" s="253"/>
      <c r="Y84" s="253"/>
    </row>
    <row r="85">
      <c r="A85" s="253"/>
      <c r="B85" s="253"/>
      <c r="C85" s="253"/>
      <c r="D85" s="253"/>
      <c r="E85" s="253"/>
      <c r="F85" s="253"/>
      <c r="G85" s="253"/>
      <c r="H85" s="253"/>
      <c r="I85" s="253"/>
      <c r="J85" s="253"/>
      <c r="K85" s="253"/>
      <c r="L85" s="253"/>
      <c r="M85" s="253"/>
      <c r="N85" s="253"/>
      <c r="O85" s="253"/>
      <c r="P85" s="253"/>
      <c r="Q85" s="253"/>
      <c r="R85" s="253"/>
      <c r="S85" s="253"/>
      <c r="T85" s="253"/>
      <c r="U85" s="253"/>
      <c r="V85" s="253"/>
      <c r="W85" s="253"/>
      <c r="X85" s="253"/>
      <c r="Y85" s="253"/>
    </row>
    <row r="86">
      <c r="A86" s="253"/>
      <c r="B86" s="253"/>
      <c r="C86" s="253"/>
      <c r="D86" s="253"/>
      <c r="E86" s="253"/>
      <c r="F86" s="253"/>
      <c r="G86" s="253"/>
      <c r="H86" s="253"/>
      <c r="I86" s="253"/>
      <c r="J86" s="253"/>
      <c r="K86" s="253"/>
      <c r="L86" s="253"/>
      <c r="M86" s="253"/>
      <c r="N86" s="253"/>
      <c r="O86" s="253"/>
      <c r="P86" s="253"/>
      <c r="Q86" s="253"/>
      <c r="R86" s="253"/>
      <c r="S86" s="253"/>
      <c r="T86" s="253"/>
      <c r="U86" s="253"/>
      <c r="V86" s="253"/>
      <c r="W86" s="253"/>
      <c r="X86" s="253"/>
      <c r="Y86" s="253"/>
    </row>
    <row r="87">
      <c r="A87" s="253"/>
      <c r="B87" s="253"/>
      <c r="C87" s="253"/>
      <c r="D87" s="253"/>
      <c r="E87" s="253"/>
      <c r="F87" s="253"/>
      <c r="G87" s="253"/>
      <c r="H87" s="253"/>
      <c r="I87" s="253"/>
      <c r="J87" s="253"/>
      <c r="K87" s="253"/>
      <c r="L87" s="253"/>
      <c r="M87" s="253"/>
      <c r="N87" s="253"/>
      <c r="O87" s="253"/>
      <c r="P87" s="253"/>
      <c r="Q87" s="253"/>
      <c r="R87" s="253"/>
      <c r="S87" s="253"/>
      <c r="T87" s="253"/>
      <c r="U87" s="253"/>
      <c r="V87" s="253"/>
      <c r="W87" s="253"/>
      <c r="X87" s="253"/>
      <c r="Y87" s="253"/>
    </row>
    <row r="88">
      <c r="A88" s="253"/>
      <c r="B88" s="253"/>
      <c r="C88" s="253"/>
      <c r="D88" s="253"/>
      <c r="E88" s="253"/>
      <c r="F88" s="253"/>
      <c r="G88" s="253"/>
      <c r="H88" s="253"/>
      <c r="I88" s="253"/>
      <c r="J88" s="253"/>
      <c r="K88" s="253"/>
      <c r="L88" s="253"/>
      <c r="M88" s="253"/>
      <c r="N88" s="253"/>
      <c r="O88" s="253"/>
      <c r="P88" s="253"/>
      <c r="Q88" s="253"/>
      <c r="R88" s="253"/>
      <c r="S88" s="253"/>
      <c r="T88" s="253"/>
      <c r="U88" s="253"/>
      <c r="V88" s="253"/>
      <c r="W88" s="253"/>
      <c r="X88" s="253"/>
      <c r="Y88" s="253"/>
    </row>
    <row r="89">
      <c r="A89" s="253"/>
      <c r="B89" s="253"/>
      <c r="C89" s="253"/>
      <c r="D89" s="253"/>
      <c r="E89" s="253"/>
      <c r="F89" s="253"/>
      <c r="G89" s="253"/>
      <c r="H89" s="253"/>
      <c r="I89" s="253"/>
      <c r="J89" s="253"/>
      <c r="K89" s="253"/>
      <c r="L89" s="253"/>
      <c r="M89" s="253"/>
      <c r="N89" s="253"/>
      <c r="O89" s="253"/>
      <c r="P89" s="253"/>
      <c r="Q89" s="253"/>
      <c r="R89" s="253"/>
      <c r="S89" s="253"/>
      <c r="T89" s="253"/>
      <c r="U89" s="253"/>
      <c r="V89" s="253"/>
      <c r="W89" s="253"/>
      <c r="X89" s="253"/>
      <c r="Y89" s="253"/>
    </row>
    <row r="90">
      <c r="A90" s="253"/>
      <c r="B90" s="253"/>
      <c r="C90" s="253"/>
      <c r="D90" s="253"/>
      <c r="E90" s="253"/>
      <c r="F90" s="253"/>
      <c r="G90" s="253"/>
      <c r="H90" s="253"/>
      <c r="I90" s="253"/>
      <c r="J90" s="253"/>
      <c r="K90" s="253"/>
      <c r="L90" s="253"/>
      <c r="M90" s="253"/>
      <c r="N90" s="253"/>
      <c r="O90" s="253"/>
      <c r="P90" s="253"/>
      <c r="Q90" s="253"/>
      <c r="R90" s="253"/>
      <c r="S90" s="253"/>
      <c r="T90" s="253"/>
      <c r="U90" s="253"/>
      <c r="V90" s="253"/>
      <c r="W90" s="253"/>
      <c r="X90" s="253"/>
      <c r="Y90" s="253"/>
    </row>
    <row r="91">
      <c r="A91" s="253"/>
      <c r="B91" s="253"/>
      <c r="C91" s="253"/>
      <c r="D91" s="253"/>
      <c r="E91" s="253"/>
      <c r="F91" s="253"/>
      <c r="G91" s="253"/>
      <c r="H91" s="253"/>
      <c r="I91" s="253"/>
      <c r="J91" s="253"/>
      <c r="K91" s="253"/>
      <c r="L91" s="253"/>
      <c r="M91" s="253"/>
      <c r="N91" s="253"/>
      <c r="O91" s="253"/>
      <c r="P91" s="253"/>
      <c r="Q91" s="253"/>
      <c r="R91" s="253"/>
      <c r="S91" s="253"/>
      <c r="T91" s="253"/>
      <c r="U91" s="253"/>
      <c r="V91" s="253"/>
      <c r="W91" s="253"/>
      <c r="X91" s="253"/>
      <c r="Y91" s="253"/>
    </row>
    <row r="92">
      <c r="A92" s="253"/>
      <c r="B92" s="253"/>
      <c r="C92" s="253"/>
      <c r="D92" s="253"/>
      <c r="E92" s="253"/>
      <c r="F92" s="253"/>
      <c r="G92" s="253"/>
      <c r="H92" s="253"/>
      <c r="I92" s="253"/>
      <c r="J92" s="253"/>
      <c r="K92" s="253"/>
      <c r="L92" s="253"/>
      <c r="M92" s="253"/>
      <c r="N92" s="253"/>
      <c r="O92" s="253"/>
      <c r="P92" s="253"/>
      <c r="Q92" s="253"/>
      <c r="R92" s="253"/>
      <c r="S92" s="253"/>
      <c r="T92" s="253"/>
      <c r="U92" s="253"/>
      <c r="V92" s="253"/>
      <c r="W92" s="253"/>
      <c r="X92" s="253"/>
      <c r="Y92" s="253"/>
    </row>
    <row r="93">
      <c r="A93" s="253"/>
      <c r="B93" s="253"/>
      <c r="C93" s="253"/>
      <c r="D93" s="253"/>
      <c r="E93" s="253"/>
      <c r="F93" s="253"/>
      <c r="G93" s="253"/>
      <c r="H93" s="253"/>
      <c r="I93" s="253"/>
      <c r="J93" s="253"/>
      <c r="K93" s="253"/>
      <c r="L93" s="253"/>
      <c r="M93" s="253"/>
      <c r="N93" s="253"/>
      <c r="O93" s="253"/>
      <c r="P93" s="253"/>
      <c r="Q93" s="253"/>
      <c r="R93" s="253"/>
      <c r="S93" s="253"/>
      <c r="T93" s="253"/>
      <c r="U93" s="253"/>
      <c r="V93" s="253"/>
      <c r="W93" s="253"/>
      <c r="X93" s="253"/>
      <c r="Y93" s="253"/>
    </row>
    <row r="94">
      <c r="A94" s="253"/>
      <c r="B94" s="253"/>
      <c r="C94" s="253"/>
      <c r="D94" s="253"/>
      <c r="E94" s="253"/>
      <c r="F94" s="253"/>
      <c r="G94" s="253"/>
      <c r="H94" s="253"/>
      <c r="I94" s="253"/>
      <c r="J94" s="253"/>
      <c r="K94" s="253"/>
      <c r="L94" s="253"/>
      <c r="M94" s="253"/>
      <c r="N94" s="253"/>
      <c r="O94" s="253"/>
      <c r="P94" s="253"/>
      <c r="Q94" s="253"/>
      <c r="R94" s="253"/>
      <c r="S94" s="253"/>
      <c r="T94" s="253"/>
      <c r="U94" s="253"/>
      <c r="V94" s="253"/>
      <c r="W94" s="253"/>
      <c r="X94" s="253"/>
      <c r="Y94" s="253"/>
    </row>
    <row r="95">
      <c r="A95" s="253"/>
      <c r="B95" s="253"/>
      <c r="C95" s="253"/>
      <c r="D95" s="253"/>
      <c r="E95" s="253"/>
      <c r="F95" s="253"/>
      <c r="G95" s="253"/>
      <c r="H95" s="253"/>
      <c r="I95" s="253"/>
      <c r="J95" s="253"/>
      <c r="K95" s="253"/>
      <c r="L95" s="253"/>
      <c r="M95" s="253"/>
      <c r="N95" s="253"/>
      <c r="O95" s="253"/>
      <c r="P95" s="253"/>
      <c r="Q95" s="253"/>
      <c r="R95" s="253"/>
      <c r="S95" s="253"/>
      <c r="T95" s="253"/>
      <c r="U95" s="253"/>
      <c r="V95" s="253"/>
      <c r="W95" s="253"/>
      <c r="X95" s="253"/>
      <c r="Y95" s="253"/>
    </row>
    <row r="96">
      <c r="A96" s="253"/>
      <c r="B96" s="253"/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3"/>
      <c r="Q96" s="253"/>
      <c r="R96" s="253"/>
      <c r="S96" s="253"/>
      <c r="T96" s="253"/>
      <c r="U96" s="253"/>
      <c r="V96" s="253"/>
      <c r="W96" s="253"/>
      <c r="X96" s="253"/>
      <c r="Y96" s="253"/>
    </row>
    <row r="97">
      <c r="A97" s="253"/>
      <c r="B97" s="253"/>
      <c r="C97" s="253"/>
      <c r="D97" s="253"/>
      <c r="E97" s="253"/>
      <c r="F97" s="253"/>
      <c r="G97" s="253"/>
      <c r="H97" s="253"/>
      <c r="I97" s="253"/>
      <c r="J97" s="253"/>
      <c r="K97" s="253"/>
      <c r="L97" s="253"/>
      <c r="M97" s="253"/>
      <c r="N97" s="253"/>
      <c r="O97" s="253"/>
      <c r="P97" s="253"/>
      <c r="Q97" s="253"/>
      <c r="R97" s="253"/>
      <c r="S97" s="253"/>
      <c r="T97" s="253"/>
      <c r="U97" s="253"/>
      <c r="V97" s="253"/>
      <c r="W97" s="253"/>
      <c r="X97" s="253"/>
      <c r="Y97" s="253"/>
    </row>
    <row r="98">
      <c r="A98" s="253"/>
      <c r="B98" s="253"/>
      <c r="C98" s="253"/>
      <c r="D98" s="253"/>
      <c r="E98" s="253"/>
      <c r="F98" s="253"/>
      <c r="G98" s="253"/>
      <c r="H98" s="253"/>
      <c r="I98" s="253"/>
      <c r="J98" s="253"/>
      <c r="K98" s="253"/>
      <c r="L98" s="253"/>
      <c r="M98" s="253"/>
      <c r="N98" s="253"/>
      <c r="O98" s="253"/>
      <c r="P98" s="253"/>
      <c r="Q98" s="253"/>
      <c r="R98" s="253"/>
      <c r="S98" s="253"/>
      <c r="T98" s="253"/>
      <c r="U98" s="253"/>
      <c r="V98" s="253"/>
      <c r="W98" s="253"/>
      <c r="X98" s="253"/>
      <c r="Y98" s="253"/>
    </row>
    <row r="99">
      <c r="A99" s="253"/>
      <c r="B99" s="253"/>
      <c r="C99" s="253"/>
      <c r="D99" s="253"/>
      <c r="E99" s="253"/>
      <c r="F99" s="253"/>
      <c r="G99" s="253"/>
      <c r="H99" s="253"/>
      <c r="I99" s="253"/>
      <c r="J99" s="253"/>
      <c r="K99" s="253"/>
      <c r="L99" s="253"/>
      <c r="M99" s="253"/>
      <c r="N99" s="253"/>
      <c r="O99" s="253"/>
      <c r="P99" s="253"/>
      <c r="Q99" s="253"/>
      <c r="R99" s="253"/>
      <c r="S99" s="253"/>
      <c r="T99" s="253"/>
      <c r="U99" s="253"/>
      <c r="V99" s="253"/>
      <c r="W99" s="253"/>
      <c r="X99" s="253"/>
      <c r="Y99" s="253"/>
    </row>
    <row r="100">
      <c r="A100" s="253"/>
      <c r="B100" s="253"/>
      <c r="C100" s="253"/>
      <c r="D100" s="253"/>
      <c r="E100" s="253"/>
      <c r="F100" s="253"/>
      <c r="G100" s="253"/>
      <c r="H100" s="253"/>
      <c r="I100" s="253"/>
      <c r="J100" s="253"/>
      <c r="K100" s="253"/>
      <c r="L100" s="253"/>
      <c r="M100" s="253"/>
      <c r="N100" s="253"/>
      <c r="O100" s="253"/>
      <c r="P100" s="253"/>
      <c r="Q100" s="253"/>
      <c r="R100" s="253"/>
      <c r="S100" s="253"/>
      <c r="T100" s="253"/>
      <c r="U100" s="253"/>
      <c r="V100" s="253"/>
      <c r="W100" s="253"/>
      <c r="X100" s="253"/>
      <c r="Y100" s="253"/>
    </row>
    <row r="101">
      <c r="A101" s="253"/>
      <c r="B101" s="253"/>
      <c r="C101" s="253"/>
      <c r="D101" s="253"/>
      <c r="E101" s="253"/>
      <c r="F101" s="253"/>
      <c r="G101" s="253"/>
      <c r="H101" s="253"/>
      <c r="I101" s="253"/>
      <c r="J101" s="253"/>
      <c r="K101" s="253"/>
      <c r="L101" s="253"/>
      <c r="M101" s="253"/>
      <c r="N101" s="253"/>
      <c r="O101" s="253"/>
      <c r="P101" s="253"/>
      <c r="Q101" s="253"/>
      <c r="R101" s="253"/>
      <c r="S101" s="253"/>
      <c r="T101" s="253"/>
      <c r="U101" s="253"/>
      <c r="V101" s="253"/>
      <c r="W101" s="253"/>
      <c r="X101" s="253"/>
      <c r="Y101" s="253"/>
    </row>
    <row r="102">
      <c r="A102" s="253"/>
      <c r="B102" s="253"/>
      <c r="C102" s="253"/>
      <c r="D102" s="253"/>
      <c r="E102" s="253"/>
      <c r="F102" s="253"/>
      <c r="G102" s="253"/>
      <c r="H102" s="253"/>
      <c r="I102" s="253"/>
      <c r="J102" s="253"/>
      <c r="K102" s="253"/>
      <c r="L102" s="253"/>
      <c r="M102" s="253"/>
      <c r="N102" s="253"/>
      <c r="O102" s="253"/>
      <c r="P102" s="253"/>
      <c r="Q102" s="253"/>
      <c r="R102" s="253"/>
      <c r="S102" s="253"/>
      <c r="T102" s="253"/>
      <c r="U102" s="253"/>
      <c r="V102" s="253"/>
      <c r="W102" s="253"/>
      <c r="X102" s="253"/>
      <c r="Y102" s="253"/>
    </row>
    <row r="103">
      <c r="A103" s="253"/>
      <c r="B103" s="253"/>
      <c r="C103" s="253"/>
      <c r="D103" s="253"/>
      <c r="E103" s="253"/>
      <c r="F103" s="253"/>
      <c r="G103" s="253"/>
      <c r="H103" s="253"/>
      <c r="I103" s="253"/>
      <c r="J103" s="253"/>
      <c r="K103" s="253"/>
      <c r="L103" s="253"/>
      <c r="M103" s="253"/>
      <c r="N103" s="253"/>
      <c r="O103" s="253"/>
      <c r="P103" s="253"/>
      <c r="Q103" s="253"/>
      <c r="R103" s="253"/>
      <c r="S103" s="253"/>
      <c r="T103" s="253"/>
      <c r="U103" s="253"/>
      <c r="V103" s="253"/>
      <c r="W103" s="253"/>
      <c r="X103" s="253"/>
      <c r="Y103" s="253"/>
    </row>
    <row r="104">
      <c r="A104" s="253"/>
      <c r="B104" s="253"/>
      <c r="C104" s="253"/>
      <c r="D104" s="253"/>
      <c r="E104" s="253"/>
      <c r="F104" s="253"/>
      <c r="G104" s="253"/>
      <c r="H104" s="253"/>
      <c r="I104" s="253"/>
      <c r="J104" s="253"/>
      <c r="K104" s="253"/>
      <c r="L104" s="253"/>
      <c r="M104" s="253"/>
      <c r="N104" s="253"/>
      <c r="O104" s="253"/>
      <c r="P104" s="253"/>
      <c r="Q104" s="253"/>
      <c r="R104" s="253"/>
      <c r="S104" s="253"/>
      <c r="T104" s="253"/>
      <c r="U104" s="253"/>
      <c r="V104" s="253"/>
      <c r="W104" s="253"/>
      <c r="X104" s="253"/>
      <c r="Y104" s="253"/>
    </row>
    <row r="105">
      <c r="A105" s="253"/>
      <c r="B105" s="253"/>
      <c r="C105" s="253"/>
      <c r="D105" s="253"/>
      <c r="E105" s="253"/>
      <c r="F105" s="253"/>
      <c r="G105" s="253"/>
      <c r="H105" s="253"/>
      <c r="I105" s="253"/>
      <c r="J105" s="253"/>
      <c r="K105" s="253"/>
      <c r="L105" s="253"/>
      <c r="M105" s="253"/>
      <c r="N105" s="253"/>
      <c r="O105" s="253"/>
      <c r="P105" s="253"/>
      <c r="Q105" s="253"/>
      <c r="R105" s="253"/>
      <c r="S105" s="253"/>
      <c r="T105" s="253"/>
      <c r="U105" s="253"/>
      <c r="V105" s="253"/>
      <c r="W105" s="253"/>
      <c r="X105" s="253"/>
      <c r="Y105" s="253"/>
    </row>
    <row r="106">
      <c r="A106" s="253"/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</row>
    <row r="107">
      <c r="A107" s="253"/>
      <c r="B107" s="253"/>
      <c r="C107" s="253"/>
      <c r="D107" s="253"/>
      <c r="E107" s="253"/>
      <c r="F107" s="253"/>
      <c r="G107" s="253"/>
      <c r="H107" s="253"/>
      <c r="I107" s="253"/>
      <c r="J107" s="253"/>
      <c r="K107" s="253"/>
      <c r="L107" s="253"/>
      <c r="M107" s="253"/>
      <c r="N107" s="253"/>
      <c r="O107" s="253"/>
      <c r="P107" s="253"/>
      <c r="Q107" s="253"/>
      <c r="R107" s="253"/>
      <c r="S107" s="253"/>
      <c r="T107" s="253"/>
      <c r="U107" s="253"/>
      <c r="V107" s="253"/>
      <c r="W107" s="253"/>
      <c r="X107" s="253"/>
      <c r="Y107" s="253"/>
    </row>
    <row r="108">
      <c r="A108" s="253"/>
      <c r="B108" s="253"/>
      <c r="C108" s="253"/>
      <c r="D108" s="253"/>
      <c r="E108" s="253"/>
      <c r="F108" s="253"/>
      <c r="G108" s="253"/>
      <c r="H108" s="253"/>
      <c r="I108" s="253"/>
      <c r="J108" s="253"/>
      <c r="K108" s="253"/>
      <c r="L108" s="253"/>
      <c r="M108" s="253"/>
      <c r="N108" s="253"/>
      <c r="O108" s="253"/>
      <c r="P108" s="253"/>
      <c r="Q108" s="253"/>
      <c r="R108" s="253"/>
      <c r="S108" s="253"/>
      <c r="T108" s="253"/>
      <c r="U108" s="253"/>
      <c r="V108" s="253"/>
      <c r="W108" s="253"/>
      <c r="X108" s="253"/>
      <c r="Y108" s="253"/>
    </row>
    <row r="109">
      <c r="A109" s="253"/>
      <c r="B109" s="253"/>
      <c r="C109" s="253"/>
      <c r="D109" s="253"/>
      <c r="E109" s="253"/>
      <c r="F109" s="253"/>
      <c r="G109" s="253"/>
      <c r="H109" s="253"/>
      <c r="I109" s="253"/>
      <c r="J109" s="253"/>
      <c r="K109" s="253"/>
      <c r="L109" s="253"/>
      <c r="M109" s="253"/>
      <c r="N109" s="253"/>
      <c r="O109" s="253"/>
      <c r="P109" s="253"/>
      <c r="Q109" s="253"/>
      <c r="R109" s="253"/>
      <c r="S109" s="253"/>
      <c r="T109" s="253"/>
      <c r="U109" s="253"/>
      <c r="V109" s="253"/>
      <c r="W109" s="253"/>
      <c r="X109" s="253"/>
      <c r="Y109" s="253"/>
    </row>
    <row r="110">
      <c r="A110" s="253"/>
      <c r="B110" s="253"/>
      <c r="C110" s="253"/>
      <c r="D110" s="253"/>
      <c r="E110" s="253"/>
      <c r="F110" s="253"/>
      <c r="G110" s="253"/>
      <c r="H110" s="253"/>
      <c r="I110" s="253"/>
      <c r="J110" s="253"/>
      <c r="K110" s="253"/>
      <c r="L110" s="253"/>
      <c r="M110" s="253"/>
      <c r="N110" s="253"/>
      <c r="O110" s="253"/>
      <c r="P110" s="253"/>
      <c r="Q110" s="253"/>
      <c r="R110" s="253"/>
      <c r="S110" s="253"/>
      <c r="T110" s="253"/>
      <c r="U110" s="253"/>
      <c r="V110" s="253"/>
      <c r="W110" s="253"/>
      <c r="X110" s="253"/>
      <c r="Y110" s="253"/>
    </row>
    <row r="111">
      <c r="A111" s="253"/>
      <c r="B111" s="253"/>
      <c r="C111" s="253"/>
      <c r="D111" s="253"/>
      <c r="E111" s="253"/>
      <c r="F111" s="253"/>
      <c r="G111" s="253"/>
      <c r="H111" s="253"/>
      <c r="I111" s="253"/>
      <c r="J111" s="253"/>
      <c r="K111" s="253"/>
      <c r="L111" s="253"/>
      <c r="M111" s="253"/>
      <c r="N111" s="253"/>
      <c r="O111" s="253"/>
      <c r="P111" s="253"/>
      <c r="Q111" s="253"/>
      <c r="R111" s="253"/>
      <c r="S111" s="253"/>
      <c r="T111" s="253"/>
      <c r="U111" s="253"/>
      <c r="V111" s="253"/>
      <c r="W111" s="253"/>
      <c r="X111" s="253"/>
      <c r="Y111" s="253"/>
    </row>
    <row r="112">
      <c r="A112" s="253"/>
      <c r="B112" s="253"/>
      <c r="C112" s="253"/>
      <c r="D112" s="253"/>
      <c r="E112" s="253"/>
      <c r="F112" s="253"/>
      <c r="G112" s="253"/>
      <c r="H112" s="253"/>
      <c r="I112" s="253"/>
      <c r="J112" s="253"/>
      <c r="K112" s="253"/>
      <c r="L112" s="253"/>
      <c r="M112" s="253"/>
      <c r="N112" s="253"/>
      <c r="O112" s="253"/>
      <c r="P112" s="253"/>
      <c r="Q112" s="253"/>
      <c r="R112" s="253"/>
      <c r="S112" s="253"/>
      <c r="T112" s="253"/>
      <c r="U112" s="253"/>
      <c r="V112" s="253"/>
      <c r="W112" s="253"/>
      <c r="X112" s="253"/>
      <c r="Y112" s="253"/>
    </row>
    <row r="113">
      <c r="A113" s="253"/>
      <c r="B113" s="253"/>
      <c r="C113" s="253"/>
      <c r="D113" s="253"/>
      <c r="E113" s="253"/>
      <c r="F113" s="253"/>
      <c r="G113" s="253"/>
      <c r="H113" s="253"/>
      <c r="I113" s="253"/>
      <c r="J113" s="253"/>
      <c r="K113" s="253"/>
      <c r="L113" s="253"/>
      <c r="M113" s="253"/>
      <c r="N113" s="253"/>
      <c r="O113" s="253"/>
      <c r="P113" s="253"/>
      <c r="Q113" s="253"/>
      <c r="R113" s="253"/>
      <c r="S113" s="253"/>
      <c r="T113" s="253"/>
      <c r="U113" s="253"/>
      <c r="V113" s="253"/>
      <c r="W113" s="253"/>
      <c r="X113" s="253"/>
      <c r="Y113" s="253"/>
    </row>
    <row r="114">
      <c r="A114" s="253"/>
      <c r="B114" s="253"/>
      <c r="C114" s="253"/>
      <c r="D114" s="253"/>
      <c r="E114" s="253"/>
      <c r="F114" s="253"/>
      <c r="G114" s="253"/>
      <c r="H114" s="253"/>
      <c r="I114" s="253"/>
      <c r="J114" s="253"/>
      <c r="K114" s="253"/>
      <c r="L114" s="253"/>
      <c r="M114" s="253"/>
      <c r="N114" s="253"/>
      <c r="O114" s="253"/>
      <c r="P114" s="253"/>
      <c r="Q114" s="253"/>
      <c r="R114" s="253"/>
      <c r="S114" s="253"/>
      <c r="T114" s="253"/>
      <c r="U114" s="253"/>
      <c r="V114" s="253"/>
      <c r="W114" s="253"/>
      <c r="X114" s="253"/>
      <c r="Y114" s="253"/>
    </row>
    <row r="115">
      <c r="A115" s="253"/>
      <c r="B115" s="253"/>
      <c r="C115" s="253"/>
      <c r="D115" s="253"/>
      <c r="E115" s="253"/>
      <c r="F115" s="253"/>
      <c r="G115" s="253"/>
      <c r="H115" s="253"/>
      <c r="I115" s="253"/>
      <c r="J115" s="253"/>
      <c r="K115" s="253"/>
      <c r="L115" s="253"/>
      <c r="M115" s="253"/>
      <c r="N115" s="253"/>
      <c r="O115" s="253"/>
      <c r="P115" s="253"/>
      <c r="Q115" s="253"/>
      <c r="R115" s="253"/>
      <c r="S115" s="253"/>
      <c r="T115" s="253"/>
      <c r="U115" s="253"/>
      <c r="V115" s="253"/>
      <c r="W115" s="253"/>
      <c r="X115" s="253"/>
      <c r="Y115" s="253"/>
    </row>
    <row r="116">
      <c r="A116" s="253"/>
      <c r="B116" s="253"/>
      <c r="C116" s="253"/>
      <c r="D116" s="253"/>
      <c r="E116" s="253"/>
      <c r="F116" s="253"/>
      <c r="G116" s="253"/>
      <c r="H116" s="253"/>
      <c r="I116" s="253"/>
      <c r="J116" s="253"/>
      <c r="K116" s="253"/>
      <c r="L116" s="253"/>
      <c r="M116" s="253"/>
      <c r="N116" s="253"/>
      <c r="O116" s="253"/>
      <c r="P116" s="253"/>
      <c r="Q116" s="253"/>
      <c r="R116" s="253"/>
      <c r="S116" s="253"/>
      <c r="T116" s="253"/>
      <c r="U116" s="253"/>
      <c r="V116" s="253"/>
      <c r="W116" s="253"/>
      <c r="X116" s="253"/>
      <c r="Y116" s="253"/>
    </row>
    <row r="117">
      <c r="A117" s="253"/>
      <c r="B117" s="253"/>
      <c r="C117" s="253"/>
      <c r="D117" s="253"/>
      <c r="E117" s="253"/>
      <c r="F117" s="253"/>
      <c r="G117" s="253"/>
      <c r="H117" s="253"/>
      <c r="I117" s="253"/>
      <c r="J117" s="253"/>
      <c r="K117" s="253"/>
      <c r="L117" s="253"/>
      <c r="M117" s="253"/>
      <c r="N117" s="253"/>
      <c r="O117" s="253"/>
      <c r="P117" s="253"/>
      <c r="Q117" s="253"/>
      <c r="R117" s="253"/>
      <c r="S117" s="253"/>
      <c r="T117" s="253"/>
      <c r="U117" s="253"/>
      <c r="V117" s="253"/>
      <c r="W117" s="253"/>
      <c r="X117" s="253"/>
      <c r="Y117" s="253"/>
    </row>
    <row r="118">
      <c r="A118" s="253"/>
      <c r="B118" s="253"/>
      <c r="C118" s="253"/>
      <c r="D118" s="253"/>
      <c r="E118" s="253"/>
      <c r="F118" s="253"/>
      <c r="G118" s="253"/>
      <c r="H118" s="253"/>
      <c r="I118" s="253"/>
      <c r="J118" s="253"/>
      <c r="K118" s="253"/>
      <c r="L118" s="253"/>
      <c r="M118" s="253"/>
      <c r="N118" s="253"/>
      <c r="O118" s="253"/>
      <c r="P118" s="253"/>
      <c r="Q118" s="253"/>
      <c r="R118" s="253"/>
      <c r="S118" s="253"/>
      <c r="T118" s="253"/>
      <c r="U118" s="253"/>
      <c r="V118" s="253"/>
      <c r="W118" s="253"/>
      <c r="X118" s="253"/>
      <c r="Y118" s="253"/>
    </row>
    <row r="119">
      <c r="A119" s="253"/>
      <c r="B119" s="253"/>
      <c r="C119" s="253"/>
      <c r="D119" s="253"/>
      <c r="E119" s="253"/>
      <c r="F119" s="253"/>
      <c r="G119" s="253"/>
      <c r="H119" s="253"/>
      <c r="I119" s="253"/>
      <c r="J119" s="253"/>
      <c r="K119" s="253"/>
      <c r="L119" s="253"/>
      <c r="M119" s="253"/>
      <c r="N119" s="253"/>
      <c r="O119" s="253"/>
      <c r="P119" s="253"/>
      <c r="Q119" s="253"/>
      <c r="R119" s="253"/>
      <c r="S119" s="253"/>
      <c r="T119" s="253"/>
      <c r="U119" s="253"/>
      <c r="V119" s="253"/>
      <c r="W119" s="253"/>
      <c r="X119" s="253"/>
      <c r="Y119" s="253"/>
    </row>
    <row r="120">
      <c r="A120" s="253"/>
      <c r="B120" s="253"/>
      <c r="C120" s="253"/>
      <c r="D120" s="253"/>
      <c r="E120" s="253"/>
      <c r="F120" s="253"/>
      <c r="G120" s="253"/>
      <c r="H120" s="253"/>
      <c r="I120" s="253"/>
      <c r="J120" s="253"/>
      <c r="K120" s="253"/>
      <c r="L120" s="253"/>
      <c r="M120" s="253"/>
      <c r="N120" s="253"/>
      <c r="O120" s="253"/>
      <c r="P120" s="253"/>
      <c r="Q120" s="253"/>
      <c r="R120" s="253"/>
      <c r="S120" s="253"/>
      <c r="T120" s="253"/>
      <c r="U120" s="253"/>
      <c r="V120" s="253"/>
      <c r="W120" s="253"/>
      <c r="X120" s="253"/>
      <c r="Y120" s="253"/>
    </row>
    <row r="121">
      <c r="A121" s="253"/>
      <c r="B121" s="253"/>
      <c r="C121" s="253"/>
      <c r="D121" s="253"/>
      <c r="E121" s="253"/>
      <c r="F121" s="253"/>
      <c r="G121" s="253"/>
      <c r="H121" s="253"/>
      <c r="I121" s="253"/>
      <c r="J121" s="253"/>
      <c r="K121" s="253"/>
      <c r="L121" s="253"/>
      <c r="M121" s="253"/>
      <c r="N121" s="253"/>
      <c r="O121" s="253"/>
      <c r="P121" s="253"/>
      <c r="Q121" s="253"/>
      <c r="R121" s="253"/>
      <c r="S121" s="253"/>
      <c r="T121" s="253"/>
      <c r="U121" s="253"/>
      <c r="V121" s="253"/>
      <c r="W121" s="253"/>
      <c r="X121" s="253"/>
      <c r="Y121" s="253"/>
    </row>
    <row r="122">
      <c r="A122" s="253"/>
      <c r="B122" s="253"/>
      <c r="C122" s="253"/>
      <c r="D122" s="253"/>
      <c r="E122" s="253"/>
      <c r="F122" s="253"/>
      <c r="G122" s="253"/>
      <c r="H122" s="253"/>
      <c r="I122" s="253"/>
      <c r="J122" s="253"/>
      <c r="K122" s="253"/>
      <c r="L122" s="253"/>
      <c r="M122" s="253"/>
      <c r="N122" s="253"/>
      <c r="O122" s="253"/>
      <c r="P122" s="253"/>
      <c r="Q122" s="253"/>
      <c r="R122" s="253"/>
      <c r="S122" s="253"/>
      <c r="T122" s="253"/>
      <c r="U122" s="253"/>
      <c r="V122" s="253"/>
      <c r="W122" s="253"/>
      <c r="X122" s="253"/>
      <c r="Y122" s="253"/>
    </row>
    <row r="123">
      <c r="A123" s="253"/>
      <c r="B123" s="253"/>
      <c r="C123" s="253"/>
      <c r="D123" s="253"/>
      <c r="E123" s="253"/>
      <c r="F123" s="253"/>
      <c r="G123" s="253"/>
      <c r="H123" s="253"/>
      <c r="I123" s="253"/>
      <c r="J123" s="253"/>
      <c r="K123" s="253"/>
      <c r="L123" s="253"/>
      <c r="M123" s="253"/>
      <c r="N123" s="253"/>
      <c r="O123" s="253"/>
      <c r="P123" s="253"/>
      <c r="Q123" s="253"/>
      <c r="R123" s="253"/>
      <c r="S123" s="253"/>
      <c r="T123" s="253"/>
      <c r="U123" s="253"/>
      <c r="V123" s="253"/>
      <c r="W123" s="253"/>
      <c r="X123" s="253"/>
      <c r="Y123" s="253"/>
    </row>
    <row r="124">
      <c r="A124" s="253"/>
      <c r="B124" s="253"/>
      <c r="C124" s="253"/>
      <c r="D124" s="253"/>
      <c r="E124" s="253"/>
      <c r="F124" s="253"/>
      <c r="G124" s="253"/>
      <c r="H124" s="253"/>
      <c r="I124" s="253"/>
      <c r="J124" s="253"/>
      <c r="K124" s="253"/>
      <c r="L124" s="253"/>
      <c r="M124" s="253"/>
      <c r="N124" s="253"/>
      <c r="O124" s="253"/>
      <c r="P124" s="253"/>
      <c r="Q124" s="253"/>
      <c r="R124" s="253"/>
      <c r="S124" s="253"/>
      <c r="T124" s="253"/>
      <c r="U124" s="253"/>
      <c r="V124" s="253"/>
      <c r="W124" s="253"/>
      <c r="X124" s="253"/>
      <c r="Y124" s="253"/>
    </row>
    <row r="125">
      <c r="A125" s="253"/>
      <c r="B125" s="253"/>
      <c r="C125" s="253"/>
      <c r="D125" s="253"/>
      <c r="E125" s="253"/>
      <c r="F125" s="253"/>
      <c r="G125" s="253"/>
      <c r="H125" s="253"/>
      <c r="I125" s="253"/>
      <c r="J125" s="253"/>
      <c r="K125" s="253"/>
      <c r="L125" s="253"/>
      <c r="M125" s="253"/>
      <c r="N125" s="253"/>
      <c r="O125" s="253"/>
      <c r="P125" s="253"/>
      <c r="Q125" s="253"/>
      <c r="R125" s="253"/>
      <c r="S125" s="253"/>
      <c r="T125" s="253"/>
      <c r="U125" s="253"/>
      <c r="V125" s="253"/>
      <c r="W125" s="253"/>
      <c r="X125" s="253"/>
      <c r="Y125" s="253"/>
    </row>
    <row r="126">
      <c r="A126" s="253"/>
      <c r="B126" s="253"/>
      <c r="C126" s="253"/>
      <c r="D126" s="253"/>
      <c r="E126" s="253"/>
      <c r="F126" s="253"/>
      <c r="G126" s="253"/>
      <c r="H126" s="253"/>
      <c r="I126" s="253"/>
      <c r="J126" s="253"/>
      <c r="K126" s="253"/>
      <c r="L126" s="253"/>
      <c r="M126" s="253"/>
      <c r="N126" s="253"/>
      <c r="O126" s="253"/>
      <c r="P126" s="253"/>
      <c r="Q126" s="253"/>
      <c r="R126" s="253"/>
      <c r="S126" s="253"/>
      <c r="T126" s="253"/>
      <c r="U126" s="253"/>
      <c r="V126" s="253"/>
      <c r="W126" s="253"/>
      <c r="X126" s="253"/>
      <c r="Y126" s="253"/>
    </row>
    <row r="127">
      <c r="A127" s="253"/>
      <c r="B127" s="253"/>
      <c r="C127" s="253"/>
      <c r="D127" s="253"/>
      <c r="E127" s="253"/>
      <c r="F127" s="253"/>
      <c r="G127" s="253"/>
      <c r="H127" s="253"/>
      <c r="I127" s="253"/>
      <c r="J127" s="253"/>
      <c r="K127" s="253"/>
      <c r="L127" s="253"/>
      <c r="M127" s="253"/>
      <c r="N127" s="253"/>
      <c r="O127" s="253"/>
      <c r="P127" s="253"/>
      <c r="Q127" s="253"/>
      <c r="R127" s="253"/>
      <c r="S127" s="253"/>
      <c r="T127" s="253"/>
      <c r="U127" s="253"/>
      <c r="V127" s="253"/>
      <c r="W127" s="253"/>
      <c r="X127" s="253"/>
      <c r="Y127" s="253"/>
    </row>
    <row r="128">
      <c r="A128" s="253"/>
      <c r="B128" s="253"/>
      <c r="C128" s="253"/>
      <c r="D128" s="253"/>
      <c r="E128" s="253"/>
      <c r="F128" s="253"/>
      <c r="G128" s="253"/>
      <c r="H128" s="253"/>
      <c r="I128" s="253"/>
      <c r="J128" s="253"/>
      <c r="K128" s="253"/>
      <c r="L128" s="253"/>
      <c r="M128" s="253"/>
      <c r="N128" s="253"/>
      <c r="O128" s="253"/>
      <c r="P128" s="253"/>
      <c r="Q128" s="253"/>
      <c r="R128" s="253"/>
      <c r="S128" s="253"/>
      <c r="T128" s="253"/>
      <c r="U128" s="253"/>
      <c r="V128" s="253"/>
      <c r="W128" s="253"/>
      <c r="X128" s="253"/>
      <c r="Y128" s="253"/>
    </row>
    <row r="129">
      <c r="A129" s="253"/>
      <c r="B129" s="253"/>
      <c r="C129" s="253"/>
      <c r="D129" s="253"/>
      <c r="E129" s="253"/>
      <c r="F129" s="253"/>
      <c r="G129" s="253"/>
      <c r="H129" s="253"/>
      <c r="I129" s="253"/>
      <c r="J129" s="253"/>
      <c r="K129" s="253"/>
      <c r="L129" s="253"/>
      <c r="M129" s="253"/>
      <c r="N129" s="253"/>
      <c r="O129" s="253"/>
      <c r="P129" s="253"/>
      <c r="Q129" s="253"/>
      <c r="R129" s="253"/>
      <c r="S129" s="253"/>
      <c r="T129" s="253"/>
      <c r="U129" s="253"/>
      <c r="V129" s="253"/>
      <c r="W129" s="253"/>
      <c r="X129" s="253"/>
      <c r="Y129" s="253"/>
    </row>
    <row r="130">
      <c r="A130" s="253"/>
      <c r="B130" s="253"/>
      <c r="C130" s="253"/>
      <c r="D130" s="253"/>
      <c r="E130" s="253"/>
      <c r="F130" s="253"/>
      <c r="G130" s="253"/>
      <c r="H130" s="253"/>
      <c r="I130" s="253"/>
      <c r="J130" s="253"/>
      <c r="K130" s="253"/>
      <c r="L130" s="253"/>
      <c r="M130" s="253"/>
      <c r="N130" s="253"/>
      <c r="O130" s="253"/>
      <c r="P130" s="253"/>
      <c r="Q130" s="253"/>
      <c r="R130" s="253"/>
      <c r="S130" s="253"/>
      <c r="T130" s="253"/>
      <c r="U130" s="253"/>
      <c r="V130" s="253"/>
      <c r="W130" s="253"/>
      <c r="X130" s="253"/>
      <c r="Y130" s="253"/>
    </row>
    <row r="131">
      <c r="A131" s="253"/>
      <c r="B131" s="253"/>
      <c r="C131" s="253"/>
      <c r="D131" s="253"/>
      <c r="E131" s="253"/>
      <c r="F131" s="253"/>
      <c r="G131" s="253"/>
      <c r="H131" s="253"/>
      <c r="I131" s="253"/>
      <c r="J131" s="253"/>
      <c r="K131" s="253"/>
      <c r="L131" s="253"/>
      <c r="M131" s="253"/>
      <c r="N131" s="253"/>
      <c r="O131" s="253"/>
      <c r="P131" s="253"/>
      <c r="Q131" s="253"/>
      <c r="R131" s="253"/>
      <c r="S131" s="253"/>
      <c r="T131" s="253"/>
      <c r="U131" s="253"/>
      <c r="V131" s="253"/>
      <c r="W131" s="253"/>
      <c r="X131" s="253"/>
      <c r="Y131" s="253"/>
    </row>
    <row r="132">
      <c r="A132" s="253"/>
      <c r="B132" s="253"/>
      <c r="C132" s="253"/>
      <c r="D132" s="253"/>
      <c r="E132" s="253"/>
      <c r="F132" s="253"/>
      <c r="G132" s="253"/>
      <c r="H132" s="253"/>
      <c r="I132" s="253"/>
      <c r="J132" s="253"/>
      <c r="K132" s="253"/>
      <c r="L132" s="253"/>
      <c r="M132" s="253"/>
      <c r="N132" s="253"/>
      <c r="O132" s="253"/>
      <c r="P132" s="253"/>
      <c r="Q132" s="253"/>
      <c r="R132" s="253"/>
      <c r="S132" s="253"/>
      <c r="T132" s="253"/>
      <c r="U132" s="253"/>
      <c r="V132" s="253"/>
      <c r="W132" s="253"/>
      <c r="X132" s="253"/>
      <c r="Y132" s="253"/>
    </row>
    <row r="133">
      <c r="A133" s="253"/>
      <c r="B133" s="253"/>
      <c r="C133" s="253"/>
      <c r="D133" s="253"/>
      <c r="E133" s="253"/>
      <c r="F133" s="253"/>
      <c r="G133" s="253"/>
      <c r="H133" s="253"/>
      <c r="I133" s="253"/>
      <c r="J133" s="253"/>
      <c r="K133" s="253"/>
      <c r="L133" s="253"/>
      <c r="M133" s="253"/>
      <c r="N133" s="253"/>
      <c r="O133" s="253"/>
      <c r="P133" s="253"/>
      <c r="Q133" s="253"/>
      <c r="R133" s="253"/>
      <c r="S133" s="253"/>
      <c r="T133" s="253"/>
      <c r="U133" s="253"/>
      <c r="V133" s="253"/>
      <c r="W133" s="253"/>
      <c r="X133" s="253"/>
      <c r="Y133" s="253"/>
    </row>
    <row r="134">
      <c r="A134" s="253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</row>
    <row r="135">
      <c r="A135" s="253"/>
      <c r="B135" s="253"/>
      <c r="C135" s="253"/>
      <c r="D135" s="253"/>
      <c r="E135" s="253"/>
      <c r="F135" s="253"/>
      <c r="G135" s="253"/>
      <c r="H135" s="253"/>
      <c r="I135" s="253"/>
      <c r="J135" s="253"/>
      <c r="K135" s="253"/>
      <c r="L135" s="253"/>
      <c r="M135" s="253"/>
      <c r="N135" s="253"/>
      <c r="O135" s="253"/>
      <c r="P135" s="253"/>
      <c r="Q135" s="253"/>
      <c r="R135" s="253"/>
      <c r="S135" s="253"/>
      <c r="T135" s="253"/>
      <c r="U135" s="253"/>
      <c r="V135" s="253"/>
      <c r="W135" s="253"/>
      <c r="X135" s="253"/>
      <c r="Y135" s="253"/>
    </row>
    <row r="136">
      <c r="A136" s="253"/>
      <c r="B136" s="253"/>
      <c r="C136" s="253"/>
      <c r="D136" s="253"/>
      <c r="E136" s="253"/>
      <c r="F136" s="253"/>
      <c r="G136" s="253"/>
      <c r="H136" s="253"/>
      <c r="I136" s="253"/>
      <c r="J136" s="253"/>
      <c r="K136" s="253"/>
      <c r="L136" s="253"/>
      <c r="M136" s="253"/>
      <c r="N136" s="253"/>
      <c r="O136" s="253"/>
      <c r="P136" s="253"/>
      <c r="Q136" s="253"/>
      <c r="R136" s="253"/>
      <c r="S136" s="253"/>
      <c r="T136" s="253"/>
      <c r="U136" s="253"/>
      <c r="V136" s="253"/>
      <c r="W136" s="253"/>
      <c r="X136" s="253"/>
      <c r="Y136" s="253"/>
    </row>
    <row r="137">
      <c r="A137" s="253"/>
      <c r="B137" s="253"/>
      <c r="C137" s="253"/>
      <c r="D137" s="253"/>
      <c r="E137" s="253"/>
      <c r="F137" s="253"/>
      <c r="G137" s="253"/>
      <c r="H137" s="253"/>
      <c r="I137" s="253"/>
      <c r="J137" s="253"/>
      <c r="K137" s="253"/>
      <c r="L137" s="253"/>
      <c r="M137" s="253"/>
      <c r="N137" s="253"/>
      <c r="O137" s="253"/>
      <c r="P137" s="253"/>
      <c r="Q137" s="253"/>
      <c r="R137" s="253"/>
      <c r="S137" s="253"/>
      <c r="T137" s="253"/>
      <c r="U137" s="253"/>
      <c r="V137" s="253"/>
      <c r="W137" s="253"/>
      <c r="X137" s="253"/>
      <c r="Y137" s="253"/>
    </row>
    <row r="138">
      <c r="A138" s="253"/>
      <c r="B138" s="253"/>
      <c r="C138" s="253"/>
      <c r="D138" s="253"/>
      <c r="E138" s="253"/>
      <c r="F138" s="253"/>
      <c r="G138" s="253"/>
      <c r="H138" s="253"/>
      <c r="I138" s="253"/>
      <c r="J138" s="253"/>
      <c r="K138" s="253"/>
      <c r="L138" s="253"/>
      <c r="M138" s="253"/>
      <c r="N138" s="253"/>
      <c r="O138" s="253"/>
      <c r="P138" s="253"/>
      <c r="Q138" s="253"/>
      <c r="R138" s="253"/>
      <c r="S138" s="253"/>
      <c r="T138" s="253"/>
      <c r="U138" s="253"/>
      <c r="V138" s="253"/>
      <c r="W138" s="253"/>
      <c r="X138" s="253"/>
      <c r="Y138" s="253"/>
    </row>
    <row r="139">
      <c r="A139" s="253"/>
      <c r="B139" s="253"/>
      <c r="C139" s="253"/>
      <c r="D139" s="253"/>
      <c r="E139" s="253"/>
      <c r="F139" s="253"/>
      <c r="G139" s="253"/>
      <c r="H139" s="253"/>
      <c r="I139" s="253"/>
      <c r="J139" s="253"/>
      <c r="K139" s="253"/>
      <c r="L139" s="253"/>
      <c r="M139" s="253"/>
      <c r="N139" s="253"/>
      <c r="O139" s="253"/>
      <c r="P139" s="253"/>
      <c r="Q139" s="253"/>
      <c r="R139" s="253"/>
      <c r="S139" s="253"/>
      <c r="T139" s="253"/>
      <c r="U139" s="253"/>
      <c r="V139" s="253"/>
      <c r="W139" s="253"/>
      <c r="X139" s="253"/>
      <c r="Y139" s="253"/>
    </row>
    <row r="140">
      <c r="A140" s="253"/>
      <c r="B140" s="253"/>
      <c r="C140" s="253"/>
      <c r="D140" s="253"/>
      <c r="E140" s="253"/>
      <c r="F140" s="253"/>
      <c r="G140" s="253"/>
      <c r="H140" s="253"/>
      <c r="I140" s="253"/>
      <c r="J140" s="253"/>
      <c r="K140" s="253"/>
      <c r="L140" s="253"/>
      <c r="M140" s="253"/>
      <c r="N140" s="253"/>
      <c r="O140" s="253"/>
      <c r="P140" s="253"/>
      <c r="Q140" s="253"/>
      <c r="R140" s="253"/>
      <c r="S140" s="253"/>
      <c r="T140" s="253"/>
      <c r="U140" s="253"/>
      <c r="V140" s="253"/>
      <c r="W140" s="253"/>
      <c r="X140" s="253"/>
      <c r="Y140" s="253"/>
    </row>
    <row r="141">
      <c r="A141" s="253"/>
      <c r="B141" s="253"/>
      <c r="C141" s="253"/>
      <c r="D141" s="253"/>
      <c r="E141" s="253"/>
      <c r="F141" s="253"/>
      <c r="G141" s="253"/>
      <c r="H141" s="253"/>
      <c r="I141" s="253"/>
      <c r="J141" s="253"/>
      <c r="K141" s="253"/>
      <c r="L141" s="253"/>
      <c r="M141" s="253"/>
      <c r="N141" s="253"/>
      <c r="O141" s="253"/>
      <c r="P141" s="253"/>
      <c r="Q141" s="253"/>
      <c r="R141" s="253"/>
      <c r="S141" s="253"/>
      <c r="T141" s="253"/>
      <c r="U141" s="253"/>
      <c r="V141" s="253"/>
      <c r="W141" s="253"/>
      <c r="X141" s="253"/>
      <c r="Y141" s="253"/>
    </row>
    <row r="142">
      <c r="A142" s="253"/>
      <c r="B142" s="253"/>
      <c r="C142" s="253"/>
      <c r="D142" s="253"/>
      <c r="E142" s="253"/>
      <c r="F142" s="253"/>
      <c r="G142" s="253"/>
      <c r="H142" s="253"/>
      <c r="I142" s="253"/>
      <c r="J142" s="253"/>
      <c r="K142" s="253"/>
      <c r="L142" s="253"/>
      <c r="M142" s="253"/>
      <c r="N142" s="253"/>
      <c r="O142" s="253"/>
      <c r="P142" s="253"/>
      <c r="Q142" s="253"/>
      <c r="R142" s="253"/>
      <c r="S142" s="253"/>
      <c r="T142" s="253"/>
      <c r="U142" s="253"/>
      <c r="V142" s="253"/>
      <c r="W142" s="253"/>
      <c r="X142" s="253"/>
      <c r="Y142" s="253"/>
    </row>
    <row r="143">
      <c r="A143" s="253"/>
      <c r="B143" s="253"/>
      <c r="C143" s="253"/>
      <c r="D143" s="253"/>
      <c r="E143" s="253"/>
      <c r="F143" s="253"/>
      <c r="G143" s="253"/>
      <c r="H143" s="253"/>
      <c r="I143" s="253"/>
      <c r="J143" s="253"/>
      <c r="K143" s="253"/>
      <c r="L143" s="253"/>
      <c r="M143" s="253"/>
      <c r="N143" s="253"/>
      <c r="O143" s="253"/>
      <c r="P143" s="253"/>
      <c r="Q143" s="253"/>
      <c r="R143" s="253"/>
      <c r="S143" s="253"/>
      <c r="T143" s="253"/>
      <c r="U143" s="253"/>
      <c r="V143" s="253"/>
      <c r="W143" s="253"/>
      <c r="X143" s="253"/>
      <c r="Y143" s="253"/>
    </row>
    <row r="144">
      <c r="A144" s="253"/>
      <c r="B144" s="253"/>
      <c r="C144" s="253"/>
      <c r="D144" s="253"/>
      <c r="E144" s="253"/>
      <c r="F144" s="253"/>
      <c r="G144" s="253"/>
      <c r="H144" s="253"/>
      <c r="I144" s="253"/>
      <c r="J144" s="253"/>
      <c r="K144" s="253"/>
      <c r="L144" s="253"/>
      <c r="M144" s="253"/>
      <c r="N144" s="253"/>
      <c r="O144" s="253"/>
      <c r="P144" s="253"/>
      <c r="Q144" s="253"/>
      <c r="R144" s="253"/>
      <c r="S144" s="253"/>
      <c r="T144" s="253"/>
      <c r="U144" s="253"/>
      <c r="V144" s="253"/>
      <c r="W144" s="253"/>
      <c r="X144" s="253"/>
      <c r="Y144" s="253"/>
    </row>
    <row r="145">
      <c r="A145" s="253"/>
      <c r="B145" s="253"/>
      <c r="C145" s="253"/>
      <c r="D145" s="253"/>
      <c r="E145" s="253"/>
      <c r="F145" s="253"/>
      <c r="G145" s="253"/>
      <c r="H145" s="253"/>
      <c r="I145" s="253"/>
      <c r="J145" s="253"/>
      <c r="K145" s="253"/>
      <c r="L145" s="253"/>
      <c r="M145" s="253"/>
      <c r="N145" s="253"/>
      <c r="O145" s="253"/>
      <c r="P145" s="253"/>
      <c r="Q145" s="253"/>
      <c r="R145" s="253"/>
      <c r="S145" s="253"/>
      <c r="T145" s="253"/>
      <c r="U145" s="253"/>
      <c r="V145" s="253"/>
      <c r="W145" s="253"/>
      <c r="X145" s="253"/>
      <c r="Y145" s="253"/>
    </row>
    <row r="146">
      <c r="A146" s="253"/>
      <c r="B146" s="253"/>
      <c r="C146" s="253"/>
      <c r="D146" s="253"/>
      <c r="E146" s="253"/>
      <c r="F146" s="253"/>
      <c r="G146" s="253"/>
      <c r="H146" s="253"/>
      <c r="I146" s="253"/>
      <c r="J146" s="253"/>
      <c r="K146" s="253"/>
      <c r="L146" s="253"/>
      <c r="M146" s="253"/>
      <c r="N146" s="253"/>
      <c r="O146" s="253"/>
      <c r="P146" s="253"/>
      <c r="Q146" s="253"/>
      <c r="R146" s="253"/>
      <c r="S146" s="253"/>
      <c r="T146" s="253"/>
      <c r="U146" s="253"/>
      <c r="V146" s="253"/>
      <c r="W146" s="253"/>
      <c r="X146" s="253"/>
      <c r="Y146" s="253"/>
    </row>
    <row r="147">
      <c r="A147" s="253"/>
      <c r="B147" s="253"/>
      <c r="C147" s="253"/>
      <c r="D147" s="253"/>
      <c r="E147" s="253"/>
      <c r="F147" s="253"/>
      <c r="G147" s="253"/>
      <c r="H147" s="253"/>
      <c r="I147" s="253"/>
      <c r="J147" s="253"/>
      <c r="K147" s="253"/>
      <c r="L147" s="253"/>
      <c r="M147" s="253"/>
      <c r="N147" s="253"/>
      <c r="O147" s="253"/>
      <c r="P147" s="253"/>
      <c r="Q147" s="253"/>
      <c r="R147" s="253"/>
      <c r="S147" s="253"/>
      <c r="T147" s="253"/>
      <c r="U147" s="253"/>
      <c r="V147" s="253"/>
      <c r="W147" s="253"/>
      <c r="X147" s="253"/>
      <c r="Y147" s="253"/>
    </row>
    <row r="148">
      <c r="A148" s="253"/>
      <c r="B148" s="253"/>
      <c r="C148" s="253"/>
      <c r="D148" s="253"/>
      <c r="E148" s="253"/>
      <c r="F148" s="253"/>
      <c r="G148" s="253"/>
      <c r="H148" s="253"/>
      <c r="I148" s="253"/>
      <c r="J148" s="253"/>
      <c r="K148" s="253"/>
      <c r="L148" s="253"/>
      <c r="M148" s="253"/>
      <c r="N148" s="253"/>
      <c r="O148" s="253"/>
      <c r="P148" s="253"/>
      <c r="Q148" s="253"/>
      <c r="R148" s="253"/>
      <c r="S148" s="253"/>
      <c r="T148" s="253"/>
      <c r="U148" s="253"/>
      <c r="V148" s="253"/>
      <c r="W148" s="253"/>
      <c r="X148" s="253"/>
      <c r="Y148" s="253"/>
    </row>
    <row r="149">
      <c r="A149" s="253"/>
      <c r="B149" s="253"/>
      <c r="C149" s="253"/>
      <c r="D149" s="253"/>
      <c r="E149" s="253"/>
      <c r="F149" s="253"/>
      <c r="G149" s="253"/>
      <c r="H149" s="253"/>
      <c r="I149" s="253"/>
      <c r="J149" s="253"/>
      <c r="K149" s="253"/>
      <c r="L149" s="253"/>
      <c r="M149" s="253"/>
      <c r="N149" s="253"/>
      <c r="O149" s="253"/>
      <c r="P149" s="253"/>
      <c r="Q149" s="253"/>
      <c r="R149" s="253"/>
      <c r="S149" s="253"/>
      <c r="T149" s="253"/>
      <c r="U149" s="253"/>
      <c r="V149" s="253"/>
      <c r="W149" s="253"/>
      <c r="X149" s="253"/>
      <c r="Y149" s="253"/>
    </row>
    <row r="150">
      <c r="A150" s="253"/>
      <c r="B150" s="253"/>
      <c r="C150" s="253"/>
      <c r="D150" s="253"/>
      <c r="E150" s="253"/>
      <c r="F150" s="253"/>
      <c r="G150" s="253"/>
      <c r="H150" s="253"/>
      <c r="I150" s="253"/>
      <c r="J150" s="253"/>
      <c r="K150" s="253"/>
      <c r="L150" s="253"/>
      <c r="M150" s="253"/>
      <c r="N150" s="253"/>
      <c r="O150" s="253"/>
      <c r="P150" s="253"/>
      <c r="Q150" s="253"/>
      <c r="R150" s="253"/>
      <c r="S150" s="253"/>
      <c r="T150" s="253"/>
      <c r="U150" s="253"/>
      <c r="V150" s="253"/>
      <c r="W150" s="253"/>
      <c r="X150" s="253"/>
      <c r="Y150" s="253"/>
    </row>
    <row r="151">
      <c r="A151" s="253"/>
      <c r="B151" s="253"/>
      <c r="C151" s="253"/>
      <c r="D151" s="253"/>
      <c r="E151" s="253"/>
      <c r="F151" s="253"/>
      <c r="G151" s="253"/>
      <c r="H151" s="253"/>
      <c r="I151" s="253"/>
      <c r="J151" s="253"/>
      <c r="K151" s="253"/>
      <c r="L151" s="253"/>
      <c r="M151" s="253"/>
      <c r="N151" s="253"/>
      <c r="O151" s="253"/>
      <c r="P151" s="253"/>
      <c r="Q151" s="253"/>
      <c r="R151" s="253"/>
      <c r="S151" s="253"/>
      <c r="T151" s="253"/>
      <c r="U151" s="253"/>
      <c r="V151" s="253"/>
      <c r="W151" s="253"/>
      <c r="X151" s="253"/>
      <c r="Y151" s="253"/>
    </row>
    <row r="152">
      <c r="A152" s="253"/>
      <c r="B152" s="253"/>
      <c r="C152" s="253"/>
      <c r="D152" s="253"/>
      <c r="E152" s="253"/>
      <c r="F152" s="253"/>
      <c r="G152" s="253"/>
      <c r="H152" s="253"/>
      <c r="I152" s="253"/>
      <c r="J152" s="253"/>
      <c r="K152" s="253"/>
      <c r="L152" s="253"/>
      <c r="M152" s="253"/>
      <c r="N152" s="253"/>
      <c r="O152" s="253"/>
      <c r="P152" s="253"/>
      <c r="Q152" s="253"/>
      <c r="R152" s="253"/>
      <c r="S152" s="253"/>
      <c r="T152" s="253"/>
      <c r="U152" s="253"/>
      <c r="V152" s="253"/>
      <c r="W152" s="253"/>
      <c r="X152" s="253"/>
      <c r="Y152" s="253"/>
    </row>
    <row r="153">
      <c r="A153" s="253"/>
      <c r="B153" s="253"/>
      <c r="C153" s="253"/>
      <c r="D153" s="253"/>
      <c r="E153" s="253"/>
      <c r="F153" s="253"/>
      <c r="G153" s="253"/>
      <c r="H153" s="253"/>
      <c r="I153" s="253"/>
      <c r="J153" s="253"/>
      <c r="K153" s="253"/>
      <c r="L153" s="253"/>
      <c r="M153" s="253"/>
      <c r="N153" s="253"/>
      <c r="O153" s="253"/>
      <c r="P153" s="253"/>
      <c r="Q153" s="253"/>
      <c r="R153" s="253"/>
      <c r="S153" s="253"/>
      <c r="T153" s="253"/>
      <c r="U153" s="253"/>
      <c r="V153" s="253"/>
      <c r="W153" s="253"/>
      <c r="X153" s="253"/>
      <c r="Y153" s="253"/>
    </row>
    <row r="154">
      <c r="A154" s="253"/>
      <c r="B154" s="253"/>
      <c r="C154" s="253"/>
      <c r="D154" s="253"/>
      <c r="E154" s="253"/>
      <c r="F154" s="253"/>
      <c r="G154" s="253"/>
      <c r="H154" s="253"/>
      <c r="I154" s="253"/>
      <c r="J154" s="253"/>
      <c r="K154" s="253"/>
      <c r="L154" s="253"/>
      <c r="M154" s="253"/>
      <c r="N154" s="253"/>
      <c r="O154" s="253"/>
      <c r="P154" s="253"/>
      <c r="Q154" s="253"/>
      <c r="R154" s="253"/>
      <c r="S154" s="253"/>
      <c r="T154" s="253"/>
      <c r="U154" s="253"/>
      <c r="V154" s="253"/>
      <c r="W154" s="253"/>
      <c r="X154" s="253"/>
      <c r="Y154" s="253"/>
    </row>
    <row r="155">
      <c r="A155" s="253"/>
      <c r="B155" s="253"/>
      <c r="C155" s="253"/>
      <c r="D155" s="253"/>
      <c r="E155" s="253"/>
      <c r="F155" s="253"/>
      <c r="G155" s="253"/>
      <c r="H155" s="253"/>
      <c r="I155" s="253"/>
      <c r="J155" s="253"/>
      <c r="K155" s="253"/>
      <c r="L155" s="253"/>
      <c r="M155" s="253"/>
      <c r="N155" s="253"/>
      <c r="O155" s="253"/>
      <c r="P155" s="253"/>
      <c r="Q155" s="253"/>
      <c r="R155" s="253"/>
      <c r="S155" s="253"/>
      <c r="T155" s="253"/>
      <c r="U155" s="253"/>
      <c r="V155" s="253"/>
      <c r="W155" s="253"/>
      <c r="X155" s="253"/>
      <c r="Y155" s="253"/>
    </row>
    <row r="156">
      <c r="A156" s="253"/>
      <c r="B156" s="253"/>
      <c r="C156" s="253"/>
      <c r="D156" s="253"/>
      <c r="E156" s="253"/>
      <c r="F156" s="253"/>
      <c r="G156" s="253"/>
      <c r="H156" s="253"/>
      <c r="I156" s="253"/>
      <c r="J156" s="253"/>
      <c r="K156" s="253"/>
      <c r="L156" s="253"/>
      <c r="M156" s="253"/>
      <c r="N156" s="253"/>
      <c r="O156" s="253"/>
      <c r="P156" s="253"/>
      <c r="Q156" s="253"/>
      <c r="R156" s="253"/>
      <c r="S156" s="253"/>
      <c r="T156" s="253"/>
      <c r="U156" s="253"/>
      <c r="V156" s="253"/>
      <c r="W156" s="253"/>
      <c r="X156" s="253"/>
      <c r="Y156" s="253"/>
    </row>
    <row r="157">
      <c r="A157" s="253"/>
      <c r="B157" s="253"/>
      <c r="C157" s="253"/>
      <c r="D157" s="253"/>
      <c r="E157" s="253"/>
      <c r="F157" s="253"/>
      <c r="G157" s="253"/>
      <c r="H157" s="253"/>
      <c r="I157" s="253"/>
      <c r="J157" s="253"/>
      <c r="K157" s="253"/>
      <c r="L157" s="253"/>
      <c r="M157" s="253"/>
      <c r="N157" s="253"/>
      <c r="O157" s="253"/>
      <c r="P157" s="253"/>
      <c r="Q157" s="253"/>
      <c r="R157" s="253"/>
      <c r="S157" s="253"/>
      <c r="T157" s="253"/>
      <c r="U157" s="253"/>
      <c r="V157" s="253"/>
      <c r="W157" s="253"/>
      <c r="X157" s="253"/>
      <c r="Y157" s="253"/>
    </row>
    <row r="158">
      <c r="A158" s="253"/>
      <c r="B158" s="253"/>
      <c r="C158" s="253"/>
      <c r="D158" s="253"/>
      <c r="E158" s="253"/>
      <c r="F158" s="253"/>
      <c r="G158" s="253"/>
      <c r="H158" s="253"/>
      <c r="I158" s="253"/>
      <c r="J158" s="253"/>
      <c r="K158" s="253"/>
      <c r="L158" s="253"/>
      <c r="M158" s="253"/>
      <c r="N158" s="253"/>
      <c r="O158" s="253"/>
      <c r="P158" s="253"/>
      <c r="Q158" s="253"/>
      <c r="R158" s="253"/>
      <c r="S158" s="253"/>
      <c r="T158" s="253"/>
      <c r="U158" s="253"/>
      <c r="V158" s="253"/>
      <c r="W158" s="253"/>
      <c r="X158" s="253"/>
      <c r="Y158" s="253"/>
    </row>
    <row r="159">
      <c r="A159" s="253"/>
      <c r="B159" s="253"/>
      <c r="C159" s="253"/>
      <c r="D159" s="253"/>
      <c r="E159" s="253"/>
      <c r="F159" s="253"/>
      <c r="G159" s="253"/>
      <c r="H159" s="253"/>
      <c r="I159" s="253"/>
      <c r="J159" s="253"/>
      <c r="K159" s="253"/>
      <c r="L159" s="253"/>
      <c r="M159" s="253"/>
      <c r="N159" s="253"/>
      <c r="O159" s="253"/>
      <c r="P159" s="253"/>
      <c r="Q159" s="253"/>
      <c r="R159" s="253"/>
      <c r="S159" s="253"/>
      <c r="T159" s="253"/>
      <c r="U159" s="253"/>
      <c r="V159" s="253"/>
      <c r="W159" s="253"/>
      <c r="X159" s="253"/>
      <c r="Y159" s="253"/>
    </row>
    <row r="160">
      <c r="A160" s="253"/>
      <c r="B160" s="253"/>
      <c r="C160" s="253"/>
      <c r="D160" s="253"/>
      <c r="E160" s="253"/>
      <c r="F160" s="253"/>
      <c r="G160" s="253"/>
      <c r="H160" s="253"/>
      <c r="I160" s="253"/>
      <c r="J160" s="253"/>
      <c r="K160" s="253"/>
      <c r="L160" s="253"/>
      <c r="M160" s="253"/>
      <c r="N160" s="253"/>
      <c r="O160" s="253"/>
      <c r="P160" s="253"/>
      <c r="Q160" s="253"/>
      <c r="R160" s="253"/>
      <c r="S160" s="253"/>
      <c r="T160" s="253"/>
      <c r="U160" s="253"/>
      <c r="V160" s="253"/>
      <c r="W160" s="253"/>
      <c r="X160" s="253"/>
      <c r="Y160" s="253"/>
    </row>
    <row r="161">
      <c r="A161" s="253"/>
      <c r="B161" s="253"/>
      <c r="C161" s="253"/>
      <c r="D161" s="253"/>
      <c r="E161" s="253"/>
      <c r="F161" s="253"/>
      <c r="G161" s="253"/>
      <c r="H161" s="253"/>
      <c r="I161" s="253"/>
      <c r="J161" s="253"/>
      <c r="K161" s="253"/>
      <c r="L161" s="253"/>
      <c r="M161" s="253"/>
      <c r="N161" s="253"/>
      <c r="O161" s="253"/>
      <c r="P161" s="253"/>
      <c r="Q161" s="253"/>
      <c r="R161" s="253"/>
      <c r="S161" s="253"/>
      <c r="T161" s="253"/>
      <c r="U161" s="253"/>
      <c r="V161" s="253"/>
      <c r="W161" s="253"/>
      <c r="X161" s="253"/>
      <c r="Y161" s="253"/>
    </row>
    <row r="162">
      <c r="A162" s="253"/>
      <c r="B162" s="253"/>
      <c r="C162" s="253"/>
      <c r="D162" s="253"/>
      <c r="E162" s="253"/>
      <c r="F162" s="253"/>
      <c r="G162" s="253"/>
      <c r="H162" s="253"/>
      <c r="I162" s="253"/>
      <c r="J162" s="253"/>
      <c r="K162" s="253"/>
      <c r="L162" s="253"/>
      <c r="M162" s="253"/>
      <c r="N162" s="253"/>
      <c r="O162" s="253"/>
      <c r="P162" s="253"/>
      <c r="Q162" s="253"/>
      <c r="R162" s="253"/>
      <c r="S162" s="253"/>
      <c r="T162" s="253"/>
      <c r="U162" s="253"/>
      <c r="V162" s="253"/>
      <c r="W162" s="253"/>
      <c r="X162" s="253"/>
      <c r="Y162" s="253"/>
    </row>
    <row r="163">
      <c r="A163" s="253"/>
      <c r="B163" s="253"/>
      <c r="C163" s="253"/>
      <c r="D163" s="253"/>
      <c r="E163" s="253"/>
      <c r="F163" s="253"/>
      <c r="G163" s="253"/>
      <c r="H163" s="253"/>
      <c r="I163" s="253"/>
      <c r="J163" s="253"/>
      <c r="K163" s="253"/>
      <c r="L163" s="253"/>
      <c r="M163" s="253"/>
      <c r="N163" s="253"/>
      <c r="O163" s="253"/>
      <c r="P163" s="253"/>
      <c r="Q163" s="253"/>
      <c r="R163" s="253"/>
      <c r="S163" s="253"/>
      <c r="T163" s="253"/>
      <c r="U163" s="253"/>
      <c r="V163" s="253"/>
      <c r="W163" s="253"/>
      <c r="X163" s="253"/>
      <c r="Y163" s="253"/>
    </row>
    <row r="164">
      <c r="A164" s="253"/>
      <c r="B164" s="253"/>
      <c r="C164" s="253"/>
      <c r="D164" s="253"/>
      <c r="E164" s="253"/>
      <c r="F164" s="253"/>
      <c r="G164" s="253"/>
      <c r="H164" s="253"/>
      <c r="I164" s="253"/>
      <c r="J164" s="253"/>
      <c r="K164" s="253"/>
      <c r="L164" s="253"/>
      <c r="M164" s="253"/>
      <c r="N164" s="253"/>
      <c r="O164" s="253"/>
      <c r="P164" s="253"/>
      <c r="Q164" s="253"/>
      <c r="R164" s="253"/>
      <c r="S164" s="253"/>
      <c r="T164" s="253"/>
      <c r="U164" s="253"/>
      <c r="V164" s="253"/>
      <c r="W164" s="253"/>
      <c r="X164" s="253"/>
      <c r="Y164" s="253"/>
    </row>
    <row r="165">
      <c r="A165" s="253"/>
      <c r="B165" s="253"/>
      <c r="C165" s="253"/>
      <c r="D165" s="253"/>
      <c r="E165" s="253"/>
      <c r="F165" s="253"/>
      <c r="G165" s="253"/>
      <c r="H165" s="253"/>
      <c r="I165" s="253"/>
      <c r="J165" s="253"/>
      <c r="K165" s="253"/>
      <c r="L165" s="253"/>
      <c r="M165" s="253"/>
      <c r="N165" s="253"/>
      <c r="O165" s="253"/>
      <c r="P165" s="253"/>
      <c r="Q165" s="253"/>
      <c r="R165" s="253"/>
      <c r="S165" s="253"/>
      <c r="T165" s="253"/>
      <c r="U165" s="253"/>
      <c r="V165" s="253"/>
      <c r="W165" s="253"/>
      <c r="X165" s="253"/>
      <c r="Y165" s="253"/>
    </row>
    <row r="166">
      <c r="A166" s="253"/>
      <c r="B166" s="253"/>
      <c r="C166" s="253"/>
      <c r="D166" s="253"/>
      <c r="E166" s="253"/>
      <c r="F166" s="253"/>
      <c r="G166" s="253"/>
      <c r="H166" s="253"/>
      <c r="I166" s="253"/>
      <c r="J166" s="253"/>
      <c r="K166" s="253"/>
      <c r="L166" s="253"/>
      <c r="M166" s="253"/>
      <c r="N166" s="253"/>
      <c r="O166" s="253"/>
      <c r="P166" s="253"/>
      <c r="Q166" s="253"/>
      <c r="R166" s="253"/>
      <c r="S166" s="253"/>
      <c r="T166" s="253"/>
      <c r="U166" s="253"/>
      <c r="V166" s="253"/>
      <c r="W166" s="253"/>
      <c r="X166" s="253"/>
      <c r="Y166" s="253"/>
    </row>
    <row r="167">
      <c r="A167" s="253"/>
      <c r="B167" s="253"/>
      <c r="C167" s="253"/>
      <c r="D167" s="253"/>
      <c r="E167" s="253"/>
      <c r="F167" s="253"/>
      <c r="G167" s="253"/>
      <c r="H167" s="253"/>
      <c r="I167" s="253"/>
      <c r="J167" s="253"/>
      <c r="K167" s="253"/>
      <c r="L167" s="253"/>
      <c r="M167" s="253"/>
      <c r="N167" s="253"/>
      <c r="O167" s="253"/>
      <c r="P167" s="253"/>
      <c r="Q167" s="253"/>
      <c r="R167" s="253"/>
      <c r="S167" s="253"/>
      <c r="T167" s="253"/>
      <c r="U167" s="253"/>
      <c r="V167" s="253"/>
      <c r="W167" s="253"/>
      <c r="X167" s="253"/>
      <c r="Y167" s="253"/>
    </row>
    <row r="168">
      <c r="A168" s="253"/>
      <c r="B168" s="253"/>
      <c r="C168" s="253"/>
      <c r="D168" s="253"/>
      <c r="E168" s="253"/>
      <c r="F168" s="253"/>
      <c r="G168" s="253"/>
      <c r="H168" s="253"/>
      <c r="I168" s="253"/>
      <c r="J168" s="253"/>
      <c r="K168" s="253"/>
      <c r="L168" s="253"/>
      <c r="M168" s="253"/>
      <c r="N168" s="253"/>
      <c r="O168" s="253"/>
      <c r="P168" s="253"/>
      <c r="Q168" s="253"/>
      <c r="R168" s="253"/>
      <c r="S168" s="253"/>
      <c r="T168" s="253"/>
      <c r="U168" s="253"/>
      <c r="V168" s="253"/>
      <c r="W168" s="253"/>
      <c r="X168" s="253"/>
      <c r="Y168" s="253"/>
    </row>
    <row r="169">
      <c r="A169" s="253"/>
      <c r="B169" s="253"/>
      <c r="C169" s="253"/>
      <c r="D169" s="253"/>
      <c r="E169" s="253"/>
      <c r="F169" s="253"/>
      <c r="G169" s="253"/>
      <c r="H169" s="253"/>
      <c r="I169" s="253"/>
      <c r="J169" s="253"/>
      <c r="K169" s="253"/>
      <c r="L169" s="253"/>
      <c r="M169" s="253"/>
      <c r="N169" s="253"/>
      <c r="O169" s="253"/>
      <c r="P169" s="253"/>
      <c r="Q169" s="253"/>
      <c r="R169" s="253"/>
      <c r="S169" s="253"/>
      <c r="T169" s="253"/>
      <c r="U169" s="253"/>
      <c r="V169" s="253"/>
      <c r="W169" s="253"/>
      <c r="X169" s="253"/>
      <c r="Y169" s="253"/>
    </row>
    <row r="170">
      <c r="A170" s="253"/>
      <c r="B170" s="253"/>
      <c r="C170" s="253"/>
      <c r="D170" s="253"/>
      <c r="E170" s="253"/>
      <c r="F170" s="253"/>
      <c r="G170" s="253"/>
      <c r="H170" s="253"/>
      <c r="I170" s="253"/>
      <c r="J170" s="253"/>
      <c r="K170" s="253"/>
      <c r="L170" s="253"/>
      <c r="M170" s="253"/>
      <c r="N170" s="253"/>
      <c r="O170" s="253"/>
      <c r="P170" s="253"/>
      <c r="Q170" s="253"/>
      <c r="R170" s="253"/>
      <c r="S170" s="253"/>
      <c r="T170" s="253"/>
      <c r="U170" s="253"/>
      <c r="V170" s="253"/>
      <c r="W170" s="253"/>
      <c r="X170" s="253"/>
      <c r="Y170" s="253"/>
    </row>
    <row r="171">
      <c r="A171" s="253"/>
      <c r="B171" s="253"/>
      <c r="C171" s="253"/>
      <c r="D171" s="253"/>
      <c r="E171" s="253"/>
      <c r="F171" s="253"/>
      <c r="G171" s="253"/>
      <c r="H171" s="253"/>
      <c r="I171" s="253"/>
      <c r="J171" s="253"/>
      <c r="K171" s="253"/>
      <c r="L171" s="253"/>
      <c r="M171" s="253"/>
      <c r="N171" s="253"/>
      <c r="O171" s="253"/>
      <c r="P171" s="253"/>
      <c r="Q171" s="253"/>
      <c r="R171" s="253"/>
      <c r="S171" s="253"/>
      <c r="T171" s="253"/>
      <c r="U171" s="253"/>
      <c r="V171" s="253"/>
      <c r="W171" s="253"/>
      <c r="X171" s="253"/>
      <c r="Y171" s="253"/>
    </row>
    <row r="172">
      <c r="A172" s="253"/>
      <c r="B172" s="253"/>
      <c r="C172" s="253"/>
      <c r="D172" s="253"/>
      <c r="E172" s="253"/>
      <c r="F172" s="253"/>
      <c r="G172" s="253"/>
      <c r="H172" s="253"/>
      <c r="I172" s="253"/>
      <c r="J172" s="253"/>
      <c r="K172" s="253"/>
      <c r="L172" s="253"/>
      <c r="M172" s="253"/>
      <c r="N172" s="253"/>
      <c r="O172" s="253"/>
      <c r="P172" s="253"/>
      <c r="Q172" s="253"/>
      <c r="R172" s="253"/>
      <c r="S172" s="253"/>
      <c r="T172" s="253"/>
      <c r="U172" s="253"/>
      <c r="V172" s="253"/>
      <c r="W172" s="253"/>
      <c r="X172" s="253"/>
      <c r="Y172" s="253"/>
    </row>
    <row r="173">
      <c r="A173" s="253"/>
      <c r="B173" s="253"/>
      <c r="C173" s="253"/>
      <c r="D173" s="253"/>
      <c r="E173" s="253"/>
      <c r="F173" s="253"/>
      <c r="G173" s="253"/>
      <c r="H173" s="253"/>
      <c r="I173" s="253"/>
      <c r="J173" s="253"/>
      <c r="K173" s="253"/>
      <c r="L173" s="253"/>
      <c r="M173" s="253"/>
      <c r="N173" s="253"/>
      <c r="O173" s="253"/>
      <c r="P173" s="253"/>
      <c r="Q173" s="253"/>
      <c r="R173" s="253"/>
      <c r="S173" s="253"/>
      <c r="T173" s="253"/>
      <c r="U173" s="253"/>
      <c r="V173" s="253"/>
      <c r="W173" s="253"/>
      <c r="X173" s="253"/>
      <c r="Y173" s="253"/>
    </row>
    <row r="174">
      <c r="A174" s="253"/>
      <c r="B174" s="253"/>
      <c r="C174" s="253"/>
      <c r="D174" s="253"/>
      <c r="E174" s="253"/>
      <c r="F174" s="253"/>
      <c r="G174" s="253"/>
      <c r="H174" s="253"/>
      <c r="I174" s="253"/>
      <c r="J174" s="253"/>
      <c r="K174" s="253"/>
      <c r="L174" s="253"/>
      <c r="M174" s="253"/>
      <c r="N174" s="253"/>
      <c r="O174" s="253"/>
      <c r="P174" s="253"/>
      <c r="Q174" s="253"/>
      <c r="R174" s="253"/>
      <c r="S174" s="253"/>
      <c r="T174" s="253"/>
      <c r="U174" s="253"/>
      <c r="V174" s="253"/>
      <c r="W174" s="253"/>
      <c r="X174" s="253"/>
      <c r="Y174" s="253"/>
    </row>
    <row r="175">
      <c r="A175" s="253"/>
      <c r="B175" s="253"/>
      <c r="C175" s="253"/>
      <c r="D175" s="253"/>
      <c r="E175" s="253"/>
      <c r="F175" s="253"/>
      <c r="G175" s="253"/>
      <c r="H175" s="253"/>
      <c r="I175" s="253"/>
      <c r="J175" s="253"/>
      <c r="K175" s="253"/>
      <c r="L175" s="253"/>
      <c r="M175" s="253"/>
      <c r="N175" s="253"/>
      <c r="O175" s="253"/>
      <c r="P175" s="253"/>
      <c r="Q175" s="253"/>
      <c r="R175" s="253"/>
      <c r="S175" s="253"/>
      <c r="T175" s="253"/>
      <c r="U175" s="253"/>
      <c r="V175" s="253"/>
      <c r="W175" s="253"/>
      <c r="X175" s="253"/>
      <c r="Y175" s="253"/>
    </row>
    <row r="176">
      <c r="A176" s="253"/>
      <c r="B176" s="253"/>
      <c r="C176" s="253"/>
      <c r="D176" s="253"/>
      <c r="E176" s="253"/>
      <c r="F176" s="253"/>
      <c r="G176" s="253"/>
      <c r="H176" s="253"/>
      <c r="I176" s="253"/>
      <c r="J176" s="253"/>
      <c r="K176" s="253"/>
      <c r="L176" s="253"/>
      <c r="M176" s="253"/>
      <c r="N176" s="253"/>
      <c r="O176" s="253"/>
      <c r="P176" s="253"/>
      <c r="Q176" s="253"/>
      <c r="R176" s="253"/>
      <c r="S176" s="253"/>
      <c r="T176" s="253"/>
      <c r="U176" s="253"/>
      <c r="V176" s="253"/>
      <c r="W176" s="253"/>
      <c r="X176" s="253"/>
      <c r="Y176" s="253"/>
    </row>
    <row r="177">
      <c r="A177" s="253"/>
      <c r="B177" s="253"/>
      <c r="C177" s="253"/>
      <c r="D177" s="253"/>
      <c r="E177" s="253"/>
      <c r="F177" s="253"/>
      <c r="G177" s="253"/>
      <c r="H177" s="253"/>
      <c r="I177" s="253"/>
      <c r="J177" s="253"/>
      <c r="K177" s="253"/>
      <c r="L177" s="253"/>
      <c r="M177" s="253"/>
      <c r="N177" s="253"/>
      <c r="O177" s="253"/>
      <c r="P177" s="253"/>
      <c r="Q177" s="253"/>
      <c r="R177" s="253"/>
      <c r="S177" s="253"/>
      <c r="T177" s="253"/>
      <c r="U177" s="253"/>
      <c r="V177" s="253"/>
      <c r="W177" s="253"/>
      <c r="X177" s="253"/>
      <c r="Y177" s="253"/>
    </row>
    <row r="178">
      <c r="A178" s="253"/>
      <c r="B178" s="253"/>
      <c r="C178" s="253"/>
      <c r="D178" s="253"/>
      <c r="E178" s="253"/>
      <c r="F178" s="253"/>
      <c r="G178" s="253"/>
      <c r="H178" s="253"/>
      <c r="I178" s="253"/>
      <c r="J178" s="253"/>
      <c r="K178" s="253"/>
      <c r="L178" s="253"/>
      <c r="M178" s="253"/>
      <c r="N178" s="253"/>
      <c r="O178" s="253"/>
      <c r="P178" s="253"/>
      <c r="Q178" s="253"/>
      <c r="R178" s="253"/>
      <c r="S178" s="253"/>
      <c r="T178" s="253"/>
      <c r="U178" s="253"/>
      <c r="V178" s="253"/>
      <c r="W178" s="253"/>
      <c r="X178" s="253"/>
      <c r="Y178" s="253"/>
    </row>
    <row r="179">
      <c r="A179" s="253"/>
      <c r="B179" s="253"/>
      <c r="C179" s="253"/>
      <c r="D179" s="253"/>
      <c r="E179" s="253"/>
      <c r="F179" s="253"/>
      <c r="G179" s="253"/>
      <c r="H179" s="253"/>
      <c r="I179" s="253"/>
      <c r="J179" s="253"/>
      <c r="K179" s="253"/>
      <c r="L179" s="253"/>
      <c r="M179" s="253"/>
      <c r="N179" s="253"/>
      <c r="O179" s="253"/>
      <c r="P179" s="253"/>
      <c r="Q179" s="253"/>
      <c r="R179" s="253"/>
      <c r="S179" s="253"/>
      <c r="T179" s="253"/>
      <c r="U179" s="253"/>
      <c r="V179" s="253"/>
      <c r="W179" s="253"/>
      <c r="X179" s="253"/>
      <c r="Y179" s="253"/>
    </row>
    <row r="180">
      <c r="A180" s="253"/>
      <c r="B180" s="253"/>
      <c r="C180" s="253"/>
      <c r="D180" s="253"/>
      <c r="E180" s="253"/>
      <c r="F180" s="253"/>
      <c r="G180" s="253"/>
      <c r="H180" s="253"/>
      <c r="I180" s="253"/>
      <c r="J180" s="253"/>
      <c r="K180" s="253"/>
      <c r="L180" s="253"/>
      <c r="M180" s="253"/>
      <c r="N180" s="253"/>
      <c r="O180" s="253"/>
      <c r="P180" s="253"/>
      <c r="Q180" s="253"/>
      <c r="R180" s="253"/>
      <c r="S180" s="253"/>
      <c r="T180" s="253"/>
      <c r="U180" s="253"/>
      <c r="V180" s="253"/>
      <c r="W180" s="253"/>
      <c r="X180" s="253"/>
      <c r="Y180" s="253"/>
    </row>
    <row r="181">
      <c r="A181" s="253"/>
      <c r="B181" s="253"/>
      <c r="C181" s="253"/>
      <c r="D181" s="253"/>
      <c r="E181" s="253"/>
      <c r="F181" s="253"/>
      <c r="G181" s="253"/>
      <c r="H181" s="253"/>
      <c r="I181" s="253"/>
      <c r="J181" s="253"/>
      <c r="K181" s="253"/>
      <c r="L181" s="253"/>
      <c r="M181" s="253"/>
      <c r="N181" s="253"/>
      <c r="O181" s="253"/>
      <c r="P181" s="253"/>
      <c r="Q181" s="253"/>
      <c r="R181" s="253"/>
      <c r="S181" s="253"/>
      <c r="T181" s="253"/>
      <c r="U181" s="253"/>
      <c r="V181" s="253"/>
      <c r="W181" s="253"/>
      <c r="X181" s="253"/>
      <c r="Y181" s="253"/>
    </row>
    <row r="182">
      <c r="A182" s="253"/>
      <c r="B182" s="253"/>
      <c r="C182" s="253"/>
      <c r="D182" s="253"/>
      <c r="E182" s="253"/>
      <c r="F182" s="253"/>
      <c r="G182" s="253"/>
      <c r="H182" s="253"/>
      <c r="I182" s="253"/>
      <c r="J182" s="253"/>
      <c r="K182" s="253"/>
      <c r="L182" s="253"/>
      <c r="M182" s="253"/>
      <c r="N182" s="253"/>
      <c r="O182" s="253"/>
      <c r="P182" s="253"/>
      <c r="Q182" s="253"/>
      <c r="R182" s="253"/>
      <c r="S182" s="253"/>
      <c r="T182" s="253"/>
      <c r="U182" s="253"/>
      <c r="V182" s="253"/>
      <c r="W182" s="253"/>
      <c r="X182" s="253"/>
      <c r="Y182" s="253"/>
    </row>
    <row r="183">
      <c r="A183" s="253"/>
      <c r="B183" s="253"/>
      <c r="C183" s="253"/>
      <c r="D183" s="253"/>
      <c r="E183" s="253"/>
      <c r="F183" s="253"/>
      <c r="G183" s="253"/>
      <c r="H183" s="253"/>
      <c r="I183" s="253"/>
      <c r="J183" s="253"/>
      <c r="K183" s="253"/>
      <c r="L183" s="253"/>
      <c r="M183" s="253"/>
      <c r="N183" s="253"/>
      <c r="O183" s="253"/>
      <c r="P183" s="253"/>
      <c r="Q183" s="253"/>
      <c r="R183" s="253"/>
      <c r="S183" s="253"/>
      <c r="T183" s="253"/>
      <c r="U183" s="253"/>
      <c r="V183" s="253"/>
      <c r="W183" s="253"/>
      <c r="X183" s="253"/>
      <c r="Y183" s="253"/>
    </row>
    <row r="184">
      <c r="A184" s="253"/>
      <c r="B184" s="253"/>
      <c r="C184" s="253"/>
      <c r="D184" s="253"/>
      <c r="E184" s="253"/>
      <c r="F184" s="253"/>
      <c r="G184" s="253"/>
      <c r="H184" s="253"/>
      <c r="I184" s="253"/>
      <c r="J184" s="253"/>
      <c r="K184" s="253"/>
      <c r="L184" s="253"/>
      <c r="M184" s="253"/>
      <c r="N184" s="253"/>
      <c r="O184" s="253"/>
      <c r="P184" s="253"/>
      <c r="Q184" s="253"/>
      <c r="R184" s="253"/>
      <c r="S184" s="253"/>
      <c r="T184" s="253"/>
      <c r="U184" s="253"/>
      <c r="V184" s="253"/>
      <c r="W184" s="253"/>
      <c r="X184" s="253"/>
      <c r="Y184" s="253"/>
    </row>
    <row r="185">
      <c r="A185" s="253"/>
      <c r="B185" s="253"/>
      <c r="C185" s="253"/>
      <c r="D185" s="253"/>
      <c r="E185" s="253"/>
      <c r="F185" s="253"/>
      <c r="G185" s="253"/>
      <c r="H185" s="253"/>
      <c r="I185" s="253"/>
      <c r="J185" s="253"/>
      <c r="K185" s="253"/>
      <c r="L185" s="253"/>
      <c r="M185" s="253"/>
      <c r="N185" s="253"/>
      <c r="O185" s="253"/>
      <c r="P185" s="253"/>
      <c r="Q185" s="253"/>
      <c r="R185" s="253"/>
      <c r="S185" s="253"/>
      <c r="T185" s="253"/>
      <c r="U185" s="253"/>
      <c r="V185" s="253"/>
      <c r="W185" s="253"/>
      <c r="X185" s="253"/>
      <c r="Y185" s="253"/>
    </row>
    <row r="186">
      <c r="A186" s="253"/>
      <c r="B186" s="253"/>
      <c r="C186" s="253"/>
      <c r="D186" s="253"/>
      <c r="E186" s="253"/>
      <c r="F186" s="253"/>
      <c r="G186" s="253"/>
      <c r="H186" s="253"/>
      <c r="I186" s="253"/>
      <c r="J186" s="253"/>
      <c r="K186" s="253"/>
      <c r="L186" s="253"/>
      <c r="M186" s="253"/>
      <c r="N186" s="253"/>
      <c r="O186" s="253"/>
      <c r="P186" s="253"/>
      <c r="Q186" s="253"/>
      <c r="R186" s="253"/>
      <c r="S186" s="253"/>
      <c r="T186" s="253"/>
      <c r="U186" s="253"/>
      <c r="V186" s="253"/>
      <c r="W186" s="253"/>
      <c r="X186" s="253"/>
      <c r="Y186" s="253"/>
    </row>
    <row r="187">
      <c r="A187" s="253"/>
      <c r="B187" s="253"/>
      <c r="C187" s="253"/>
      <c r="D187" s="253"/>
      <c r="E187" s="253"/>
      <c r="F187" s="253"/>
      <c r="G187" s="253"/>
      <c r="H187" s="253"/>
      <c r="I187" s="253"/>
      <c r="J187" s="253"/>
      <c r="K187" s="253"/>
      <c r="L187" s="253"/>
      <c r="M187" s="253"/>
      <c r="N187" s="253"/>
      <c r="O187" s="253"/>
      <c r="P187" s="253"/>
      <c r="Q187" s="253"/>
      <c r="R187" s="253"/>
      <c r="S187" s="253"/>
      <c r="T187" s="253"/>
      <c r="U187" s="253"/>
      <c r="V187" s="253"/>
      <c r="W187" s="253"/>
      <c r="X187" s="253"/>
      <c r="Y187" s="253"/>
    </row>
    <row r="188">
      <c r="A188" s="253"/>
      <c r="B188" s="253"/>
      <c r="C188" s="253"/>
      <c r="D188" s="253"/>
      <c r="E188" s="253"/>
      <c r="F188" s="253"/>
      <c r="G188" s="253"/>
      <c r="H188" s="253"/>
      <c r="I188" s="253"/>
      <c r="J188" s="253"/>
      <c r="K188" s="253"/>
      <c r="L188" s="253"/>
      <c r="M188" s="253"/>
      <c r="N188" s="253"/>
      <c r="O188" s="253"/>
      <c r="P188" s="253"/>
      <c r="Q188" s="253"/>
      <c r="R188" s="253"/>
      <c r="S188" s="253"/>
      <c r="T188" s="253"/>
      <c r="U188" s="253"/>
      <c r="V188" s="253"/>
      <c r="W188" s="253"/>
      <c r="X188" s="253"/>
      <c r="Y188" s="253"/>
    </row>
    <row r="189">
      <c r="A189" s="253"/>
      <c r="B189" s="253"/>
      <c r="C189" s="253"/>
      <c r="D189" s="253"/>
      <c r="E189" s="253"/>
      <c r="F189" s="253"/>
      <c r="G189" s="253"/>
      <c r="H189" s="253"/>
      <c r="I189" s="253"/>
      <c r="J189" s="253"/>
      <c r="K189" s="253"/>
      <c r="L189" s="253"/>
      <c r="M189" s="253"/>
      <c r="N189" s="253"/>
      <c r="O189" s="253"/>
      <c r="P189" s="253"/>
      <c r="Q189" s="253"/>
      <c r="R189" s="253"/>
      <c r="S189" s="253"/>
      <c r="T189" s="253"/>
      <c r="U189" s="253"/>
      <c r="V189" s="253"/>
      <c r="W189" s="253"/>
      <c r="X189" s="253"/>
      <c r="Y189" s="253"/>
    </row>
    <row r="190">
      <c r="A190" s="253"/>
      <c r="B190" s="253"/>
      <c r="C190" s="253"/>
      <c r="D190" s="253"/>
      <c r="E190" s="253"/>
      <c r="F190" s="253"/>
      <c r="G190" s="253"/>
      <c r="H190" s="253"/>
      <c r="I190" s="253"/>
      <c r="J190" s="253"/>
      <c r="K190" s="253"/>
      <c r="L190" s="253"/>
      <c r="M190" s="253"/>
      <c r="N190" s="253"/>
      <c r="O190" s="253"/>
      <c r="P190" s="253"/>
      <c r="Q190" s="253"/>
      <c r="R190" s="253"/>
      <c r="S190" s="253"/>
      <c r="T190" s="253"/>
      <c r="U190" s="253"/>
      <c r="V190" s="253"/>
      <c r="W190" s="253"/>
      <c r="X190" s="253"/>
      <c r="Y190" s="253"/>
    </row>
    <row r="191">
      <c r="A191" s="253"/>
      <c r="B191" s="253"/>
      <c r="C191" s="253"/>
      <c r="D191" s="253"/>
      <c r="E191" s="253"/>
      <c r="F191" s="253"/>
      <c r="G191" s="253"/>
      <c r="H191" s="253"/>
      <c r="I191" s="253"/>
      <c r="J191" s="253"/>
      <c r="K191" s="253"/>
      <c r="L191" s="253"/>
      <c r="M191" s="253"/>
      <c r="N191" s="253"/>
      <c r="O191" s="253"/>
      <c r="P191" s="253"/>
      <c r="Q191" s="253"/>
      <c r="R191" s="253"/>
      <c r="S191" s="253"/>
      <c r="T191" s="253"/>
      <c r="U191" s="253"/>
      <c r="V191" s="253"/>
      <c r="W191" s="253"/>
      <c r="X191" s="253"/>
      <c r="Y191" s="253"/>
    </row>
    <row r="192">
      <c r="A192" s="253"/>
      <c r="B192" s="253"/>
      <c r="C192" s="253"/>
      <c r="D192" s="253"/>
      <c r="E192" s="253"/>
      <c r="F192" s="253"/>
      <c r="G192" s="253"/>
      <c r="H192" s="253"/>
      <c r="I192" s="253"/>
      <c r="J192" s="253"/>
      <c r="K192" s="253"/>
      <c r="L192" s="253"/>
      <c r="M192" s="253"/>
      <c r="N192" s="253"/>
      <c r="O192" s="253"/>
      <c r="P192" s="253"/>
      <c r="Q192" s="253"/>
      <c r="R192" s="253"/>
      <c r="S192" s="253"/>
      <c r="T192" s="253"/>
      <c r="U192" s="253"/>
      <c r="V192" s="253"/>
      <c r="W192" s="253"/>
      <c r="X192" s="253"/>
      <c r="Y192" s="253"/>
    </row>
    <row r="193">
      <c r="A193" s="253"/>
      <c r="B193" s="253"/>
      <c r="C193" s="253"/>
      <c r="D193" s="253"/>
      <c r="E193" s="253"/>
      <c r="F193" s="253"/>
      <c r="G193" s="253"/>
      <c r="H193" s="253"/>
      <c r="I193" s="253"/>
      <c r="J193" s="253"/>
      <c r="K193" s="253"/>
      <c r="L193" s="253"/>
      <c r="M193" s="253"/>
      <c r="N193" s="253"/>
      <c r="O193" s="253"/>
      <c r="P193" s="253"/>
      <c r="Q193" s="253"/>
      <c r="R193" s="253"/>
      <c r="S193" s="253"/>
      <c r="T193" s="253"/>
      <c r="U193" s="253"/>
      <c r="V193" s="253"/>
      <c r="W193" s="253"/>
      <c r="X193" s="253"/>
      <c r="Y193" s="253"/>
    </row>
    <row r="194">
      <c r="A194" s="253"/>
      <c r="B194" s="253"/>
      <c r="C194" s="253"/>
      <c r="D194" s="253"/>
      <c r="E194" s="253"/>
      <c r="F194" s="253"/>
      <c r="G194" s="253"/>
      <c r="H194" s="253"/>
      <c r="I194" s="253"/>
      <c r="J194" s="253"/>
      <c r="K194" s="253"/>
      <c r="L194" s="253"/>
      <c r="M194" s="253"/>
      <c r="N194" s="253"/>
      <c r="O194" s="253"/>
      <c r="P194" s="253"/>
      <c r="Q194" s="253"/>
      <c r="R194" s="253"/>
      <c r="S194" s="253"/>
      <c r="T194" s="253"/>
      <c r="U194" s="253"/>
      <c r="V194" s="253"/>
      <c r="W194" s="253"/>
      <c r="X194" s="253"/>
      <c r="Y194" s="253"/>
    </row>
    <row r="195">
      <c r="A195" s="253"/>
      <c r="B195" s="253"/>
      <c r="C195" s="253"/>
      <c r="D195" s="253"/>
      <c r="E195" s="253"/>
      <c r="F195" s="253"/>
      <c r="G195" s="253"/>
      <c r="H195" s="253"/>
      <c r="I195" s="253"/>
      <c r="J195" s="253"/>
      <c r="K195" s="253"/>
      <c r="L195" s="253"/>
      <c r="M195" s="253"/>
      <c r="N195" s="253"/>
      <c r="O195" s="253"/>
      <c r="P195" s="253"/>
      <c r="Q195" s="253"/>
      <c r="R195" s="253"/>
      <c r="S195" s="253"/>
      <c r="T195" s="253"/>
      <c r="U195" s="253"/>
      <c r="V195" s="253"/>
      <c r="W195" s="253"/>
      <c r="X195" s="253"/>
      <c r="Y195" s="253"/>
    </row>
    <row r="196">
      <c r="A196" s="253"/>
      <c r="B196" s="253"/>
      <c r="C196" s="253"/>
      <c r="D196" s="253"/>
      <c r="E196" s="253"/>
      <c r="F196" s="253"/>
      <c r="G196" s="253"/>
      <c r="H196" s="253"/>
      <c r="I196" s="253"/>
      <c r="J196" s="253"/>
      <c r="K196" s="253"/>
      <c r="L196" s="253"/>
      <c r="M196" s="253"/>
      <c r="N196" s="253"/>
      <c r="O196" s="253"/>
      <c r="P196" s="253"/>
      <c r="Q196" s="253"/>
      <c r="R196" s="253"/>
      <c r="S196" s="253"/>
      <c r="T196" s="253"/>
      <c r="U196" s="253"/>
      <c r="V196" s="253"/>
      <c r="W196" s="253"/>
      <c r="X196" s="253"/>
      <c r="Y196" s="253"/>
    </row>
    <row r="197">
      <c r="A197" s="253"/>
      <c r="B197" s="253"/>
      <c r="C197" s="253"/>
      <c r="D197" s="253"/>
      <c r="E197" s="253"/>
      <c r="F197" s="253"/>
      <c r="G197" s="253"/>
      <c r="H197" s="253"/>
      <c r="I197" s="253"/>
      <c r="J197" s="253"/>
      <c r="K197" s="253"/>
      <c r="L197" s="253"/>
      <c r="M197" s="253"/>
      <c r="N197" s="253"/>
      <c r="O197" s="253"/>
      <c r="P197" s="253"/>
      <c r="Q197" s="253"/>
      <c r="R197" s="253"/>
      <c r="S197" s="253"/>
      <c r="T197" s="253"/>
      <c r="U197" s="253"/>
      <c r="V197" s="253"/>
      <c r="W197" s="253"/>
      <c r="X197" s="253"/>
      <c r="Y197" s="253"/>
    </row>
    <row r="198">
      <c r="A198" s="253"/>
      <c r="B198" s="253"/>
      <c r="C198" s="253"/>
      <c r="D198" s="253"/>
      <c r="E198" s="253"/>
      <c r="F198" s="253"/>
      <c r="G198" s="253"/>
      <c r="H198" s="253"/>
      <c r="I198" s="253"/>
      <c r="J198" s="253"/>
      <c r="K198" s="253"/>
      <c r="L198" s="253"/>
      <c r="M198" s="253"/>
      <c r="N198" s="253"/>
      <c r="O198" s="253"/>
      <c r="P198" s="253"/>
      <c r="Q198" s="253"/>
      <c r="R198" s="253"/>
      <c r="S198" s="253"/>
      <c r="T198" s="253"/>
      <c r="U198" s="253"/>
      <c r="V198" s="253"/>
      <c r="W198" s="253"/>
      <c r="X198" s="253"/>
      <c r="Y198" s="253"/>
    </row>
    <row r="199">
      <c r="A199" s="253"/>
      <c r="B199" s="253"/>
      <c r="C199" s="253"/>
      <c r="D199" s="253"/>
      <c r="E199" s="253"/>
      <c r="F199" s="253"/>
      <c r="G199" s="253"/>
      <c r="H199" s="253"/>
      <c r="I199" s="253"/>
      <c r="J199" s="253"/>
      <c r="K199" s="253"/>
      <c r="L199" s="253"/>
      <c r="M199" s="253"/>
      <c r="N199" s="253"/>
      <c r="O199" s="253"/>
      <c r="P199" s="253"/>
      <c r="Q199" s="253"/>
      <c r="R199" s="253"/>
      <c r="S199" s="253"/>
      <c r="T199" s="253"/>
      <c r="U199" s="253"/>
      <c r="V199" s="253"/>
      <c r="W199" s="253"/>
      <c r="X199" s="253"/>
      <c r="Y199" s="253"/>
    </row>
    <row r="200">
      <c r="A200" s="253"/>
      <c r="B200" s="253"/>
      <c r="C200" s="253"/>
      <c r="D200" s="253"/>
      <c r="E200" s="253"/>
      <c r="F200" s="253"/>
      <c r="G200" s="253"/>
      <c r="H200" s="253"/>
      <c r="I200" s="253"/>
      <c r="J200" s="253"/>
      <c r="K200" s="253"/>
      <c r="L200" s="253"/>
      <c r="M200" s="253"/>
      <c r="N200" s="253"/>
      <c r="O200" s="253"/>
      <c r="P200" s="253"/>
      <c r="Q200" s="253"/>
      <c r="R200" s="253"/>
      <c r="S200" s="253"/>
      <c r="T200" s="253"/>
      <c r="U200" s="253"/>
      <c r="V200" s="253"/>
      <c r="W200" s="253"/>
      <c r="X200" s="253"/>
      <c r="Y200" s="253"/>
    </row>
    <row r="201">
      <c r="A201" s="253"/>
      <c r="B201" s="253"/>
      <c r="C201" s="253"/>
      <c r="D201" s="253"/>
      <c r="E201" s="253"/>
      <c r="F201" s="253"/>
      <c r="G201" s="253"/>
      <c r="H201" s="253"/>
      <c r="I201" s="253"/>
      <c r="J201" s="253"/>
      <c r="K201" s="253"/>
      <c r="L201" s="253"/>
      <c r="M201" s="253"/>
      <c r="N201" s="253"/>
      <c r="O201" s="253"/>
      <c r="P201" s="253"/>
      <c r="Q201" s="253"/>
      <c r="R201" s="253"/>
      <c r="S201" s="253"/>
      <c r="T201" s="253"/>
      <c r="U201" s="253"/>
      <c r="V201" s="253"/>
      <c r="W201" s="253"/>
      <c r="X201" s="253"/>
      <c r="Y201" s="253"/>
    </row>
    <row r="202">
      <c r="A202" s="253"/>
      <c r="B202" s="253"/>
      <c r="C202" s="253"/>
      <c r="D202" s="253"/>
      <c r="E202" s="253"/>
      <c r="F202" s="253"/>
      <c r="G202" s="253"/>
      <c r="H202" s="253"/>
      <c r="I202" s="253"/>
      <c r="J202" s="253"/>
      <c r="K202" s="253"/>
      <c r="L202" s="253"/>
      <c r="M202" s="253"/>
      <c r="N202" s="253"/>
      <c r="O202" s="253"/>
      <c r="P202" s="253"/>
      <c r="Q202" s="253"/>
      <c r="R202" s="253"/>
      <c r="S202" s="253"/>
      <c r="T202" s="253"/>
      <c r="U202" s="253"/>
      <c r="V202" s="253"/>
      <c r="W202" s="253"/>
      <c r="X202" s="253"/>
      <c r="Y202" s="253"/>
    </row>
    <row r="203">
      <c r="A203" s="253"/>
      <c r="B203" s="253"/>
      <c r="C203" s="253"/>
      <c r="D203" s="253"/>
      <c r="E203" s="253"/>
      <c r="F203" s="253"/>
      <c r="G203" s="253"/>
      <c r="H203" s="253"/>
      <c r="I203" s="253"/>
      <c r="J203" s="253"/>
      <c r="K203" s="253"/>
      <c r="L203" s="253"/>
      <c r="M203" s="253"/>
      <c r="N203" s="253"/>
      <c r="O203" s="253"/>
      <c r="P203" s="253"/>
      <c r="Q203" s="253"/>
      <c r="R203" s="253"/>
      <c r="S203" s="253"/>
      <c r="T203" s="253"/>
      <c r="U203" s="253"/>
      <c r="V203" s="253"/>
      <c r="W203" s="253"/>
      <c r="X203" s="253"/>
      <c r="Y203" s="253"/>
    </row>
    <row r="204">
      <c r="A204" s="253"/>
      <c r="B204" s="253"/>
      <c r="C204" s="253"/>
      <c r="D204" s="253"/>
      <c r="E204" s="253"/>
      <c r="F204" s="253"/>
      <c r="G204" s="253"/>
      <c r="H204" s="253"/>
      <c r="I204" s="253"/>
      <c r="J204" s="253"/>
      <c r="K204" s="253"/>
      <c r="L204" s="253"/>
      <c r="M204" s="253"/>
      <c r="N204" s="253"/>
      <c r="O204" s="253"/>
      <c r="P204" s="253"/>
      <c r="Q204" s="253"/>
      <c r="R204" s="253"/>
      <c r="S204" s="253"/>
      <c r="T204" s="253"/>
      <c r="U204" s="253"/>
      <c r="V204" s="253"/>
      <c r="W204" s="253"/>
      <c r="X204" s="253"/>
      <c r="Y204" s="253"/>
    </row>
    <row r="205">
      <c r="A205" s="253"/>
      <c r="B205" s="253"/>
      <c r="C205" s="253"/>
      <c r="D205" s="253"/>
      <c r="E205" s="253"/>
      <c r="F205" s="253"/>
      <c r="G205" s="253"/>
      <c r="H205" s="253"/>
      <c r="I205" s="253"/>
      <c r="J205" s="253"/>
      <c r="K205" s="253"/>
      <c r="L205" s="253"/>
      <c r="M205" s="253"/>
      <c r="N205" s="253"/>
      <c r="O205" s="253"/>
      <c r="P205" s="253"/>
      <c r="Q205" s="253"/>
      <c r="R205" s="253"/>
      <c r="S205" s="253"/>
      <c r="T205" s="253"/>
      <c r="U205" s="253"/>
      <c r="V205" s="253"/>
      <c r="W205" s="253"/>
      <c r="X205" s="253"/>
      <c r="Y205" s="253"/>
    </row>
    <row r="206">
      <c r="A206" s="253"/>
      <c r="B206" s="253"/>
      <c r="C206" s="253"/>
      <c r="D206" s="253"/>
      <c r="E206" s="253"/>
      <c r="F206" s="253"/>
      <c r="G206" s="253"/>
      <c r="H206" s="253"/>
      <c r="I206" s="253"/>
      <c r="J206" s="253"/>
      <c r="K206" s="253"/>
      <c r="L206" s="253"/>
      <c r="M206" s="253"/>
      <c r="N206" s="253"/>
      <c r="O206" s="253"/>
      <c r="P206" s="253"/>
      <c r="Q206" s="253"/>
      <c r="R206" s="253"/>
      <c r="S206" s="253"/>
      <c r="T206" s="253"/>
      <c r="U206" s="253"/>
      <c r="V206" s="253"/>
      <c r="W206" s="253"/>
      <c r="X206" s="253"/>
      <c r="Y206" s="253"/>
    </row>
    <row r="207">
      <c r="A207" s="253"/>
      <c r="B207" s="253"/>
      <c r="C207" s="253"/>
      <c r="D207" s="253"/>
      <c r="E207" s="253"/>
      <c r="F207" s="253"/>
      <c r="G207" s="253"/>
      <c r="H207" s="253"/>
      <c r="I207" s="253"/>
      <c r="J207" s="253"/>
      <c r="K207" s="253"/>
      <c r="L207" s="253"/>
      <c r="M207" s="253"/>
      <c r="N207" s="253"/>
      <c r="O207" s="253"/>
      <c r="P207" s="253"/>
      <c r="Q207" s="253"/>
      <c r="R207" s="253"/>
      <c r="S207" s="253"/>
      <c r="T207" s="253"/>
      <c r="U207" s="253"/>
      <c r="V207" s="253"/>
      <c r="W207" s="253"/>
      <c r="X207" s="253"/>
      <c r="Y207" s="253"/>
    </row>
    <row r="208">
      <c r="A208" s="253"/>
      <c r="B208" s="253"/>
      <c r="C208" s="253"/>
      <c r="D208" s="253"/>
      <c r="E208" s="253"/>
      <c r="F208" s="253"/>
      <c r="G208" s="253"/>
      <c r="H208" s="253"/>
      <c r="I208" s="253"/>
      <c r="J208" s="253"/>
      <c r="K208" s="253"/>
      <c r="L208" s="253"/>
      <c r="M208" s="253"/>
      <c r="N208" s="253"/>
      <c r="O208" s="253"/>
      <c r="P208" s="253"/>
      <c r="Q208" s="253"/>
      <c r="R208" s="253"/>
      <c r="S208" s="253"/>
      <c r="T208" s="253"/>
      <c r="U208" s="253"/>
      <c r="V208" s="253"/>
      <c r="W208" s="253"/>
      <c r="X208" s="253"/>
      <c r="Y208" s="253"/>
    </row>
    <row r="209">
      <c r="A209" s="253"/>
      <c r="B209" s="253"/>
      <c r="C209" s="253"/>
      <c r="D209" s="253"/>
      <c r="E209" s="253"/>
      <c r="F209" s="253"/>
      <c r="G209" s="253"/>
      <c r="H209" s="253"/>
      <c r="I209" s="253"/>
      <c r="J209" s="253"/>
      <c r="K209" s="253"/>
      <c r="L209" s="253"/>
      <c r="M209" s="253"/>
      <c r="N209" s="253"/>
      <c r="O209" s="253"/>
      <c r="P209" s="253"/>
      <c r="Q209" s="253"/>
      <c r="R209" s="253"/>
      <c r="S209" s="253"/>
      <c r="T209" s="253"/>
      <c r="U209" s="253"/>
      <c r="V209" s="253"/>
      <c r="W209" s="253"/>
      <c r="X209" s="253"/>
      <c r="Y209" s="253"/>
    </row>
    <row r="210">
      <c r="A210" s="253"/>
      <c r="B210" s="253"/>
      <c r="C210" s="253"/>
      <c r="D210" s="253"/>
      <c r="E210" s="253"/>
      <c r="F210" s="253"/>
      <c r="G210" s="253"/>
      <c r="H210" s="253"/>
      <c r="I210" s="253"/>
      <c r="J210" s="253"/>
      <c r="K210" s="253"/>
      <c r="L210" s="253"/>
      <c r="M210" s="253"/>
      <c r="N210" s="253"/>
      <c r="O210" s="253"/>
      <c r="P210" s="253"/>
      <c r="Q210" s="253"/>
      <c r="R210" s="253"/>
      <c r="S210" s="253"/>
      <c r="T210" s="253"/>
      <c r="U210" s="253"/>
      <c r="V210" s="253"/>
      <c r="W210" s="253"/>
      <c r="X210" s="253"/>
      <c r="Y210" s="253"/>
    </row>
    <row r="211">
      <c r="A211" s="253"/>
      <c r="B211" s="253"/>
      <c r="C211" s="253"/>
      <c r="D211" s="253"/>
      <c r="E211" s="253"/>
      <c r="F211" s="253"/>
      <c r="G211" s="253"/>
      <c r="H211" s="253"/>
      <c r="I211" s="253"/>
      <c r="J211" s="253"/>
      <c r="K211" s="253"/>
      <c r="L211" s="253"/>
      <c r="M211" s="253"/>
      <c r="N211" s="253"/>
      <c r="O211" s="253"/>
      <c r="P211" s="253"/>
      <c r="Q211" s="253"/>
      <c r="R211" s="253"/>
      <c r="S211" s="253"/>
      <c r="T211" s="253"/>
      <c r="U211" s="253"/>
      <c r="V211" s="253"/>
      <c r="W211" s="253"/>
      <c r="X211" s="253"/>
      <c r="Y211" s="253"/>
    </row>
    <row r="212">
      <c r="A212" s="253"/>
      <c r="B212" s="253"/>
      <c r="C212" s="253"/>
      <c r="D212" s="253"/>
      <c r="E212" s="253"/>
      <c r="F212" s="253"/>
      <c r="G212" s="253"/>
      <c r="H212" s="253"/>
      <c r="I212" s="253"/>
      <c r="J212" s="253"/>
      <c r="K212" s="253"/>
      <c r="L212" s="253"/>
      <c r="M212" s="253"/>
      <c r="N212" s="253"/>
      <c r="O212" s="253"/>
      <c r="P212" s="253"/>
      <c r="Q212" s="253"/>
      <c r="R212" s="253"/>
      <c r="S212" s="253"/>
      <c r="T212" s="253"/>
      <c r="U212" s="253"/>
      <c r="V212" s="253"/>
      <c r="W212" s="253"/>
      <c r="X212" s="253"/>
      <c r="Y212" s="253"/>
    </row>
    <row r="213">
      <c r="A213" s="253"/>
      <c r="B213" s="253"/>
      <c r="C213" s="253"/>
      <c r="D213" s="253"/>
      <c r="E213" s="253"/>
      <c r="F213" s="253"/>
      <c r="G213" s="253"/>
      <c r="H213" s="253"/>
      <c r="I213" s="253"/>
      <c r="J213" s="253"/>
      <c r="K213" s="253"/>
      <c r="L213" s="253"/>
      <c r="M213" s="253"/>
      <c r="N213" s="253"/>
      <c r="O213" s="253"/>
      <c r="P213" s="253"/>
      <c r="Q213" s="253"/>
      <c r="R213" s="253"/>
      <c r="S213" s="253"/>
      <c r="T213" s="253"/>
      <c r="U213" s="253"/>
      <c r="V213" s="253"/>
      <c r="W213" s="253"/>
      <c r="X213" s="253"/>
      <c r="Y213" s="253"/>
    </row>
    <row r="214">
      <c r="A214" s="253"/>
      <c r="B214" s="253"/>
      <c r="C214" s="253"/>
      <c r="D214" s="253"/>
      <c r="E214" s="253"/>
      <c r="F214" s="253"/>
      <c r="G214" s="253"/>
      <c r="H214" s="253"/>
      <c r="I214" s="253"/>
      <c r="J214" s="253"/>
      <c r="K214" s="253"/>
      <c r="L214" s="253"/>
      <c r="M214" s="253"/>
      <c r="N214" s="253"/>
      <c r="O214" s="253"/>
      <c r="P214" s="253"/>
      <c r="Q214" s="253"/>
      <c r="R214" s="253"/>
      <c r="S214" s="253"/>
      <c r="T214" s="253"/>
      <c r="U214" s="253"/>
      <c r="V214" s="253"/>
      <c r="W214" s="253"/>
      <c r="X214" s="253"/>
      <c r="Y214" s="253"/>
    </row>
    <row r="215">
      <c r="A215" s="253"/>
      <c r="B215" s="253"/>
      <c r="C215" s="253"/>
      <c r="D215" s="253"/>
      <c r="E215" s="253"/>
      <c r="F215" s="253"/>
      <c r="G215" s="253"/>
      <c r="H215" s="253"/>
      <c r="I215" s="253"/>
      <c r="J215" s="253"/>
      <c r="K215" s="253"/>
      <c r="L215" s="253"/>
      <c r="M215" s="253"/>
      <c r="N215" s="253"/>
      <c r="O215" s="253"/>
      <c r="P215" s="253"/>
      <c r="Q215" s="253"/>
      <c r="R215" s="253"/>
      <c r="S215" s="253"/>
      <c r="T215" s="253"/>
      <c r="U215" s="253"/>
      <c r="V215" s="253"/>
      <c r="W215" s="253"/>
      <c r="X215" s="253"/>
      <c r="Y215" s="253"/>
    </row>
    <row r="216">
      <c r="A216" s="253"/>
      <c r="B216" s="253"/>
      <c r="C216" s="253"/>
      <c r="D216" s="253"/>
      <c r="E216" s="253"/>
      <c r="F216" s="253"/>
      <c r="G216" s="253"/>
      <c r="H216" s="253"/>
      <c r="I216" s="253"/>
      <c r="J216" s="253"/>
      <c r="K216" s="253"/>
      <c r="L216" s="253"/>
      <c r="M216" s="253"/>
      <c r="N216" s="253"/>
      <c r="O216" s="253"/>
      <c r="P216" s="253"/>
      <c r="Q216" s="253"/>
      <c r="R216" s="253"/>
      <c r="S216" s="253"/>
      <c r="T216" s="253"/>
      <c r="U216" s="253"/>
      <c r="V216" s="253"/>
      <c r="W216" s="253"/>
      <c r="X216" s="253"/>
      <c r="Y216" s="253"/>
    </row>
    <row r="217">
      <c r="A217" s="253"/>
      <c r="B217" s="253"/>
      <c r="C217" s="253"/>
      <c r="D217" s="253"/>
      <c r="E217" s="253"/>
      <c r="F217" s="253"/>
      <c r="G217" s="253"/>
      <c r="H217" s="253"/>
      <c r="I217" s="253"/>
      <c r="J217" s="253"/>
      <c r="K217" s="253"/>
      <c r="L217" s="253"/>
      <c r="M217" s="253"/>
      <c r="N217" s="253"/>
      <c r="O217" s="253"/>
      <c r="P217" s="253"/>
      <c r="Q217" s="253"/>
      <c r="R217" s="253"/>
      <c r="S217" s="253"/>
      <c r="T217" s="253"/>
      <c r="U217" s="253"/>
      <c r="V217" s="253"/>
      <c r="W217" s="253"/>
      <c r="X217" s="253"/>
      <c r="Y217" s="253"/>
    </row>
    <row r="218">
      <c r="A218" s="253"/>
      <c r="B218" s="253"/>
      <c r="C218" s="253"/>
      <c r="D218" s="253"/>
      <c r="E218" s="253"/>
      <c r="F218" s="253"/>
      <c r="G218" s="253"/>
      <c r="H218" s="253"/>
      <c r="I218" s="253"/>
      <c r="J218" s="253"/>
      <c r="K218" s="253"/>
      <c r="L218" s="253"/>
      <c r="M218" s="253"/>
      <c r="N218" s="253"/>
      <c r="O218" s="253"/>
      <c r="P218" s="253"/>
      <c r="Q218" s="253"/>
      <c r="R218" s="253"/>
      <c r="S218" s="253"/>
      <c r="T218" s="253"/>
      <c r="U218" s="253"/>
      <c r="V218" s="253"/>
      <c r="W218" s="253"/>
      <c r="X218" s="253"/>
      <c r="Y218" s="253"/>
    </row>
    <row r="219">
      <c r="A219" s="253"/>
      <c r="B219" s="253"/>
      <c r="C219" s="253"/>
      <c r="D219" s="253"/>
      <c r="E219" s="253"/>
      <c r="F219" s="253"/>
      <c r="G219" s="253"/>
      <c r="H219" s="253"/>
      <c r="I219" s="253"/>
      <c r="J219" s="253"/>
      <c r="K219" s="253"/>
      <c r="L219" s="253"/>
      <c r="M219" s="253"/>
      <c r="N219" s="253"/>
      <c r="O219" s="253"/>
      <c r="P219" s="253"/>
      <c r="Q219" s="253"/>
      <c r="R219" s="253"/>
      <c r="S219" s="253"/>
      <c r="T219" s="253"/>
      <c r="U219" s="253"/>
      <c r="V219" s="253"/>
      <c r="W219" s="253"/>
      <c r="X219" s="253"/>
      <c r="Y219" s="253"/>
    </row>
    <row r="220">
      <c r="A220" s="253"/>
      <c r="B220" s="253"/>
      <c r="C220" s="253"/>
      <c r="D220" s="253"/>
      <c r="E220" s="253"/>
      <c r="F220" s="253"/>
      <c r="G220" s="253"/>
      <c r="H220" s="253"/>
      <c r="I220" s="253"/>
      <c r="J220" s="253"/>
      <c r="K220" s="253"/>
      <c r="L220" s="253"/>
      <c r="M220" s="253"/>
      <c r="N220" s="253"/>
      <c r="O220" s="253"/>
      <c r="P220" s="253"/>
      <c r="Q220" s="253"/>
      <c r="R220" s="253"/>
      <c r="S220" s="253"/>
      <c r="T220" s="253"/>
      <c r="U220" s="253"/>
      <c r="V220" s="253"/>
      <c r="W220" s="253"/>
      <c r="X220" s="253"/>
      <c r="Y220" s="253"/>
    </row>
    <row r="221">
      <c r="A221" s="253"/>
      <c r="B221" s="253"/>
      <c r="C221" s="253"/>
      <c r="D221" s="253"/>
      <c r="E221" s="253"/>
      <c r="F221" s="253"/>
      <c r="G221" s="253"/>
      <c r="H221" s="253"/>
      <c r="I221" s="253"/>
      <c r="J221" s="253"/>
      <c r="K221" s="253"/>
      <c r="L221" s="253"/>
      <c r="M221" s="253"/>
      <c r="N221" s="253"/>
      <c r="O221" s="253"/>
      <c r="P221" s="253"/>
      <c r="Q221" s="253"/>
      <c r="R221" s="253"/>
      <c r="S221" s="253"/>
      <c r="T221" s="253"/>
      <c r="U221" s="253"/>
      <c r="V221" s="253"/>
      <c r="W221" s="253"/>
      <c r="X221" s="253"/>
      <c r="Y221" s="253"/>
    </row>
    <row r="222">
      <c r="A222" s="253"/>
      <c r="B222" s="253"/>
      <c r="C222" s="253"/>
      <c r="D222" s="253"/>
      <c r="E222" s="253"/>
      <c r="F222" s="253"/>
      <c r="G222" s="253"/>
      <c r="H222" s="253"/>
      <c r="I222" s="253"/>
      <c r="J222" s="253"/>
      <c r="K222" s="253"/>
      <c r="L222" s="253"/>
      <c r="M222" s="253"/>
      <c r="N222" s="253"/>
      <c r="O222" s="253"/>
      <c r="P222" s="253"/>
      <c r="Q222" s="253"/>
      <c r="R222" s="253"/>
      <c r="S222" s="253"/>
      <c r="T222" s="253"/>
      <c r="U222" s="253"/>
      <c r="V222" s="253"/>
      <c r="W222" s="253"/>
      <c r="X222" s="253"/>
      <c r="Y222" s="253"/>
    </row>
    <row r="223">
      <c r="A223" s="253"/>
      <c r="B223" s="253"/>
      <c r="C223" s="253"/>
      <c r="D223" s="253"/>
      <c r="E223" s="253"/>
      <c r="F223" s="253"/>
      <c r="G223" s="253"/>
      <c r="H223" s="253"/>
      <c r="I223" s="253"/>
      <c r="J223" s="253"/>
      <c r="K223" s="253"/>
      <c r="L223" s="253"/>
      <c r="M223" s="253"/>
      <c r="N223" s="253"/>
      <c r="O223" s="253"/>
      <c r="P223" s="253"/>
      <c r="Q223" s="253"/>
      <c r="R223" s="253"/>
      <c r="S223" s="253"/>
      <c r="T223" s="253"/>
      <c r="U223" s="253"/>
      <c r="V223" s="253"/>
      <c r="W223" s="253"/>
      <c r="X223" s="253"/>
      <c r="Y223" s="253"/>
    </row>
    <row r="224">
      <c r="A224" s="253"/>
      <c r="B224" s="253"/>
      <c r="C224" s="253"/>
      <c r="D224" s="253"/>
      <c r="E224" s="253"/>
      <c r="F224" s="253"/>
      <c r="G224" s="253"/>
      <c r="H224" s="253"/>
      <c r="I224" s="253"/>
      <c r="J224" s="253"/>
      <c r="K224" s="253"/>
      <c r="L224" s="253"/>
      <c r="M224" s="253"/>
      <c r="N224" s="253"/>
      <c r="O224" s="253"/>
      <c r="P224" s="253"/>
      <c r="Q224" s="253"/>
      <c r="R224" s="253"/>
      <c r="S224" s="253"/>
      <c r="T224" s="253"/>
      <c r="U224" s="253"/>
      <c r="V224" s="253"/>
      <c r="W224" s="253"/>
      <c r="X224" s="253"/>
      <c r="Y224" s="253"/>
    </row>
    <row r="225">
      <c r="A225" s="253"/>
      <c r="B225" s="253"/>
      <c r="C225" s="253"/>
      <c r="D225" s="253"/>
      <c r="E225" s="253"/>
      <c r="F225" s="253"/>
      <c r="G225" s="253"/>
      <c r="H225" s="253"/>
      <c r="I225" s="253"/>
      <c r="J225" s="253"/>
      <c r="K225" s="253"/>
      <c r="L225" s="253"/>
      <c r="M225" s="253"/>
      <c r="N225" s="253"/>
      <c r="O225" s="253"/>
      <c r="P225" s="253"/>
      <c r="Q225" s="253"/>
      <c r="R225" s="253"/>
      <c r="S225" s="253"/>
      <c r="T225" s="253"/>
      <c r="U225" s="253"/>
      <c r="V225" s="253"/>
      <c r="W225" s="253"/>
      <c r="X225" s="253"/>
      <c r="Y225" s="253"/>
    </row>
    <row r="226">
      <c r="A226" s="253"/>
      <c r="B226" s="253"/>
      <c r="C226" s="253"/>
      <c r="D226" s="253"/>
      <c r="E226" s="253"/>
      <c r="F226" s="253"/>
      <c r="G226" s="253"/>
      <c r="H226" s="253"/>
      <c r="I226" s="253"/>
      <c r="J226" s="253"/>
      <c r="K226" s="253"/>
      <c r="L226" s="253"/>
      <c r="M226" s="253"/>
      <c r="N226" s="253"/>
      <c r="O226" s="253"/>
      <c r="P226" s="253"/>
      <c r="Q226" s="253"/>
      <c r="R226" s="253"/>
      <c r="S226" s="253"/>
      <c r="T226" s="253"/>
      <c r="U226" s="253"/>
      <c r="V226" s="253"/>
      <c r="W226" s="253"/>
      <c r="X226" s="253"/>
      <c r="Y226" s="253"/>
    </row>
    <row r="227">
      <c r="A227" s="253"/>
      <c r="B227" s="253"/>
      <c r="C227" s="253"/>
      <c r="D227" s="253"/>
      <c r="E227" s="253"/>
      <c r="F227" s="253"/>
      <c r="G227" s="253"/>
      <c r="H227" s="253"/>
      <c r="I227" s="253"/>
      <c r="J227" s="253"/>
      <c r="K227" s="253"/>
      <c r="L227" s="253"/>
      <c r="M227" s="253"/>
      <c r="N227" s="253"/>
      <c r="O227" s="253"/>
      <c r="P227" s="253"/>
      <c r="Q227" s="253"/>
      <c r="R227" s="253"/>
      <c r="S227" s="253"/>
      <c r="T227" s="253"/>
      <c r="U227" s="253"/>
      <c r="V227" s="253"/>
      <c r="W227" s="253"/>
      <c r="X227" s="253"/>
      <c r="Y227" s="253"/>
    </row>
    <row r="228">
      <c r="A228" s="253"/>
      <c r="B228" s="253"/>
      <c r="C228" s="253"/>
      <c r="D228" s="253"/>
      <c r="E228" s="253"/>
      <c r="F228" s="253"/>
      <c r="G228" s="253"/>
      <c r="H228" s="253"/>
      <c r="I228" s="253"/>
      <c r="J228" s="253"/>
      <c r="K228" s="253"/>
      <c r="L228" s="253"/>
      <c r="M228" s="253"/>
      <c r="N228" s="253"/>
      <c r="O228" s="253"/>
      <c r="P228" s="253"/>
      <c r="Q228" s="253"/>
      <c r="R228" s="253"/>
      <c r="S228" s="253"/>
      <c r="T228" s="253"/>
      <c r="U228" s="253"/>
      <c r="V228" s="253"/>
      <c r="W228" s="253"/>
      <c r="X228" s="253"/>
      <c r="Y228" s="253"/>
    </row>
    <row r="229">
      <c r="A229" s="253"/>
      <c r="B229" s="253"/>
      <c r="C229" s="253"/>
      <c r="D229" s="253"/>
      <c r="E229" s="253"/>
      <c r="F229" s="253"/>
      <c r="G229" s="253"/>
      <c r="H229" s="253"/>
      <c r="I229" s="253"/>
      <c r="J229" s="253"/>
      <c r="K229" s="253"/>
      <c r="L229" s="253"/>
      <c r="M229" s="253"/>
      <c r="N229" s="253"/>
      <c r="O229" s="253"/>
      <c r="P229" s="253"/>
      <c r="Q229" s="253"/>
      <c r="R229" s="253"/>
      <c r="S229" s="253"/>
      <c r="T229" s="253"/>
      <c r="U229" s="253"/>
      <c r="V229" s="253"/>
      <c r="W229" s="253"/>
      <c r="X229" s="253"/>
      <c r="Y229" s="253"/>
    </row>
    <row r="230">
      <c r="A230" s="253"/>
      <c r="B230" s="253"/>
      <c r="C230" s="253"/>
      <c r="D230" s="253"/>
      <c r="E230" s="253"/>
      <c r="F230" s="253"/>
      <c r="G230" s="253"/>
      <c r="H230" s="253"/>
      <c r="I230" s="253"/>
      <c r="J230" s="253"/>
      <c r="K230" s="253"/>
      <c r="L230" s="253"/>
      <c r="M230" s="253"/>
      <c r="N230" s="253"/>
      <c r="O230" s="253"/>
      <c r="P230" s="253"/>
      <c r="Q230" s="253"/>
      <c r="R230" s="253"/>
      <c r="S230" s="253"/>
      <c r="T230" s="253"/>
      <c r="U230" s="253"/>
      <c r="V230" s="253"/>
      <c r="W230" s="253"/>
      <c r="X230" s="253"/>
      <c r="Y230" s="253"/>
    </row>
    <row r="231">
      <c r="A231" s="253"/>
      <c r="B231" s="253"/>
      <c r="C231" s="253"/>
      <c r="D231" s="253"/>
      <c r="E231" s="253"/>
      <c r="F231" s="253"/>
      <c r="G231" s="253"/>
      <c r="H231" s="253"/>
      <c r="I231" s="253"/>
      <c r="J231" s="253"/>
      <c r="K231" s="253"/>
      <c r="L231" s="253"/>
      <c r="M231" s="253"/>
      <c r="N231" s="253"/>
      <c r="O231" s="253"/>
      <c r="P231" s="253"/>
      <c r="Q231" s="253"/>
      <c r="R231" s="253"/>
      <c r="S231" s="253"/>
      <c r="T231" s="253"/>
      <c r="U231" s="253"/>
      <c r="V231" s="253"/>
      <c r="W231" s="253"/>
      <c r="X231" s="253"/>
      <c r="Y231" s="253"/>
    </row>
    <row r="232">
      <c r="A232" s="253"/>
      <c r="B232" s="253"/>
      <c r="C232" s="253"/>
      <c r="D232" s="253"/>
      <c r="E232" s="253"/>
      <c r="F232" s="253"/>
      <c r="G232" s="253"/>
      <c r="H232" s="253"/>
      <c r="I232" s="253"/>
      <c r="J232" s="253"/>
      <c r="K232" s="253"/>
      <c r="L232" s="253"/>
      <c r="M232" s="253"/>
      <c r="N232" s="253"/>
      <c r="O232" s="253"/>
      <c r="P232" s="253"/>
      <c r="Q232" s="253"/>
      <c r="R232" s="253"/>
      <c r="S232" s="253"/>
      <c r="T232" s="253"/>
      <c r="U232" s="253"/>
      <c r="V232" s="253"/>
      <c r="W232" s="253"/>
      <c r="X232" s="253"/>
      <c r="Y232" s="253"/>
    </row>
    <row r="233">
      <c r="A233" s="253"/>
      <c r="B233" s="253"/>
      <c r="C233" s="253"/>
      <c r="D233" s="253"/>
      <c r="E233" s="253"/>
      <c r="F233" s="253"/>
      <c r="G233" s="253"/>
      <c r="H233" s="253"/>
      <c r="I233" s="253"/>
      <c r="J233" s="253"/>
      <c r="K233" s="253"/>
      <c r="L233" s="253"/>
      <c r="M233" s="253"/>
      <c r="N233" s="253"/>
      <c r="O233" s="253"/>
      <c r="P233" s="253"/>
      <c r="Q233" s="253"/>
      <c r="R233" s="253"/>
      <c r="S233" s="253"/>
      <c r="T233" s="253"/>
      <c r="U233" s="253"/>
      <c r="V233" s="253"/>
      <c r="W233" s="253"/>
      <c r="X233" s="253"/>
      <c r="Y233" s="253"/>
    </row>
    <row r="234">
      <c r="A234" s="253"/>
      <c r="B234" s="253"/>
      <c r="C234" s="253"/>
      <c r="D234" s="253"/>
      <c r="E234" s="253"/>
      <c r="F234" s="253"/>
      <c r="G234" s="253"/>
      <c r="H234" s="253"/>
      <c r="I234" s="253"/>
      <c r="J234" s="253"/>
      <c r="K234" s="253"/>
      <c r="L234" s="253"/>
      <c r="M234" s="253"/>
      <c r="N234" s="253"/>
      <c r="O234" s="253"/>
      <c r="P234" s="253"/>
      <c r="Q234" s="253"/>
      <c r="R234" s="253"/>
      <c r="S234" s="253"/>
      <c r="T234" s="253"/>
      <c r="U234" s="253"/>
      <c r="V234" s="253"/>
      <c r="W234" s="253"/>
      <c r="X234" s="253"/>
      <c r="Y234" s="253"/>
    </row>
    <row r="235">
      <c r="A235" s="253"/>
      <c r="B235" s="253"/>
      <c r="C235" s="253"/>
      <c r="D235" s="253"/>
      <c r="E235" s="253"/>
      <c r="F235" s="253"/>
      <c r="G235" s="253"/>
      <c r="H235" s="253"/>
      <c r="I235" s="253"/>
      <c r="J235" s="253"/>
      <c r="K235" s="253"/>
      <c r="L235" s="253"/>
      <c r="M235" s="253"/>
      <c r="N235" s="253"/>
      <c r="O235" s="253"/>
      <c r="P235" s="253"/>
      <c r="Q235" s="253"/>
      <c r="R235" s="253"/>
      <c r="S235" s="253"/>
      <c r="T235" s="253"/>
      <c r="U235" s="253"/>
      <c r="V235" s="253"/>
      <c r="W235" s="253"/>
      <c r="X235" s="253"/>
      <c r="Y235" s="253"/>
    </row>
    <row r="236">
      <c r="A236" s="253"/>
      <c r="B236" s="253"/>
      <c r="C236" s="253"/>
      <c r="D236" s="253"/>
      <c r="E236" s="253"/>
      <c r="F236" s="253"/>
      <c r="G236" s="253"/>
      <c r="H236" s="253"/>
      <c r="I236" s="253"/>
      <c r="J236" s="253"/>
      <c r="K236" s="253"/>
      <c r="L236" s="253"/>
      <c r="M236" s="253"/>
      <c r="N236" s="253"/>
      <c r="O236" s="253"/>
      <c r="P236" s="253"/>
      <c r="Q236" s="253"/>
      <c r="R236" s="253"/>
      <c r="S236" s="253"/>
      <c r="T236" s="253"/>
      <c r="U236" s="253"/>
      <c r="V236" s="253"/>
      <c r="W236" s="253"/>
      <c r="X236" s="253"/>
      <c r="Y236" s="253"/>
    </row>
    <row r="237">
      <c r="A237" s="253"/>
      <c r="B237" s="253"/>
      <c r="C237" s="253"/>
      <c r="D237" s="253"/>
      <c r="E237" s="253"/>
      <c r="F237" s="253"/>
      <c r="G237" s="253"/>
      <c r="H237" s="253"/>
      <c r="I237" s="253"/>
      <c r="J237" s="253"/>
      <c r="K237" s="253"/>
      <c r="L237" s="253"/>
      <c r="M237" s="253"/>
      <c r="N237" s="253"/>
      <c r="O237" s="253"/>
      <c r="P237" s="253"/>
      <c r="Q237" s="253"/>
      <c r="R237" s="253"/>
      <c r="S237" s="253"/>
      <c r="T237" s="253"/>
      <c r="U237" s="253"/>
      <c r="V237" s="253"/>
      <c r="W237" s="253"/>
      <c r="X237" s="253"/>
      <c r="Y237" s="253"/>
    </row>
    <row r="238">
      <c r="A238" s="253"/>
      <c r="B238" s="253"/>
      <c r="C238" s="253"/>
      <c r="D238" s="253"/>
      <c r="E238" s="253"/>
      <c r="F238" s="253"/>
      <c r="G238" s="253"/>
      <c r="H238" s="253"/>
      <c r="I238" s="253"/>
      <c r="J238" s="253"/>
      <c r="K238" s="253"/>
      <c r="L238" s="253"/>
      <c r="M238" s="253"/>
      <c r="N238" s="253"/>
      <c r="O238" s="253"/>
      <c r="P238" s="253"/>
      <c r="Q238" s="253"/>
      <c r="R238" s="253"/>
      <c r="S238" s="253"/>
      <c r="T238" s="253"/>
      <c r="U238" s="253"/>
      <c r="V238" s="253"/>
      <c r="W238" s="253"/>
      <c r="X238" s="253"/>
      <c r="Y238" s="253"/>
    </row>
    <row r="239">
      <c r="A239" s="253"/>
      <c r="B239" s="253"/>
      <c r="C239" s="253"/>
      <c r="D239" s="253"/>
      <c r="E239" s="253"/>
      <c r="F239" s="253"/>
      <c r="G239" s="253"/>
      <c r="H239" s="253"/>
      <c r="I239" s="253"/>
      <c r="J239" s="253"/>
      <c r="K239" s="253"/>
      <c r="L239" s="253"/>
      <c r="M239" s="253"/>
      <c r="N239" s="253"/>
      <c r="O239" s="253"/>
      <c r="P239" s="253"/>
      <c r="Q239" s="253"/>
      <c r="R239" s="253"/>
      <c r="S239" s="253"/>
      <c r="T239" s="253"/>
      <c r="U239" s="253"/>
      <c r="V239" s="253"/>
      <c r="W239" s="253"/>
      <c r="X239" s="253"/>
      <c r="Y239" s="253"/>
    </row>
    <row r="240">
      <c r="A240" s="253"/>
      <c r="B240" s="253"/>
      <c r="C240" s="253"/>
      <c r="D240" s="253"/>
      <c r="E240" s="253"/>
      <c r="F240" s="253"/>
      <c r="G240" s="253"/>
      <c r="H240" s="253"/>
      <c r="I240" s="253"/>
      <c r="J240" s="253"/>
      <c r="K240" s="253"/>
      <c r="L240" s="253"/>
      <c r="M240" s="253"/>
      <c r="N240" s="253"/>
      <c r="O240" s="253"/>
      <c r="P240" s="253"/>
      <c r="Q240" s="253"/>
      <c r="R240" s="253"/>
      <c r="S240" s="253"/>
      <c r="T240" s="253"/>
      <c r="U240" s="253"/>
      <c r="V240" s="253"/>
      <c r="W240" s="253"/>
      <c r="X240" s="253"/>
      <c r="Y240" s="253"/>
    </row>
    <row r="241">
      <c r="A241" s="253"/>
      <c r="B241" s="253"/>
      <c r="C241" s="253"/>
      <c r="D241" s="253"/>
      <c r="E241" s="253"/>
      <c r="F241" s="253"/>
      <c r="G241" s="253"/>
      <c r="H241" s="253"/>
      <c r="I241" s="253"/>
      <c r="J241" s="253"/>
      <c r="K241" s="253"/>
      <c r="L241" s="253"/>
      <c r="M241" s="253"/>
      <c r="N241" s="253"/>
      <c r="O241" s="253"/>
      <c r="P241" s="253"/>
      <c r="Q241" s="253"/>
      <c r="R241" s="253"/>
      <c r="S241" s="253"/>
      <c r="T241" s="253"/>
      <c r="U241" s="253"/>
      <c r="V241" s="253"/>
      <c r="W241" s="253"/>
      <c r="X241" s="253"/>
      <c r="Y241" s="253"/>
    </row>
    <row r="242">
      <c r="A242" s="253"/>
      <c r="B242" s="253"/>
      <c r="C242" s="253"/>
      <c r="D242" s="253"/>
      <c r="E242" s="253"/>
      <c r="F242" s="253"/>
      <c r="G242" s="253"/>
      <c r="H242" s="253"/>
      <c r="I242" s="253"/>
      <c r="J242" s="253"/>
      <c r="K242" s="253"/>
      <c r="L242" s="253"/>
      <c r="M242" s="253"/>
      <c r="N242" s="253"/>
      <c r="O242" s="253"/>
      <c r="P242" s="253"/>
      <c r="Q242" s="253"/>
      <c r="R242" s="253"/>
      <c r="S242" s="253"/>
      <c r="T242" s="253"/>
      <c r="U242" s="253"/>
      <c r="V242" s="253"/>
      <c r="W242" s="253"/>
      <c r="X242" s="253"/>
      <c r="Y242" s="253"/>
    </row>
    <row r="243">
      <c r="A243" s="253"/>
      <c r="B243" s="253"/>
      <c r="C243" s="253"/>
      <c r="D243" s="253"/>
      <c r="E243" s="253"/>
      <c r="F243" s="253"/>
      <c r="G243" s="253"/>
      <c r="H243" s="253"/>
      <c r="I243" s="253"/>
      <c r="J243" s="253"/>
      <c r="K243" s="253"/>
      <c r="L243" s="253"/>
      <c r="M243" s="253"/>
      <c r="N243" s="253"/>
      <c r="O243" s="253"/>
      <c r="P243" s="253"/>
      <c r="Q243" s="253"/>
      <c r="R243" s="253"/>
      <c r="S243" s="253"/>
      <c r="T243" s="253"/>
      <c r="U243" s="253"/>
      <c r="V243" s="253"/>
      <c r="W243" s="253"/>
      <c r="X243" s="253"/>
      <c r="Y243" s="253"/>
    </row>
    <row r="244">
      <c r="A244" s="253"/>
      <c r="B244" s="253"/>
      <c r="C244" s="253"/>
      <c r="D244" s="253"/>
      <c r="E244" s="253"/>
      <c r="F244" s="253"/>
      <c r="G244" s="253"/>
      <c r="H244" s="253"/>
      <c r="I244" s="253"/>
      <c r="J244" s="253"/>
      <c r="K244" s="253"/>
      <c r="L244" s="253"/>
      <c r="M244" s="253"/>
      <c r="N244" s="253"/>
      <c r="O244" s="253"/>
      <c r="P244" s="253"/>
      <c r="Q244" s="253"/>
      <c r="R244" s="253"/>
      <c r="S244" s="253"/>
      <c r="T244" s="253"/>
      <c r="U244" s="253"/>
      <c r="V244" s="253"/>
      <c r="W244" s="253"/>
      <c r="X244" s="253"/>
      <c r="Y244" s="253"/>
    </row>
    <row r="245">
      <c r="A245" s="253"/>
      <c r="B245" s="253"/>
      <c r="C245" s="253"/>
      <c r="D245" s="253"/>
      <c r="E245" s="253"/>
      <c r="F245" s="253"/>
      <c r="G245" s="253"/>
      <c r="H245" s="253"/>
      <c r="I245" s="253"/>
      <c r="J245" s="253"/>
      <c r="K245" s="253"/>
      <c r="L245" s="253"/>
      <c r="M245" s="253"/>
      <c r="N245" s="253"/>
      <c r="O245" s="253"/>
      <c r="P245" s="253"/>
      <c r="Q245" s="253"/>
      <c r="R245" s="253"/>
      <c r="S245" s="253"/>
      <c r="T245" s="253"/>
      <c r="U245" s="253"/>
      <c r="V245" s="253"/>
      <c r="W245" s="253"/>
      <c r="X245" s="253"/>
      <c r="Y245" s="253"/>
    </row>
    <row r="246">
      <c r="A246" s="253"/>
      <c r="B246" s="253"/>
      <c r="C246" s="253"/>
      <c r="D246" s="253"/>
      <c r="E246" s="253"/>
      <c r="F246" s="253"/>
      <c r="G246" s="253"/>
      <c r="H246" s="253"/>
      <c r="I246" s="253"/>
      <c r="J246" s="253"/>
      <c r="K246" s="253"/>
      <c r="L246" s="253"/>
      <c r="M246" s="253"/>
      <c r="N246" s="253"/>
      <c r="O246" s="253"/>
      <c r="P246" s="253"/>
      <c r="Q246" s="253"/>
      <c r="R246" s="253"/>
      <c r="S246" s="253"/>
      <c r="T246" s="253"/>
      <c r="U246" s="253"/>
      <c r="V246" s="253"/>
      <c r="W246" s="253"/>
      <c r="X246" s="253"/>
      <c r="Y246" s="253"/>
    </row>
    <row r="247">
      <c r="A247" s="253"/>
      <c r="B247" s="253"/>
      <c r="C247" s="253"/>
      <c r="D247" s="253"/>
      <c r="E247" s="253"/>
      <c r="F247" s="253"/>
      <c r="G247" s="253"/>
      <c r="H247" s="253"/>
      <c r="I247" s="253"/>
      <c r="J247" s="253"/>
      <c r="K247" s="253"/>
      <c r="L247" s="253"/>
      <c r="M247" s="253"/>
      <c r="N247" s="253"/>
      <c r="O247" s="253"/>
      <c r="P247" s="253"/>
      <c r="Q247" s="253"/>
      <c r="R247" s="253"/>
      <c r="S247" s="253"/>
      <c r="T247" s="253"/>
      <c r="U247" s="253"/>
      <c r="V247" s="253"/>
      <c r="W247" s="253"/>
      <c r="X247" s="253"/>
      <c r="Y247" s="253"/>
    </row>
    <row r="248">
      <c r="A248" s="253"/>
      <c r="B248" s="253"/>
      <c r="C248" s="253"/>
      <c r="D248" s="253"/>
      <c r="E248" s="253"/>
      <c r="F248" s="253"/>
      <c r="G248" s="253"/>
      <c r="H248" s="253"/>
      <c r="I248" s="253"/>
      <c r="J248" s="253"/>
      <c r="K248" s="253"/>
      <c r="L248" s="253"/>
      <c r="M248" s="253"/>
      <c r="N248" s="253"/>
      <c r="O248" s="253"/>
      <c r="P248" s="253"/>
      <c r="Q248" s="253"/>
      <c r="R248" s="253"/>
      <c r="S248" s="253"/>
      <c r="T248" s="253"/>
      <c r="U248" s="253"/>
      <c r="V248" s="253"/>
      <c r="W248" s="253"/>
      <c r="X248" s="253"/>
      <c r="Y248" s="253"/>
    </row>
    <row r="249">
      <c r="A249" s="253"/>
      <c r="B249" s="253"/>
      <c r="C249" s="253"/>
      <c r="D249" s="253"/>
      <c r="E249" s="253"/>
      <c r="F249" s="253"/>
      <c r="G249" s="253"/>
      <c r="H249" s="253"/>
      <c r="I249" s="253"/>
      <c r="J249" s="253"/>
      <c r="K249" s="253"/>
      <c r="L249" s="253"/>
      <c r="M249" s="253"/>
      <c r="N249" s="253"/>
      <c r="O249" s="253"/>
      <c r="P249" s="253"/>
      <c r="Q249" s="253"/>
      <c r="R249" s="253"/>
      <c r="S249" s="253"/>
      <c r="T249" s="253"/>
      <c r="U249" s="253"/>
      <c r="V249" s="253"/>
      <c r="W249" s="253"/>
      <c r="X249" s="253"/>
      <c r="Y249" s="253"/>
    </row>
    <row r="250">
      <c r="A250" s="253"/>
      <c r="B250" s="253"/>
      <c r="C250" s="253"/>
      <c r="D250" s="253"/>
      <c r="E250" s="253"/>
      <c r="F250" s="253"/>
      <c r="G250" s="253"/>
      <c r="H250" s="253"/>
      <c r="I250" s="253"/>
      <c r="J250" s="253"/>
      <c r="K250" s="253"/>
      <c r="L250" s="253"/>
      <c r="M250" s="253"/>
      <c r="N250" s="253"/>
      <c r="O250" s="253"/>
      <c r="P250" s="253"/>
      <c r="Q250" s="253"/>
      <c r="R250" s="253"/>
      <c r="S250" s="253"/>
      <c r="T250" s="253"/>
      <c r="U250" s="253"/>
      <c r="V250" s="253"/>
      <c r="W250" s="253"/>
      <c r="X250" s="253"/>
      <c r="Y250" s="253"/>
    </row>
    <row r="251">
      <c r="A251" s="253"/>
      <c r="B251" s="253"/>
      <c r="C251" s="253"/>
      <c r="D251" s="253"/>
      <c r="E251" s="253"/>
      <c r="F251" s="253"/>
      <c r="G251" s="253"/>
      <c r="H251" s="253"/>
      <c r="I251" s="253"/>
      <c r="J251" s="253"/>
      <c r="K251" s="253"/>
      <c r="L251" s="253"/>
      <c r="M251" s="253"/>
      <c r="N251" s="253"/>
      <c r="O251" s="253"/>
      <c r="P251" s="253"/>
      <c r="Q251" s="253"/>
      <c r="R251" s="253"/>
      <c r="S251" s="253"/>
      <c r="T251" s="253"/>
      <c r="U251" s="253"/>
      <c r="V251" s="253"/>
      <c r="W251" s="253"/>
      <c r="X251" s="253"/>
      <c r="Y251" s="253"/>
    </row>
    <row r="252">
      <c r="A252" s="253"/>
      <c r="B252" s="253"/>
      <c r="C252" s="253"/>
      <c r="D252" s="253"/>
      <c r="E252" s="253"/>
      <c r="F252" s="253"/>
      <c r="G252" s="253"/>
      <c r="H252" s="253"/>
      <c r="I252" s="253"/>
      <c r="J252" s="253"/>
      <c r="K252" s="253"/>
      <c r="L252" s="253"/>
      <c r="M252" s="253"/>
      <c r="N252" s="253"/>
      <c r="O252" s="253"/>
      <c r="P252" s="253"/>
      <c r="Q252" s="253"/>
      <c r="R252" s="253"/>
      <c r="S252" s="253"/>
      <c r="T252" s="253"/>
      <c r="U252" s="253"/>
      <c r="V252" s="253"/>
      <c r="W252" s="253"/>
      <c r="X252" s="253"/>
      <c r="Y252" s="253"/>
    </row>
    <row r="253">
      <c r="A253" s="253"/>
      <c r="B253" s="253"/>
      <c r="C253" s="253"/>
      <c r="D253" s="253"/>
      <c r="E253" s="253"/>
      <c r="F253" s="253"/>
      <c r="G253" s="253"/>
      <c r="H253" s="253"/>
      <c r="I253" s="253"/>
      <c r="J253" s="253"/>
      <c r="K253" s="253"/>
      <c r="L253" s="253"/>
      <c r="M253" s="253"/>
      <c r="N253" s="253"/>
      <c r="O253" s="253"/>
      <c r="P253" s="253"/>
      <c r="Q253" s="253"/>
      <c r="R253" s="253"/>
      <c r="S253" s="253"/>
      <c r="T253" s="253"/>
      <c r="U253" s="253"/>
      <c r="V253" s="253"/>
      <c r="W253" s="253"/>
      <c r="X253" s="253"/>
      <c r="Y253" s="253"/>
    </row>
    <row r="254">
      <c r="A254" s="253"/>
      <c r="B254" s="253"/>
      <c r="C254" s="253"/>
      <c r="D254" s="253"/>
      <c r="E254" s="253"/>
      <c r="F254" s="253"/>
      <c r="G254" s="253"/>
      <c r="H254" s="253"/>
      <c r="I254" s="253"/>
      <c r="J254" s="253"/>
      <c r="K254" s="253"/>
      <c r="L254" s="253"/>
      <c r="M254" s="253"/>
      <c r="N254" s="253"/>
      <c r="O254" s="253"/>
      <c r="P254" s="253"/>
      <c r="Q254" s="253"/>
      <c r="R254" s="253"/>
      <c r="S254" s="253"/>
      <c r="T254" s="253"/>
      <c r="U254" s="253"/>
      <c r="V254" s="253"/>
      <c r="W254" s="253"/>
      <c r="X254" s="253"/>
      <c r="Y254" s="253"/>
    </row>
    <row r="255">
      <c r="A255" s="253"/>
      <c r="B255" s="253"/>
      <c r="C255" s="253"/>
      <c r="D255" s="253"/>
      <c r="E255" s="253"/>
      <c r="F255" s="253"/>
      <c r="G255" s="253"/>
      <c r="H255" s="253"/>
      <c r="I255" s="253"/>
      <c r="J255" s="253"/>
      <c r="K255" s="253"/>
      <c r="L255" s="253"/>
      <c r="M255" s="253"/>
      <c r="N255" s="253"/>
      <c r="O255" s="253"/>
      <c r="P255" s="253"/>
      <c r="Q255" s="253"/>
      <c r="R255" s="253"/>
      <c r="S255" s="253"/>
      <c r="T255" s="253"/>
      <c r="U255" s="253"/>
      <c r="V255" s="253"/>
      <c r="W255" s="253"/>
      <c r="X255" s="253"/>
      <c r="Y255" s="253"/>
    </row>
    <row r="256">
      <c r="A256" s="253"/>
      <c r="B256" s="253"/>
      <c r="C256" s="253"/>
      <c r="D256" s="253"/>
      <c r="E256" s="253"/>
      <c r="F256" s="253"/>
      <c r="G256" s="253"/>
      <c r="H256" s="253"/>
      <c r="I256" s="253"/>
      <c r="J256" s="253"/>
      <c r="K256" s="253"/>
      <c r="L256" s="253"/>
      <c r="M256" s="253"/>
      <c r="N256" s="253"/>
      <c r="O256" s="253"/>
      <c r="P256" s="253"/>
      <c r="Q256" s="253"/>
      <c r="R256" s="253"/>
      <c r="S256" s="253"/>
      <c r="T256" s="253"/>
      <c r="U256" s="253"/>
      <c r="V256" s="253"/>
      <c r="W256" s="253"/>
      <c r="X256" s="253"/>
      <c r="Y256" s="253"/>
    </row>
    <row r="257">
      <c r="A257" s="253"/>
      <c r="B257" s="253"/>
      <c r="C257" s="253"/>
      <c r="D257" s="253"/>
      <c r="E257" s="253"/>
      <c r="F257" s="253"/>
      <c r="G257" s="253"/>
      <c r="H257" s="253"/>
      <c r="I257" s="253"/>
      <c r="J257" s="253"/>
      <c r="K257" s="253"/>
      <c r="L257" s="253"/>
      <c r="M257" s="253"/>
      <c r="N257" s="253"/>
      <c r="O257" s="253"/>
      <c r="P257" s="253"/>
      <c r="Q257" s="253"/>
      <c r="R257" s="253"/>
      <c r="S257" s="253"/>
      <c r="T257" s="253"/>
      <c r="U257" s="253"/>
      <c r="V257" s="253"/>
      <c r="W257" s="253"/>
      <c r="X257" s="253"/>
      <c r="Y257" s="253"/>
    </row>
    <row r="258">
      <c r="A258" s="253"/>
      <c r="B258" s="253"/>
      <c r="C258" s="253"/>
      <c r="D258" s="253"/>
      <c r="E258" s="253"/>
      <c r="F258" s="253"/>
      <c r="G258" s="253"/>
      <c r="H258" s="253"/>
      <c r="I258" s="253"/>
      <c r="J258" s="253"/>
      <c r="K258" s="253"/>
      <c r="L258" s="253"/>
      <c r="M258" s="253"/>
      <c r="N258" s="253"/>
      <c r="O258" s="253"/>
      <c r="P258" s="253"/>
      <c r="Q258" s="253"/>
      <c r="R258" s="253"/>
      <c r="S258" s="253"/>
      <c r="T258" s="253"/>
      <c r="U258" s="253"/>
      <c r="V258" s="253"/>
      <c r="W258" s="253"/>
      <c r="X258" s="253"/>
      <c r="Y258" s="253"/>
    </row>
    <row r="259">
      <c r="A259" s="253"/>
      <c r="B259" s="253"/>
      <c r="C259" s="253"/>
      <c r="D259" s="253"/>
      <c r="E259" s="253"/>
      <c r="F259" s="253"/>
      <c r="G259" s="253"/>
      <c r="H259" s="253"/>
      <c r="I259" s="253"/>
      <c r="J259" s="253"/>
      <c r="K259" s="253"/>
      <c r="L259" s="253"/>
      <c r="M259" s="253"/>
      <c r="N259" s="253"/>
      <c r="O259" s="253"/>
      <c r="P259" s="253"/>
      <c r="Q259" s="253"/>
      <c r="R259" s="253"/>
      <c r="S259" s="253"/>
      <c r="T259" s="253"/>
      <c r="U259" s="253"/>
      <c r="V259" s="253"/>
      <c r="W259" s="253"/>
      <c r="X259" s="253"/>
      <c r="Y259" s="253"/>
    </row>
    <row r="260">
      <c r="A260" s="253"/>
      <c r="B260" s="253"/>
      <c r="C260" s="253"/>
      <c r="D260" s="253"/>
      <c r="E260" s="253"/>
      <c r="F260" s="253"/>
      <c r="G260" s="253"/>
      <c r="H260" s="253"/>
      <c r="I260" s="253"/>
      <c r="J260" s="253"/>
      <c r="K260" s="253"/>
      <c r="L260" s="253"/>
      <c r="M260" s="253"/>
      <c r="N260" s="253"/>
      <c r="O260" s="253"/>
      <c r="P260" s="253"/>
      <c r="Q260" s="253"/>
      <c r="R260" s="253"/>
      <c r="S260" s="253"/>
      <c r="T260" s="253"/>
      <c r="U260" s="253"/>
      <c r="V260" s="253"/>
      <c r="W260" s="253"/>
      <c r="X260" s="253"/>
      <c r="Y260" s="253"/>
    </row>
    <row r="261">
      <c r="A261" s="253"/>
      <c r="B261" s="253"/>
      <c r="C261" s="253"/>
      <c r="D261" s="253"/>
      <c r="E261" s="253"/>
      <c r="F261" s="253"/>
      <c r="G261" s="253"/>
      <c r="H261" s="253"/>
      <c r="I261" s="253"/>
      <c r="J261" s="253"/>
      <c r="K261" s="253"/>
      <c r="L261" s="253"/>
      <c r="M261" s="253"/>
      <c r="N261" s="253"/>
      <c r="O261" s="253"/>
      <c r="P261" s="253"/>
      <c r="Q261" s="253"/>
      <c r="R261" s="253"/>
      <c r="S261" s="253"/>
      <c r="T261" s="253"/>
      <c r="U261" s="253"/>
      <c r="V261" s="253"/>
      <c r="W261" s="253"/>
      <c r="X261" s="253"/>
      <c r="Y261" s="253"/>
    </row>
    <row r="262">
      <c r="A262" s="253"/>
      <c r="B262" s="253"/>
      <c r="C262" s="253"/>
      <c r="D262" s="253"/>
      <c r="E262" s="253"/>
      <c r="F262" s="253"/>
      <c r="G262" s="253"/>
      <c r="H262" s="253"/>
      <c r="I262" s="253"/>
      <c r="J262" s="253"/>
      <c r="K262" s="253"/>
      <c r="L262" s="253"/>
      <c r="M262" s="253"/>
      <c r="N262" s="253"/>
      <c r="O262" s="253"/>
      <c r="P262" s="253"/>
      <c r="Q262" s="253"/>
      <c r="R262" s="253"/>
      <c r="S262" s="253"/>
      <c r="T262" s="253"/>
      <c r="U262" s="253"/>
      <c r="V262" s="253"/>
      <c r="W262" s="253"/>
      <c r="X262" s="253"/>
      <c r="Y262" s="253"/>
    </row>
    <row r="263">
      <c r="A263" s="253"/>
      <c r="B263" s="253"/>
      <c r="C263" s="253"/>
      <c r="D263" s="253"/>
      <c r="E263" s="253"/>
      <c r="F263" s="253"/>
      <c r="G263" s="253"/>
      <c r="H263" s="253"/>
      <c r="I263" s="253"/>
      <c r="J263" s="253"/>
      <c r="K263" s="253"/>
      <c r="L263" s="253"/>
      <c r="M263" s="253"/>
      <c r="N263" s="253"/>
      <c r="O263" s="253"/>
      <c r="P263" s="253"/>
      <c r="Q263" s="253"/>
      <c r="R263" s="253"/>
      <c r="S263" s="253"/>
      <c r="T263" s="253"/>
      <c r="U263" s="253"/>
      <c r="V263" s="253"/>
      <c r="W263" s="253"/>
      <c r="X263" s="253"/>
      <c r="Y263" s="253"/>
    </row>
    <row r="264">
      <c r="A264" s="253"/>
      <c r="B264" s="253"/>
      <c r="C264" s="253"/>
      <c r="D264" s="253"/>
      <c r="E264" s="253"/>
      <c r="F264" s="253"/>
      <c r="G264" s="253"/>
      <c r="H264" s="253"/>
      <c r="I264" s="253"/>
      <c r="J264" s="253"/>
      <c r="K264" s="253"/>
      <c r="L264" s="253"/>
      <c r="M264" s="253"/>
      <c r="N264" s="253"/>
      <c r="O264" s="253"/>
      <c r="P264" s="253"/>
      <c r="Q264" s="253"/>
      <c r="R264" s="253"/>
      <c r="S264" s="253"/>
      <c r="T264" s="253"/>
      <c r="U264" s="253"/>
      <c r="V264" s="253"/>
      <c r="W264" s="253"/>
      <c r="X264" s="253"/>
      <c r="Y264" s="253"/>
    </row>
    <row r="265">
      <c r="A265" s="253"/>
      <c r="B265" s="253"/>
      <c r="C265" s="253"/>
      <c r="D265" s="253"/>
      <c r="E265" s="253"/>
      <c r="F265" s="253"/>
      <c r="G265" s="253"/>
      <c r="H265" s="253"/>
      <c r="I265" s="253"/>
      <c r="J265" s="253"/>
      <c r="K265" s="253"/>
      <c r="L265" s="253"/>
      <c r="M265" s="253"/>
      <c r="N265" s="253"/>
      <c r="O265" s="253"/>
      <c r="P265" s="253"/>
      <c r="Q265" s="253"/>
      <c r="R265" s="253"/>
      <c r="S265" s="253"/>
      <c r="T265" s="253"/>
      <c r="U265" s="253"/>
      <c r="V265" s="253"/>
      <c r="W265" s="253"/>
      <c r="X265" s="253"/>
      <c r="Y265" s="253"/>
    </row>
    <row r="266">
      <c r="A266" s="253"/>
      <c r="B266" s="253"/>
      <c r="C266" s="253"/>
      <c r="D266" s="253"/>
      <c r="E266" s="253"/>
      <c r="F266" s="253"/>
      <c r="G266" s="253"/>
      <c r="H266" s="253"/>
      <c r="I266" s="253"/>
      <c r="J266" s="253"/>
      <c r="K266" s="253"/>
      <c r="L266" s="253"/>
      <c r="M266" s="253"/>
      <c r="N266" s="253"/>
      <c r="O266" s="253"/>
      <c r="P266" s="253"/>
      <c r="Q266" s="253"/>
      <c r="R266" s="253"/>
      <c r="S266" s="253"/>
      <c r="T266" s="253"/>
      <c r="U266" s="253"/>
      <c r="V266" s="253"/>
      <c r="W266" s="253"/>
      <c r="X266" s="253"/>
      <c r="Y266" s="253"/>
    </row>
    <row r="267">
      <c r="A267" s="253"/>
      <c r="B267" s="253"/>
      <c r="C267" s="253"/>
      <c r="D267" s="253"/>
      <c r="E267" s="253"/>
      <c r="F267" s="253"/>
      <c r="G267" s="253"/>
      <c r="H267" s="253"/>
      <c r="I267" s="253"/>
      <c r="J267" s="253"/>
      <c r="K267" s="253"/>
      <c r="L267" s="253"/>
      <c r="M267" s="253"/>
      <c r="N267" s="253"/>
      <c r="O267" s="253"/>
      <c r="P267" s="253"/>
      <c r="Q267" s="253"/>
      <c r="R267" s="253"/>
      <c r="S267" s="253"/>
      <c r="T267" s="253"/>
      <c r="U267" s="253"/>
      <c r="V267" s="253"/>
      <c r="W267" s="253"/>
      <c r="X267" s="253"/>
      <c r="Y267" s="253"/>
    </row>
    <row r="268">
      <c r="A268" s="253"/>
      <c r="B268" s="253"/>
      <c r="C268" s="253"/>
      <c r="D268" s="253"/>
      <c r="E268" s="253"/>
      <c r="F268" s="253"/>
      <c r="G268" s="253"/>
      <c r="H268" s="253"/>
      <c r="I268" s="253"/>
      <c r="J268" s="253"/>
      <c r="K268" s="253"/>
      <c r="L268" s="253"/>
      <c r="M268" s="253"/>
      <c r="N268" s="253"/>
      <c r="O268" s="253"/>
      <c r="P268" s="253"/>
      <c r="Q268" s="253"/>
      <c r="R268" s="253"/>
      <c r="S268" s="253"/>
      <c r="T268" s="253"/>
      <c r="U268" s="253"/>
      <c r="V268" s="253"/>
      <c r="W268" s="253"/>
      <c r="X268" s="253"/>
      <c r="Y268" s="253"/>
    </row>
    <row r="269">
      <c r="A269" s="253"/>
      <c r="B269" s="253"/>
      <c r="C269" s="253"/>
      <c r="D269" s="253"/>
      <c r="E269" s="253"/>
      <c r="F269" s="253"/>
      <c r="G269" s="253"/>
      <c r="H269" s="253"/>
      <c r="I269" s="253"/>
      <c r="J269" s="253"/>
      <c r="K269" s="253"/>
      <c r="L269" s="253"/>
      <c r="M269" s="253"/>
      <c r="N269" s="253"/>
      <c r="O269" s="253"/>
      <c r="P269" s="253"/>
      <c r="Q269" s="253"/>
      <c r="R269" s="253"/>
      <c r="S269" s="253"/>
      <c r="T269" s="253"/>
      <c r="U269" s="253"/>
      <c r="V269" s="253"/>
      <c r="W269" s="253"/>
      <c r="X269" s="253"/>
      <c r="Y269" s="253"/>
    </row>
    <row r="270">
      <c r="A270" s="253"/>
      <c r="B270" s="253"/>
      <c r="C270" s="253"/>
      <c r="D270" s="253"/>
      <c r="E270" s="253"/>
      <c r="F270" s="253"/>
      <c r="G270" s="253"/>
      <c r="H270" s="253"/>
      <c r="I270" s="253"/>
      <c r="J270" s="253"/>
      <c r="K270" s="253"/>
      <c r="L270" s="253"/>
      <c r="M270" s="253"/>
      <c r="N270" s="253"/>
      <c r="O270" s="253"/>
      <c r="P270" s="253"/>
      <c r="Q270" s="253"/>
      <c r="R270" s="253"/>
      <c r="S270" s="253"/>
      <c r="T270" s="253"/>
      <c r="U270" s="253"/>
      <c r="V270" s="253"/>
      <c r="W270" s="253"/>
      <c r="X270" s="253"/>
      <c r="Y270" s="253"/>
    </row>
    <row r="271">
      <c r="A271" s="253"/>
      <c r="B271" s="253"/>
      <c r="C271" s="253"/>
      <c r="D271" s="253"/>
      <c r="E271" s="253"/>
      <c r="F271" s="253"/>
      <c r="G271" s="253"/>
      <c r="H271" s="253"/>
      <c r="I271" s="253"/>
      <c r="J271" s="253"/>
      <c r="K271" s="253"/>
      <c r="L271" s="253"/>
      <c r="M271" s="253"/>
      <c r="N271" s="253"/>
      <c r="O271" s="253"/>
      <c r="P271" s="253"/>
      <c r="Q271" s="253"/>
      <c r="R271" s="253"/>
      <c r="S271" s="253"/>
      <c r="T271" s="253"/>
      <c r="U271" s="253"/>
      <c r="V271" s="253"/>
      <c r="W271" s="253"/>
      <c r="X271" s="253"/>
      <c r="Y271" s="253"/>
    </row>
    <row r="272">
      <c r="A272" s="253"/>
      <c r="B272" s="253"/>
      <c r="C272" s="253"/>
      <c r="D272" s="253"/>
      <c r="E272" s="253"/>
      <c r="F272" s="253"/>
      <c r="G272" s="253"/>
      <c r="H272" s="253"/>
      <c r="I272" s="253"/>
      <c r="J272" s="253"/>
      <c r="K272" s="253"/>
      <c r="L272" s="253"/>
      <c r="M272" s="253"/>
      <c r="N272" s="253"/>
      <c r="O272" s="253"/>
      <c r="P272" s="253"/>
      <c r="Q272" s="253"/>
      <c r="R272" s="253"/>
      <c r="S272" s="253"/>
      <c r="T272" s="253"/>
      <c r="U272" s="253"/>
      <c r="V272" s="253"/>
      <c r="W272" s="253"/>
      <c r="X272" s="253"/>
      <c r="Y272" s="253"/>
    </row>
    <row r="273">
      <c r="A273" s="253"/>
      <c r="B273" s="253"/>
      <c r="C273" s="253"/>
      <c r="D273" s="253"/>
      <c r="E273" s="253"/>
      <c r="F273" s="253"/>
      <c r="G273" s="253"/>
      <c r="H273" s="253"/>
      <c r="I273" s="253"/>
      <c r="J273" s="253"/>
      <c r="K273" s="253"/>
      <c r="L273" s="253"/>
      <c r="M273" s="253"/>
      <c r="N273" s="253"/>
      <c r="O273" s="253"/>
      <c r="P273" s="253"/>
      <c r="Q273" s="253"/>
      <c r="R273" s="253"/>
      <c r="S273" s="253"/>
      <c r="T273" s="253"/>
      <c r="U273" s="253"/>
      <c r="V273" s="253"/>
      <c r="W273" s="253"/>
      <c r="X273" s="253"/>
      <c r="Y273" s="253"/>
    </row>
    <row r="274">
      <c r="A274" s="253"/>
      <c r="B274" s="253"/>
      <c r="C274" s="253"/>
      <c r="D274" s="253"/>
      <c r="E274" s="253"/>
      <c r="F274" s="253"/>
      <c r="G274" s="253"/>
      <c r="H274" s="253"/>
      <c r="I274" s="253"/>
      <c r="J274" s="253"/>
      <c r="K274" s="253"/>
      <c r="L274" s="253"/>
      <c r="M274" s="253"/>
      <c r="N274" s="253"/>
      <c r="O274" s="253"/>
      <c r="P274" s="253"/>
      <c r="Q274" s="253"/>
      <c r="R274" s="253"/>
      <c r="S274" s="253"/>
      <c r="T274" s="253"/>
      <c r="U274" s="253"/>
      <c r="V274" s="253"/>
      <c r="W274" s="253"/>
      <c r="X274" s="253"/>
      <c r="Y274" s="253"/>
    </row>
    <row r="275">
      <c r="A275" s="253"/>
      <c r="B275" s="253"/>
      <c r="C275" s="253"/>
      <c r="D275" s="253"/>
      <c r="E275" s="253"/>
      <c r="F275" s="253"/>
      <c r="G275" s="253"/>
      <c r="H275" s="253"/>
      <c r="I275" s="253"/>
      <c r="J275" s="253"/>
      <c r="K275" s="253"/>
      <c r="L275" s="253"/>
      <c r="M275" s="253"/>
      <c r="N275" s="253"/>
      <c r="O275" s="253"/>
      <c r="P275" s="253"/>
      <c r="Q275" s="253"/>
      <c r="R275" s="253"/>
      <c r="S275" s="253"/>
      <c r="T275" s="253"/>
      <c r="U275" s="253"/>
      <c r="V275" s="253"/>
      <c r="W275" s="253"/>
      <c r="X275" s="253"/>
      <c r="Y275" s="253"/>
    </row>
    <row r="276">
      <c r="A276" s="253"/>
      <c r="B276" s="253"/>
      <c r="C276" s="253"/>
      <c r="D276" s="253"/>
      <c r="E276" s="253"/>
      <c r="F276" s="253"/>
      <c r="G276" s="253"/>
      <c r="H276" s="253"/>
      <c r="I276" s="253"/>
      <c r="J276" s="253"/>
      <c r="K276" s="253"/>
      <c r="L276" s="253"/>
      <c r="M276" s="253"/>
      <c r="N276" s="253"/>
      <c r="O276" s="253"/>
      <c r="P276" s="253"/>
      <c r="Q276" s="253"/>
      <c r="R276" s="253"/>
      <c r="S276" s="253"/>
      <c r="T276" s="253"/>
      <c r="U276" s="253"/>
      <c r="V276" s="253"/>
      <c r="W276" s="253"/>
      <c r="X276" s="253"/>
      <c r="Y276" s="253"/>
    </row>
    <row r="277">
      <c r="A277" s="253"/>
      <c r="B277" s="253"/>
      <c r="C277" s="253"/>
      <c r="D277" s="253"/>
      <c r="E277" s="253"/>
      <c r="F277" s="253"/>
      <c r="G277" s="253"/>
      <c r="H277" s="253"/>
      <c r="I277" s="253"/>
      <c r="J277" s="253"/>
      <c r="K277" s="253"/>
      <c r="L277" s="253"/>
      <c r="M277" s="253"/>
      <c r="N277" s="253"/>
      <c r="O277" s="253"/>
      <c r="P277" s="253"/>
      <c r="Q277" s="253"/>
      <c r="R277" s="253"/>
      <c r="S277" s="253"/>
      <c r="T277" s="253"/>
      <c r="U277" s="253"/>
      <c r="V277" s="253"/>
      <c r="W277" s="253"/>
      <c r="X277" s="253"/>
      <c r="Y277" s="253"/>
    </row>
    <row r="278">
      <c r="A278" s="253"/>
      <c r="B278" s="253"/>
      <c r="C278" s="253"/>
      <c r="D278" s="253"/>
      <c r="E278" s="253"/>
      <c r="F278" s="253"/>
      <c r="G278" s="253"/>
      <c r="H278" s="253"/>
      <c r="I278" s="253"/>
      <c r="J278" s="253"/>
      <c r="K278" s="253"/>
      <c r="L278" s="253"/>
      <c r="M278" s="253"/>
      <c r="N278" s="253"/>
      <c r="O278" s="253"/>
      <c r="P278" s="253"/>
      <c r="Q278" s="253"/>
      <c r="R278" s="253"/>
      <c r="S278" s="253"/>
      <c r="T278" s="253"/>
      <c r="U278" s="253"/>
      <c r="V278" s="253"/>
      <c r="W278" s="253"/>
      <c r="X278" s="253"/>
      <c r="Y278" s="253"/>
    </row>
    <row r="279">
      <c r="A279" s="253"/>
      <c r="B279" s="253"/>
      <c r="C279" s="253"/>
      <c r="D279" s="253"/>
      <c r="E279" s="253"/>
      <c r="F279" s="253"/>
      <c r="G279" s="253"/>
      <c r="H279" s="253"/>
      <c r="I279" s="253"/>
      <c r="J279" s="253"/>
      <c r="K279" s="253"/>
      <c r="L279" s="253"/>
      <c r="M279" s="253"/>
      <c r="N279" s="253"/>
      <c r="O279" s="253"/>
      <c r="P279" s="253"/>
      <c r="Q279" s="253"/>
      <c r="R279" s="253"/>
      <c r="S279" s="253"/>
      <c r="T279" s="253"/>
      <c r="U279" s="253"/>
      <c r="V279" s="253"/>
      <c r="W279" s="253"/>
      <c r="X279" s="253"/>
      <c r="Y279" s="253"/>
    </row>
    <row r="280">
      <c r="A280" s="253"/>
      <c r="B280" s="253"/>
      <c r="C280" s="253"/>
      <c r="D280" s="253"/>
      <c r="E280" s="253"/>
      <c r="F280" s="253"/>
      <c r="G280" s="253"/>
      <c r="H280" s="253"/>
      <c r="I280" s="253"/>
      <c r="J280" s="253"/>
      <c r="K280" s="253"/>
      <c r="L280" s="253"/>
      <c r="M280" s="253"/>
      <c r="N280" s="253"/>
      <c r="O280" s="253"/>
      <c r="P280" s="253"/>
      <c r="Q280" s="253"/>
      <c r="R280" s="253"/>
      <c r="S280" s="253"/>
      <c r="T280" s="253"/>
      <c r="U280" s="253"/>
      <c r="V280" s="253"/>
      <c r="W280" s="253"/>
      <c r="X280" s="253"/>
      <c r="Y280" s="253"/>
    </row>
    <row r="281">
      <c r="A281" s="253"/>
      <c r="B281" s="253"/>
      <c r="C281" s="253"/>
      <c r="D281" s="253"/>
      <c r="E281" s="253"/>
      <c r="F281" s="253"/>
      <c r="G281" s="253"/>
      <c r="H281" s="253"/>
      <c r="I281" s="253"/>
      <c r="J281" s="253"/>
      <c r="K281" s="253"/>
      <c r="L281" s="253"/>
      <c r="M281" s="253"/>
      <c r="N281" s="253"/>
      <c r="O281" s="253"/>
      <c r="P281" s="253"/>
      <c r="Q281" s="253"/>
      <c r="R281" s="253"/>
      <c r="S281" s="253"/>
      <c r="T281" s="253"/>
      <c r="U281" s="253"/>
      <c r="V281" s="253"/>
      <c r="W281" s="253"/>
      <c r="X281" s="253"/>
      <c r="Y281" s="253"/>
    </row>
    <row r="282">
      <c r="A282" s="253"/>
      <c r="B282" s="253"/>
      <c r="C282" s="253"/>
      <c r="D282" s="253"/>
      <c r="E282" s="253"/>
      <c r="F282" s="253"/>
      <c r="G282" s="253"/>
      <c r="H282" s="253"/>
      <c r="I282" s="253"/>
      <c r="J282" s="253"/>
      <c r="K282" s="253"/>
      <c r="L282" s="253"/>
      <c r="M282" s="253"/>
      <c r="N282" s="253"/>
      <c r="O282" s="253"/>
      <c r="P282" s="253"/>
      <c r="Q282" s="253"/>
      <c r="R282" s="253"/>
      <c r="S282" s="253"/>
      <c r="T282" s="253"/>
      <c r="U282" s="253"/>
      <c r="V282" s="253"/>
      <c r="W282" s="253"/>
      <c r="X282" s="253"/>
      <c r="Y282" s="253"/>
    </row>
    <row r="283">
      <c r="A283" s="253"/>
      <c r="B283" s="253"/>
      <c r="C283" s="253"/>
      <c r="D283" s="253"/>
      <c r="E283" s="253"/>
      <c r="F283" s="253"/>
      <c r="G283" s="253"/>
      <c r="H283" s="253"/>
      <c r="I283" s="253"/>
      <c r="J283" s="253"/>
      <c r="K283" s="253"/>
      <c r="L283" s="253"/>
      <c r="M283" s="253"/>
      <c r="N283" s="253"/>
      <c r="O283" s="253"/>
      <c r="P283" s="253"/>
      <c r="Q283" s="253"/>
      <c r="R283" s="253"/>
      <c r="S283" s="253"/>
      <c r="T283" s="253"/>
      <c r="U283" s="253"/>
      <c r="V283" s="253"/>
      <c r="W283" s="253"/>
      <c r="X283" s="253"/>
      <c r="Y283" s="253"/>
    </row>
    <row r="284">
      <c r="A284" s="253"/>
      <c r="B284" s="253"/>
      <c r="C284" s="253"/>
      <c r="D284" s="253"/>
      <c r="E284" s="253"/>
      <c r="F284" s="253"/>
      <c r="G284" s="253"/>
      <c r="H284" s="253"/>
      <c r="I284" s="253"/>
      <c r="J284" s="253"/>
      <c r="K284" s="253"/>
      <c r="L284" s="253"/>
      <c r="M284" s="253"/>
      <c r="N284" s="253"/>
      <c r="O284" s="253"/>
      <c r="P284" s="253"/>
      <c r="Q284" s="253"/>
      <c r="R284" s="253"/>
      <c r="S284" s="253"/>
      <c r="T284" s="253"/>
      <c r="U284" s="253"/>
      <c r="V284" s="253"/>
      <c r="W284" s="253"/>
      <c r="X284" s="253"/>
      <c r="Y284" s="253"/>
    </row>
    <row r="285">
      <c r="A285" s="253"/>
      <c r="B285" s="253"/>
      <c r="C285" s="253"/>
      <c r="D285" s="253"/>
      <c r="E285" s="253"/>
      <c r="F285" s="253"/>
      <c r="G285" s="253"/>
      <c r="H285" s="253"/>
      <c r="I285" s="253"/>
      <c r="J285" s="253"/>
      <c r="K285" s="253"/>
      <c r="L285" s="253"/>
      <c r="M285" s="253"/>
      <c r="N285" s="253"/>
      <c r="O285" s="253"/>
      <c r="P285" s="253"/>
      <c r="Q285" s="253"/>
      <c r="R285" s="253"/>
      <c r="S285" s="253"/>
      <c r="T285" s="253"/>
      <c r="U285" s="253"/>
      <c r="V285" s="253"/>
      <c r="W285" s="253"/>
      <c r="X285" s="253"/>
      <c r="Y285" s="253"/>
    </row>
    <row r="286">
      <c r="A286" s="253"/>
      <c r="B286" s="253"/>
      <c r="C286" s="253"/>
      <c r="D286" s="253"/>
      <c r="E286" s="253"/>
      <c r="F286" s="253"/>
      <c r="G286" s="253"/>
      <c r="H286" s="253"/>
      <c r="I286" s="253"/>
      <c r="J286" s="253"/>
      <c r="K286" s="253"/>
      <c r="L286" s="253"/>
      <c r="M286" s="253"/>
      <c r="N286" s="253"/>
      <c r="O286" s="253"/>
      <c r="P286" s="253"/>
      <c r="Q286" s="253"/>
      <c r="R286" s="253"/>
      <c r="S286" s="253"/>
      <c r="T286" s="253"/>
      <c r="U286" s="253"/>
      <c r="V286" s="253"/>
      <c r="W286" s="253"/>
      <c r="X286" s="253"/>
      <c r="Y286" s="253"/>
    </row>
    <row r="287">
      <c r="A287" s="253"/>
      <c r="B287" s="253"/>
      <c r="C287" s="253"/>
      <c r="D287" s="253"/>
      <c r="E287" s="253"/>
      <c r="F287" s="253"/>
      <c r="G287" s="253"/>
      <c r="H287" s="253"/>
      <c r="I287" s="253"/>
      <c r="J287" s="253"/>
      <c r="K287" s="253"/>
      <c r="L287" s="253"/>
      <c r="M287" s="253"/>
      <c r="N287" s="253"/>
      <c r="O287" s="253"/>
      <c r="P287" s="253"/>
      <c r="Q287" s="253"/>
      <c r="R287" s="253"/>
      <c r="S287" s="253"/>
      <c r="T287" s="253"/>
      <c r="U287" s="253"/>
      <c r="V287" s="253"/>
      <c r="W287" s="253"/>
      <c r="X287" s="253"/>
      <c r="Y287" s="253"/>
    </row>
    <row r="288">
      <c r="A288" s="253"/>
      <c r="B288" s="253"/>
      <c r="C288" s="253"/>
      <c r="D288" s="253"/>
      <c r="E288" s="253"/>
      <c r="F288" s="253"/>
      <c r="G288" s="253"/>
      <c r="H288" s="253"/>
      <c r="I288" s="253"/>
      <c r="J288" s="253"/>
      <c r="K288" s="253"/>
      <c r="L288" s="253"/>
      <c r="M288" s="253"/>
      <c r="N288" s="253"/>
      <c r="O288" s="253"/>
      <c r="P288" s="253"/>
      <c r="Q288" s="253"/>
      <c r="R288" s="253"/>
      <c r="S288" s="253"/>
      <c r="T288" s="253"/>
      <c r="U288" s="253"/>
      <c r="V288" s="253"/>
      <c r="W288" s="253"/>
      <c r="X288" s="253"/>
      <c r="Y288" s="253"/>
    </row>
    <row r="289">
      <c r="A289" s="253"/>
      <c r="B289" s="253"/>
      <c r="C289" s="253"/>
      <c r="D289" s="253"/>
      <c r="E289" s="253"/>
      <c r="F289" s="253"/>
      <c r="G289" s="253"/>
      <c r="H289" s="253"/>
      <c r="I289" s="253"/>
      <c r="J289" s="253"/>
      <c r="K289" s="253"/>
      <c r="L289" s="253"/>
      <c r="M289" s="253"/>
      <c r="N289" s="253"/>
      <c r="O289" s="253"/>
      <c r="P289" s="253"/>
      <c r="Q289" s="253"/>
      <c r="R289" s="253"/>
      <c r="S289" s="253"/>
      <c r="T289" s="253"/>
      <c r="U289" s="253"/>
      <c r="V289" s="253"/>
      <c r="W289" s="253"/>
      <c r="X289" s="253"/>
      <c r="Y289" s="253"/>
    </row>
    <row r="290">
      <c r="A290" s="253"/>
      <c r="B290" s="253"/>
      <c r="C290" s="253"/>
      <c r="D290" s="253"/>
      <c r="E290" s="253"/>
      <c r="F290" s="253"/>
      <c r="G290" s="253"/>
      <c r="H290" s="253"/>
      <c r="I290" s="253"/>
      <c r="J290" s="253"/>
      <c r="K290" s="253"/>
      <c r="L290" s="253"/>
      <c r="M290" s="253"/>
      <c r="N290" s="253"/>
      <c r="O290" s="253"/>
      <c r="P290" s="253"/>
      <c r="Q290" s="253"/>
      <c r="R290" s="253"/>
      <c r="S290" s="253"/>
      <c r="T290" s="253"/>
      <c r="U290" s="253"/>
      <c r="V290" s="253"/>
      <c r="W290" s="253"/>
      <c r="X290" s="253"/>
      <c r="Y290" s="253"/>
    </row>
    <row r="291">
      <c r="A291" s="253"/>
      <c r="B291" s="253"/>
      <c r="C291" s="253"/>
      <c r="D291" s="253"/>
      <c r="E291" s="253"/>
      <c r="F291" s="253"/>
      <c r="G291" s="253"/>
      <c r="H291" s="253"/>
      <c r="I291" s="253"/>
      <c r="J291" s="253"/>
      <c r="K291" s="253"/>
      <c r="L291" s="253"/>
      <c r="M291" s="253"/>
      <c r="N291" s="253"/>
      <c r="O291" s="253"/>
      <c r="P291" s="253"/>
      <c r="Q291" s="253"/>
      <c r="R291" s="253"/>
      <c r="S291" s="253"/>
      <c r="T291" s="253"/>
      <c r="U291" s="253"/>
      <c r="V291" s="253"/>
      <c r="W291" s="253"/>
      <c r="X291" s="253"/>
      <c r="Y291" s="253"/>
    </row>
    <row r="292">
      <c r="A292" s="253"/>
      <c r="B292" s="253"/>
      <c r="C292" s="253"/>
      <c r="D292" s="253"/>
      <c r="E292" s="253"/>
      <c r="F292" s="253"/>
      <c r="G292" s="253"/>
      <c r="H292" s="253"/>
      <c r="I292" s="253"/>
      <c r="J292" s="253"/>
      <c r="K292" s="253"/>
      <c r="L292" s="253"/>
      <c r="M292" s="253"/>
      <c r="N292" s="253"/>
      <c r="O292" s="253"/>
      <c r="P292" s="253"/>
      <c r="Q292" s="253"/>
      <c r="R292" s="253"/>
      <c r="S292" s="253"/>
      <c r="T292" s="253"/>
      <c r="U292" s="253"/>
      <c r="V292" s="253"/>
      <c r="W292" s="253"/>
      <c r="X292" s="253"/>
      <c r="Y292" s="253"/>
    </row>
    <row r="293">
      <c r="A293" s="253"/>
      <c r="B293" s="253"/>
      <c r="C293" s="253"/>
      <c r="D293" s="253"/>
      <c r="E293" s="253"/>
      <c r="F293" s="253"/>
      <c r="G293" s="253"/>
      <c r="H293" s="253"/>
      <c r="I293" s="253"/>
      <c r="J293" s="253"/>
      <c r="K293" s="253"/>
      <c r="L293" s="253"/>
      <c r="M293" s="253"/>
      <c r="N293" s="253"/>
      <c r="O293" s="253"/>
      <c r="P293" s="253"/>
      <c r="Q293" s="253"/>
      <c r="R293" s="253"/>
      <c r="S293" s="253"/>
      <c r="T293" s="253"/>
      <c r="U293" s="253"/>
      <c r="V293" s="253"/>
      <c r="W293" s="253"/>
      <c r="X293" s="253"/>
      <c r="Y293" s="253"/>
    </row>
    <row r="294">
      <c r="A294" s="253"/>
      <c r="B294" s="253"/>
      <c r="C294" s="253"/>
      <c r="D294" s="253"/>
      <c r="E294" s="253"/>
      <c r="F294" s="253"/>
      <c r="G294" s="253"/>
      <c r="H294" s="253"/>
      <c r="I294" s="253"/>
      <c r="J294" s="253"/>
      <c r="K294" s="253"/>
      <c r="L294" s="253"/>
      <c r="M294" s="253"/>
      <c r="N294" s="253"/>
      <c r="O294" s="253"/>
      <c r="P294" s="253"/>
      <c r="Q294" s="253"/>
      <c r="R294" s="253"/>
      <c r="S294" s="253"/>
      <c r="T294" s="253"/>
      <c r="U294" s="253"/>
      <c r="V294" s="253"/>
      <c r="W294" s="253"/>
      <c r="X294" s="253"/>
      <c r="Y294" s="253"/>
    </row>
    <row r="295">
      <c r="A295" s="253"/>
      <c r="B295" s="253"/>
      <c r="C295" s="253"/>
      <c r="D295" s="253"/>
      <c r="E295" s="253"/>
      <c r="F295" s="253"/>
      <c r="G295" s="253"/>
      <c r="H295" s="253"/>
      <c r="I295" s="253"/>
      <c r="J295" s="253"/>
      <c r="K295" s="253"/>
      <c r="L295" s="253"/>
      <c r="M295" s="253"/>
      <c r="N295" s="253"/>
      <c r="O295" s="253"/>
      <c r="P295" s="253"/>
      <c r="Q295" s="253"/>
      <c r="R295" s="253"/>
      <c r="S295" s="253"/>
      <c r="T295" s="253"/>
      <c r="U295" s="253"/>
      <c r="V295" s="253"/>
      <c r="W295" s="253"/>
      <c r="X295" s="253"/>
      <c r="Y295" s="253"/>
    </row>
    <row r="296">
      <c r="A296" s="253"/>
      <c r="B296" s="253"/>
      <c r="C296" s="253"/>
      <c r="D296" s="253"/>
      <c r="E296" s="253"/>
      <c r="F296" s="253"/>
      <c r="G296" s="253"/>
      <c r="H296" s="253"/>
      <c r="I296" s="253"/>
      <c r="J296" s="253"/>
      <c r="K296" s="253"/>
      <c r="L296" s="253"/>
      <c r="M296" s="253"/>
      <c r="N296" s="253"/>
      <c r="O296" s="253"/>
      <c r="P296" s="253"/>
      <c r="Q296" s="253"/>
      <c r="R296" s="253"/>
      <c r="S296" s="253"/>
      <c r="T296" s="253"/>
      <c r="U296" s="253"/>
      <c r="V296" s="253"/>
      <c r="W296" s="253"/>
      <c r="X296" s="253"/>
      <c r="Y296" s="253"/>
    </row>
    <row r="297">
      <c r="A297" s="253"/>
      <c r="B297" s="253"/>
      <c r="C297" s="253"/>
      <c r="D297" s="253"/>
      <c r="E297" s="253"/>
      <c r="F297" s="253"/>
      <c r="G297" s="253"/>
      <c r="H297" s="253"/>
      <c r="I297" s="253"/>
      <c r="J297" s="253"/>
      <c r="K297" s="253"/>
      <c r="L297" s="253"/>
      <c r="M297" s="253"/>
      <c r="N297" s="253"/>
      <c r="O297" s="253"/>
      <c r="P297" s="253"/>
      <c r="Q297" s="253"/>
      <c r="R297" s="253"/>
      <c r="S297" s="253"/>
      <c r="T297" s="253"/>
      <c r="U297" s="253"/>
      <c r="V297" s="253"/>
      <c r="W297" s="253"/>
      <c r="X297" s="253"/>
      <c r="Y297" s="253"/>
    </row>
    <row r="298">
      <c r="A298" s="253"/>
      <c r="B298" s="253"/>
      <c r="C298" s="253"/>
      <c r="D298" s="253"/>
      <c r="E298" s="253"/>
      <c r="F298" s="253"/>
      <c r="G298" s="253"/>
      <c r="H298" s="253"/>
      <c r="I298" s="253"/>
      <c r="J298" s="253"/>
      <c r="K298" s="253"/>
      <c r="L298" s="253"/>
      <c r="M298" s="253"/>
      <c r="N298" s="253"/>
      <c r="O298" s="253"/>
      <c r="P298" s="253"/>
      <c r="Q298" s="253"/>
      <c r="R298" s="253"/>
      <c r="S298" s="253"/>
      <c r="T298" s="253"/>
      <c r="U298" s="253"/>
      <c r="V298" s="253"/>
      <c r="W298" s="253"/>
      <c r="X298" s="253"/>
      <c r="Y298" s="253"/>
    </row>
    <row r="299">
      <c r="A299" s="253"/>
      <c r="B299" s="253"/>
      <c r="C299" s="253"/>
      <c r="D299" s="253"/>
      <c r="E299" s="253"/>
      <c r="F299" s="253"/>
      <c r="G299" s="253"/>
      <c r="H299" s="253"/>
      <c r="I299" s="253"/>
      <c r="J299" s="253"/>
      <c r="K299" s="253"/>
      <c r="L299" s="253"/>
      <c r="M299" s="253"/>
      <c r="N299" s="253"/>
      <c r="O299" s="253"/>
      <c r="P299" s="253"/>
      <c r="Q299" s="253"/>
      <c r="R299" s="253"/>
      <c r="S299" s="253"/>
      <c r="T299" s="253"/>
      <c r="U299" s="253"/>
      <c r="V299" s="253"/>
      <c r="W299" s="253"/>
      <c r="X299" s="253"/>
      <c r="Y299" s="253"/>
    </row>
    <row r="300">
      <c r="A300" s="253"/>
      <c r="B300" s="253"/>
      <c r="C300" s="253"/>
      <c r="D300" s="253"/>
      <c r="E300" s="253"/>
      <c r="F300" s="253"/>
      <c r="G300" s="253"/>
      <c r="H300" s="253"/>
      <c r="I300" s="253"/>
      <c r="J300" s="253"/>
      <c r="K300" s="253"/>
      <c r="L300" s="253"/>
      <c r="M300" s="253"/>
      <c r="N300" s="253"/>
      <c r="O300" s="253"/>
      <c r="P300" s="253"/>
      <c r="Q300" s="253"/>
      <c r="R300" s="253"/>
      <c r="S300" s="253"/>
      <c r="T300" s="253"/>
      <c r="U300" s="253"/>
      <c r="V300" s="253"/>
      <c r="W300" s="253"/>
      <c r="X300" s="253"/>
      <c r="Y300" s="253"/>
    </row>
    <row r="301">
      <c r="A301" s="253"/>
      <c r="B301" s="253"/>
      <c r="C301" s="253"/>
      <c r="D301" s="253"/>
      <c r="E301" s="253"/>
      <c r="F301" s="253"/>
      <c r="G301" s="253"/>
      <c r="H301" s="253"/>
      <c r="I301" s="253"/>
      <c r="J301" s="253"/>
      <c r="K301" s="253"/>
      <c r="L301" s="253"/>
      <c r="M301" s="253"/>
      <c r="N301" s="253"/>
      <c r="O301" s="253"/>
      <c r="P301" s="253"/>
      <c r="Q301" s="253"/>
      <c r="R301" s="253"/>
      <c r="S301" s="253"/>
      <c r="T301" s="253"/>
      <c r="U301" s="253"/>
      <c r="V301" s="253"/>
      <c r="W301" s="253"/>
      <c r="X301" s="253"/>
      <c r="Y301" s="253"/>
    </row>
    <row r="302">
      <c r="A302" s="253"/>
      <c r="B302" s="253"/>
      <c r="C302" s="253"/>
      <c r="D302" s="253"/>
      <c r="E302" s="253"/>
      <c r="F302" s="253"/>
      <c r="G302" s="253"/>
      <c r="H302" s="253"/>
      <c r="I302" s="253"/>
      <c r="J302" s="253"/>
      <c r="K302" s="253"/>
      <c r="L302" s="253"/>
      <c r="M302" s="253"/>
      <c r="N302" s="253"/>
      <c r="O302" s="253"/>
      <c r="P302" s="253"/>
      <c r="Q302" s="253"/>
      <c r="R302" s="253"/>
      <c r="S302" s="253"/>
      <c r="T302" s="253"/>
      <c r="U302" s="253"/>
      <c r="V302" s="253"/>
      <c r="W302" s="253"/>
      <c r="X302" s="253"/>
      <c r="Y302" s="253"/>
    </row>
    <row r="303">
      <c r="A303" s="253"/>
      <c r="B303" s="253"/>
      <c r="C303" s="253"/>
      <c r="D303" s="253"/>
      <c r="E303" s="253"/>
      <c r="F303" s="253"/>
      <c r="G303" s="253"/>
      <c r="H303" s="253"/>
      <c r="I303" s="253"/>
      <c r="J303" s="253"/>
      <c r="K303" s="253"/>
      <c r="L303" s="253"/>
      <c r="M303" s="253"/>
      <c r="N303" s="253"/>
      <c r="O303" s="253"/>
      <c r="P303" s="253"/>
      <c r="Q303" s="253"/>
      <c r="R303" s="253"/>
      <c r="S303" s="253"/>
      <c r="T303" s="253"/>
      <c r="U303" s="253"/>
      <c r="V303" s="253"/>
      <c r="W303" s="253"/>
      <c r="X303" s="253"/>
      <c r="Y303" s="253"/>
    </row>
    <row r="304">
      <c r="A304" s="253"/>
      <c r="B304" s="253"/>
      <c r="C304" s="253"/>
      <c r="D304" s="253"/>
      <c r="E304" s="253"/>
      <c r="F304" s="253"/>
      <c r="G304" s="253"/>
      <c r="H304" s="253"/>
      <c r="I304" s="253"/>
      <c r="J304" s="253"/>
      <c r="K304" s="253"/>
      <c r="L304" s="253"/>
      <c r="M304" s="253"/>
      <c r="N304" s="253"/>
      <c r="O304" s="253"/>
      <c r="P304" s="253"/>
      <c r="Q304" s="253"/>
      <c r="R304" s="253"/>
      <c r="S304" s="253"/>
      <c r="T304" s="253"/>
      <c r="U304" s="253"/>
      <c r="V304" s="253"/>
      <c r="W304" s="253"/>
      <c r="X304" s="253"/>
      <c r="Y304" s="253"/>
    </row>
    <row r="305">
      <c r="A305" s="253"/>
      <c r="B305" s="253"/>
      <c r="C305" s="253"/>
      <c r="D305" s="253"/>
      <c r="E305" s="253"/>
      <c r="F305" s="253"/>
      <c r="G305" s="253"/>
      <c r="H305" s="253"/>
      <c r="I305" s="253"/>
      <c r="J305" s="253"/>
      <c r="K305" s="253"/>
      <c r="L305" s="253"/>
      <c r="M305" s="253"/>
      <c r="N305" s="253"/>
      <c r="O305" s="253"/>
      <c r="P305" s="253"/>
      <c r="Q305" s="253"/>
      <c r="R305" s="253"/>
      <c r="S305" s="253"/>
      <c r="T305" s="253"/>
      <c r="U305" s="253"/>
      <c r="V305" s="253"/>
      <c r="W305" s="253"/>
      <c r="X305" s="253"/>
      <c r="Y305" s="253"/>
    </row>
    <row r="306">
      <c r="A306" s="253"/>
      <c r="B306" s="253"/>
      <c r="C306" s="253"/>
      <c r="D306" s="253"/>
      <c r="E306" s="253"/>
      <c r="F306" s="253"/>
      <c r="G306" s="253"/>
      <c r="H306" s="253"/>
      <c r="I306" s="253"/>
      <c r="J306" s="253"/>
      <c r="K306" s="253"/>
      <c r="L306" s="253"/>
      <c r="M306" s="253"/>
      <c r="N306" s="253"/>
      <c r="O306" s="253"/>
      <c r="P306" s="253"/>
      <c r="Q306" s="253"/>
      <c r="R306" s="253"/>
      <c r="S306" s="253"/>
      <c r="T306" s="253"/>
      <c r="U306" s="253"/>
      <c r="V306" s="253"/>
      <c r="W306" s="253"/>
      <c r="X306" s="253"/>
      <c r="Y306" s="253"/>
    </row>
    <row r="307">
      <c r="A307" s="253"/>
      <c r="B307" s="253"/>
      <c r="C307" s="253"/>
      <c r="D307" s="253"/>
      <c r="E307" s="253"/>
      <c r="F307" s="253"/>
      <c r="G307" s="253"/>
      <c r="H307" s="253"/>
      <c r="I307" s="253"/>
      <c r="J307" s="253"/>
      <c r="K307" s="253"/>
      <c r="L307" s="253"/>
      <c r="M307" s="253"/>
      <c r="N307" s="253"/>
      <c r="O307" s="253"/>
      <c r="P307" s="253"/>
      <c r="Q307" s="253"/>
      <c r="R307" s="253"/>
      <c r="S307" s="253"/>
      <c r="T307" s="253"/>
      <c r="U307" s="253"/>
      <c r="V307" s="253"/>
      <c r="W307" s="253"/>
      <c r="X307" s="253"/>
      <c r="Y307" s="253"/>
    </row>
    <row r="308">
      <c r="A308" s="253"/>
      <c r="B308" s="253"/>
      <c r="C308" s="253"/>
      <c r="D308" s="253"/>
      <c r="E308" s="253"/>
      <c r="F308" s="253"/>
      <c r="G308" s="253"/>
      <c r="H308" s="253"/>
      <c r="I308" s="253"/>
      <c r="J308" s="253"/>
      <c r="K308" s="253"/>
      <c r="L308" s="253"/>
      <c r="M308" s="253"/>
      <c r="N308" s="253"/>
      <c r="O308" s="253"/>
      <c r="P308" s="253"/>
      <c r="Q308" s="253"/>
      <c r="R308" s="253"/>
      <c r="S308" s="253"/>
      <c r="T308" s="253"/>
      <c r="U308" s="253"/>
      <c r="V308" s="253"/>
      <c r="W308" s="253"/>
      <c r="X308" s="253"/>
      <c r="Y308" s="253"/>
    </row>
    <row r="309">
      <c r="A309" s="253"/>
      <c r="B309" s="253"/>
      <c r="C309" s="253"/>
      <c r="D309" s="253"/>
      <c r="E309" s="253"/>
      <c r="F309" s="253"/>
      <c r="G309" s="253"/>
      <c r="H309" s="253"/>
      <c r="I309" s="253"/>
      <c r="J309" s="253"/>
      <c r="K309" s="253"/>
      <c r="L309" s="253"/>
      <c r="M309" s="253"/>
      <c r="N309" s="253"/>
      <c r="O309" s="253"/>
      <c r="P309" s="253"/>
      <c r="Q309" s="253"/>
      <c r="R309" s="253"/>
      <c r="S309" s="253"/>
      <c r="T309" s="253"/>
      <c r="U309" s="253"/>
      <c r="V309" s="253"/>
      <c r="W309" s="253"/>
      <c r="X309" s="253"/>
      <c r="Y309" s="253"/>
    </row>
    <row r="310">
      <c r="A310" s="253"/>
      <c r="B310" s="253"/>
      <c r="C310" s="253"/>
      <c r="D310" s="253"/>
      <c r="E310" s="253"/>
      <c r="F310" s="253"/>
      <c r="G310" s="253"/>
      <c r="H310" s="253"/>
      <c r="I310" s="253"/>
      <c r="J310" s="253"/>
      <c r="K310" s="253"/>
      <c r="L310" s="253"/>
      <c r="M310" s="253"/>
      <c r="N310" s="253"/>
      <c r="O310" s="253"/>
      <c r="P310" s="253"/>
      <c r="Q310" s="253"/>
      <c r="R310" s="253"/>
      <c r="S310" s="253"/>
      <c r="T310" s="253"/>
      <c r="U310" s="253"/>
      <c r="V310" s="253"/>
      <c r="W310" s="253"/>
      <c r="X310" s="253"/>
      <c r="Y310" s="253"/>
    </row>
    <row r="311">
      <c r="A311" s="253"/>
      <c r="B311" s="253"/>
      <c r="C311" s="253"/>
      <c r="D311" s="253"/>
      <c r="E311" s="253"/>
      <c r="F311" s="253"/>
      <c r="G311" s="253"/>
      <c r="H311" s="253"/>
      <c r="I311" s="253"/>
      <c r="J311" s="253"/>
      <c r="K311" s="253"/>
      <c r="L311" s="253"/>
      <c r="M311" s="253"/>
      <c r="N311" s="253"/>
      <c r="O311" s="253"/>
      <c r="P311" s="253"/>
      <c r="Q311" s="253"/>
      <c r="R311" s="253"/>
      <c r="S311" s="253"/>
      <c r="T311" s="253"/>
      <c r="U311" s="253"/>
      <c r="V311" s="253"/>
      <c r="W311" s="253"/>
      <c r="X311" s="253"/>
      <c r="Y311" s="253"/>
    </row>
    <row r="312">
      <c r="A312" s="253"/>
      <c r="B312" s="253"/>
      <c r="C312" s="253"/>
      <c r="D312" s="253"/>
      <c r="E312" s="253"/>
      <c r="F312" s="253"/>
      <c r="G312" s="253"/>
      <c r="H312" s="253"/>
      <c r="I312" s="253"/>
      <c r="J312" s="253"/>
      <c r="K312" s="253"/>
      <c r="L312" s="253"/>
      <c r="M312" s="253"/>
      <c r="N312" s="253"/>
      <c r="O312" s="253"/>
      <c r="P312" s="253"/>
      <c r="Q312" s="253"/>
      <c r="R312" s="253"/>
      <c r="S312" s="253"/>
      <c r="T312" s="253"/>
      <c r="U312" s="253"/>
      <c r="V312" s="253"/>
      <c r="W312" s="253"/>
      <c r="X312" s="253"/>
      <c r="Y312" s="253"/>
    </row>
    <row r="313">
      <c r="A313" s="253"/>
      <c r="B313" s="253"/>
      <c r="C313" s="253"/>
      <c r="D313" s="253"/>
      <c r="E313" s="253"/>
      <c r="F313" s="253"/>
      <c r="G313" s="253"/>
      <c r="H313" s="253"/>
      <c r="I313" s="253"/>
      <c r="J313" s="253"/>
      <c r="K313" s="253"/>
      <c r="L313" s="253"/>
      <c r="M313" s="253"/>
      <c r="N313" s="253"/>
      <c r="O313" s="253"/>
      <c r="P313" s="253"/>
      <c r="Q313" s="253"/>
      <c r="R313" s="253"/>
      <c r="S313" s="253"/>
      <c r="T313" s="253"/>
      <c r="U313" s="253"/>
      <c r="V313" s="253"/>
      <c r="W313" s="253"/>
      <c r="X313" s="253"/>
      <c r="Y313" s="253"/>
    </row>
    <row r="314">
      <c r="A314" s="253"/>
      <c r="B314" s="253"/>
      <c r="C314" s="253"/>
      <c r="D314" s="253"/>
      <c r="E314" s="253"/>
      <c r="F314" s="253"/>
      <c r="G314" s="253"/>
      <c r="H314" s="253"/>
      <c r="I314" s="253"/>
      <c r="J314" s="253"/>
      <c r="K314" s="253"/>
      <c r="L314" s="253"/>
      <c r="M314" s="253"/>
      <c r="N314" s="253"/>
      <c r="O314" s="253"/>
      <c r="P314" s="253"/>
      <c r="Q314" s="253"/>
      <c r="R314" s="253"/>
      <c r="S314" s="253"/>
      <c r="T314" s="253"/>
      <c r="U314" s="253"/>
      <c r="V314" s="253"/>
      <c r="W314" s="253"/>
      <c r="X314" s="253"/>
      <c r="Y314" s="253"/>
    </row>
    <row r="315">
      <c r="A315" s="253"/>
      <c r="B315" s="253"/>
      <c r="C315" s="253"/>
      <c r="D315" s="253"/>
      <c r="E315" s="253"/>
      <c r="F315" s="253"/>
      <c r="G315" s="253"/>
      <c r="H315" s="253"/>
      <c r="I315" s="253"/>
      <c r="J315" s="253"/>
      <c r="K315" s="253"/>
      <c r="L315" s="253"/>
      <c r="M315" s="253"/>
      <c r="N315" s="253"/>
      <c r="O315" s="253"/>
      <c r="P315" s="253"/>
      <c r="Q315" s="253"/>
      <c r="R315" s="253"/>
      <c r="S315" s="253"/>
      <c r="T315" s="253"/>
      <c r="U315" s="253"/>
      <c r="V315" s="253"/>
      <c r="W315" s="253"/>
      <c r="X315" s="253"/>
      <c r="Y315" s="253"/>
    </row>
    <row r="316">
      <c r="A316" s="253"/>
      <c r="B316" s="253"/>
      <c r="C316" s="253"/>
      <c r="D316" s="253"/>
      <c r="E316" s="253"/>
      <c r="F316" s="253"/>
      <c r="G316" s="253"/>
      <c r="H316" s="253"/>
      <c r="I316" s="253"/>
      <c r="J316" s="253"/>
      <c r="K316" s="253"/>
      <c r="L316" s="253"/>
      <c r="M316" s="253"/>
      <c r="N316" s="253"/>
      <c r="O316" s="253"/>
      <c r="P316" s="253"/>
      <c r="Q316" s="253"/>
      <c r="R316" s="253"/>
      <c r="S316" s="253"/>
      <c r="T316" s="253"/>
      <c r="U316" s="253"/>
      <c r="V316" s="253"/>
      <c r="W316" s="253"/>
      <c r="X316" s="253"/>
      <c r="Y316" s="253"/>
    </row>
    <row r="317">
      <c r="A317" s="253"/>
      <c r="B317" s="253"/>
      <c r="C317" s="253"/>
      <c r="D317" s="253"/>
      <c r="E317" s="253"/>
      <c r="F317" s="253"/>
      <c r="G317" s="253"/>
      <c r="H317" s="253"/>
      <c r="I317" s="253"/>
      <c r="J317" s="253"/>
      <c r="K317" s="253"/>
      <c r="L317" s="253"/>
      <c r="M317" s="253"/>
      <c r="N317" s="253"/>
      <c r="O317" s="253"/>
      <c r="P317" s="253"/>
      <c r="Q317" s="253"/>
      <c r="R317" s="253"/>
      <c r="S317" s="253"/>
      <c r="T317" s="253"/>
      <c r="U317" s="253"/>
      <c r="V317" s="253"/>
      <c r="W317" s="253"/>
      <c r="X317" s="253"/>
      <c r="Y317" s="253"/>
    </row>
    <row r="318">
      <c r="A318" s="253"/>
      <c r="B318" s="253"/>
      <c r="C318" s="253"/>
      <c r="D318" s="253"/>
      <c r="E318" s="253"/>
      <c r="F318" s="253"/>
      <c r="G318" s="253"/>
      <c r="H318" s="253"/>
      <c r="I318" s="253"/>
      <c r="J318" s="253"/>
      <c r="K318" s="253"/>
      <c r="L318" s="253"/>
      <c r="M318" s="253"/>
      <c r="N318" s="253"/>
      <c r="O318" s="253"/>
      <c r="P318" s="253"/>
      <c r="Q318" s="253"/>
      <c r="R318" s="253"/>
      <c r="S318" s="253"/>
      <c r="T318" s="253"/>
      <c r="U318" s="253"/>
      <c r="V318" s="253"/>
      <c r="W318" s="253"/>
      <c r="X318" s="253"/>
      <c r="Y318" s="253"/>
    </row>
    <row r="319">
      <c r="A319" s="253"/>
      <c r="B319" s="253"/>
      <c r="C319" s="253"/>
      <c r="D319" s="253"/>
      <c r="E319" s="253"/>
      <c r="F319" s="253"/>
      <c r="G319" s="253"/>
      <c r="H319" s="253"/>
      <c r="I319" s="253"/>
      <c r="J319" s="253"/>
      <c r="K319" s="253"/>
      <c r="L319" s="253"/>
      <c r="M319" s="253"/>
      <c r="N319" s="253"/>
      <c r="O319" s="253"/>
      <c r="P319" s="253"/>
      <c r="Q319" s="253"/>
      <c r="R319" s="253"/>
      <c r="S319" s="253"/>
      <c r="T319" s="253"/>
      <c r="U319" s="253"/>
      <c r="V319" s="253"/>
      <c r="W319" s="253"/>
      <c r="X319" s="253"/>
      <c r="Y319" s="253"/>
    </row>
    <row r="320">
      <c r="A320" s="253"/>
      <c r="B320" s="253"/>
      <c r="C320" s="253"/>
      <c r="D320" s="253"/>
      <c r="E320" s="253"/>
      <c r="F320" s="253"/>
      <c r="G320" s="253"/>
      <c r="H320" s="253"/>
      <c r="I320" s="253"/>
      <c r="J320" s="253"/>
      <c r="K320" s="253"/>
      <c r="L320" s="253"/>
      <c r="M320" s="253"/>
      <c r="N320" s="253"/>
      <c r="O320" s="253"/>
      <c r="P320" s="253"/>
      <c r="Q320" s="253"/>
      <c r="R320" s="253"/>
      <c r="S320" s="253"/>
      <c r="T320" s="253"/>
      <c r="U320" s="253"/>
      <c r="V320" s="253"/>
      <c r="W320" s="253"/>
      <c r="X320" s="253"/>
      <c r="Y320" s="253"/>
    </row>
    <row r="321">
      <c r="A321" s="253"/>
      <c r="B321" s="253"/>
      <c r="C321" s="253"/>
      <c r="D321" s="253"/>
      <c r="E321" s="253"/>
      <c r="F321" s="253"/>
      <c r="G321" s="253"/>
      <c r="H321" s="253"/>
      <c r="I321" s="253"/>
      <c r="J321" s="253"/>
      <c r="K321" s="253"/>
      <c r="L321" s="253"/>
      <c r="M321" s="253"/>
      <c r="N321" s="253"/>
      <c r="O321" s="253"/>
      <c r="P321" s="253"/>
      <c r="Q321" s="253"/>
      <c r="R321" s="253"/>
      <c r="S321" s="253"/>
      <c r="T321" s="253"/>
      <c r="U321" s="253"/>
      <c r="V321" s="253"/>
      <c r="W321" s="253"/>
      <c r="X321" s="253"/>
      <c r="Y321" s="253"/>
    </row>
    <row r="322">
      <c r="A322" s="253"/>
      <c r="B322" s="253"/>
      <c r="C322" s="253"/>
      <c r="D322" s="253"/>
      <c r="E322" s="253"/>
      <c r="F322" s="253"/>
      <c r="G322" s="253"/>
      <c r="H322" s="253"/>
      <c r="I322" s="253"/>
      <c r="J322" s="253"/>
      <c r="K322" s="253"/>
      <c r="L322" s="253"/>
      <c r="M322" s="253"/>
      <c r="N322" s="253"/>
      <c r="O322" s="253"/>
      <c r="P322" s="253"/>
      <c r="Q322" s="253"/>
      <c r="R322" s="253"/>
      <c r="S322" s="253"/>
      <c r="T322" s="253"/>
      <c r="U322" s="253"/>
      <c r="V322" s="253"/>
      <c r="W322" s="253"/>
      <c r="X322" s="253"/>
      <c r="Y322" s="253"/>
    </row>
    <row r="323">
      <c r="A323" s="253"/>
      <c r="B323" s="253"/>
      <c r="C323" s="253"/>
      <c r="D323" s="253"/>
      <c r="E323" s="253"/>
      <c r="F323" s="253"/>
      <c r="G323" s="253"/>
      <c r="H323" s="253"/>
      <c r="I323" s="253"/>
      <c r="J323" s="253"/>
      <c r="K323" s="253"/>
      <c r="L323" s="253"/>
      <c r="M323" s="253"/>
      <c r="N323" s="253"/>
      <c r="O323" s="253"/>
      <c r="P323" s="253"/>
      <c r="Q323" s="253"/>
      <c r="R323" s="253"/>
      <c r="S323" s="253"/>
      <c r="T323" s="253"/>
      <c r="U323" s="253"/>
      <c r="V323" s="253"/>
      <c r="W323" s="253"/>
      <c r="X323" s="253"/>
      <c r="Y323" s="253"/>
    </row>
    <row r="324">
      <c r="A324" s="253"/>
      <c r="B324" s="253"/>
      <c r="C324" s="253"/>
      <c r="D324" s="253"/>
      <c r="E324" s="253"/>
      <c r="F324" s="253"/>
      <c r="G324" s="253"/>
      <c r="H324" s="253"/>
      <c r="I324" s="253"/>
      <c r="J324" s="253"/>
      <c r="K324" s="253"/>
      <c r="L324" s="253"/>
      <c r="M324" s="253"/>
      <c r="N324" s="253"/>
      <c r="O324" s="253"/>
      <c r="P324" s="253"/>
      <c r="Q324" s="253"/>
      <c r="R324" s="253"/>
      <c r="S324" s="253"/>
      <c r="T324" s="253"/>
      <c r="U324" s="253"/>
      <c r="V324" s="253"/>
      <c r="W324" s="253"/>
      <c r="X324" s="253"/>
      <c r="Y324" s="253"/>
    </row>
    <row r="325">
      <c r="A325" s="253"/>
      <c r="B325" s="253"/>
      <c r="C325" s="253"/>
      <c r="D325" s="253"/>
      <c r="E325" s="253"/>
      <c r="F325" s="253"/>
      <c r="G325" s="253"/>
      <c r="H325" s="253"/>
      <c r="I325" s="253"/>
      <c r="J325" s="253"/>
      <c r="K325" s="253"/>
      <c r="L325" s="253"/>
      <c r="M325" s="253"/>
      <c r="N325" s="253"/>
      <c r="O325" s="253"/>
      <c r="P325" s="253"/>
      <c r="Q325" s="253"/>
      <c r="R325" s="253"/>
      <c r="S325" s="253"/>
      <c r="T325" s="253"/>
      <c r="U325" s="253"/>
      <c r="V325" s="253"/>
      <c r="W325" s="253"/>
      <c r="X325" s="253"/>
      <c r="Y325" s="253"/>
    </row>
    <row r="326">
      <c r="A326" s="253"/>
      <c r="B326" s="253"/>
      <c r="C326" s="253"/>
      <c r="D326" s="253"/>
      <c r="E326" s="253"/>
      <c r="F326" s="253"/>
      <c r="G326" s="253"/>
      <c r="H326" s="253"/>
      <c r="I326" s="253"/>
      <c r="J326" s="253"/>
      <c r="K326" s="253"/>
      <c r="L326" s="253"/>
      <c r="M326" s="253"/>
      <c r="N326" s="253"/>
      <c r="O326" s="253"/>
      <c r="P326" s="253"/>
      <c r="Q326" s="253"/>
      <c r="R326" s="253"/>
      <c r="S326" s="253"/>
      <c r="T326" s="253"/>
      <c r="U326" s="253"/>
      <c r="V326" s="253"/>
      <c r="W326" s="253"/>
      <c r="X326" s="253"/>
      <c r="Y326" s="253"/>
    </row>
    <row r="327">
      <c r="A327" s="253"/>
      <c r="B327" s="253"/>
      <c r="C327" s="253"/>
      <c r="D327" s="253"/>
      <c r="E327" s="253"/>
      <c r="F327" s="253"/>
      <c r="G327" s="253"/>
      <c r="H327" s="253"/>
      <c r="I327" s="253"/>
      <c r="J327" s="253"/>
      <c r="K327" s="253"/>
      <c r="L327" s="253"/>
      <c r="M327" s="253"/>
      <c r="N327" s="253"/>
      <c r="O327" s="253"/>
      <c r="P327" s="253"/>
      <c r="Q327" s="253"/>
      <c r="R327" s="253"/>
      <c r="S327" s="253"/>
      <c r="T327" s="253"/>
      <c r="U327" s="253"/>
      <c r="V327" s="253"/>
      <c r="W327" s="253"/>
      <c r="X327" s="253"/>
      <c r="Y327" s="253"/>
    </row>
    <row r="328">
      <c r="A328" s="253"/>
      <c r="B328" s="253"/>
      <c r="C328" s="253"/>
      <c r="D328" s="253"/>
      <c r="E328" s="253"/>
      <c r="F328" s="253"/>
      <c r="G328" s="253"/>
      <c r="H328" s="253"/>
      <c r="I328" s="253"/>
      <c r="J328" s="253"/>
      <c r="K328" s="253"/>
      <c r="L328" s="253"/>
      <c r="M328" s="253"/>
      <c r="N328" s="253"/>
      <c r="O328" s="253"/>
      <c r="P328" s="253"/>
      <c r="Q328" s="253"/>
      <c r="R328" s="253"/>
      <c r="S328" s="253"/>
      <c r="T328" s="253"/>
      <c r="U328" s="253"/>
      <c r="V328" s="253"/>
      <c r="W328" s="253"/>
      <c r="X328" s="253"/>
      <c r="Y328" s="253"/>
    </row>
    <row r="329">
      <c r="A329" s="253"/>
      <c r="B329" s="253"/>
      <c r="C329" s="253"/>
      <c r="D329" s="253"/>
      <c r="E329" s="253"/>
      <c r="F329" s="253"/>
      <c r="G329" s="253"/>
      <c r="H329" s="253"/>
      <c r="I329" s="253"/>
      <c r="J329" s="253"/>
      <c r="K329" s="253"/>
      <c r="L329" s="253"/>
      <c r="M329" s="253"/>
      <c r="N329" s="253"/>
      <c r="O329" s="253"/>
      <c r="P329" s="253"/>
      <c r="Q329" s="253"/>
      <c r="R329" s="253"/>
      <c r="S329" s="253"/>
      <c r="T329" s="253"/>
      <c r="U329" s="253"/>
      <c r="V329" s="253"/>
      <c r="W329" s="253"/>
      <c r="X329" s="253"/>
      <c r="Y329" s="253"/>
    </row>
    <row r="330">
      <c r="A330" s="253"/>
      <c r="B330" s="253"/>
      <c r="C330" s="253"/>
      <c r="D330" s="253"/>
      <c r="E330" s="253"/>
      <c r="F330" s="253"/>
      <c r="G330" s="253"/>
      <c r="H330" s="253"/>
      <c r="I330" s="253"/>
      <c r="J330" s="253"/>
      <c r="K330" s="253"/>
      <c r="L330" s="253"/>
      <c r="M330" s="253"/>
      <c r="N330" s="253"/>
      <c r="O330" s="253"/>
      <c r="P330" s="253"/>
      <c r="Q330" s="253"/>
      <c r="R330" s="253"/>
      <c r="S330" s="253"/>
      <c r="T330" s="253"/>
      <c r="U330" s="253"/>
      <c r="V330" s="253"/>
      <c r="W330" s="253"/>
      <c r="X330" s="253"/>
      <c r="Y330" s="253"/>
    </row>
    <row r="331">
      <c r="A331" s="253"/>
      <c r="B331" s="253"/>
      <c r="C331" s="253"/>
      <c r="D331" s="253"/>
      <c r="E331" s="253"/>
      <c r="F331" s="253"/>
      <c r="G331" s="253"/>
      <c r="H331" s="253"/>
      <c r="I331" s="253"/>
      <c r="J331" s="253"/>
      <c r="K331" s="253"/>
      <c r="L331" s="253"/>
      <c r="M331" s="253"/>
      <c r="N331" s="253"/>
      <c r="O331" s="253"/>
      <c r="P331" s="253"/>
      <c r="Q331" s="253"/>
      <c r="R331" s="253"/>
      <c r="S331" s="253"/>
      <c r="T331" s="253"/>
      <c r="U331" s="253"/>
      <c r="V331" s="253"/>
      <c r="W331" s="253"/>
      <c r="X331" s="253"/>
      <c r="Y331" s="253"/>
    </row>
    <row r="332">
      <c r="A332" s="253"/>
      <c r="B332" s="253"/>
      <c r="C332" s="253"/>
      <c r="D332" s="253"/>
      <c r="E332" s="253"/>
      <c r="F332" s="253"/>
      <c r="G332" s="253"/>
      <c r="H332" s="253"/>
      <c r="I332" s="253"/>
      <c r="J332" s="253"/>
      <c r="K332" s="253"/>
      <c r="L332" s="253"/>
      <c r="M332" s="253"/>
      <c r="N332" s="253"/>
      <c r="O332" s="253"/>
      <c r="P332" s="253"/>
      <c r="Q332" s="253"/>
      <c r="R332" s="253"/>
      <c r="S332" s="253"/>
      <c r="T332" s="253"/>
      <c r="U332" s="253"/>
      <c r="V332" s="253"/>
      <c r="W332" s="253"/>
      <c r="X332" s="253"/>
      <c r="Y332" s="253"/>
    </row>
    <row r="333">
      <c r="A333" s="253"/>
      <c r="B333" s="253"/>
      <c r="C333" s="253"/>
      <c r="D333" s="253"/>
      <c r="E333" s="253"/>
      <c r="F333" s="253"/>
      <c r="G333" s="253"/>
      <c r="H333" s="253"/>
      <c r="I333" s="253"/>
      <c r="J333" s="253"/>
      <c r="K333" s="253"/>
      <c r="L333" s="253"/>
      <c r="M333" s="253"/>
      <c r="N333" s="253"/>
      <c r="O333" s="253"/>
      <c r="P333" s="253"/>
      <c r="Q333" s="253"/>
      <c r="R333" s="253"/>
      <c r="S333" s="253"/>
      <c r="T333" s="253"/>
      <c r="U333" s="253"/>
      <c r="V333" s="253"/>
      <c r="W333" s="253"/>
      <c r="X333" s="253"/>
      <c r="Y333" s="253"/>
    </row>
    <row r="334">
      <c r="A334" s="253"/>
      <c r="B334" s="253"/>
      <c r="C334" s="253"/>
      <c r="D334" s="253"/>
      <c r="E334" s="253"/>
      <c r="F334" s="253"/>
      <c r="G334" s="253"/>
      <c r="H334" s="253"/>
      <c r="I334" s="253"/>
      <c r="J334" s="253"/>
      <c r="K334" s="253"/>
      <c r="L334" s="253"/>
      <c r="M334" s="253"/>
      <c r="N334" s="253"/>
      <c r="O334" s="253"/>
      <c r="P334" s="253"/>
      <c r="Q334" s="253"/>
      <c r="R334" s="253"/>
      <c r="S334" s="253"/>
      <c r="T334" s="253"/>
      <c r="U334" s="253"/>
      <c r="V334" s="253"/>
      <c r="W334" s="253"/>
      <c r="X334" s="253"/>
      <c r="Y334" s="253"/>
    </row>
    <row r="335">
      <c r="A335" s="253"/>
      <c r="B335" s="253"/>
      <c r="C335" s="253"/>
      <c r="D335" s="253"/>
      <c r="E335" s="253"/>
      <c r="F335" s="253"/>
      <c r="G335" s="253"/>
      <c r="H335" s="253"/>
      <c r="I335" s="253"/>
      <c r="J335" s="253"/>
      <c r="K335" s="253"/>
      <c r="L335" s="253"/>
      <c r="M335" s="253"/>
      <c r="N335" s="253"/>
      <c r="O335" s="253"/>
      <c r="P335" s="253"/>
      <c r="Q335" s="253"/>
      <c r="R335" s="253"/>
      <c r="S335" s="253"/>
      <c r="T335" s="253"/>
      <c r="U335" s="253"/>
      <c r="V335" s="253"/>
      <c r="W335" s="253"/>
      <c r="X335" s="253"/>
      <c r="Y335" s="253"/>
    </row>
    <row r="336">
      <c r="A336" s="253"/>
      <c r="B336" s="253"/>
      <c r="C336" s="253"/>
      <c r="D336" s="253"/>
      <c r="E336" s="253"/>
      <c r="F336" s="253"/>
      <c r="G336" s="253"/>
      <c r="H336" s="253"/>
      <c r="I336" s="253"/>
      <c r="J336" s="253"/>
      <c r="K336" s="253"/>
      <c r="L336" s="253"/>
      <c r="M336" s="253"/>
      <c r="N336" s="253"/>
      <c r="O336" s="253"/>
      <c r="P336" s="253"/>
      <c r="Q336" s="253"/>
      <c r="R336" s="253"/>
      <c r="S336" s="253"/>
      <c r="T336" s="253"/>
      <c r="U336" s="253"/>
      <c r="V336" s="253"/>
      <c r="W336" s="253"/>
      <c r="X336" s="253"/>
      <c r="Y336" s="253"/>
    </row>
    <row r="337">
      <c r="A337" s="253"/>
      <c r="B337" s="253"/>
      <c r="C337" s="253"/>
      <c r="D337" s="253"/>
      <c r="E337" s="253"/>
      <c r="F337" s="253"/>
      <c r="G337" s="253"/>
      <c r="H337" s="253"/>
      <c r="I337" s="253"/>
      <c r="J337" s="253"/>
      <c r="K337" s="253"/>
      <c r="L337" s="253"/>
      <c r="M337" s="253"/>
      <c r="N337" s="253"/>
      <c r="O337" s="253"/>
      <c r="P337" s="253"/>
      <c r="Q337" s="253"/>
      <c r="R337" s="253"/>
      <c r="S337" s="253"/>
      <c r="T337" s="253"/>
      <c r="U337" s="253"/>
      <c r="V337" s="253"/>
      <c r="W337" s="253"/>
      <c r="X337" s="253"/>
      <c r="Y337" s="253"/>
    </row>
    <row r="338">
      <c r="A338" s="253"/>
      <c r="B338" s="253"/>
      <c r="C338" s="253"/>
      <c r="D338" s="253"/>
      <c r="E338" s="253"/>
      <c r="F338" s="253"/>
      <c r="G338" s="253"/>
      <c r="H338" s="253"/>
      <c r="I338" s="253"/>
      <c r="J338" s="253"/>
      <c r="K338" s="253"/>
      <c r="L338" s="253"/>
      <c r="M338" s="253"/>
      <c r="N338" s="253"/>
      <c r="O338" s="253"/>
      <c r="P338" s="253"/>
      <c r="Q338" s="253"/>
      <c r="R338" s="253"/>
      <c r="S338" s="253"/>
      <c r="T338" s="253"/>
      <c r="U338" s="253"/>
      <c r="V338" s="253"/>
      <c r="W338" s="253"/>
      <c r="X338" s="253"/>
      <c r="Y338" s="253"/>
    </row>
    <row r="339">
      <c r="A339" s="253"/>
      <c r="B339" s="253"/>
      <c r="C339" s="253"/>
      <c r="D339" s="253"/>
      <c r="E339" s="253"/>
      <c r="F339" s="253"/>
      <c r="G339" s="253"/>
      <c r="H339" s="253"/>
      <c r="I339" s="253"/>
      <c r="J339" s="253"/>
      <c r="K339" s="253"/>
      <c r="L339" s="253"/>
      <c r="M339" s="253"/>
      <c r="N339" s="253"/>
      <c r="O339" s="253"/>
      <c r="P339" s="253"/>
      <c r="Q339" s="253"/>
      <c r="R339" s="253"/>
      <c r="S339" s="253"/>
      <c r="T339" s="253"/>
      <c r="U339" s="253"/>
      <c r="V339" s="253"/>
      <c r="W339" s="253"/>
      <c r="X339" s="253"/>
      <c r="Y339" s="253"/>
    </row>
    <row r="340">
      <c r="A340" s="253"/>
      <c r="B340" s="253"/>
      <c r="C340" s="253"/>
      <c r="D340" s="253"/>
      <c r="E340" s="253"/>
      <c r="F340" s="253"/>
      <c r="G340" s="253"/>
      <c r="H340" s="253"/>
      <c r="I340" s="253"/>
      <c r="J340" s="253"/>
      <c r="K340" s="253"/>
      <c r="L340" s="253"/>
      <c r="M340" s="253"/>
      <c r="N340" s="253"/>
      <c r="O340" s="253"/>
      <c r="P340" s="253"/>
      <c r="Q340" s="253"/>
      <c r="R340" s="253"/>
      <c r="S340" s="253"/>
      <c r="T340" s="253"/>
      <c r="U340" s="253"/>
      <c r="V340" s="253"/>
      <c r="W340" s="253"/>
      <c r="X340" s="253"/>
      <c r="Y340" s="253"/>
    </row>
    <row r="341">
      <c r="A341" s="253"/>
      <c r="B341" s="253"/>
      <c r="C341" s="253"/>
      <c r="D341" s="253"/>
      <c r="E341" s="253"/>
      <c r="F341" s="253"/>
      <c r="G341" s="253"/>
      <c r="H341" s="253"/>
      <c r="I341" s="253"/>
      <c r="J341" s="253"/>
      <c r="K341" s="253"/>
      <c r="L341" s="253"/>
      <c r="M341" s="253"/>
      <c r="N341" s="253"/>
      <c r="O341" s="253"/>
      <c r="P341" s="253"/>
      <c r="Q341" s="253"/>
      <c r="R341" s="253"/>
      <c r="S341" s="253"/>
      <c r="T341" s="253"/>
      <c r="U341" s="253"/>
      <c r="V341" s="253"/>
      <c r="W341" s="253"/>
      <c r="X341" s="253"/>
      <c r="Y341" s="253"/>
    </row>
    <row r="342">
      <c r="A342" s="253"/>
      <c r="B342" s="253"/>
      <c r="C342" s="253"/>
      <c r="D342" s="253"/>
      <c r="E342" s="253"/>
      <c r="F342" s="253"/>
      <c r="G342" s="253"/>
      <c r="H342" s="253"/>
      <c r="I342" s="253"/>
      <c r="J342" s="253"/>
      <c r="K342" s="253"/>
      <c r="L342" s="253"/>
      <c r="M342" s="253"/>
      <c r="N342" s="253"/>
      <c r="O342" s="253"/>
      <c r="P342" s="253"/>
      <c r="Q342" s="253"/>
      <c r="R342" s="253"/>
      <c r="S342" s="253"/>
      <c r="T342" s="253"/>
      <c r="U342" s="253"/>
      <c r="V342" s="253"/>
      <c r="W342" s="253"/>
      <c r="X342" s="253"/>
      <c r="Y342" s="253"/>
    </row>
    <row r="343">
      <c r="A343" s="253"/>
      <c r="B343" s="253"/>
      <c r="C343" s="253"/>
      <c r="D343" s="253"/>
      <c r="E343" s="253"/>
      <c r="F343" s="253"/>
      <c r="G343" s="253"/>
      <c r="H343" s="253"/>
      <c r="I343" s="253"/>
      <c r="J343" s="253"/>
      <c r="K343" s="253"/>
      <c r="L343" s="253"/>
      <c r="M343" s="253"/>
      <c r="N343" s="253"/>
      <c r="O343" s="253"/>
      <c r="P343" s="253"/>
      <c r="Q343" s="253"/>
      <c r="R343" s="253"/>
      <c r="S343" s="253"/>
      <c r="T343" s="253"/>
      <c r="U343" s="253"/>
      <c r="V343" s="253"/>
      <c r="W343" s="253"/>
      <c r="X343" s="253"/>
      <c r="Y343" s="253"/>
    </row>
    <row r="344">
      <c r="A344" s="253"/>
      <c r="B344" s="253"/>
      <c r="C344" s="253"/>
      <c r="D344" s="253"/>
      <c r="E344" s="253"/>
      <c r="F344" s="253"/>
      <c r="G344" s="253"/>
      <c r="H344" s="253"/>
      <c r="I344" s="253"/>
      <c r="J344" s="253"/>
      <c r="K344" s="253"/>
      <c r="L344" s="253"/>
      <c r="M344" s="253"/>
      <c r="N344" s="253"/>
      <c r="O344" s="253"/>
      <c r="P344" s="253"/>
      <c r="Q344" s="253"/>
      <c r="R344" s="253"/>
      <c r="S344" s="253"/>
      <c r="T344" s="253"/>
      <c r="U344" s="253"/>
      <c r="V344" s="253"/>
      <c r="W344" s="253"/>
      <c r="X344" s="253"/>
      <c r="Y344" s="253"/>
    </row>
    <row r="345">
      <c r="A345" s="253"/>
      <c r="B345" s="253"/>
      <c r="C345" s="253"/>
      <c r="D345" s="253"/>
      <c r="E345" s="253"/>
      <c r="F345" s="253"/>
      <c r="G345" s="253"/>
      <c r="H345" s="253"/>
      <c r="I345" s="253"/>
      <c r="J345" s="253"/>
      <c r="K345" s="253"/>
      <c r="L345" s="253"/>
      <c r="M345" s="253"/>
      <c r="N345" s="253"/>
      <c r="O345" s="253"/>
      <c r="P345" s="253"/>
      <c r="Q345" s="253"/>
      <c r="R345" s="253"/>
      <c r="S345" s="253"/>
      <c r="T345" s="253"/>
      <c r="U345" s="253"/>
      <c r="V345" s="253"/>
      <c r="W345" s="253"/>
      <c r="X345" s="253"/>
      <c r="Y345" s="253"/>
    </row>
    <row r="346">
      <c r="A346" s="253"/>
      <c r="B346" s="253"/>
      <c r="C346" s="253"/>
      <c r="D346" s="253"/>
      <c r="E346" s="253"/>
      <c r="F346" s="253"/>
      <c r="G346" s="253"/>
      <c r="H346" s="253"/>
      <c r="I346" s="253"/>
      <c r="J346" s="253"/>
      <c r="K346" s="253"/>
      <c r="L346" s="253"/>
      <c r="M346" s="253"/>
      <c r="N346" s="253"/>
      <c r="O346" s="253"/>
      <c r="P346" s="253"/>
      <c r="Q346" s="253"/>
      <c r="R346" s="253"/>
      <c r="S346" s="253"/>
      <c r="T346" s="253"/>
      <c r="U346" s="253"/>
      <c r="V346" s="253"/>
      <c r="W346" s="253"/>
      <c r="X346" s="253"/>
      <c r="Y346" s="253"/>
    </row>
    <row r="347">
      <c r="A347" s="253"/>
      <c r="B347" s="253"/>
      <c r="C347" s="253"/>
      <c r="D347" s="253"/>
      <c r="E347" s="253"/>
      <c r="F347" s="253"/>
      <c r="G347" s="253"/>
      <c r="H347" s="253"/>
      <c r="I347" s="253"/>
      <c r="J347" s="253"/>
      <c r="K347" s="253"/>
      <c r="L347" s="253"/>
      <c r="M347" s="253"/>
      <c r="N347" s="253"/>
      <c r="O347" s="253"/>
      <c r="P347" s="253"/>
      <c r="Q347" s="253"/>
      <c r="R347" s="253"/>
      <c r="S347" s="253"/>
      <c r="T347" s="253"/>
      <c r="U347" s="253"/>
      <c r="V347" s="253"/>
      <c r="W347" s="253"/>
      <c r="X347" s="253"/>
      <c r="Y347" s="253"/>
    </row>
    <row r="348">
      <c r="A348" s="253"/>
      <c r="B348" s="253"/>
      <c r="C348" s="253"/>
      <c r="D348" s="253"/>
      <c r="E348" s="253"/>
      <c r="F348" s="253"/>
      <c r="G348" s="253"/>
      <c r="H348" s="253"/>
      <c r="I348" s="253"/>
      <c r="J348" s="253"/>
      <c r="K348" s="253"/>
      <c r="L348" s="253"/>
      <c r="M348" s="253"/>
      <c r="N348" s="253"/>
      <c r="O348" s="253"/>
      <c r="P348" s="253"/>
      <c r="Q348" s="253"/>
      <c r="R348" s="253"/>
      <c r="S348" s="253"/>
      <c r="T348" s="253"/>
      <c r="U348" s="253"/>
      <c r="V348" s="253"/>
      <c r="W348" s="253"/>
      <c r="X348" s="253"/>
      <c r="Y348" s="253"/>
    </row>
    <row r="349">
      <c r="A349" s="253"/>
      <c r="B349" s="253"/>
      <c r="C349" s="253"/>
      <c r="D349" s="253"/>
      <c r="E349" s="253"/>
      <c r="F349" s="253"/>
      <c r="G349" s="253"/>
      <c r="H349" s="253"/>
      <c r="I349" s="253"/>
      <c r="J349" s="253"/>
      <c r="K349" s="253"/>
      <c r="L349" s="253"/>
      <c r="M349" s="253"/>
      <c r="N349" s="253"/>
      <c r="O349" s="253"/>
      <c r="P349" s="253"/>
      <c r="Q349" s="253"/>
      <c r="R349" s="253"/>
      <c r="S349" s="253"/>
      <c r="T349" s="253"/>
      <c r="U349" s="253"/>
      <c r="V349" s="253"/>
      <c r="W349" s="253"/>
      <c r="X349" s="253"/>
      <c r="Y349" s="253"/>
    </row>
    <row r="350">
      <c r="A350" s="253"/>
      <c r="B350" s="253"/>
      <c r="C350" s="253"/>
      <c r="D350" s="253"/>
      <c r="E350" s="253"/>
      <c r="F350" s="253"/>
      <c r="G350" s="253"/>
      <c r="H350" s="253"/>
      <c r="I350" s="253"/>
      <c r="J350" s="253"/>
      <c r="K350" s="253"/>
      <c r="L350" s="253"/>
      <c r="M350" s="253"/>
      <c r="N350" s="253"/>
      <c r="O350" s="253"/>
      <c r="P350" s="253"/>
      <c r="Q350" s="253"/>
      <c r="R350" s="253"/>
      <c r="S350" s="253"/>
      <c r="T350" s="253"/>
      <c r="U350" s="253"/>
      <c r="V350" s="253"/>
      <c r="W350" s="253"/>
      <c r="X350" s="253"/>
      <c r="Y350" s="253"/>
    </row>
    <row r="351">
      <c r="A351" s="253"/>
      <c r="B351" s="253"/>
      <c r="C351" s="253"/>
      <c r="D351" s="253"/>
      <c r="E351" s="253"/>
      <c r="F351" s="253"/>
      <c r="G351" s="253"/>
      <c r="H351" s="253"/>
      <c r="I351" s="253"/>
      <c r="J351" s="253"/>
      <c r="K351" s="253"/>
      <c r="L351" s="253"/>
      <c r="M351" s="253"/>
      <c r="N351" s="253"/>
      <c r="O351" s="253"/>
      <c r="P351" s="253"/>
      <c r="Q351" s="253"/>
      <c r="R351" s="253"/>
      <c r="S351" s="253"/>
      <c r="T351" s="253"/>
      <c r="U351" s="253"/>
      <c r="V351" s="253"/>
      <c r="W351" s="253"/>
      <c r="X351" s="253"/>
      <c r="Y351" s="253"/>
    </row>
    <row r="352">
      <c r="A352" s="253"/>
      <c r="B352" s="253"/>
      <c r="C352" s="253"/>
      <c r="D352" s="253"/>
      <c r="E352" s="253"/>
      <c r="F352" s="253"/>
      <c r="G352" s="253"/>
      <c r="H352" s="253"/>
      <c r="I352" s="253"/>
      <c r="J352" s="253"/>
      <c r="K352" s="253"/>
      <c r="L352" s="253"/>
      <c r="M352" s="253"/>
      <c r="N352" s="253"/>
      <c r="O352" s="253"/>
      <c r="P352" s="253"/>
      <c r="Q352" s="253"/>
      <c r="R352" s="253"/>
      <c r="S352" s="253"/>
      <c r="T352" s="253"/>
      <c r="U352" s="253"/>
      <c r="V352" s="253"/>
      <c r="W352" s="253"/>
      <c r="X352" s="253"/>
      <c r="Y352" s="253"/>
    </row>
    <row r="353">
      <c r="A353" s="253"/>
      <c r="B353" s="253"/>
      <c r="C353" s="253"/>
      <c r="D353" s="253"/>
      <c r="E353" s="253"/>
      <c r="F353" s="253"/>
      <c r="G353" s="253"/>
      <c r="H353" s="253"/>
      <c r="I353" s="253"/>
      <c r="J353" s="253"/>
      <c r="K353" s="253"/>
      <c r="L353" s="253"/>
      <c r="M353" s="253"/>
      <c r="N353" s="253"/>
      <c r="O353" s="253"/>
      <c r="P353" s="253"/>
      <c r="Q353" s="253"/>
      <c r="R353" s="253"/>
      <c r="S353" s="253"/>
      <c r="T353" s="253"/>
      <c r="U353" s="253"/>
      <c r="V353" s="253"/>
      <c r="W353" s="253"/>
      <c r="X353" s="253"/>
      <c r="Y353" s="253"/>
    </row>
    <row r="354">
      <c r="A354" s="253"/>
      <c r="B354" s="253"/>
      <c r="C354" s="253"/>
      <c r="D354" s="253"/>
      <c r="E354" s="253"/>
      <c r="F354" s="253"/>
      <c r="G354" s="253"/>
      <c r="H354" s="253"/>
      <c r="I354" s="253"/>
      <c r="J354" s="253"/>
      <c r="K354" s="253"/>
      <c r="L354" s="253"/>
      <c r="M354" s="253"/>
      <c r="N354" s="253"/>
      <c r="O354" s="253"/>
      <c r="P354" s="253"/>
      <c r="Q354" s="253"/>
      <c r="R354" s="253"/>
      <c r="S354" s="253"/>
      <c r="T354" s="253"/>
      <c r="U354" s="253"/>
      <c r="V354" s="253"/>
      <c r="W354" s="253"/>
      <c r="X354" s="253"/>
      <c r="Y354" s="253"/>
    </row>
    <row r="355">
      <c r="A355" s="253"/>
      <c r="B355" s="253"/>
      <c r="C355" s="253"/>
      <c r="D355" s="253"/>
      <c r="E355" s="253"/>
      <c r="F355" s="253"/>
      <c r="G355" s="253"/>
      <c r="H355" s="253"/>
      <c r="I355" s="253"/>
      <c r="J355" s="253"/>
      <c r="K355" s="253"/>
      <c r="L355" s="253"/>
      <c r="M355" s="253"/>
      <c r="N355" s="253"/>
      <c r="O355" s="253"/>
      <c r="P355" s="253"/>
      <c r="Q355" s="253"/>
      <c r="R355" s="253"/>
      <c r="S355" s="253"/>
      <c r="T355" s="253"/>
      <c r="U355" s="253"/>
      <c r="V355" s="253"/>
      <c r="W355" s="253"/>
      <c r="X355" s="253"/>
      <c r="Y355" s="253"/>
    </row>
    <row r="356">
      <c r="A356" s="253"/>
      <c r="B356" s="253"/>
      <c r="C356" s="253"/>
      <c r="D356" s="253"/>
      <c r="E356" s="253"/>
      <c r="F356" s="253"/>
      <c r="G356" s="253"/>
      <c r="H356" s="253"/>
      <c r="I356" s="253"/>
      <c r="J356" s="253"/>
      <c r="K356" s="253"/>
      <c r="L356" s="253"/>
      <c r="M356" s="253"/>
      <c r="N356" s="253"/>
      <c r="O356" s="253"/>
      <c r="P356" s="253"/>
      <c r="Q356" s="253"/>
      <c r="R356" s="253"/>
      <c r="S356" s="253"/>
      <c r="T356" s="253"/>
      <c r="U356" s="253"/>
      <c r="V356" s="253"/>
      <c r="W356" s="253"/>
      <c r="X356" s="253"/>
      <c r="Y356" s="253"/>
    </row>
    <row r="357">
      <c r="A357" s="253"/>
      <c r="B357" s="253"/>
      <c r="C357" s="253"/>
      <c r="D357" s="253"/>
      <c r="E357" s="253"/>
      <c r="F357" s="253"/>
      <c r="G357" s="253"/>
      <c r="H357" s="253"/>
      <c r="I357" s="253"/>
      <c r="J357" s="253"/>
      <c r="K357" s="253"/>
      <c r="L357" s="253"/>
      <c r="M357" s="253"/>
      <c r="N357" s="253"/>
      <c r="O357" s="253"/>
      <c r="P357" s="253"/>
      <c r="Q357" s="253"/>
      <c r="R357" s="253"/>
      <c r="S357" s="253"/>
      <c r="T357" s="253"/>
      <c r="U357" s="253"/>
      <c r="V357" s="253"/>
      <c r="W357" s="253"/>
      <c r="X357" s="253"/>
      <c r="Y357" s="253"/>
    </row>
    <row r="358">
      <c r="A358" s="253"/>
      <c r="B358" s="253"/>
      <c r="C358" s="253"/>
      <c r="D358" s="253"/>
      <c r="E358" s="253"/>
      <c r="F358" s="253"/>
      <c r="G358" s="253"/>
      <c r="H358" s="253"/>
      <c r="I358" s="253"/>
      <c r="J358" s="253"/>
      <c r="K358" s="253"/>
      <c r="L358" s="253"/>
      <c r="M358" s="253"/>
      <c r="N358" s="253"/>
      <c r="O358" s="253"/>
      <c r="P358" s="253"/>
      <c r="Q358" s="253"/>
      <c r="R358" s="253"/>
      <c r="S358" s="253"/>
      <c r="T358" s="253"/>
      <c r="U358" s="253"/>
      <c r="V358" s="253"/>
      <c r="W358" s="253"/>
      <c r="X358" s="253"/>
      <c r="Y358" s="253"/>
    </row>
    <row r="359">
      <c r="A359" s="253"/>
      <c r="B359" s="253"/>
      <c r="C359" s="253"/>
      <c r="D359" s="253"/>
      <c r="E359" s="253"/>
      <c r="F359" s="253"/>
      <c r="G359" s="253"/>
      <c r="H359" s="253"/>
      <c r="I359" s="253"/>
      <c r="J359" s="253"/>
      <c r="K359" s="253"/>
      <c r="L359" s="253"/>
      <c r="M359" s="253"/>
      <c r="N359" s="253"/>
      <c r="O359" s="253"/>
      <c r="P359" s="253"/>
      <c r="Q359" s="253"/>
      <c r="R359" s="253"/>
      <c r="S359" s="253"/>
      <c r="T359" s="253"/>
      <c r="U359" s="253"/>
      <c r="V359" s="253"/>
      <c r="W359" s="253"/>
      <c r="X359" s="253"/>
      <c r="Y359" s="253"/>
    </row>
    <row r="360">
      <c r="A360" s="253"/>
      <c r="B360" s="253"/>
      <c r="C360" s="253"/>
      <c r="D360" s="253"/>
      <c r="E360" s="253"/>
      <c r="F360" s="253"/>
      <c r="G360" s="253"/>
      <c r="H360" s="253"/>
      <c r="I360" s="253"/>
      <c r="J360" s="253"/>
      <c r="K360" s="253"/>
      <c r="L360" s="253"/>
      <c r="M360" s="253"/>
      <c r="N360" s="253"/>
      <c r="O360" s="253"/>
      <c r="P360" s="253"/>
      <c r="Q360" s="253"/>
      <c r="R360" s="253"/>
      <c r="S360" s="253"/>
      <c r="T360" s="253"/>
      <c r="U360" s="253"/>
      <c r="V360" s="253"/>
      <c r="W360" s="253"/>
      <c r="X360" s="253"/>
      <c r="Y360" s="253"/>
    </row>
    <row r="361">
      <c r="A361" s="253"/>
      <c r="B361" s="253"/>
      <c r="C361" s="253"/>
      <c r="D361" s="253"/>
      <c r="E361" s="253"/>
      <c r="F361" s="253"/>
      <c r="G361" s="253"/>
      <c r="H361" s="253"/>
      <c r="I361" s="253"/>
      <c r="J361" s="253"/>
      <c r="K361" s="253"/>
      <c r="L361" s="253"/>
      <c r="M361" s="253"/>
      <c r="N361" s="253"/>
      <c r="O361" s="253"/>
      <c r="P361" s="253"/>
      <c r="Q361" s="253"/>
      <c r="R361" s="253"/>
      <c r="S361" s="253"/>
      <c r="T361" s="253"/>
      <c r="U361" s="253"/>
      <c r="V361" s="253"/>
      <c r="W361" s="253"/>
      <c r="X361" s="253"/>
      <c r="Y361" s="253"/>
    </row>
    <row r="362">
      <c r="A362" s="253"/>
      <c r="B362" s="253"/>
      <c r="C362" s="253"/>
      <c r="D362" s="253"/>
      <c r="E362" s="253"/>
      <c r="F362" s="253"/>
      <c r="G362" s="253"/>
      <c r="H362" s="253"/>
      <c r="I362" s="253"/>
      <c r="J362" s="253"/>
      <c r="K362" s="253"/>
      <c r="L362" s="253"/>
      <c r="M362" s="253"/>
      <c r="N362" s="253"/>
      <c r="O362" s="253"/>
      <c r="P362" s="253"/>
      <c r="Q362" s="253"/>
      <c r="R362" s="253"/>
      <c r="S362" s="253"/>
      <c r="T362" s="253"/>
      <c r="U362" s="253"/>
      <c r="V362" s="253"/>
      <c r="W362" s="253"/>
      <c r="X362" s="253"/>
      <c r="Y362" s="253"/>
    </row>
    <row r="363">
      <c r="A363" s="253"/>
      <c r="B363" s="253"/>
      <c r="C363" s="253"/>
      <c r="D363" s="253"/>
      <c r="E363" s="253"/>
      <c r="F363" s="253"/>
      <c r="G363" s="253"/>
      <c r="H363" s="253"/>
      <c r="I363" s="253"/>
      <c r="J363" s="253"/>
      <c r="K363" s="253"/>
      <c r="L363" s="253"/>
      <c r="M363" s="253"/>
      <c r="N363" s="253"/>
      <c r="O363" s="253"/>
      <c r="P363" s="253"/>
      <c r="Q363" s="253"/>
      <c r="R363" s="253"/>
      <c r="S363" s="253"/>
      <c r="T363" s="253"/>
      <c r="U363" s="253"/>
      <c r="V363" s="253"/>
      <c r="W363" s="253"/>
      <c r="X363" s="253"/>
      <c r="Y363" s="253"/>
    </row>
    <row r="364">
      <c r="A364" s="253"/>
      <c r="B364" s="253"/>
      <c r="C364" s="253"/>
      <c r="D364" s="253"/>
      <c r="E364" s="253"/>
      <c r="F364" s="253"/>
      <c r="G364" s="253"/>
      <c r="H364" s="253"/>
      <c r="I364" s="253"/>
      <c r="J364" s="253"/>
      <c r="K364" s="253"/>
      <c r="L364" s="253"/>
      <c r="M364" s="253"/>
      <c r="N364" s="253"/>
      <c r="O364" s="253"/>
      <c r="P364" s="253"/>
      <c r="Q364" s="253"/>
      <c r="R364" s="253"/>
      <c r="S364" s="253"/>
      <c r="T364" s="253"/>
      <c r="U364" s="253"/>
      <c r="V364" s="253"/>
      <c r="W364" s="253"/>
      <c r="X364" s="253"/>
      <c r="Y364" s="253"/>
    </row>
    <row r="365">
      <c r="A365" s="253"/>
      <c r="B365" s="253"/>
      <c r="C365" s="253"/>
      <c r="D365" s="253"/>
      <c r="E365" s="253"/>
      <c r="F365" s="253"/>
      <c r="G365" s="253"/>
      <c r="H365" s="253"/>
      <c r="I365" s="253"/>
      <c r="J365" s="253"/>
      <c r="K365" s="253"/>
      <c r="L365" s="253"/>
      <c r="M365" s="253"/>
      <c r="N365" s="253"/>
      <c r="O365" s="253"/>
      <c r="P365" s="253"/>
      <c r="Q365" s="253"/>
      <c r="R365" s="253"/>
      <c r="S365" s="253"/>
      <c r="T365" s="253"/>
      <c r="U365" s="253"/>
      <c r="V365" s="253"/>
      <c r="W365" s="253"/>
      <c r="X365" s="253"/>
      <c r="Y365" s="253"/>
    </row>
    <row r="366">
      <c r="A366" s="253"/>
      <c r="B366" s="253"/>
      <c r="C366" s="253"/>
      <c r="D366" s="253"/>
      <c r="E366" s="253"/>
      <c r="F366" s="253"/>
      <c r="G366" s="253"/>
      <c r="H366" s="253"/>
      <c r="I366" s="253"/>
      <c r="J366" s="253"/>
      <c r="K366" s="253"/>
      <c r="L366" s="253"/>
      <c r="M366" s="253"/>
      <c r="N366" s="253"/>
      <c r="O366" s="253"/>
      <c r="P366" s="253"/>
      <c r="Q366" s="253"/>
      <c r="R366" s="253"/>
      <c r="S366" s="253"/>
      <c r="T366" s="253"/>
      <c r="U366" s="253"/>
      <c r="V366" s="253"/>
      <c r="W366" s="253"/>
      <c r="X366" s="253"/>
      <c r="Y366" s="253"/>
    </row>
    <row r="367">
      <c r="A367" s="253"/>
      <c r="B367" s="253"/>
      <c r="C367" s="253"/>
      <c r="D367" s="253"/>
      <c r="E367" s="253"/>
      <c r="F367" s="253"/>
      <c r="G367" s="253"/>
      <c r="H367" s="253"/>
      <c r="I367" s="253"/>
      <c r="J367" s="253"/>
      <c r="K367" s="253"/>
      <c r="L367" s="253"/>
      <c r="M367" s="253"/>
      <c r="N367" s="253"/>
      <c r="O367" s="253"/>
      <c r="P367" s="253"/>
      <c r="Q367" s="253"/>
      <c r="R367" s="253"/>
      <c r="S367" s="253"/>
      <c r="T367" s="253"/>
      <c r="U367" s="253"/>
      <c r="V367" s="253"/>
      <c r="W367" s="253"/>
      <c r="X367" s="253"/>
      <c r="Y367" s="253"/>
    </row>
    <row r="368">
      <c r="A368" s="253"/>
      <c r="B368" s="253"/>
      <c r="C368" s="253"/>
      <c r="D368" s="253"/>
      <c r="E368" s="253"/>
      <c r="F368" s="253"/>
      <c r="G368" s="253"/>
      <c r="H368" s="253"/>
      <c r="I368" s="253"/>
      <c r="J368" s="253"/>
      <c r="K368" s="253"/>
      <c r="L368" s="253"/>
      <c r="M368" s="253"/>
      <c r="N368" s="253"/>
      <c r="O368" s="253"/>
      <c r="P368" s="253"/>
      <c r="Q368" s="253"/>
      <c r="R368" s="253"/>
      <c r="S368" s="253"/>
      <c r="T368" s="253"/>
      <c r="U368" s="253"/>
      <c r="V368" s="253"/>
      <c r="W368" s="253"/>
      <c r="X368" s="253"/>
      <c r="Y368" s="253"/>
    </row>
    <row r="369">
      <c r="A369" s="253"/>
      <c r="B369" s="253"/>
      <c r="C369" s="253"/>
      <c r="D369" s="253"/>
      <c r="E369" s="253"/>
      <c r="F369" s="253"/>
      <c r="G369" s="253"/>
      <c r="H369" s="253"/>
      <c r="I369" s="253"/>
      <c r="J369" s="253"/>
      <c r="K369" s="253"/>
      <c r="L369" s="253"/>
      <c r="M369" s="253"/>
      <c r="N369" s="253"/>
      <c r="O369" s="253"/>
      <c r="P369" s="253"/>
      <c r="Q369" s="253"/>
      <c r="R369" s="253"/>
      <c r="S369" s="253"/>
      <c r="T369" s="253"/>
      <c r="U369" s="253"/>
      <c r="V369" s="253"/>
      <c r="W369" s="253"/>
      <c r="X369" s="253"/>
      <c r="Y369" s="253"/>
    </row>
    <row r="370">
      <c r="A370" s="253"/>
      <c r="B370" s="253"/>
      <c r="C370" s="253"/>
      <c r="D370" s="253"/>
      <c r="E370" s="253"/>
      <c r="F370" s="253"/>
      <c r="G370" s="253"/>
      <c r="H370" s="253"/>
      <c r="I370" s="253"/>
      <c r="J370" s="253"/>
      <c r="K370" s="253"/>
      <c r="L370" s="253"/>
      <c r="M370" s="253"/>
      <c r="N370" s="253"/>
      <c r="O370" s="253"/>
      <c r="P370" s="253"/>
      <c r="Q370" s="253"/>
      <c r="R370" s="253"/>
      <c r="S370" s="253"/>
      <c r="T370" s="253"/>
      <c r="U370" s="253"/>
      <c r="V370" s="253"/>
      <c r="W370" s="253"/>
      <c r="X370" s="253"/>
      <c r="Y370" s="253"/>
    </row>
    <row r="371">
      <c r="A371" s="253"/>
      <c r="B371" s="253"/>
      <c r="C371" s="253"/>
      <c r="D371" s="253"/>
      <c r="E371" s="253"/>
      <c r="F371" s="253"/>
      <c r="G371" s="253"/>
      <c r="H371" s="253"/>
      <c r="I371" s="253"/>
      <c r="J371" s="253"/>
      <c r="K371" s="253"/>
      <c r="L371" s="253"/>
      <c r="M371" s="253"/>
      <c r="N371" s="253"/>
      <c r="O371" s="253"/>
      <c r="P371" s="253"/>
      <c r="Q371" s="253"/>
      <c r="R371" s="253"/>
      <c r="S371" s="253"/>
      <c r="T371" s="253"/>
      <c r="U371" s="253"/>
      <c r="V371" s="253"/>
      <c r="W371" s="253"/>
      <c r="X371" s="253"/>
      <c r="Y371" s="253"/>
    </row>
    <row r="372">
      <c r="A372" s="253"/>
      <c r="B372" s="253"/>
      <c r="C372" s="253"/>
      <c r="D372" s="253"/>
      <c r="E372" s="253"/>
      <c r="F372" s="253"/>
      <c r="G372" s="253"/>
      <c r="H372" s="253"/>
      <c r="I372" s="253"/>
      <c r="J372" s="253"/>
      <c r="K372" s="253"/>
      <c r="L372" s="253"/>
      <c r="M372" s="253"/>
      <c r="N372" s="253"/>
      <c r="O372" s="253"/>
      <c r="P372" s="253"/>
      <c r="Q372" s="253"/>
      <c r="R372" s="253"/>
      <c r="S372" s="253"/>
      <c r="T372" s="253"/>
      <c r="U372" s="253"/>
      <c r="V372" s="253"/>
      <c r="W372" s="253"/>
      <c r="X372" s="253"/>
      <c r="Y372" s="253"/>
    </row>
    <row r="373">
      <c r="A373" s="253"/>
      <c r="B373" s="253"/>
      <c r="C373" s="253"/>
      <c r="D373" s="253"/>
      <c r="E373" s="253"/>
      <c r="F373" s="253"/>
      <c r="G373" s="253"/>
      <c r="H373" s="253"/>
      <c r="I373" s="253"/>
      <c r="J373" s="253"/>
      <c r="K373" s="253"/>
      <c r="L373" s="253"/>
      <c r="M373" s="253"/>
      <c r="N373" s="253"/>
      <c r="O373" s="253"/>
      <c r="P373" s="253"/>
      <c r="Q373" s="253"/>
      <c r="R373" s="253"/>
      <c r="S373" s="253"/>
      <c r="T373" s="253"/>
      <c r="U373" s="253"/>
      <c r="V373" s="253"/>
      <c r="W373" s="253"/>
      <c r="X373" s="253"/>
      <c r="Y373" s="253"/>
    </row>
    <row r="374">
      <c r="A374" s="253"/>
      <c r="B374" s="253"/>
      <c r="C374" s="253"/>
      <c r="D374" s="253"/>
      <c r="E374" s="253"/>
      <c r="F374" s="253"/>
      <c r="G374" s="253"/>
      <c r="H374" s="253"/>
      <c r="I374" s="253"/>
      <c r="J374" s="253"/>
      <c r="K374" s="253"/>
      <c r="L374" s="253"/>
      <c r="M374" s="253"/>
      <c r="N374" s="253"/>
      <c r="O374" s="253"/>
      <c r="P374" s="253"/>
      <c r="Q374" s="253"/>
      <c r="R374" s="253"/>
      <c r="S374" s="253"/>
      <c r="T374" s="253"/>
      <c r="U374" s="253"/>
      <c r="V374" s="253"/>
      <c r="W374" s="253"/>
      <c r="X374" s="253"/>
      <c r="Y374" s="253"/>
    </row>
    <row r="375">
      <c r="A375" s="253"/>
      <c r="B375" s="253"/>
      <c r="C375" s="253"/>
      <c r="D375" s="253"/>
      <c r="E375" s="253"/>
      <c r="F375" s="253"/>
      <c r="G375" s="253"/>
      <c r="H375" s="253"/>
      <c r="I375" s="253"/>
      <c r="J375" s="253"/>
      <c r="K375" s="253"/>
      <c r="L375" s="253"/>
      <c r="M375" s="253"/>
      <c r="N375" s="253"/>
      <c r="O375" s="253"/>
      <c r="P375" s="253"/>
      <c r="Q375" s="253"/>
      <c r="R375" s="253"/>
      <c r="S375" s="253"/>
      <c r="T375" s="253"/>
      <c r="U375" s="253"/>
      <c r="V375" s="253"/>
      <c r="W375" s="253"/>
      <c r="X375" s="253"/>
      <c r="Y375" s="253"/>
    </row>
    <row r="376">
      <c r="A376" s="253"/>
      <c r="B376" s="253"/>
      <c r="C376" s="253"/>
      <c r="D376" s="253"/>
      <c r="E376" s="253"/>
      <c r="F376" s="253"/>
      <c r="G376" s="253"/>
      <c r="H376" s="253"/>
      <c r="I376" s="253"/>
      <c r="J376" s="253"/>
      <c r="K376" s="253"/>
      <c r="L376" s="253"/>
      <c r="M376" s="253"/>
      <c r="N376" s="253"/>
      <c r="O376" s="253"/>
      <c r="P376" s="253"/>
      <c r="Q376" s="253"/>
      <c r="R376" s="253"/>
      <c r="S376" s="253"/>
      <c r="T376" s="253"/>
      <c r="U376" s="253"/>
      <c r="V376" s="253"/>
      <c r="W376" s="253"/>
      <c r="X376" s="253"/>
      <c r="Y376" s="253"/>
    </row>
    <row r="377">
      <c r="A377" s="253"/>
      <c r="B377" s="253"/>
      <c r="C377" s="253"/>
      <c r="D377" s="253"/>
      <c r="E377" s="253"/>
      <c r="F377" s="253"/>
      <c r="G377" s="253"/>
      <c r="H377" s="253"/>
      <c r="I377" s="253"/>
      <c r="J377" s="253"/>
      <c r="K377" s="253"/>
      <c r="L377" s="253"/>
      <c r="M377" s="253"/>
      <c r="N377" s="253"/>
      <c r="O377" s="253"/>
      <c r="P377" s="253"/>
      <c r="Q377" s="253"/>
      <c r="R377" s="253"/>
      <c r="S377" s="253"/>
      <c r="T377" s="253"/>
      <c r="U377" s="253"/>
      <c r="V377" s="253"/>
      <c r="W377" s="253"/>
      <c r="X377" s="253"/>
      <c r="Y377" s="253"/>
    </row>
    <row r="378">
      <c r="A378" s="253"/>
      <c r="B378" s="253"/>
      <c r="C378" s="253"/>
      <c r="D378" s="253"/>
      <c r="E378" s="253"/>
      <c r="F378" s="253"/>
      <c r="G378" s="253"/>
      <c r="H378" s="253"/>
      <c r="I378" s="253"/>
      <c r="J378" s="253"/>
      <c r="K378" s="253"/>
      <c r="L378" s="253"/>
      <c r="M378" s="253"/>
      <c r="N378" s="253"/>
      <c r="O378" s="253"/>
      <c r="P378" s="253"/>
      <c r="Q378" s="253"/>
      <c r="R378" s="253"/>
      <c r="S378" s="253"/>
      <c r="T378" s="253"/>
      <c r="U378" s="253"/>
      <c r="V378" s="253"/>
      <c r="W378" s="253"/>
      <c r="X378" s="253"/>
      <c r="Y378" s="253"/>
    </row>
    <row r="379">
      <c r="A379" s="253"/>
      <c r="B379" s="253"/>
      <c r="C379" s="253"/>
      <c r="D379" s="253"/>
      <c r="E379" s="253"/>
      <c r="F379" s="253"/>
      <c r="G379" s="253"/>
      <c r="H379" s="253"/>
      <c r="I379" s="253"/>
      <c r="J379" s="253"/>
      <c r="K379" s="253"/>
      <c r="L379" s="253"/>
      <c r="M379" s="253"/>
      <c r="N379" s="253"/>
      <c r="O379" s="253"/>
      <c r="P379" s="253"/>
      <c r="Q379" s="253"/>
      <c r="R379" s="253"/>
      <c r="S379" s="253"/>
      <c r="T379" s="253"/>
      <c r="U379" s="253"/>
      <c r="V379" s="253"/>
      <c r="W379" s="253"/>
      <c r="X379" s="253"/>
      <c r="Y379" s="253"/>
    </row>
    <row r="380">
      <c r="A380" s="253"/>
      <c r="B380" s="253"/>
      <c r="C380" s="253"/>
      <c r="D380" s="253"/>
      <c r="E380" s="253"/>
      <c r="F380" s="253"/>
      <c r="G380" s="253"/>
      <c r="H380" s="253"/>
      <c r="I380" s="253"/>
      <c r="J380" s="253"/>
      <c r="K380" s="253"/>
      <c r="L380" s="253"/>
      <c r="M380" s="253"/>
      <c r="N380" s="253"/>
      <c r="O380" s="253"/>
      <c r="P380" s="253"/>
      <c r="Q380" s="253"/>
      <c r="R380" s="253"/>
      <c r="S380" s="253"/>
      <c r="T380" s="253"/>
      <c r="U380" s="253"/>
      <c r="V380" s="253"/>
      <c r="W380" s="253"/>
      <c r="X380" s="253"/>
      <c r="Y380" s="253"/>
    </row>
    <row r="381">
      <c r="A381" s="253"/>
      <c r="B381" s="253"/>
      <c r="C381" s="253"/>
      <c r="D381" s="253"/>
      <c r="E381" s="253"/>
      <c r="F381" s="253"/>
      <c r="G381" s="253"/>
      <c r="H381" s="253"/>
      <c r="I381" s="253"/>
      <c r="J381" s="253"/>
      <c r="K381" s="253"/>
      <c r="L381" s="253"/>
      <c r="M381" s="253"/>
      <c r="N381" s="253"/>
      <c r="O381" s="253"/>
      <c r="P381" s="253"/>
      <c r="Q381" s="253"/>
      <c r="R381" s="253"/>
      <c r="S381" s="253"/>
      <c r="T381" s="253"/>
      <c r="U381" s="253"/>
      <c r="V381" s="253"/>
      <c r="W381" s="253"/>
      <c r="X381" s="253"/>
      <c r="Y381" s="253"/>
    </row>
    <row r="382">
      <c r="A382" s="253"/>
      <c r="B382" s="253"/>
      <c r="C382" s="253"/>
      <c r="D382" s="253"/>
      <c r="E382" s="253"/>
      <c r="F382" s="253"/>
      <c r="G382" s="253"/>
      <c r="H382" s="253"/>
      <c r="I382" s="253"/>
      <c r="J382" s="253"/>
      <c r="K382" s="253"/>
      <c r="L382" s="253"/>
      <c r="M382" s="253"/>
      <c r="N382" s="253"/>
      <c r="O382" s="253"/>
      <c r="P382" s="253"/>
      <c r="Q382" s="253"/>
      <c r="R382" s="253"/>
      <c r="S382" s="253"/>
      <c r="T382" s="253"/>
      <c r="U382" s="253"/>
      <c r="V382" s="253"/>
      <c r="W382" s="253"/>
      <c r="X382" s="253"/>
      <c r="Y382" s="253"/>
    </row>
    <row r="383">
      <c r="A383" s="253"/>
      <c r="B383" s="253"/>
      <c r="C383" s="253"/>
      <c r="D383" s="253"/>
      <c r="E383" s="253"/>
      <c r="F383" s="253"/>
      <c r="G383" s="253"/>
      <c r="H383" s="253"/>
      <c r="I383" s="253"/>
      <c r="J383" s="253"/>
      <c r="K383" s="253"/>
      <c r="L383" s="253"/>
      <c r="M383" s="253"/>
      <c r="N383" s="253"/>
      <c r="O383" s="253"/>
      <c r="P383" s="253"/>
      <c r="Q383" s="253"/>
      <c r="R383" s="253"/>
      <c r="S383" s="253"/>
      <c r="T383" s="253"/>
      <c r="U383" s="253"/>
      <c r="V383" s="253"/>
      <c r="W383" s="253"/>
      <c r="X383" s="253"/>
      <c r="Y383" s="253"/>
    </row>
    <row r="384">
      <c r="A384" s="253"/>
      <c r="B384" s="253"/>
      <c r="C384" s="253"/>
      <c r="D384" s="253"/>
      <c r="E384" s="253"/>
      <c r="F384" s="253"/>
      <c r="G384" s="253"/>
      <c r="H384" s="253"/>
      <c r="I384" s="253"/>
      <c r="J384" s="253"/>
      <c r="K384" s="253"/>
      <c r="L384" s="253"/>
      <c r="M384" s="253"/>
      <c r="N384" s="253"/>
      <c r="O384" s="253"/>
      <c r="P384" s="253"/>
      <c r="Q384" s="253"/>
      <c r="R384" s="253"/>
      <c r="S384" s="253"/>
      <c r="T384" s="253"/>
      <c r="U384" s="253"/>
      <c r="V384" s="253"/>
      <c r="W384" s="253"/>
      <c r="X384" s="253"/>
      <c r="Y384" s="253"/>
    </row>
    <row r="385">
      <c r="A385" s="253"/>
      <c r="B385" s="253"/>
      <c r="C385" s="253"/>
      <c r="D385" s="253"/>
      <c r="E385" s="253"/>
      <c r="F385" s="253"/>
      <c r="G385" s="253"/>
      <c r="H385" s="253"/>
      <c r="I385" s="253"/>
      <c r="J385" s="253"/>
      <c r="K385" s="253"/>
      <c r="L385" s="253"/>
      <c r="M385" s="253"/>
      <c r="N385" s="253"/>
      <c r="O385" s="253"/>
      <c r="P385" s="253"/>
      <c r="Q385" s="253"/>
      <c r="R385" s="253"/>
      <c r="S385" s="253"/>
      <c r="T385" s="253"/>
      <c r="U385" s="253"/>
      <c r="V385" s="253"/>
      <c r="W385" s="253"/>
      <c r="X385" s="253"/>
      <c r="Y385" s="253"/>
    </row>
    <row r="386">
      <c r="A386" s="253"/>
      <c r="B386" s="253"/>
      <c r="C386" s="253"/>
      <c r="D386" s="253"/>
      <c r="E386" s="253"/>
      <c r="F386" s="253"/>
      <c r="G386" s="253"/>
      <c r="H386" s="253"/>
      <c r="I386" s="253"/>
      <c r="J386" s="253"/>
      <c r="K386" s="253"/>
      <c r="L386" s="253"/>
      <c r="M386" s="253"/>
      <c r="N386" s="253"/>
      <c r="O386" s="253"/>
      <c r="P386" s="253"/>
      <c r="Q386" s="253"/>
      <c r="R386" s="253"/>
      <c r="S386" s="253"/>
      <c r="T386" s="253"/>
      <c r="U386" s="253"/>
      <c r="V386" s="253"/>
      <c r="W386" s="253"/>
      <c r="X386" s="253"/>
      <c r="Y386" s="253"/>
    </row>
    <row r="387">
      <c r="A387" s="253"/>
      <c r="B387" s="253"/>
      <c r="C387" s="253"/>
      <c r="D387" s="253"/>
      <c r="E387" s="253"/>
      <c r="F387" s="253"/>
      <c r="G387" s="253"/>
      <c r="H387" s="253"/>
      <c r="I387" s="253"/>
      <c r="J387" s="253"/>
      <c r="K387" s="253"/>
      <c r="L387" s="253"/>
      <c r="M387" s="253"/>
      <c r="N387" s="253"/>
      <c r="O387" s="253"/>
      <c r="P387" s="253"/>
      <c r="Q387" s="253"/>
      <c r="R387" s="253"/>
      <c r="S387" s="253"/>
      <c r="T387" s="253"/>
      <c r="U387" s="253"/>
      <c r="V387" s="253"/>
      <c r="W387" s="253"/>
      <c r="X387" s="253"/>
      <c r="Y387" s="253"/>
    </row>
    <row r="388">
      <c r="A388" s="253"/>
      <c r="B388" s="253"/>
      <c r="C388" s="253"/>
      <c r="D388" s="253"/>
      <c r="E388" s="253"/>
      <c r="F388" s="253"/>
      <c r="G388" s="253"/>
      <c r="H388" s="253"/>
      <c r="I388" s="253"/>
      <c r="J388" s="253"/>
      <c r="K388" s="253"/>
      <c r="L388" s="253"/>
      <c r="M388" s="253"/>
      <c r="N388" s="253"/>
      <c r="O388" s="253"/>
      <c r="P388" s="253"/>
      <c r="Q388" s="253"/>
      <c r="R388" s="253"/>
      <c r="S388" s="253"/>
      <c r="T388" s="253"/>
      <c r="U388" s="253"/>
      <c r="V388" s="253"/>
      <c r="W388" s="253"/>
      <c r="X388" s="253"/>
      <c r="Y388" s="253"/>
    </row>
    <row r="389">
      <c r="A389" s="253"/>
      <c r="B389" s="253"/>
      <c r="C389" s="253"/>
      <c r="D389" s="253"/>
      <c r="E389" s="253"/>
      <c r="F389" s="253"/>
      <c r="G389" s="253"/>
      <c r="H389" s="253"/>
      <c r="I389" s="253"/>
      <c r="J389" s="253"/>
      <c r="K389" s="253"/>
      <c r="L389" s="253"/>
      <c r="M389" s="253"/>
      <c r="N389" s="253"/>
      <c r="O389" s="253"/>
      <c r="P389" s="253"/>
      <c r="Q389" s="253"/>
      <c r="R389" s="253"/>
      <c r="S389" s="253"/>
      <c r="T389" s="253"/>
      <c r="U389" s="253"/>
      <c r="V389" s="253"/>
      <c r="W389" s="253"/>
      <c r="X389" s="253"/>
      <c r="Y389" s="253"/>
    </row>
    <row r="390">
      <c r="A390" s="253"/>
      <c r="B390" s="253"/>
      <c r="C390" s="253"/>
      <c r="D390" s="253"/>
      <c r="E390" s="253"/>
      <c r="F390" s="253"/>
      <c r="G390" s="253"/>
      <c r="H390" s="253"/>
      <c r="I390" s="253"/>
      <c r="J390" s="253"/>
      <c r="K390" s="253"/>
      <c r="L390" s="253"/>
      <c r="M390" s="253"/>
      <c r="N390" s="253"/>
      <c r="O390" s="253"/>
      <c r="P390" s="253"/>
      <c r="Q390" s="253"/>
      <c r="R390" s="253"/>
      <c r="S390" s="253"/>
      <c r="T390" s="253"/>
      <c r="U390" s="253"/>
      <c r="V390" s="253"/>
      <c r="W390" s="253"/>
      <c r="X390" s="253"/>
      <c r="Y390" s="253"/>
    </row>
    <row r="391">
      <c r="A391" s="253"/>
      <c r="B391" s="253"/>
      <c r="C391" s="253"/>
      <c r="D391" s="253"/>
      <c r="E391" s="253"/>
      <c r="F391" s="253"/>
      <c r="G391" s="253"/>
      <c r="H391" s="253"/>
      <c r="I391" s="253"/>
      <c r="J391" s="253"/>
      <c r="K391" s="253"/>
      <c r="L391" s="253"/>
      <c r="M391" s="253"/>
      <c r="N391" s="253"/>
      <c r="O391" s="253"/>
      <c r="P391" s="253"/>
      <c r="Q391" s="253"/>
      <c r="R391" s="253"/>
      <c r="S391" s="253"/>
      <c r="T391" s="253"/>
      <c r="U391" s="253"/>
      <c r="V391" s="253"/>
      <c r="W391" s="253"/>
      <c r="X391" s="253"/>
      <c r="Y391" s="253"/>
    </row>
    <row r="392">
      <c r="A392" s="253"/>
      <c r="B392" s="253"/>
      <c r="C392" s="253"/>
      <c r="D392" s="253"/>
      <c r="E392" s="253"/>
      <c r="F392" s="253"/>
      <c r="G392" s="253"/>
      <c r="H392" s="253"/>
      <c r="I392" s="253"/>
      <c r="J392" s="253"/>
      <c r="K392" s="253"/>
      <c r="L392" s="253"/>
      <c r="M392" s="253"/>
      <c r="N392" s="253"/>
      <c r="O392" s="253"/>
      <c r="P392" s="253"/>
      <c r="Q392" s="253"/>
      <c r="R392" s="253"/>
      <c r="S392" s="253"/>
      <c r="T392" s="253"/>
      <c r="U392" s="253"/>
      <c r="V392" s="253"/>
      <c r="W392" s="253"/>
      <c r="X392" s="253"/>
      <c r="Y392" s="253"/>
    </row>
    <row r="393">
      <c r="A393" s="253"/>
      <c r="B393" s="253"/>
      <c r="C393" s="253"/>
      <c r="D393" s="253"/>
      <c r="E393" s="253"/>
      <c r="F393" s="253"/>
      <c r="G393" s="253"/>
      <c r="H393" s="253"/>
      <c r="I393" s="253"/>
      <c r="J393" s="253"/>
      <c r="K393" s="253"/>
      <c r="L393" s="253"/>
      <c r="M393" s="253"/>
      <c r="N393" s="253"/>
      <c r="O393" s="253"/>
      <c r="P393" s="253"/>
      <c r="Q393" s="253"/>
      <c r="R393" s="253"/>
      <c r="S393" s="253"/>
      <c r="T393" s="253"/>
      <c r="U393" s="253"/>
      <c r="V393" s="253"/>
      <c r="W393" s="253"/>
      <c r="X393" s="253"/>
      <c r="Y393" s="253"/>
    </row>
    <row r="394">
      <c r="A394" s="253"/>
      <c r="B394" s="253"/>
      <c r="C394" s="253"/>
      <c r="D394" s="253"/>
      <c r="E394" s="253"/>
      <c r="F394" s="253"/>
      <c r="G394" s="253"/>
      <c r="H394" s="253"/>
      <c r="I394" s="253"/>
      <c r="J394" s="253"/>
      <c r="K394" s="253"/>
      <c r="L394" s="253"/>
      <c r="M394" s="253"/>
      <c r="N394" s="253"/>
      <c r="O394" s="253"/>
      <c r="P394" s="253"/>
      <c r="Q394" s="253"/>
      <c r="R394" s="253"/>
      <c r="S394" s="253"/>
      <c r="T394" s="253"/>
      <c r="U394" s="253"/>
      <c r="V394" s="253"/>
      <c r="W394" s="253"/>
      <c r="X394" s="253"/>
      <c r="Y394" s="253"/>
    </row>
    <row r="395">
      <c r="A395" s="253"/>
      <c r="B395" s="253"/>
      <c r="C395" s="253"/>
      <c r="D395" s="253"/>
      <c r="E395" s="253"/>
      <c r="F395" s="253"/>
      <c r="G395" s="253"/>
      <c r="H395" s="253"/>
      <c r="I395" s="253"/>
      <c r="J395" s="253"/>
      <c r="K395" s="253"/>
      <c r="L395" s="253"/>
      <c r="M395" s="253"/>
      <c r="N395" s="253"/>
      <c r="O395" s="253"/>
      <c r="P395" s="253"/>
      <c r="Q395" s="253"/>
      <c r="R395" s="253"/>
      <c r="S395" s="253"/>
      <c r="T395" s="253"/>
      <c r="U395" s="253"/>
      <c r="V395" s="253"/>
      <c r="W395" s="253"/>
      <c r="X395" s="253"/>
      <c r="Y395" s="253"/>
    </row>
    <row r="396">
      <c r="A396" s="253"/>
      <c r="B396" s="253"/>
      <c r="C396" s="253"/>
      <c r="D396" s="253"/>
      <c r="E396" s="253"/>
      <c r="F396" s="253"/>
      <c r="G396" s="253"/>
      <c r="H396" s="253"/>
      <c r="I396" s="253"/>
      <c r="J396" s="253"/>
      <c r="K396" s="253"/>
      <c r="L396" s="253"/>
      <c r="M396" s="253"/>
      <c r="N396" s="253"/>
      <c r="O396" s="253"/>
      <c r="P396" s="253"/>
      <c r="Q396" s="253"/>
      <c r="R396" s="253"/>
      <c r="S396" s="253"/>
      <c r="T396" s="253"/>
      <c r="U396" s="253"/>
      <c r="V396" s="253"/>
      <c r="W396" s="253"/>
      <c r="X396" s="253"/>
      <c r="Y396" s="253"/>
    </row>
    <row r="397">
      <c r="A397" s="253"/>
      <c r="B397" s="253"/>
      <c r="C397" s="253"/>
      <c r="D397" s="253"/>
      <c r="E397" s="253"/>
      <c r="F397" s="253"/>
      <c r="G397" s="253"/>
      <c r="H397" s="253"/>
      <c r="I397" s="253"/>
      <c r="J397" s="253"/>
      <c r="K397" s="253"/>
      <c r="L397" s="253"/>
      <c r="M397" s="253"/>
      <c r="N397" s="253"/>
      <c r="O397" s="253"/>
      <c r="P397" s="253"/>
      <c r="Q397" s="253"/>
      <c r="R397" s="253"/>
      <c r="S397" s="253"/>
      <c r="T397" s="253"/>
      <c r="U397" s="253"/>
      <c r="V397" s="253"/>
      <c r="W397" s="253"/>
      <c r="X397" s="253"/>
      <c r="Y397" s="253"/>
    </row>
    <row r="398">
      <c r="A398" s="253"/>
      <c r="B398" s="253"/>
      <c r="C398" s="253"/>
      <c r="D398" s="253"/>
      <c r="E398" s="253"/>
      <c r="F398" s="253"/>
      <c r="G398" s="253"/>
      <c r="H398" s="253"/>
      <c r="I398" s="253"/>
      <c r="J398" s="253"/>
      <c r="K398" s="253"/>
      <c r="L398" s="253"/>
      <c r="M398" s="253"/>
      <c r="N398" s="253"/>
      <c r="O398" s="253"/>
      <c r="P398" s="253"/>
      <c r="Q398" s="253"/>
      <c r="R398" s="253"/>
      <c r="S398" s="253"/>
      <c r="T398" s="253"/>
      <c r="U398" s="253"/>
      <c r="V398" s="253"/>
      <c r="W398" s="253"/>
      <c r="X398" s="253"/>
      <c r="Y398" s="253"/>
    </row>
    <row r="399">
      <c r="A399" s="253"/>
      <c r="B399" s="253"/>
      <c r="C399" s="253"/>
      <c r="D399" s="253"/>
      <c r="E399" s="253"/>
      <c r="F399" s="253"/>
      <c r="G399" s="253"/>
      <c r="H399" s="253"/>
      <c r="I399" s="253"/>
      <c r="J399" s="253"/>
      <c r="K399" s="253"/>
      <c r="L399" s="253"/>
      <c r="M399" s="253"/>
      <c r="N399" s="253"/>
      <c r="O399" s="253"/>
      <c r="P399" s="253"/>
      <c r="Q399" s="253"/>
      <c r="R399" s="253"/>
      <c r="S399" s="253"/>
      <c r="T399" s="253"/>
      <c r="U399" s="253"/>
      <c r="V399" s="253"/>
      <c r="W399" s="253"/>
      <c r="X399" s="253"/>
      <c r="Y399" s="253"/>
    </row>
    <row r="400">
      <c r="A400" s="253"/>
      <c r="B400" s="253"/>
      <c r="C400" s="253"/>
      <c r="D400" s="253"/>
      <c r="E400" s="253"/>
      <c r="F400" s="253"/>
      <c r="G400" s="253"/>
      <c r="H400" s="253"/>
      <c r="I400" s="253"/>
      <c r="J400" s="253"/>
      <c r="K400" s="253"/>
      <c r="L400" s="253"/>
      <c r="M400" s="253"/>
      <c r="N400" s="253"/>
      <c r="O400" s="253"/>
      <c r="P400" s="253"/>
      <c r="Q400" s="253"/>
      <c r="R400" s="253"/>
      <c r="S400" s="253"/>
      <c r="T400" s="253"/>
      <c r="U400" s="253"/>
      <c r="V400" s="253"/>
      <c r="W400" s="253"/>
      <c r="X400" s="253"/>
      <c r="Y400" s="253"/>
    </row>
    <row r="401">
      <c r="A401" s="253"/>
      <c r="B401" s="253"/>
      <c r="C401" s="253"/>
      <c r="D401" s="253"/>
      <c r="E401" s="253"/>
      <c r="F401" s="253"/>
      <c r="G401" s="253"/>
      <c r="H401" s="253"/>
      <c r="I401" s="253"/>
      <c r="J401" s="253"/>
      <c r="K401" s="253"/>
      <c r="L401" s="253"/>
      <c r="M401" s="253"/>
      <c r="N401" s="253"/>
      <c r="O401" s="253"/>
      <c r="P401" s="253"/>
      <c r="Q401" s="253"/>
      <c r="R401" s="253"/>
      <c r="S401" s="253"/>
      <c r="T401" s="253"/>
      <c r="U401" s="253"/>
      <c r="V401" s="253"/>
      <c r="W401" s="253"/>
      <c r="X401" s="253"/>
      <c r="Y401" s="253"/>
    </row>
    <row r="402">
      <c r="A402" s="253"/>
      <c r="B402" s="253"/>
      <c r="C402" s="253"/>
      <c r="D402" s="253"/>
      <c r="E402" s="253"/>
      <c r="F402" s="253"/>
      <c r="G402" s="253"/>
      <c r="H402" s="253"/>
      <c r="I402" s="253"/>
      <c r="J402" s="253"/>
      <c r="K402" s="253"/>
      <c r="L402" s="253"/>
      <c r="M402" s="253"/>
      <c r="N402" s="253"/>
      <c r="O402" s="253"/>
      <c r="P402" s="253"/>
      <c r="Q402" s="253"/>
      <c r="R402" s="253"/>
      <c r="S402" s="253"/>
      <c r="T402" s="253"/>
      <c r="U402" s="253"/>
      <c r="V402" s="253"/>
      <c r="W402" s="253"/>
      <c r="X402" s="253"/>
      <c r="Y402" s="253"/>
    </row>
    <row r="403">
      <c r="A403" s="253"/>
      <c r="B403" s="253"/>
      <c r="C403" s="253"/>
      <c r="D403" s="253"/>
      <c r="E403" s="253"/>
      <c r="F403" s="253"/>
      <c r="G403" s="253"/>
      <c r="H403" s="253"/>
      <c r="I403" s="253"/>
      <c r="J403" s="253"/>
      <c r="K403" s="253"/>
      <c r="L403" s="253"/>
      <c r="M403" s="253"/>
      <c r="N403" s="253"/>
      <c r="O403" s="253"/>
      <c r="P403" s="253"/>
      <c r="Q403" s="253"/>
      <c r="R403" s="253"/>
      <c r="S403" s="253"/>
      <c r="T403" s="253"/>
      <c r="U403" s="253"/>
      <c r="V403" s="253"/>
      <c r="W403" s="253"/>
      <c r="X403" s="253"/>
      <c r="Y403" s="253"/>
    </row>
    <row r="404">
      <c r="A404" s="253"/>
      <c r="B404" s="253"/>
      <c r="C404" s="253"/>
      <c r="D404" s="253"/>
      <c r="E404" s="253"/>
      <c r="F404" s="253"/>
      <c r="G404" s="253"/>
      <c r="H404" s="253"/>
      <c r="I404" s="253"/>
      <c r="J404" s="253"/>
      <c r="K404" s="253"/>
      <c r="L404" s="253"/>
      <c r="M404" s="253"/>
      <c r="N404" s="253"/>
      <c r="O404" s="253"/>
      <c r="P404" s="253"/>
      <c r="Q404" s="253"/>
      <c r="R404" s="253"/>
      <c r="S404" s="253"/>
      <c r="T404" s="253"/>
      <c r="U404" s="253"/>
      <c r="V404" s="253"/>
      <c r="W404" s="253"/>
      <c r="X404" s="253"/>
      <c r="Y404" s="253"/>
    </row>
    <row r="405">
      <c r="A405" s="253"/>
      <c r="B405" s="253"/>
      <c r="C405" s="253"/>
      <c r="D405" s="253"/>
      <c r="E405" s="253"/>
      <c r="F405" s="253"/>
      <c r="G405" s="253"/>
      <c r="H405" s="253"/>
      <c r="I405" s="253"/>
      <c r="J405" s="253"/>
      <c r="K405" s="253"/>
      <c r="L405" s="253"/>
      <c r="M405" s="253"/>
      <c r="N405" s="253"/>
      <c r="O405" s="253"/>
      <c r="P405" s="253"/>
      <c r="Q405" s="253"/>
      <c r="R405" s="253"/>
      <c r="S405" s="253"/>
      <c r="T405" s="253"/>
      <c r="U405" s="253"/>
      <c r="V405" s="253"/>
      <c r="W405" s="253"/>
      <c r="X405" s="253"/>
      <c r="Y405" s="253"/>
    </row>
    <row r="406">
      <c r="A406" s="253"/>
      <c r="B406" s="253"/>
      <c r="C406" s="253"/>
      <c r="D406" s="253"/>
      <c r="E406" s="253"/>
      <c r="F406" s="253"/>
      <c r="G406" s="253"/>
      <c r="H406" s="253"/>
      <c r="I406" s="253"/>
      <c r="J406" s="253"/>
      <c r="K406" s="253"/>
      <c r="L406" s="253"/>
      <c r="M406" s="253"/>
      <c r="N406" s="253"/>
      <c r="O406" s="253"/>
      <c r="P406" s="253"/>
      <c r="Q406" s="253"/>
      <c r="R406" s="253"/>
      <c r="S406" s="253"/>
      <c r="T406" s="253"/>
      <c r="U406" s="253"/>
      <c r="V406" s="253"/>
      <c r="W406" s="253"/>
      <c r="X406" s="253"/>
      <c r="Y406" s="253"/>
    </row>
    <row r="407">
      <c r="A407" s="253"/>
      <c r="B407" s="253"/>
      <c r="C407" s="253"/>
      <c r="D407" s="253"/>
      <c r="E407" s="253"/>
      <c r="F407" s="253"/>
      <c r="G407" s="253"/>
      <c r="H407" s="253"/>
      <c r="I407" s="253"/>
      <c r="J407" s="253"/>
      <c r="K407" s="253"/>
      <c r="L407" s="253"/>
      <c r="M407" s="253"/>
      <c r="N407" s="253"/>
      <c r="O407" s="253"/>
      <c r="P407" s="253"/>
      <c r="Q407" s="253"/>
      <c r="R407" s="253"/>
      <c r="S407" s="253"/>
      <c r="T407" s="253"/>
      <c r="U407" s="253"/>
      <c r="V407" s="253"/>
      <c r="W407" s="253"/>
      <c r="X407" s="253"/>
      <c r="Y407" s="253"/>
    </row>
    <row r="408">
      <c r="A408" s="253"/>
      <c r="B408" s="253"/>
      <c r="C408" s="253"/>
      <c r="D408" s="253"/>
      <c r="E408" s="253"/>
      <c r="F408" s="253"/>
      <c r="G408" s="253"/>
      <c r="H408" s="253"/>
      <c r="I408" s="253"/>
      <c r="J408" s="253"/>
      <c r="K408" s="253"/>
      <c r="L408" s="253"/>
      <c r="M408" s="253"/>
      <c r="N408" s="253"/>
      <c r="O408" s="253"/>
      <c r="P408" s="253"/>
      <c r="Q408" s="253"/>
      <c r="R408" s="253"/>
      <c r="S408" s="253"/>
      <c r="T408" s="253"/>
      <c r="U408" s="253"/>
      <c r="V408" s="253"/>
      <c r="W408" s="253"/>
      <c r="X408" s="253"/>
      <c r="Y408" s="253"/>
    </row>
    <row r="409">
      <c r="A409" s="253"/>
      <c r="B409" s="253"/>
      <c r="C409" s="253"/>
      <c r="D409" s="253"/>
      <c r="E409" s="253"/>
      <c r="F409" s="253"/>
      <c r="G409" s="253"/>
      <c r="H409" s="253"/>
      <c r="I409" s="253"/>
      <c r="J409" s="253"/>
      <c r="K409" s="253"/>
      <c r="L409" s="253"/>
      <c r="M409" s="253"/>
      <c r="N409" s="253"/>
      <c r="O409" s="253"/>
      <c r="P409" s="253"/>
      <c r="Q409" s="253"/>
      <c r="R409" s="253"/>
      <c r="S409" s="253"/>
      <c r="T409" s="253"/>
      <c r="U409" s="253"/>
      <c r="V409" s="253"/>
      <c r="W409" s="253"/>
      <c r="X409" s="253"/>
      <c r="Y409" s="253"/>
    </row>
    <row r="410">
      <c r="A410" s="253"/>
      <c r="B410" s="253"/>
      <c r="C410" s="253"/>
      <c r="D410" s="253"/>
      <c r="E410" s="253"/>
      <c r="F410" s="253"/>
      <c r="G410" s="253"/>
      <c r="H410" s="253"/>
      <c r="I410" s="253"/>
      <c r="J410" s="253"/>
      <c r="K410" s="253"/>
      <c r="L410" s="253"/>
      <c r="M410" s="253"/>
      <c r="N410" s="253"/>
      <c r="O410" s="253"/>
      <c r="P410" s="253"/>
      <c r="Q410" s="253"/>
      <c r="R410" s="253"/>
      <c r="S410" s="253"/>
      <c r="T410" s="253"/>
      <c r="U410" s="253"/>
      <c r="V410" s="253"/>
      <c r="W410" s="253"/>
      <c r="X410" s="253"/>
      <c r="Y410" s="253"/>
    </row>
    <row r="411">
      <c r="A411" s="253"/>
      <c r="B411" s="253"/>
      <c r="C411" s="253"/>
      <c r="D411" s="253"/>
      <c r="E411" s="253"/>
      <c r="F411" s="253"/>
      <c r="G411" s="253"/>
      <c r="H411" s="253"/>
      <c r="I411" s="253"/>
      <c r="J411" s="253"/>
      <c r="K411" s="253"/>
      <c r="L411" s="253"/>
      <c r="M411" s="253"/>
      <c r="N411" s="253"/>
      <c r="O411" s="253"/>
      <c r="P411" s="253"/>
      <c r="Q411" s="253"/>
      <c r="R411" s="253"/>
      <c r="S411" s="253"/>
      <c r="T411" s="253"/>
      <c r="U411" s="253"/>
      <c r="V411" s="253"/>
      <c r="W411" s="253"/>
      <c r="X411" s="253"/>
      <c r="Y411" s="253"/>
    </row>
    <row r="412">
      <c r="A412" s="253"/>
      <c r="B412" s="253"/>
      <c r="C412" s="253"/>
      <c r="D412" s="253"/>
      <c r="E412" s="253"/>
      <c r="F412" s="253"/>
      <c r="G412" s="253"/>
      <c r="H412" s="253"/>
      <c r="I412" s="253"/>
      <c r="J412" s="253"/>
      <c r="K412" s="253"/>
      <c r="L412" s="253"/>
      <c r="M412" s="253"/>
      <c r="N412" s="253"/>
      <c r="O412" s="253"/>
      <c r="P412" s="253"/>
      <c r="Q412" s="253"/>
      <c r="R412" s="253"/>
      <c r="S412" s="253"/>
      <c r="T412" s="253"/>
      <c r="U412" s="253"/>
      <c r="V412" s="253"/>
      <c r="W412" s="253"/>
      <c r="X412" s="253"/>
      <c r="Y412" s="253"/>
    </row>
    <row r="413">
      <c r="A413" s="253"/>
      <c r="B413" s="253"/>
      <c r="C413" s="253"/>
      <c r="D413" s="253"/>
      <c r="E413" s="253"/>
      <c r="F413" s="253"/>
      <c r="G413" s="253"/>
      <c r="H413" s="253"/>
      <c r="I413" s="253"/>
      <c r="J413" s="253"/>
      <c r="K413" s="253"/>
      <c r="L413" s="253"/>
      <c r="M413" s="253"/>
      <c r="N413" s="253"/>
      <c r="O413" s="253"/>
      <c r="P413" s="253"/>
      <c r="Q413" s="253"/>
      <c r="R413" s="253"/>
      <c r="S413" s="253"/>
      <c r="T413" s="253"/>
      <c r="U413" s="253"/>
      <c r="V413" s="253"/>
      <c r="W413" s="253"/>
      <c r="X413" s="253"/>
      <c r="Y413" s="253"/>
    </row>
    <row r="414">
      <c r="A414" s="253"/>
      <c r="B414" s="253"/>
      <c r="C414" s="253"/>
      <c r="D414" s="253"/>
      <c r="E414" s="253"/>
      <c r="F414" s="253"/>
      <c r="G414" s="253"/>
      <c r="H414" s="253"/>
      <c r="I414" s="253"/>
      <c r="J414" s="253"/>
      <c r="K414" s="253"/>
      <c r="L414" s="253"/>
      <c r="M414" s="253"/>
      <c r="N414" s="253"/>
      <c r="O414" s="253"/>
      <c r="P414" s="253"/>
      <c r="Q414" s="253"/>
      <c r="R414" s="253"/>
      <c r="S414" s="253"/>
      <c r="T414" s="253"/>
      <c r="U414" s="253"/>
      <c r="V414" s="253"/>
      <c r="W414" s="253"/>
      <c r="X414" s="253"/>
      <c r="Y414" s="253"/>
    </row>
    <row r="415">
      <c r="A415" s="253"/>
      <c r="B415" s="253"/>
      <c r="C415" s="253"/>
      <c r="D415" s="253"/>
      <c r="E415" s="253"/>
      <c r="F415" s="253"/>
      <c r="G415" s="253"/>
      <c r="H415" s="253"/>
      <c r="I415" s="253"/>
      <c r="J415" s="253"/>
      <c r="K415" s="253"/>
      <c r="L415" s="253"/>
      <c r="M415" s="253"/>
      <c r="N415" s="253"/>
      <c r="O415" s="253"/>
      <c r="P415" s="253"/>
      <c r="Q415" s="253"/>
      <c r="R415" s="253"/>
      <c r="S415" s="253"/>
      <c r="T415" s="253"/>
      <c r="U415" s="253"/>
      <c r="V415" s="253"/>
      <c r="W415" s="253"/>
      <c r="X415" s="253"/>
      <c r="Y415" s="253"/>
    </row>
    <row r="416">
      <c r="A416" s="253"/>
      <c r="B416" s="253"/>
      <c r="C416" s="253"/>
      <c r="D416" s="253"/>
      <c r="E416" s="253"/>
      <c r="F416" s="253"/>
      <c r="G416" s="253"/>
      <c r="H416" s="253"/>
      <c r="I416" s="253"/>
      <c r="J416" s="253"/>
      <c r="K416" s="253"/>
      <c r="L416" s="253"/>
      <c r="M416" s="253"/>
      <c r="N416" s="253"/>
      <c r="O416" s="253"/>
      <c r="P416" s="253"/>
      <c r="Q416" s="253"/>
      <c r="R416" s="253"/>
      <c r="S416" s="253"/>
      <c r="T416" s="253"/>
      <c r="U416" s="253"/>
      <c r="V416" s="253"/>
      <c r="W416" s="253"/>
      <c r="X416" s="253"/>
      <c r="Y416" s="253"/>
    </row>
    <row r="417">
      <c r="A417" s="253"/>
      <c r="B417" s="253"/>
      <c r="C417" s="253"/>
      <c r="D417" s="253"/>
      <c r="E417" s="253"/>
      <c r="F417" s="253"/>
      <c r="G417" s="253"/>
      <c r="H417" s="253"/>
      <c r="I417" s="253"/>
      <c r="J417" s="253"/>
      <c r="K417" s="253"/>
      <c r="L417" s="253"/>
      <c r="M417" s="253"/>
      <c r="N417" s="253"/>
      <c r="O417" s="253"/>
      <c r="P417" s="253"/>
      <c r="Q417" s="253"/>
      <c r="R417" s="253"/>
      <c r="S417" s="253"/>
      <c r="T417" s="253"/>
      <c r="U417" s="253"/>
      <c r="V417" s="253"/>
      <c r="W417" s="253"/>
      <c r="X417" s="253"/>
      <c r="Y417" s="253"/>
    </row>
    <row r="418">
      <c r="A418" s="253"/>
      <c r="B418" s="253"/>
      <c r="C418" s="253"/>
      <c r="D418" s="253"/>
      <c r="E418" s="253"/>
      <c r="F418" s="253"/>
      <c r="G418" s="253"/>
      <c r="H418" s="253"/>
      <c r="I418" s="253"/>
      <c r="J418" s="253"/>
      <c r="K418" s="253"/>
      <c r="L418" s="253"/>
      <c r="M418" s="253"/>
      <c r="N418" s="253"/>
      <c r="O418" s="253"/>
      <c r="P418" s="253"/>
      <c r="Q418" s="253"/>
      <c r="R418" s="253"/>
      <c r="S418" s="253"/>
      <c r="T418" s="253"/>
      <c r="U418" s="253"/>
      <c r="V418" s="253"/>
      <c r="W418" s="253"/>
      <c r="X418" s="253"/>
      <c r="Y418" s="253"/>
    </row>
    <row r="419">
      <c r="A419" s="253"/>
      <c r="B419" s="253"/>
      <c r="C419" s="253"/>
      <c r="D419" s="253"/>
      <c r="E419" s="253"/>
      <c r="F419" s="253"/>
      <c r="G419" s="253"/>
      <c r="H419" s="253"/>
      <c r="I419" s="253"/>
      <c r="J419" s="253"/>
      <c r="K419" s="253"/>
      <c r="L419" s="253"/>
      <c r="M419" s="253"/>
      <c r="N419" s="253"/>
      <c r="O419" s="253"/>
      <c r="P419" s="253"/>
      <c r="Q419" s="253"/>
      <c r="R419" s="253"/>
      <c r="S419" s="253"/>
      <c r="T419" s="253"/>
      <c r="U419" s="253"/>
      <c r="V419" s="253"/>
      <c r="W419" s="253"/>
      <c r="X419" s="253"/>
      <c r="Y419" s="253"/>
    </row>
    <row r="420">
      <c r="A420" s="253"/>
      <c r="B420" s="253"/>
      <c r="C420" s="253"/>
      <c r="D420" s="253"/>
      <c r="E420" s="253"/>
      <c r="F420" s="253"/>
      <c r="G420" s="253"/>
      <c r="H420" s="253"/>
      <c r="I420" s="253"/>
      <c r="J420" s="253"/>
      <c r="K420" s="253"/>
      <c r="L420" s="253"/>
      <c r="M420" s="253"/>
      <c r="N420" s="253"/>
      <c r="O420" s="253"/>
      <c r="P420" s="253"/>
      <c r="Q420" s="253"/>
      <c r="R420" s="253"/>
      <c r="S420" s="253"/>
      <c r="T420" s="253"/>
      <c r="U420" s="253"/>
      <c r="V420" s="253"/>
      <c r="W420" s="253"/>
      <c r="X420" s="253"/>
      <c r="Y420" s="253"/>
    </row>
    <row r="421">
      <c r="A421" s="253"/>
      <c r="B421" s="253"/>
      <c r="C421" s="253"/>
      <c r="D421" s="253"/>
      <c r="E421" s="253"/>
      <c r="F421" s="253"/>
      <c r="G421" s="253"/>
      <c r="H421" s="253"/>
      <c r="I421" s="253"/>
      <c r="J421" s="253"/>
      <c r="K421" s="253"/>
      <c r="L421" s="253"/>
      <c r="M421" s="253"/>
      <c r="N421" s="253"/>
      <c r="O421" s="253"/>
      <c r="P421" s="253"/>
      <c r="Q421" s="253"/>
      <c r="R421" s="253"/>
      <c r="S421" s="253"/>
      <c r="T421" s="253"/>
      <c r="U421" s="253"/>
      <c r="V421" s="253"/>
      <c r="W421" s="253"/>
      <c r="X421" s="253"/>
      <c r="Y421" s="253"/>
    </row>
    <row r="422">
      <c r="A422" s="253"/>
      <c r="B422" s="253"/>
      <c r="C422" s="253"/>
      <c r="D422" s="253"/>
      <c r="E422" s="253"/>
      <c r="F422" s="253"/>
      <c r="G422" s="253"/>
      <c r="H422" s="253"/>
      <c r="I422" s="253"/>
      <c r="J422" s="253"/>
      <c r="K422" s="253"/>
      <c r="L422" s="253"/>
      <c r="M422" s="253"/>
      <c r="N422" s="253"/>
      <c r="O422" s="253"/>
      <c r="P422" s="253"/>
      <c r="Q422" s="253"/>
      <c r="R422" s="253"/>
      <c r="S422" s="253"/>
      <c r="T422" s="253"/>
      <c r="U422" s="253"/>
      <c r="V422" s="253"/>
      <c r="W422" s="253"/>
      <c r="X422" s="253"/>
      <c r="Y422" s="253"/>
    </row>
    <row r="423">
      <c r="A423" s="253"/>
      <c r="B423" s="253"/>
      <c r="C423" s="253"/>
      <c r="D423" s="253"/>
      <c r="E423" s="253"/>
      <c r="F423" s="253"/>
      <c r="G423" s="253"/>
      <c r="H423" s="253"/>
      <c r="I423" s="253"/>
      <c r="J423" s="253"/>
      <c r="K423" s="253"/>
      <c r="L423" s="253"/>
      <c r="M423" s="253"/>
      <c r="N423" s="253"/>
      <c r="O423" s="253"/>
      <c r="P423" s="253"/>
      <c r="Q423" s="253"/>
      <c r="R423" s="253"/>
      <c r="S423" s="253"/>
      <c r="T423" s="253"/>
      <c r="U423" s="253"/>
      <c r="V423" s="253"/>
      <c r="W423" s="253"/>
      <c r="X423" s="253"/>
      <c r="Y423" s="253"/>
    </row>
    <row r="424">
      <c r="A424" s="253"/>
      <c r="B424" s="253"/>
      <c r="C424" s="253"/>
      <c r="D424" s="253"/>
      <c r="E424" s="253"/>
      <c r="F424" s="253"/>
      <c r="G424" s="253"/>
      <c r="H424" s="253"/>
      <c r="I424" s="253"/>
      <c r="J424" s="253"/>
      <c r="K424" s="253"/>
      <c r="L424" s="253"/>
      <c r="M424" s="253"/>
      <c r="N424" s="253"/>
      <c r="O424" s="253"/>
      <c r="P424" s="253"/>
      <c r="Q424" s="253"/>
      <c r="R424" s="253"/>
      <c r="S424" s="253"/>
      <c r="T424" s="253"/>
      <c r="U424" s="253"/>
      <c r="V424" s="253"/>
      <c r="W424" s="253"/>
      <c r="X424" s="253"/>
      <c r="Y424" s="253"/>
    </row>
    <row r="425">
      <c r="A425" s="253"/>
      <c r="B425" s="253"/>
      <c r="C425" s="253"/>
      <c r="D425" s="253"/>
      <c r="E425" s="253"/>
      <c r="F425" s="253"/>
      <c r="G425" s="253"/>
      <c r="H425" s="253"/>
      <c r="I425" s="253"/>
      <c r="J425" s="253"/>
      <c r="K425" s="253"/>
      <c r="L425" s="253"/>
      <c r="M425" s="253"/>
      <c r="N425" s="253"/>
      <c r="O425" s="253"/>
      <c r="P425" s="253"/>
      <c r="Q425" s="253"/>
      <c r="R425" s="253"/>
      <c r="S425" s="253"/>
      <c r="T425" s="253"/>
      <c r="U425" s="253"/>
      <c r="V425" s="253"/>
      <c r="W425" s="253"/>
      <c r="X425" s="253"/>
      <c r="Y425" s="253"/>
    </row>
    <row r="426">
      <c r="A426" s="253"/>
      <c r="B426" s="253"/>
      <c r="C426" s="253"/>
      <c r="D426" s="253"/>
      <c r="E426" s="253"/>
      <c r="F426" s="253"/>
      <c r="G426" s="253"/>
      <c r="H426" s="253"/>
      <c r="I426" s="253"/>
      <c r="J426" s="253"/>
      <c r="K426" s="253"/>
      <c r="L426" s="253"/>
      <c r="M426" s="253"/>
      <c r="N426" s="253"/>
      <c r="O426" s="253"/>
      <c r="P426" s="253"/>
      <c r="Q426" s="253"/>
      <c r="R426" s="253"/>
      <c r="S426" s="253"/>
      <c r="T426" s="253"/>
      <c r="U426" s="253"/>
      <c r="V426" s="253"/>
      <c r="W426" s="253"/>
      <c r="X426" s="253"/>
      <c r="Y426" s="253"/>
    </row>
    <row r="427">
      <c r="A427" s="253"/>
      <c r="B427" s="253"/>
      <c r="C427" s="253"/>
      <c r="D427" s="253"/>
      <c r="E427" s="253"/>
      <c r="F427" s="253"/>
      <c r="G427" s="253"/>
      <c r="H427" s="253"/>
      <c r="I427" s="253"/>
      <c r="J427" s="253"/>
      <c r="K427" s="253"/>
      <c r="L427" s="253"/>
      <c r="M427" s="253"/>
      <c r="N427" s="253"/>
      <c r="O427" s="253"/>
      <c r="P427" s="253"/>
      <c r="Q427" s="253"/>
      <c r="R427" s="253"/>
      <c r="S427" s="253"/>
      <c r="T427" s="253"/>
      <c r="U427" s="253"/>
      <c r="V427" s="253"/>
      <c r="W427" s="253"/>
      <c r="X427" s="253"/>
      <c r="Y427" s="253"/>
    </row>
    <row r="428">
      <c r="A428" s="253"/>
      <c r="B428" s="253"/>
      <c r="C428" s="253"/>
      <c r="D428" s="253"/>
      <c r="E428" s="253"/>
      <c r="F428" s="253"/>
      <c r="G428" s="253"/>
      <c r="H428" s="253"/>
      <c r="I428" s="253"/>
      <c r="J428" s="253"/>
      <c r="K428" s="253"/>
      <c r="L428" s="253"/>
      <c r="M428" s="253"/>
      <c r="N428" s="253"/>
      <c r="O428" s="253"/>
      <c r="P428" s="253"/>
      <c r="Q428" s="253"/>
      <c r="R428" s="253"/>
      <c r="S428" s="253"/>
      <c r="T428" s="253"/>
      <c r="U428" s="253"/>
      <c r="V428" s="253"/>
      <c r="W428" s="253"/>
      <c r="X428" s="253"/>
      <c r="Y428" s="253"/>
    </row>
    <row r="429">
      <c r="A429" s="253"/>
      <c r="B429" s="253"/>
      <c r="C429" s="253"/>
      <c r="D429" s="253"/>
      <c r="E429" s="253"/>
      <c r="F429" s="253"/>
      <c r="G429" s="253"/>
      <c r="H429" s="253"/>
      <c r="I429" s="253"/>
      <c r="J429" s="253"/>
      <c r="K429" s="253"/>
      <c r="L429" s="253"/>
      <c r="M429" s="253"/>
      <c r="N429" s="253"/>
      <c r="O429" s="253"/>
      <c r="P429" s="253"/>
      <c r="Q429" s="253"/>
      <c r="R429" s="253"/>
      <c r="S429" s="253"/>
      <c r="T429" s="253"/>
      <c r="U429" s="253"/>
      <c r="V429" s="253"/>
      <c r="W429" s="253"/>
      <c r="X429" s="253"/>
      <c r="Y429" s="253"/>
    </row>
    <row r="430">
      <c r="A430" s="253"/>
      <c r="B430" s="253"/>
      <c r="C430" s="253"/>
      <c r="D430" s="253"/>
      <c r="E430" s="253"/>
      <c r="F430" s="253"/>
      <c r="G430" s="253"/>
      <c r="H430" s="253"/>
      <c r="I430" s="253"/>
      <c r="J430" s="253"/>
      <c r="K430" s="253"/>
      <c r="L430" s="253"/>
      <c r="M430" s="253"/>
      <c r="N430" s="253"/>
      <c r="O430" s="253"/>
      <c r="P430" s="253"/>
      <c r="Q430" s="253"/>
      <c r="R430" s="253"/>
      <c r="S430" s="253"/>
      <c r="T430" s="253"/>
      <c r="U430" s="253"/>
      <c r="V430" s="253"/>
      <c r="W430" s="253"/>
      <c r="X430" s="253"/>
      <c r="Y430" s="253"/>
    </row>
    <row r="431">
      <c r="A431" s="253"/>
      <c r="B431" s="253"/>
      <c r="C431" s="253"/>
      <c r="D431" s="253"/>
      <c r="E431" s="253"/>
      <c r="F431" s="253"/>
      <c r="G431" s="253"/>
      <c r="H431" s="253"/>
      <c r="I431" s="253"/>
      <c r="J431" s="253"/>
      <c r="K431" s="253"/>
      <c r="L431" s="253"/>
      <c r="M431" s="253"/>
      <c r="N431" s="253"/>
      <c r="O431" s="253"/>
      <c r="P431" s="253"/>
      <c r="Q431" s="253"/>
      <c r="R431" s="253"/>
      <c r="S431" s="253"/>
      <c r="T431" s="253"/>
      <c r="U431" s="253"/>
      <c r="V431" s="253"/>
      <c r="W431" s="253"/>
      <c r="X431" s="253"/>
      <c r="Y431" s="253"/>
    </row>
    <row r="432">
      <c r="A432" s="253"/>
      <c r="B432" s="253"/>
      <c r="C432" s="253"/>
      <c r="D432" s="253"/>
      <c r="E432" s="253"/>
      <c r="F432" s="253"/>
      <c r="G432" s="253"/>
      <c r="H432" s="253"/>
      <c r="I432" s="253"/>
      <c r="J432" s="253"/>
      <c r="K432" s="253"/>
      <c r="L432" s="253"/>
      <c r="M432" s="253"/>
      <c r="N432" s="253"/>
      <c r="O432" s="253"/>
      <c r="P432" s="253"/>
      <c r="Q432" s="253"/>
      <c r="R432" s="253"/>
      <c r="S432" s="253"/>
      <c r="T432" s="253"/>
      <c r="U432" s="253"/>
      <c r="V432" s="253"/>
      <c r="W432" s="253"/>
      <c r="X432" s="253"/>
      <c r="Y432" s="253"/>
    </row>
    <row r="433">
      <c r="A433" s="253"/>
      <c r="B433" s="253"/>
      <c r="C433" s="253"/>
      <c r="D433" s="253"/>
      <c r="E433" s="253"/>
      <c r="F433" s="253"/>
      <c r="G433" s="253"/>
      <c r="H433" s="253"/>
      <c r="I433" s="253"/>
      <c r="J433" s="253"/>
      <c r="K433" s="253"/>
      <c r="L433" s="253"/>
      <c r="M433" s="253"/>
      <c r="N433" s="253"/>
      <c r="O433" s="253"/>
      <c r="P433" s="253"/>
      <c r="Q433" s="253"/>
      <c r="R433" s="253"/>
      <c r="S433" s="253"/>
      <c r="T433" s="253"/>
      <c r="U433" s="253"/>
      <c r="V433" s="253"/>
      <c r="W433" s="253"/>
      <c r="X433" s="253"/>
      <c r="Y433" s="253"/>
    </row>
    <row r="434">
      <c r="A434" s="253"/>
      <c r="B434" s="253"/>
      <c r="C434" s="253"/>
      <c r="D434" s="253"/>
      <c r="E434" s="253"/>
      <c r="F434" s="253"/>
      <c r="G434" s="253"/>
      <c r="H434" s="253"/>
      <c r="I434" s="253"/>
      <c r="J434" s="253"/>
      <c r="K434" s="253"/>
      <c r="L434" s="253"/>
      <c r="M434" s="253"/>
      <c r="N434" s="253"/>
      <c r="O434" s="253"/>
      <c r="P434" s="253"/>
      <c r="Q434" s="253"/>
      <c r="R434" s="253"/>
      <c r="S434" s="253"/>
      <c r="T434" s="253"/>
      <c r="U434" s="253"/>
      <c r="V434" s="253"/>
      <c r="W434" s="253"/>
      <c r="X434" s="253"/>
      <c r="Y434" s="253"/>
    </row>
    <row r="435">
      <c r="A435" s="253"/>
      <c r="B435" s="253"/>
      <c r="C435" s="253"/>
      <c r="D435" s="253"/>
      <c r="E435" s="253"/>
      <c r="F435" s="253"/>
      <c r="G435" s="253"/>
      <c r="H435" s="253"/>
      <c r="I435" s="253"/>
      <c r="J435" s="253"/>
      <c r="K435" s="253"/>
      <c r="L435" s="253"/>
      <c r="M435" s="253"/>
      <c r="N435" s="253"/>
      <c r="O435" s="253"/>
      <c r="P435" s="253"/>
      <c r="Q435" s="253"/>
      <c r="R435" s="253"/>
      <c r="S435" s="253"/>
      <c r="T435" s="253"/>
      <c r="U435" s="253"/>
      <c r="V435" s="253"/>
      <c r="W435" s="253"/>
      <c r="X435" s="253"/>
      <c r="Y435" s="253"/>
    </row>
    <row r="436">
      <c r="A436" s="253"/>
      <c r="B436" s="253"/>
      <c r="C436" s="253"/>
      <c r="D436" s="253"/>
      <c r="E436" s="253"/>
      <c r="F436" s="253"/>
      <c r="G436" s="253"/>
      <c r="H436" s="253"/>
      <c r="I436" s="253"/>
      <c r="J436" s="253"/>
      <c r="K436" s="253"/>
      <c r="L436" s="253"/>
      <c r="M436" s="253"/>
      <c r="N436" s="253"/>
      <c r="O436" s="253"/>
      <c r="P436" s="253"/>
      <c r="Q436" s="253"/>
      <c r="R436" s="253"/>
      <c r="S436" s="253"/>
      <c r="T436" s="253"/>
      <c r="U436" s="253"/>
      <c r="V436" s="253"/>
      <c r="W436" s="253"/>
      <c r="X436" s="253"/>
      <c r="Y436" s="253"/>
    </row>
    <row r="437">
      <c r="A437" s="253"/>
      <c r="B437" s="253"/>
      <c r="C437" s="253"/>
      <c r="D437" s="253"/>
      <c r="E437" s="253"/>
      <c r="F437" s="253"/>
      <c r="G437" s="253"/>
      <c r="H437" s="253"/>
      <c r="I437" s="253"/>
      <c r="J437" s="253"/>
      <c r="K437" s="253"/>
      <c r="L437" s="253"/>
      <c r="M437" s="253"/>
      <c r="N437" s="253"/>
      <c r="O437" s="253"/>
      <c r="P437" s="253"/>
      <c r="Q437" s="253"/>
      <c r="R437" s="253"/>
      <c r="S437" s="253"/>
      <c r="T437" s="253"/>
      <c r="U437" s="253"/>
      <c r="V437" s="253"/>
      <c r="W437" s="253"/>
      <c r="X437" s="253"/>
      <c r="Y437" s="253"/>
    </row>
    <row r="438">
      <c r="A438" s="253"/>
      <c r="B438" s="253"/>
      <c r="C438" s="253"/>
      <c r="D438" s="253"/>
      <c r="E438" s="253"/>
      <c r="F438" s="253"/>
      <c r="G438" s="253"/>
      <c r="H438" s="253"/>
      <c r="I438" s="253"/>
      <c r="J438" s="253"/>
      <c r="K438" s="253"/>
      <c r="L438" s="253"/>
      <c r="M438" s="253"/>
      <c r="N438" s="253"/>
      <c r="O438" s="253"/>
      <c r="P438" s="253"/>
      <c r="Q438" s="253"/>
      <c r="R438" s="253"/>
      <c r="S438" s="253"/>
      <c r="T438" s="253"/>
      <c r="U438" s="253"/>
      <c r="V438" s="253"/>
      <c r="W438" s="253"/>
      <c r="X438" s="253"/>
      <c r="Y438" s="253"/>
    </row>
    <row r="439">
      <c r="A439" s="253"/>
      <c r="B439" s="253"/>
      <c r="C439" s="253"/>
      <c r="D439" s="253"/>
      <c r="E439" s="253"/>
      <c r="F439" s="253"/>
      <c r="G439" s="253"/>
      <c r="H439" s="253"/>
      <c r="I439" s="253"/>
      <c r="J439" s="253"/>
      <c r="K439" s="253"/>
      <c r="L439" s="253"/>
      <c r="M439" s="253"/>
      <c r="N439" s="253"/>
      <c r="O439" s="253"/>
      <c r="P439" s="253"/>
      <c r="Q439" s="253"/>
      <c r="R439" s="253"/>
      <c r="S439" s="253"/>
      <c r="T439" s="253"/>
      <c r="U439" s="253"/>
      <c r="V439" s="253"/>
      <c r="W439" s="253"/>
      <c r="X439" s="253"/>
      <c r="Y439" s="253"/>
    </row>
    <row r="440">
      <c r="A440" s="253"/>
      <c r="B440" s="253"/>
      <c r="C440" s="253"/>
      <c r="D440" s="253"/>
      <c r="E440" s="253"/>
      <c r="F440" s="253"/>
      <c r="G440" s="253"/>
      <c r="H440" s="253"/>
      <c r="I440" s="253"/>
      <c r="J440" s="253"/>
      <c r="K440" s="253"/>
      <c r="L440" s="253"/>
      <c r="M440" s="253"/>
      <c r="N440" s="253"/>
      <c r="O440" s="253"/>
      <c r="P440" s="253"/>
      <c r="Q440" s="253"/>
      <c r="R440" s="253"/>
      <c r="S440" s="253"/>
      <c r="T440" s="253"/>
      <c r="U440" s="253"/>
      <c r="V440" s="253"/>
      <c r="W440" s="253"/>
      <c r="X440" s="253"/>
      <c r="Y440" s="253"/>
    </row>
    <row r="441">
      <c r="A441" s="253"/>
      <c r="B441" s="253"/>
      <c r="C441" s="253"/>
      <c r="D441" s="253"/>
      <c r="E441" s="253"/>
      <c r="F441" s="253"/>
      <c r="G441" s="253"/>
      <c r="H441" s="253"/>
      <c r="I441" s="253"/>
      <c r="J441" s="253"/>
      <c r="K441" s="253"/>
      <c r="L441" s="253"/>
      <c r="M441" s="253"/>
      <c r="N441" s="253"/>
      <c r="O441" s="253"/>
      <c r="P441" s="253"/>
      <c r="Q441" s="253"/>
      <c r="R441" s="253"/>
      <c r="S441" s="253"/>
      <c r="T441" s="253"/>
      <c r="U441" s="253"/>
      <c r="V441" s="253"/>
      <c r="W441" s="253"/>
      <c r="X441" s="253"/>
      <c r="Y441" s="253"/>
    </row>
    <row r="442">
      <c r="A442" s="253"/>
      <c r="B442" s="253"/>
      <c r="C442" s="253"/>
      <c r="D442" s="253"/>
      <c r="E442" s="253"/>
      <c r="F442" s="253"/>
      <c r="G442" s="253"/>
      <c r="H442" s="253"/>
      <c r="I442" s="253"/>
      <c r="J442" s="253"/>
      <c r="K442" s="253"/>
      <c r="L442" s="253"/>
      <c r="M442" s="253"/>
      <c r="N442" s="253"/>
      <c r="O442" s="253"/>
      <c r="P442" s="253"/>
      <c r="Q442" s="253"/>
      <c r="R442" s="253"/>
      <c r="S442" s="253"/>
      <c r="T442" s="253"/>
      <c r="U442" s="253"/>
      <c r="V442" s="253"/>
      <c r="W442" s="253"/>
      <c r="X442" s="253"/>
      <c r="Y442" s="253"/>
    </row>
    <row r="443">
      <c r="A443" s="253"/>
      <c r="B443" s="253"/>
      <c r="C443" s="253"/>
      <c r="D443" s="253"/>
      <c r="E443" s="253"/>
      <c r="F443" s="253"/>
      <c r="G443" s="253"/>
      <c r="H443" s="253"/>
      <c r="I443" s="253"/>
      <c r="J443" s="253"/>
      <c r="K443" s="253"/>
      <c r="L443" s="253"/>
      <c r="M443" s="253"/>
      <c r="N443" s="253"/>
      <c r="O443" s="253"/>
      <c r="P443" s="253"/>
      <c r="Q443" s="253"/>
      <c r="R443" s="253"/>
      <c r="S443" s="253"/>
      <c r="T443" s="253"/>
      <c r="U443" s="253"/>
      <c r="V443" s="253"/>
      <c r="W443" s="253"/>
      <c r="X443" s="253"/>
      <c r="Y443" s="253"/>
    </row>
    <row r="444">
      <c r="A444" s="253"/>
      <c r="B444" s="253"/>
      <c r="C444" s="253"/>
      <c r="D444" s="253"/>
      <c r="E444" s="253"/>
      <c r="F444" s="253"/>
      <c r="G444" s="253"/>
      <c r="H444" s="253"/>
      <c r="I444" s="253"/>
      <c r="J444" s="253"/>
      <c r="K444" s="253"/>
      <c r="L444" s="253"/>
      <c r="M444" s="253"/>
      <c r="N444" s="253"/>
      <c r="O444" s="253"/>
      <c r="P444" s="253"/>
      <c r="Q444" s="253"/>
      <c r="R444" s="253"/>
      <c r="S444" s="253"/>
      <c r="T444" s="253"/>
      <c r="U444" s="253"/>
      <c r="V444" s="253"/>
      <c r="W444" s="253"/>
      <c r="X444" s="253"/>
      <c r="Y444" s="253"/>
    </row>
    <row r="445">
      <c r="A445" s="253"/>
      <c r="B445" s="253"/>
      <c r="C445" s="253"/>
      <c r="D445" s="253"/>
      <c r="E445" s="253"/>
      <c r="F445" s="253"/>
      <c r="G445" s="253"/>
      <c r="H445" s="253"/>
      <c r="I445" s="253"/>
      <c r="J445" s="253"/>
      <c r="K445" s="253"/>
      <c r="L445" s="253"/>
      <c r="M445" s="253"/>
      <c r="N445" s="253"/>
      <c r="O445" s="253"/>
      <c r="P445" s="253"/>
      <c r="Q445" s="253"/>
      <c r="R445" s="253"/>
      <c r="S445" s="253"/>
      <c r="T445" s="253"/>
      <c r="U445" s="253"/>
      <c r="V445" s="253"/>
      <c r="W445" s="253"/>
      <c r="X445" s="253"/>
      <c r="Y445" s="253"/>
    </row>
    <row r="446">
      <c r="A446" s="253"/>
      <c r="B446" s="253"/>
      <c r="C446" s="253"/>
      <c r="D446" s="253"/>
      <c r="E446" s="253"/>
      <c r="F446" s="253"/>
      <c r="G446" s="253"/>
      <c r="H446" s="253"/>
      <c r="I446" s="253"/>
      <c r="J446" s="253"/>
      <c r="K446" s="253"/>
      <c r="L446" s="253"/>
      <c r="M446" s="253"/>
      <c r="N446" s="253"/>
      <c r="O446" s="253"/>
      <c r="P446" s="253"/>
      <c r="Q446" s="253"/>
      <c r="R446" s="253"/>
      <c r="S446" s="253"/>
      <c r="T446" s="253"/>
      <c r="U446" s="253"/>
      <c r="V446" s="253"/>
      <c r="W446" s="253"/>
      <c r="X446" s="253"/>
      <c r="Y446" s="253"/>
    </row>
    <row r="447">
      <c r="A447" s="253"/>
      <c r="B447" s="253"/>
      <c r="C447" s="253"/>
      <c r="D447" s="253"/>
      <c r="E447" s="253"/>
      <c r="F447" s="253"/>
      <c r="G447" s="253"/>
      <c r="H447" s="253"/>
      <c r="I447" s="253"/>
      <c r="J447" s="253"/>
      <c r="K447" s="253"/>
      <c r="L447" s="253"/>
      <c r="M447" s="253"/>
      <c r="N447" s="253"/>
      <c r="O447" s="253"/>
      <c r="P447" s="253"/>
      <c r="Q447" s="253"/>
      <c r="R447" s="253"/>
      <c r="S447" s="253"/>
      <c r="T447" s="253"/>
      <c r="U447" s="253"/>
      <c r="V447" s="253"/>
      <c r="W447" s="253"/>
      <c r="X447" s="253"/>
      <c r="Y447" s="253"/>
    </row>
    <row r="448">
      <c r="A448" s="253"/>
      <c r="B448" s="253"/>
      <c r="C448" s="253"/>
      <c r="D448" s="253"/>
      <c r="E448" s="253"/>
      <c r="F448" s="253"/>
      <c r="G448" s="253"/>
      <c r="H448" s="253"/>
      <c r="I448" s="253"/>
      <c r="J448" s="253"/>
      <c r="K448" s="253"/>
      <c r="L448" s="253"/>
      <c r="M448" s="253"/>
      <c r="N448" s="253"/>
      <c r="O448" s="253"/>
      <c r="P448" s="253"/>
      <c r="Q448" s="253"/>
      <c r="R448" s="253"/>
      <c r="S448" s="253"/>
      <c r="T448" s="253"/>
      <c r="U448" s="253"/>
      <c r="V448" s="253"/>
      <c r="W448" s="253"/>
      <c r="X448" s="253"/>
      <c r="Y448" s="253"/>
    </row>
    <row r="449">
      <c r="A449" s="253"/>
      <c r="B449" s="253"/>
      <c r="C449" s="253"/>
      <c r="D449" s="253"/>
      <c r="E449" s="253"/>
      <c r="F449" s="253"/>
      <c r="G449" s="253"/>
      <c r="H449" s="253"/>
      <c r="I449" s="253"/>
      <c r="J449" s="253"/>
      <c r="K449" s="253"/>
      <c r="L449" s="253"/>
      <c r="M449" s="253"/>
      <c r="N449" s="253"/>
      <c r="O449" s="253"/>
      <c r="P449" s="253"/>
      <c r="Q449" s="253"/>
      <c r="R449" s="253"/>
      <c r="S449" s="253"/>
      <c r="T449" s="253"/>
      <c r="U449" s="253"/>
      <c r="V449" s="253"/>
      <c r="W449" s="253"/>
      <c r="X449" s="253"/>
      <c r="Y449" s="253"/>
    </row>
    <row r="450">
      <c r="A450" s="253"/>
      <c r="B450" s="253"/>
      <c r="C450" s="253"/>
      <c r="D450" s="253"/>
      <c r="E450" s="253"/>
      <c r="F450" s="253"/>
      <c r="G450" s="253"/>
      <c r="H450" s="253"/>
      <c r="I450" s="253"/>
      <c r="J450" s="253"/>
      <c r="K450" s="253"/>
      <c r="L450" s="253"/>
      <c r="M450" s="253"/>
      <c r="N450" s="253"/>
      <c r="O450" s="253"/>
      <c r="P450" s="253"/>
      <c r="Q450" s="253"/>
      <c r="R450" s="253"/>
      <c r="S450" s="253"/>
      <c r="T450" s="253"/>
      <c r="U450" s="253"/>
      <c r="V450" s="253"/>
      <c r="W450" s="253"/>
      <c r="X450" s="253"/>
      <c r="Y450" s="253"/>
    </row>
    <row r="451">
      <c r="A451" s="253"/>
      <c r="B451" s="253"/>
      <c r="C451" s="253"/>
      <c r="D451" s="253"/>
      <c r="E451" s="253"/>
      <c r="F451" s="253"/>
      <c r="G451" s="253"/>
      <c r="H451" s="253"/>
      <c r="I451" s="253"/>
      <c r="J451" s="253"/>
      <c r="K451" s="253"/>
      <c r="L451" s="253"/>
      <c r="M451" s="253"/>
      <c r="N451" s="253"/>
      <c r="O451" s="253"/>
      <c r="P451" s="253"/>
      <c r="Q451" s="253"/>
      <c r="R451" s="253"/>
      <c r="S451" s="253"/>
      <c r="T451" s="253"/>
      <c r="U451" s="253"/>
      <c r="V451" s="253"/>
      <c r="W451" s="253"/>
      <c r="X451" s="253"/>
      <c r="Y451" s="253"/>
    </row>
    <row r="452">
      <c r="A452" s="253"/>
      <c r="B452" s="253"/>
      <c r="C452" s="253"/>
      <c r="D452" s="253"/>
      <c r="E452" s="253"/>
      <c r="F452" s="253"/>
      <c r="G452" s="253"/>
      <c r="H452" s="253"/>
      <c r="I452" s="253"/>
      <c r="J452" s="253"/>
      <c r="K452" s="253"/>
      <c r="L452" s="253"/>
      <c r="M452" s="253"/>
      <c r="N452" s="253"/>
      <c r="O452" s="253"/>
      <c r="P452" s="253"/>
      <c r="Q452" s="253"/>
      <c r="R452" s="253"/>
      <c r="S452" s="253"/>
      <c r="T452" s="253"/>
      <c r="U452" s="253"/>
      <c r="V452" s="253"/>
      <c r="W452" s="253"/>
      <c r="X452" s="253"/>
      <c r="Y452" s="253"/>
    </row>
    <row r="453">
      <c r="A453" s="253"/>
      <c r="B453" s="253"/>
      <c r="C453" s="253"/>
      <c r="D453" s="253"/>
      <c r="E453" s="253"/>
      <c r="F453" s="253"/>
      <c r="G453" s="253"/>
      <c r="H453" s="253"/>
      <c r="I453" s="253"/>
      <c r="J453" s="253"/>
      <c r="K453" s="253"/>
      <c r="L453" s="253"/>
      <c r="M453" s="253"/>
      <c r="N453" s="253"/>
      <c r="O453" s="253"/>
      <c r="P453" s="253"/>
      <c r="Q453" s="253"/>
      <c r="R453" s="253"/>
      <c r="S453" s="253"/>
      <c r="T453" s="253"/>
      <c r="U453" s="253"/>
      <c r="V453" s="253"/>
      <c r="W453" s="253"/>
      <c r="X453" s="253"/>
      <c r="Y453" s="253"/>
    </row>
    <row r="454">
      <c r="A454" s="253"/>
      <c r="B454" s="253"/>
      <c r="C454" s="253"/>
      <c r="D454" s="253"/>
      <c r="E454" s="253"/>
      <c r="F454" s="253"/>
      <c r="G454" s="253"/>
      <c r="H454" s="253"/>
      <c r="I454" s="253"/>
      <c r="J454" s="253"/>
      <c r="K454" s="253"/>
      <c r="L454" s="253"/>
      <c r="M454" s="253"/>
      <c r="N454" s="253"/>
      <c r="O454" s="253"/>
      <c r="P454" s="253"/>
      <c r="Q454" s="253"/>
      <c r="R454" s="253"/>
      <c r="S454" s="253"/>
      <c r="T454" s="253"/>
      <c r="U454" s="253"/>
      <c r="V454" s="253"/>
      <c r="W454" s="253"/>
      <c r="X454" s="253"/>
      <c r="Y454" s="253"/>
    </row>
    <row r="455">
      <c r="A455" s="253"/>
      <c r="B455" s="253"/>
      <c r="C455" s="253"/>
      <c r="D455" s="253"/>
      <c r="E455" s="253"/>
      <c r="F455" s="253"/>
      <c r="G455" s="253"/>
      <c r="H455" s="253"/>
      <c r="I455" s="253"/>
      <c r="J455" s="253"/>
      <c r="K455" s="253"/>
      <c r="L455" s="253"/>
      <c r="M455" s="253"/>
      <c r="N455" s="253"/>
      <c r="O455" s="253"/>
      <c r="P455" s="253"/>
      <c r="Q455" s="253"/>
      <c r="R455" s="253"/>
      <c r="S455" s="253"/>
      <c r="T455" s="253"/>
      <c r="U455" s="253"/>
      <c r="V455" s="253"/>
      <c r="W455" s="253"/>
      <c r="X455" s="253"/>
      <c r="Y455" s="253"/>
    </row>
    <row r="456">
      <c r="A456" s="253"/>
      <c r="B456" s="253"/>
      <c r="C456" s="253"/>
      <c r="D456" s="253"/>
      <c r="E456" s="253"/>
      <c r="F456" s="253"/>
      <c r="G456" s="253"/>
      <c r="H456" s="253"/>
      <c r="I456" s="253"/>
      <c r="J456" s="253"/>
      <c r="K456" s="253"/>
      <c r="L456" s="253"/>
      <c r="M456" s="253"/>
      <c r="N456" s="253"/>
      <c r="O456" s="253"/>
      <c r="P456" s="253"/>
      <c r="Q456" s="253"/>
      <c r="R456" s="253"/>
      <c r="S456" s="253"/>
      <c r="T456" s="253"/>
      <c r="U456" s="253"/>
      <c r="V456" s="253"/>
      <c r="W456" s="253"/>
      <c r="X456" s="253"/>
      <c r="Y456" s="253"/>
    </row>
    <row r="457">
      <c r="A457" s="253"/>
      <c r="B457" s="253"/>
      <c r="C457" s="253"/>
      <c r="D457" s="253"/>
      <c r="E457" s="253"/>
      <c r="F457" s="253"/>
      <c r="G457" s="253"/>
      <c r="H457" s="253"/>
      <c r="I457" s="253"/>
      <c r="J457" s="253"/>
      <c r="K457" s="253"/>
      <c r="L457" s="253"/>
      <c r="M457" s="253"/>
      <c r="N457" s="253"/>
      <c r="O457" s="253"/>
      <c r="P457" s="253"/>
      <c r="Q457" s="253"/>
      <c r="R457" s="253"/>
      <c r="S457" s="253"/>
      <c r="T457" s="253"/>
      <c r="U457" s="253"/>
      <c r="V457" s="253"/>
      <c r="W457" s="253"/>
      <c r="X457" s="253"/>
      <c r="Y457" s="253"/>
    </row>
    <row r="458">
      <c r="A458" s="253"/>
      <c r="B458" s="253"/>
      <c r="C458" s="253"/>
      <c r="D458" s="253"/>
      <c r="E458" s="253"/>
      <c r="F458" s="253"/>
      <c r="G458" s="253"/>
      <c r="H458" s="253"/>
      <c r="I458" s="253"/>
      <c r="J458" s="253"/>
      <c r="K458" s="253"/>
      <c r="L458" s="253"/>
      <c r="M458" s="253"/>
      <c r="N458" s="253"/>
      <c r="O458" s="253"/>
      <c r="P458" s="253"/>
      <c r="Q458" s="253"/>
      <c r="R458" s="253"/>
      <c r="S458" s="253"/>
      <c r="T458" s="253"/>
      <c r="U458" s="253"/>
      <c r="V458" s="253"/>
      <c r="W458" s="253"/>
      <c r="X458" s="253"/>
      <c r="Y458" s="253"/>
    </row>
    <row r="459">
      <c r="A459" s="253"/>
      <c r="B459" s="253"/>
      <c r="C459" s="253"/>
      <c r="D459" s="253"/>
      <c r="E459" s="253"/>
      <c r="F459" s="253"/>
      <c r="G459" s="253"/>
      <c r="H459" s="253"/>
      <c r="I459" s="253"/>
      <c r="J459" s="253"/>
      <c r="K459" s="253"/>
      <c r="L459" s="253"/>
      <c r="M459" s="253"/>
      <c r="N459" s="253"/>
      <c r="O459" s="253"/>
      <c r="P459" s="253"/>
      <c r="Q459" s="253"/>
      <c r="R459" s="253"/>
      <c r="S459" s="253"/>
      <c r="T459" s="253"/>
      <c r="U459" s="253"/>
      <c r="V459" s="253"/>
      <c r="W459" s="253"/>
      <c r="X459" s="253"/>
      <c r="Y459" s="253"/>
    </row>
    <row r="460">
      <c r="A460" s="253"/>
      <c r="B460" s="253"/>
      <c r="C460" s="253"/>
      <c r="D460" s="253"/>
      <c r="E460" s="253"/>
      <c r="F460" s="253"/>
      <c r="G460" s="253"/>
      <c r="H460" s="253"/>
      <c r="I460" s="253"/>
      <c r="J460" s="253"/>
      <c r="K460" s="253"/>
      <c r="L460" s="253"/>
      <c r="M460" s="253"/>
      <c r="N460" s="253"/>
      <c r="O460" s="253"/>
      <c r="P460" s="253"/>
      <c r="Q460" s="253"/>
      <c r="R460" s="253"/>
      <c r="S460" s="253"/>
      <c r="T460" s="253"/>
      <c r="U460" s="253"/>
      <c r="V460" s="253"/>
      <c r="W460" s="253"/>
      <c r="X460" s="253"/>
      <c r="Y460" s="253"/>
    </row>
    <row r="461">
      <c r="A461" s="253"/>
      <c r="B461" s="253"/>
      <c r="C461" s="253"/>
      <c r="D461" s="253"/>
      <c r="E461" s="253"/>
      <c r="F461" s="253"/>
      <c r="G461" s="253"/>
      <c r="H461" s="253"/>
      <c r="I461" s="253"/>
      <c r="J461" s="253"/>
      <c r="K461" s="253"/>
      <c r="L461" s="253"/>
      <c r="M461" s="253"/>
      <c r="N461" s="253"/>
      <c r="O461" s="253"/>
      <c r="P461" s="253"/>
      <c r="Q461" s="253"/>
      <c r="R461" s="253"/>
      <c r="S461" s="253"/>
      <c r="T461" s="253"/>
      <c r="U461" s="253"/>
      <c r="V461" s="253"/>
      <c r="W461" s="253"/>
      <c r="X461" s="253"/>
      <c r="Y461" s="253"/>
    </row>
    <row r="462">
      <c r="A462" s="253"/>
      <c r="B462" s="253"/>
      <c r="C462" s="253"/>
      <c r="D462" s="253"/>
      <c r="E462" s="253"/>
      <c r="F462" s="253"/>
      <c r="G462" s="253"/>
      <c r="H462" s="253"/>
      <c r="I462" s="253"/>
      <c r="J462" s="253"/>
      <c r="K462" s="253"/>
      <c r="L462" s="253"/>
      <c r="M462" s="253"/>
      <c r="N462" s="253"/>
      <c r="O462" s="253"/>
      <c r="P462" s="253"/>
      <c r="Q462" s="253"/>
      <c r="R462" s="253"/>
      <c r="S462" s="253"/>
      <c r="T462" s="253"/>
      <c r="U462" s="253"/>
      <c r="V462" s="253"/>
      <c r="W462" s="253"/>
      <c r="X462" s="253"/>
      <c r="Y462" s="253"/>
    </row>
    <row r="463">
      <c r="A463" s="253"/>
      <c r="B463" s="253"/>
      <c r="C463" s="253"/>
      <c r="D463" s="253"/>
      <c r="E463" s="253"/>
      <c r="F463" s="253"/>
      <c r="G463" s="253"/>
      <c r="H463" s="253"/>
      <c r="I463" s="253"/>
      <c r="J463" s="253"/>
      <c r="K463" s="253"/>
      <c r="L463" s="253"/>
      <c r="M463" s="253"/>
      <c r="N463" s="253"/>
      <c r="O463" s="253"/>
      <c r="P463" s="253"/>
      <c r="Q463" s="253"/>
      <c r="R463" s="253"/>
      <c r="S463" s="253"/>
      <c r="T463" s="253"/>
      <c r="U463" s="253"/>
      <c r="V463" s="253"/>
      <c r="W463" s="253"/>
      <c r="X463" s="253"/>
      <c r="Y463" s="253"/>
    </row>
    <row r="464">
      <c r="A464" s="253"/>
      <c r="B464" s="253"/>
      <c r="C464" s="253"/>
      <c r="D464" s="253"/>
      <c r="E464" s="253"/>
      <c r="F464" s="253"/>
      <c r="G464" s="253"/>
      <c r="H464" s="253"/>
      <c r="I464" s="253"/>
      <c r="J464" s="253"/>
      <c r="K464" s="253"/>
      <c r="L464" s="253"/>
      <c r="M464" s="253"/>
      <c r="N464" s="253"/>
      <c r="O464" s="253"/>
      <c r="P464" s="253"/>
      <c r="Q464" s="253"/>
      <c r="R464" s="253"/>
      <c r="S464" s="253"/>
      <c r="T464" s="253"/>
      <c r="U464" s="253"/>
      <c r="V464" s="253"/>
      <c r="W464" s="253"/>
      <c r="X464" s="253"/>
      <c r="Y464" s="253"/>
    </row>
    <row r="465">
      <c r="A465" s="253"/>
      <c r="B465" s="253"/>
      <c r="C465" s="253"/>
      <c r="D465" s="253"/>
      <c r="E465" s="253"/>
      <c r="F465" s="253"/>
      <c r="G465" s="253"/>
      <c r="H465" s="253"/>
      <c r="I465" s="253"/>
      <c r="J465" s="253"/>
      <c r="K465" s="253"/>
      <c r="L465" s="253"/>
      <c r="M465" s="253"/>
      <c r="N465" s="253"/>
      <c r="O465" s="253"/>
      <c r="P465" s="253"/>
      <c r="Q465" s="253"/>
      <c r="R465" s="253"/>
      <c r="S465" s="253"/>
      <c r="T465" s="253"/>
      <c r="U465" s="253"/>
      <c r="V465" s="253"/>
      <c r="W465" s="253"/>
      <c r="X465" s="253"/>
      <c r="Y465" s="253"/>
    </row>
    <row r="466">
      <c r="A466" s="253"/>
      <c r="B466" s="253"/>
      <c r="C466" s="253"/>
      <c r="D466" s="253"/>
      <c r="E466" s="253"/>
      <c r="F466" s="253"/>
      <c r="G466" s="253"/>
      <c r="H466" s="253"/>
      <c r="I466" s="253"/>
      <c r="J466" s="253"/>
      <c r="K466" s="253"/>
      <c r="L466" s="253"/>
      <c r="M466" s="253"/>
      <c r="N466" s="253"/>
      <c r="O466" s="253"/>
      <c r="P466" s="253"/>
      <c r="Q466" s="253"/>
      <c r="R466" s="253"/>
      <c r="S466" s="253"/>
      <c r="T466" s="253"/>
      <c r="U466" s="253"/>
      <c r="V466" s="253"/>
      <c r="W466" s="253"/>
      <c r="X466" s="253"/>
      <c r="Y466" s="253"/>
    </row>
    <row r="467">
      <c r="A467" s="253"/>
      <c r="B467" s="253"/>
      <c r="C467" s="253"/>
      <c r="D467" s="253"/>
      <c r="E467" s="253"/>
      <c r="F467" s="253"/>
      <c r="G467" s="253"/>
      <c r="H467" s="253"/>
      <c r="I467" s="253"/>
      <c r="J467" s="253"/>
      <c r="K467" s="253"/>
      <c r="L467" s="253"/>
      <c r="M467" s="253"/>
      <c r="N467" s="253"/>
      <c r="O467" s="253"/>
      <c r="P467" s="253"/>
      <c r="Q467" s="253"/>
      <c r="R467" s="253"/>
      <c r="S467" s="253"/>
      <c r="T467" s="253"/>
      <c r="U467" s="253"/>
      <c r="V467" s="253"/>
      <c r="W467" s="253"/>
      <c r="X467" s="253"/>
      <c r="Y467" s="253"/>
    </row>
    <row r="468">
      <c r="A468" s="253"/>
      <c r="B468" s="253"/>
      <c r="C468" s="253"/>
      <c r="D468" s="253"/>
      <c r="E468" s="253"/>
      <c r="F468" s="253"/>
      <c r="G468" s="253"/>
      <c r="H468" s="253"/>
      <c r="I468" s="253"/>
      <c r="J468" s="253"/>
      <c r="K468" s="253"/>
      <c r="L468" s="253"/>
      <c r="M468" s="253"/>
      <c r="N468" s="253"/>
      <c r="O468" s="253"/>
      <c r="P468" s="253"/>
      <c r="Q468" s="253"/>
      <c r="R468" s="253"/>
      <c r="S468" s="253"/>
      <c r="T468" s="253"/>
      <c r="U468" s="253"/>
      <c r="V468" s="253"/>
      <c r="W468" s="253"/>
      <c r="X468" s="253"/>
      <c r="Y468" s="253"/>
    </row>
    <row r="469">
      <c r="A469" s="253"/>
      <c r="B469" s="253"/>
      <c r="C469" s="253"/>
      <c r="D469" s="253"/>
      <c r="E469" s="253"/>
      <c r="F469" s="253"/>
      <c r="G469" s="253"/>
      <c r="H469" s="253"/>
      <c r="I469" s="253"/>
      <c r="J469" s="253"/>
      <c r="K469" s="253"/>
      <c r="L469" s="253"/>
      <c r="M469" s="253"/>
      <c r="N469" s="253"/>
      <c r="O469" s="253"/>
      <c r="P469" s="253"/>
      <c r="Q469" s="253"/>
      <c r="R469" s="253"/>
      <c r="S469" s="253"/>
      <c r="T469" s="253"/>
      <c r="U469" s="253"/>
      <c r="V469" s="253"/>
      <c r="W469" s="253"/>
      <c r="X469" s="253"/>
      <c r="Y469" s="253"/>
    </row>
    <row r="470">
      <c r="A470" s="253"/>
      <c r="B470" s="253"/>
      <c r="C470" s="253"/>
      <c r="D470" s="253"/>
      <c r="E470" s="253"/>
      <c r="F470" s="253"/>
      <c r="G470" s="253"/>
      <c r="H470" s="253"/>
      <c r="I470" s="253"/>
      <c r="J470" s="253"/>
      <c r="K470" s="253"/>
      <c r="L470" s="253"/>
      <c r="M470" s="253"/>
      <c r="N470" s="253"/>
      <c r="O470" s="253"/>
      <c r="P470" s="253"/>
      <c r="Q470" s="253"/>
      <c r="R470" s="253"/>
      <c r="S470" s="253"/>
      <c r="T470" s="253"/>
      <c r="U470" s="253"/>
      <c r="V470" s="253"/>
      <c r="W470" s="253"/>
      <c r="X470" s="253"/>
      <c r="Y470" s="253"/>
    </row>
    <row r="471">
      <c r="A471" s="253"/>
      <c r="B471" s="253"/>
      <c r="C471" s="253"/>
      <c r="D471" s="253"/>
      <c r="E471" s="253"/>
      <c r="F471" s="253"/>
      <c r="G471" s="253"/>
      <c r="H471" s="253"/>
      <c r="I471" s="253"/>
      <c r="J471" s="253"/>
      <c r="K471" s="253"/>
      <c r="L471" s="253"/>
      <c r="M471" s="253"/>
      <c r="N471" s="253"/>
      <c r="O471" s="253"/>
      <c r="P471" s="253"/>
      <c r="Q471" s="253"/>
      <c r="R471" s="253"/>
      <c r="S471" s="253"/>
      <c r="T471" s="253"/>
      <c r="U471" s="253"/>
      <c r="V471" s="253"/>
      <c r="W471" s="253"/>
      <c r="X471" s="253"/>
      <c r="Y471" s="253"/>
    </row>
    <row r="472">
      <c r="A472" s="253"/>
      <c r="B472" s="253"/>
      <c r="C472" s="253"/>
      <c r="D472" s="253"/>
      <c r="E472" s="253"/>
      <c r="F472" s="253"/>
      <c r="G472" s="253"/>
      <c r="H472" s="253"/>
      <c r="I472" s="253"/>
      <c r="J472" s="253"/>
      <c r="K472" s="253"/>
      <c r="L472" s="253"/>
      <c r="M472" s="253"/>
      <c r="N472" s="253"/>
      <c r="O472" s="253"/>
      <c r="P472" s="253"/>
      <c r="Q472" s="253"/>
      <c r="R472" s="253"/>
      <c r="S472" s="253"/>
      <c r="T472" s="253"/>
      <c r="U472" s="253"/>
      <c r="V472" s="253"/>
      <c r="W472" s="253"/>
      <c r="X472" s="253"/>
      <c r="Y472" s="253"/>
    </row>
    <row r="473">
      <c r="A473" s="253"/>
      <c r="B473" s="253"/>
      <c r="C473" s="253"/>
      <c r="D473" s="253"/>
      <c r="E473" s="253"/>
      <c r="F473" s="253"/>
      <c r="G473" s="253"/>
      <c r="H473" s="253"/>
      <c r="I473" s="253"/>
      <c r="J473" s="253"/>
      <c r="K473" s="253"/>
      <c r="L473" s="253"/>
      <c r="M473" s="253"/>
      <c r="N473" s="253"/>
      <c r="O473" s="253"/>
      <c r="P473" s="253"/>
      <c r="Q473" s="253"/>
      <c r="R473" s="253"/>
      <c r="S473" s="253"/>
      <c r="T473" s="253"/>
      <c r="U473" s="253"/>
      <c r="V473" s="253"/>
      <c r="W473" s="253"/>
      <c r="X473" s="253"/>
      <c r="Y473" s="253"/>
    </row>
    <row r="474">
      <c r="A474" s="253"/>
      <c r="B474" s="253"/>
      <c r="C474" s="253"/>
      <c r="D474" s="253"/>
      <c r="E474" s="253"/>
      <c r="F474" s="253"/>
      <c r="G474" s="253"/>
      <c r="H474" s="253"/>
      <c r="I474" s="253"/>
      <c r="J474" s="253"/>
      <c r="K474" s="253"/>
      <c r="L474" s="253"/>
      <c r="M474" s="253"/>
      <c r="N474" s="253"/>
      <c r="O474" s="253"/>
      <c r="P474" s="253"/>
      <c r="Q474" s="253"/>
      <c r="R474" s="253"/>
      <c r="S474" s="253"/>
      <c r="T474" s="253"/>
      <c r="U474" s="253"/>
      <c r="V474" s="253"/>
      <c r="W474" s="253"/>
      <c r="X474" s="253"/>
      <c r="Y474" s="253"/>
    </row>
    <row r="475">
      <c r="A475" s="253"/>
      <c r="B475" s="253"/>
      <c r="C475" s="253"/>
      <c r="D475" s="253"/>
      <c r="E475" s="253"/>
      <c r="F475" s="253"/>
      <c r="G475" s="253"/>
      <c r="H475" s="253"/>
      <c r="I475" s="253"/>
      <c r="J475" s="253"/>
      <c r="K475" s="253"/>
      <c r="L475" s="253"/>
      <c r="M475" s="253"/>
      <c r="N475" s="253"/>
      <c r="O475" s="253"/>
      <c r="P475" s="253"/>
      <c r="Q475" s="253"/>
      <c r="R475" s="253"/>
      <c r="S475" s="253"/>
      <c r="T475" s="253"/>
      <c r="U475" s="253"/>
      <c r="V475" s="253"/>
      <c r="W475" s="253"/>
      <c r="X475" s="253"/>
      <c r="Y475" s="253"/>
    </row>
    <row r="476">
      <c r="A476" s="253"/>
      <c r="B476" s="253"/>
      <c r="C476" s="253"/>
      <c r="D476" s="253"/>
      <c r="E476" s="253"/>
      <c r="F476" s="253"/>
      <c r="G476" s="253"/>
      <c r="H476" s="253"/>
      <c r="I476" s="253"/>
      <c r="J476" s="253"/>
      <c r="K476" s="253"/>
      <c r="L476" s="253"/>
      <c r="M476" s="253"/>
      <c r="N476" s="253"/>
      <c r="O476" s="253"/>
      <c r="P476" s="253"/>
      <c r="Q476" s="253"/>
      <c r="R476" s="253"/>
      <c r="S476" s="253"/>
      <c r="T476" s="253"/>
      <c r="U476" s="253"/>
      <c r="V476" s="253"/>
      <c r="W476" s="253"/>
      <c r="X476" s="253"/>
      <c r="Y476" s="253"/>
    </row>
    <row r="477">
      <c r="A477" s="253"/>
      <c r="B477" s="253"/>
      <c r="C477" s="253"/>
      <c r="D477" s="253"/>
      <c r="E477" s="253"/>
      <c r="F477" s="253"/>
      <c r="G477" s="253"/>
      <c r="H477" s="253"/>
      <c r="I477" s="253"/>
      <c r="J477" s="253"/>
      <c r="K477" s="253"/>
      <c r="L477" s="253"/>
      <c r="M477" s="253"/>
      <c r="N477" s="253"/>
      <c r="O477" s="253"/>
      <c r="P477" s="253"/>
      <c r="Q477" s="253"/>
      <c r="R477" s="253"/>
      <c r="S477" s="253"/>
      <c r="T477" s="253"/>
      <c r="U477" s="253"/>
      <c r="V477" s="253"/>
      <c r="W477" s="253"/>
      <c r="X477" s="253"/>
      <c r="Y477" s="253"/>
    </row>
    <row r="478">
      <c r="A478" s="253"/>
      <c r="B478" s="253"/>
      <c r="C478" s="253"/>
      <c r="D478" s="253"/>
      <c r="E478" s="253"/>
      <c r="F478" s="253"/>
      <c r="G478" s="253"/>
      <c r="H478" s="253"/>
      <c r="I478" s="253"/>
      <c r="J478" s="253"/>
      <c r="K478" s="253"/>
      <c r="L478" s="253"/>
      <c r="M478" s="253"/>
      <c r="N478" s="253"/>
      <c r="O478" s="253"/>
      <c r="P478" s="253"/>
      <c r="Q478" s="253"/>
      <c r="R478" s="253"/>
      <c r="S478" s="253"/>
      <c r="T478" s="253"/>
      <c r="U478" s="253"/>
      <c r="V478" s="253"/>
      <c r="W478" s="253"/>
      <c r="X478" s="253"/>
      <c r="Y478" s="253"/>
    </row>
    <row r="479">
      <c r="A479" s="253"/>
      <c r="B479" s="253"/>
      <c r="C479" s="253"/>
      <c r="D479" s="253"/>
      <c r="E479" s="253"/>
      <c r="F479" s="253"/>
      <c r="G479" s="253"/>
      <c r="H479" s="253"/>
      <c r="I479" s="253"/>
      <c r="J479" s="253"/>
      <c r="K479" s="253"/>
      <c r="L479" s="253"/>
      <c r="M479" s="253"/>
      <c r="N479" s="253"/>
      <c r="O479" s="253"/>
      <c r="P479" s="253"/>
      <c r="Q479" s="253"/>
      <c r="R479" s="253"/>
      <c r="S479" s="253"/>
      <c r="T479" s="253"/>
      <c r="U479" s="253"/>
      <c r="V479" s="253"/>
      <c r="W479" s="253"/>
      <c r="X479" s="253"/>
      <c r="Y479" s="253"/>
    </row>
    <row r="480">
      <c r="A480" s="253"/>
      <c r="B480" s="253"/>
      <c r="C480" s="253"/>
      <c r="D480" s="253"/>
      <c r="E480" s="253"/>
      <c r="F480" s="253"/>
      <c r="G480" s="253"/>
      <c r="H480" s="253"/>
      <c r="I480" s="253"/>
      <c r="J480" s="253"/>
      <c r="K480" s="253"/>
      <c r="L480" s="253"/>
      <c r="M480" s="253"/>
      <c r="N480" s="253"/>
      <c r="O480" s="253"/>
      <c r="P480" s="253"/>
      <c r="Q480" s="253"/>
      <c r="R480" s="253"/>
      <c r="S480" s="253"/>
      <c r="T480" s="253"/>
      <c r="U480" s="253"/>
      <c r="V480" s="253"/>
      <c r="W480" s="253"/>
      <c r="X480" s="253"/>
      <c r="Y480" s="253"/>
    </row>
    <row r="481">
      <c r="A481" s="253"/>
      <c r="B481" s="253"/>
      <c r="C481" s="253"/>
      <c r="D481" s="253"/>
      <c r="E481" s="253"/>
      <c r="F481" s="253"/>
      <c r="G481" s="253"/>
      <c r="H481" s="253"/>
      <c r="I481" s="253"/>
      <c r="J481" s="253"/>
      <c r="K481" s="253"/>
      <c r="L481" s="253"/>
      <c r="M481" s="253"/>
      <c r="N481" s="253"/>
      <c r="O481" s="253"/>
      <c r="P481" s="253"/>
      <c r="Q481" s="253"/>
      <c r="R481" s="253"/>
      <c r="S481" s="253"/>
      <c r="T481" s="253"/>
      <c r="U481" s="253"/>
      <c r="V481" s="253"/>
      <c r="W481" s="253"/>
      <c r="X481" s="253"/>
      <c r="Y481" s="253"/>
    </row>
    <row r="482">
      <c r="A482" s="253"/>
      <c r="B482" s="253"/>
      <c r="C482" s="253"/>
      <c r="D482" s="253"/>
      <c r="E482" s="253"/>
      <c r="F482" s="253"/>
      <c r="G482" s="253"/>
      <c r="H482" s="253"/>
      <c r="I482" s="253"/>
      <c r="J482" s="253"/>
      <c r="K482" s="253"/>
      <c r="L482" s="253"/>
      <c r="M482" s="253"/>
      <c r="N482" s="253"/>
      <c r="O482" s="253"/>
      <c r="P482" s="253"/>
      <c r="Q482" s="253"/>
      <c r="R482" s="253"/>
      <c r="S482" s="253"/>
      <c r="T482" s="253"/>
      <c r="U482" s="253"/>
      <c r="V482" s="253"/>
      <c r="W482" s="253"/>
      <c r="X482" s="253"/>
      <c r="Y482" s="253"/>
    </row>
    <row r="483">
      <c r="A483" s="253"/>
      <c r="B483" s="253"/>
      <c r="C483" s="253"/>
      <c r="D483" s="253"/>
      <c r="E483" s="253"/>
      <c r="F483" s="253"/>
      <c r="G483" s="253"/>
      <c r="H483" s="253"/>
      <c r="I483" s="253"/>
      <c r="J483" s="253"/>
      <c r="K483" s="253"/>
      <c r="L483" s="253"/>
      <c r="M483" s="253"/>
      <c r="N483" s="253"/>
      <c r="O483" s="253"/>
      <c r="P483" s="253"/>
      <c r="Q483" s="253"/>
      <c r="R483" s="253"/>
      <c r="S483" s="253"/>
      <c r="T483" s="253"/>
      <c r="U483" s="253"/>
      <c r="V483" s="253"/>
      <c r="W483" s="253"/>
      <c r="X483" s="253"/>
      <c r="Y483" s="253"/>
    </row>
    <row r="484">
      <c r="A484" s="253"/>
      <c r="B484" s="253"/>
      <c r="C484" s="253"/>
      <c r="D484" s="253"/>
      <c r="E484" s="253"/>
      <c r="F484" s="253"/>
      <c r="G484" s="253"/>
      <c r="H484" s="253"/>
      <c r="I484" s="253"/>
      <c r="J484" s="253"/>
      <c r="K484" s="253"/>
      <c r="L484" s="253"/>
      <c r="M484" s="253"/>
      <c r="N484" s="253"/>
      <c r="O484" s="253"/>
      <c r="P484" s="253"/>
      <c r="Q484" s="253"/>
      <c r="R484" s="253"/>
      <c r="S484" s="253"/>
      <c r="T484" s="253"/>
      <c r="U484" s="253"/>
      <c r="V484" s="253"/>
      <c r="W484" s="253"/>
      <c r="X484" s="253"/>
      <c r="Y484" s="253"/>
    </row>
    <row r="485">
      <c r="A485" s="253"/>
      <c r="B485" s="253"/>
      <c r="C485" s="253"/>
      <c r="D485" s="253"/>
      <c r="E485" s="253"/>
      <c r="F485" s="253"/>
      <c r="G485" s="253"/>
      <c r="H485" s="253"/>
      <c r="I485" s="253"/>
      <c r="J485" s="253"/>
      <c r="K485" s="253"/>
      <c r="L485" s="253"/>
      <c r="M485" s="253"/>
      <c r="N485" s="253"/>
      <c r="O485" s="253"/>
      <c r="P485" s="253"/>
      <c r="Q485" s="253"/>
      <c r="R485" s="253"/>
      <c r="S485" s="253"/>
      <c r="T485" s="253"/>
      <c r="U485" s="253"/>
      <c r="V485" s="253"/>
      <c r="W485" s="253"/>
      <c r="X485" s="253"/>
      <c r="Y485" s="253"/>
    </row>
    <row r="486">
      <c r="A486" s="253"/>
      <c r="B486" s="253"/>
      <c r="C486" s="253"/>
      <c r="D486" s="253"/>
      <c r="E486" s="253"/>
      <c r="F486" s="253"/>
      <c r="G486" s="253"/>
      <c r="H486" s="253"/>
      <c r="I486" s="253"/>
      <c r="J486" s="253"/>
      <c r="K486" s="253"/>
      <c r="L486" s="253"/>
      <c r="M486" s="253"/>
      <c r="N486" s="253"/>
      <c r="O486" s="253"/>
      <c r="P486" s="253"/>
      <c r="Q486" s="253"/>
      <c r="R486" s="253"/>
      <c r="S486" s="253"/>
      <c r="T486" s="253"/>
      <c r="U486" s="253"/>
      <c r="V486" s="253"/>
      <c r="W486" s="253"/>
      <c r="X486" s="253"/>
      <c r="Y486" s="253"/>
    </row>
    <row r="487">
      <c r="A487" s="253"/>
      <c r="B487" s="253"/>
      <c r="C487" s="253"/>
      <c r="D487" s="253"/>
      <c r="E487" s="253"/>
      <c r="F487" s="253"/>
      <c r="G487" s="253"/>
      <c r="H487" s="253"/>
      <c r="I487" s="253"/>
      <c r="J487" s="253"/>
      <c r="K487" s="253"/>
      <c r="L487" s="253"/>
      <c r="M487" s="253"/>
      <c r="N487" s="253"/>
      <c r="O487" s="253"/>
      <c r="P487" s="253"/>
      <c r="Q487" s="253"/>
      <c r="R487" s="253"/>
      <c r="S487" s="253"/>
      <c r="T487" s="253"/>
      <c r="U487" s="253"/>
      <c r="V487" s="253"/>
      <c r="W487" s="253"/>
      <c r="X487" s="253"/>
      <c r="Y487" s="253"/>
    </row>
    <row r="488">
      <c r="A488" s="253"/>
      <c r="B488" s="253"/>
      <c r="C488" s="253"/>
      <c r="D488" s="253"/>
      <c r="E488" s="253"/>
      <c r="F488" s="253"/>
      <c r="G488" s="253"/>
      <c r="H488" s="253"/>
      <c r="I488" s="253"/>
      <c r="J488" s="253"/>
      <c r="K488" s="253"/>
      <c r="L488" s="253"/>
      <c r="M488" s="253"/>
      <c r="N488" s="253"/>
      <c r="O488" s="253"/>
      <c r="P488" s="253"/>
      <c r="Q488" s="253"/>
      <c r="R488" s="253"/>
      <c r="S488" s="253"/>
      <c r="T488" s="253"/>
      <c r="U488" s="253"/>
      <c r="V488" s="253"/>
      <c r="W488" s="253"/>
      <c r="X488" s="253"/>
      <c r="Y488" s="253"/>
    </row>
    <row r="489">
      <c r="A489" s="253"/>
      <c r="B489" s="253"/>
      <c r="C489" s="253"/>
      <c r="D489" s="253"/>
      <c r="E489" s="253"/>
      <c r="F489" s="253"/>
      <c r="G489" s="253"/>
      <c r="H489" s="253"/>
      <c r="I489" s="253"/>
      <c r="J489" s="253"/>
      <c r="K489" s="253"/>
      <c r="L489" s="253"/>
      <c r="M489" s="253"/>
      <c r="N489" s="253"/>
      <c r="O489" s="253"/>
      <c r="P489" s="253"/>
      <c r="Q489" s="253"/>
      <c r="R489" s="253"/>
      <c r="S489" s="253"/>
      <c r="T489" s="253"/>
      <c r="U489" s="253"/>
      <c r="V489" s="253"/>
      <c r="W489" s="253"/>
      <c r="X489" s="253"/>
      <c r="Y489" s="253"/>
    </row>
    <row r="490">
      <c r="A490" s="253"/>
      <c r="B490" s="253"/>
      <c r="C490" s="253"/>
      <c r="D490" s="253"/>
      <c r="E490" s="253"/>
      <c r="F490" s="253"/>
      <c r="G490" s="253"/>
      <c r="H490" s="253"/>
      <c r="I490" s="253"/>
      <c r="J490" s="253"/>
      <c r="K490" s="253"/>
      <c r="L490" s="253"/>
      <c r="M490" s="253"/>
      <c r="N490" s="253"/>
      <c r="O490" s="253"/>
      <c r="P490" s="253"/>
      <c r="Q490" s="253"/>
      <c r="R490" s="253"/>
      <c r="S490" s="253"/>
      <c r="T490" s="253"/>
      <c r="U490" s="253"/>
      <c r="V490" s="253"/>
      <c r="W490" s="253"/>
      <c r="X490" s="253"/>
      <c r="Y490" s="253"/>
    </row>
    <row r="491">
      <c r="A491" s="253"/>
      <c r="B491" s="253"/>
      <c r="C491" s="253"/>
      <c r="D491" s="253"/>
      <c r="E491" s="253"/>
      <c r="F491" s="253"/>
      <c r="G491" s="253"/>
      <c r="H491" s="253"/>
      <c r="I491" s="253"/>
      <c r="J491" s="253"/>
      <c r="K491" s="253"/>
      <c r="L491" s="253"/>
      <c r="M491" s="253"/>
      <c r="N491" s="253"/>
      <c r="O491" s="253"/>
      <c r="P491" s="253"/>
      <c r="Q491" s="253"/>
      <c r="R491" s="253"/>
      <c r="S491" s="253"/>
      <c r="T491" s="253"/>
      <c r="U491" s="253"/>
      <c r="V491" s="253"/>
      <c r="W491" s="253"/>
      <c r="X491" s="253"/>
      <c r="Y491" s="253"/>
    </row>
    <row r="492">
      <c r="A492" s="253"/>
      <c r="B492" s="253"/>
      <c r="C492" s="253"/>
      <c r="D492" s="253"/>
      <c r="E492" s="253"/>
      <c r="F492" s="253"/>
      <c r="G492" s="253"/>
      <c r="H492" s="253"/>
      <c r="I492" s="253"/>
      <c r="J492" s="253"/>
      <c r="K492" s="253"/>
      <c r="L492" s="253"/>
      <c r="M492" s="253"/>
      <c r="N492" s="253"/>
      <c r="O492" s="253"/>
      <c r="P492" s="253"/>
      <c r="Q492" s="253"/>
      <c r="R492" s="253"/>
      <c r="S492" s="253"/>
      <c r="T492" s="253"/>
      <c r="U492" s="253"/>
      <c r="V492" s="253"/>
      <c r="W492" s="253"/>
      <c r="X492" s="253"/>
      <c r="Y492" s="253"/>
    </row>
    <row r="493">
      <c r="A493" s="253"/>
      <c r="B493" s="253"/>
      <c r="C493" s="253"/>
      <c r="D493" s="253"/>
      <c r="E493" s="253"/>
      <c r="F493" s="253"/>
      <c r="G493" s="253"/>
      <c r="H493" s="253"/>
      <c r="I493" s="253"/>
      <c r="J493" s="253"/>
      <c r="K493" s="253"/>
      <c r="L493" s="253"/>
      <c r="M493" s="253"/>
      <c r="N493" s="253"/>
      <c r="O493" s="253"/>
      <c r="P493" s="253"/>
      <c r="Q493" s="253"/>
      <c r="R493" s="253"/>
      <c r="S493" s="253"/>
      <c r="T493" s="253"/>
      <c r="U493" s="253"/>
      <c r="V493" s="253"/>
      <c r="W493" s="253"/>
      <c r="X493" s="253"/>
      <c r="Y493" s="253"/>
    </row>
    <row r="494">
      <c r="A494" s="253"/>
      <c r="B494" s="253"/>
      <c r="C494" s="253"/>
      <c r="D494" s="253"/>
      <c r="E494" s="253"/>
      <c r="F494" s="253"/>
      <c r="G494" s="253"/>
      <c r="H494" s="253"/>
      <c r="I494" s="253"/>
      <c r="J494" s="253"/>
      <c r="K494" s="253"/>
      <c r="L494" s="253"/>
      <c r="M494" s="253"/>
      <c r="N494" s="253"/>
      <c r="O494" s="253"/>
      <c r="P494" s="253"/>
      <c r="Q494" s="253"/>
      <c r="R494" s="253"/>
      <c r="S494" s="253"/>
      <c r="T494" s="253"/>
      <c r="U494" s="253"/>
      <c r="V494" s="253"/>
      <c r="W494" s="253"/>
      <c r="X494" s="253"/>
      <c r="Y494" s="253"/>
    </row>
    <row r="495">
      <c r="A495" s="253"/>
      <c r="B495" s="253"/>
      <c r="C495" s="253"/>
      <c r="D495" s="253"/>
      <c r="E495" s="253"/>
      <c r="F495" s="253"/>
      <c r="G495" s="253"/>
      <c r="H495" s="253"/>
      <c r="I495" s="253"/>
      <c r="J495" s="253"/>
      <c r="K495" s="253"/>
      <c r="L495" s="253"/>
      <c r="M495" s="253"/>
      <c r="N495" s="253"/>
      <c r="O495" s="253"/>
      <c r="P495" s="253"/>
      <c r="Q495" s="253"/>
      <c r="R495" s="253"/>
      <c r="S495" s="253"/>
      <c r="T495" s="253"/>
      <c r="U495" s="253"/>
      <c r="V495" s="253"/>
      <c r="W495" s="253"/>
      <c r="X495" s="253"/>
      <c r="Y495" s="253"/>
    </row>
    <row r="496">
      <c r="A496" s="253"/>
      <c r="B496" s="253"/>
      <c r="C496" s="253"/>
      <c r="D496" s="253"/>
      <c r="E496" s="253"/>
      <c r="F496" s="253"/>
      <c r="G496" s="253"/>
      <c r="H496" s="253"/>
      <c r="I496" s="253"/>
      <c r="J496" s="253"/>
      <c r="K496" s="253"/>
      <c r="L496" s="253"/>
      <c r="M496" s="253"/>
      <c r="N496" s="253"/>
      <c r="O496" s="253"/>
      <c r="P496" s="253"/>
      <c r="Q496" s="253"/>
      <c r="R496" s="253"/>
      <c r="S496" s="253"/>
      <c r="T496" s="253"/>
      <c r="U496" s="253"/>
      <c r="V496" s="253"/>
      <c r="W496" s="253"/>
      <c r="X496" s="253"/>
      <c r="Y496" s="253"/>
    </row>
    <row r="497">
      <c r="A497" s="253"/>
      <c r="B497" s="253"/>
      <c r="C497" s="253"/>
      <c r="D497" s="253"/>
      <c r="E497" s="253"/>
      <c r="F497" s="253"/>
      <c r="G497" s="253"/>
      <c r="H497" s="253"/>
      <c r="I497" s="253"/>
      <c r="J497" s="253"/>
      <c r="K497" s="253"/>
      <c r="L497" s="253"/>
      <c r="M497" s="253"/>
      <c r="N497" s="253"/>
      <c r="O497" s="253"/>
      <c r="P497" s="253"/>
      <c r="Q497" s="253"/>
      <c r="R497" s="253"/>
      <c r="S497" s="253"/>
      <c r="T497" s="253"/>
      <c r="U497" s="253"/>
      <c r="V497" s="253"/>
      <c r="W497" s="253"/>
      <c r="X497" s="253"/>
      <c r="Y497" s="253"/>
    </row>
    <row r="498">
      <c r="A498" s="253"/>
      <c r="B498" s="253"/>
      <c r="C498" s="253"/>
      <c r="D498" s="253"/>
      <c r="E498" s="253"/>
      <c r="F498" s="253"/>
      <c r="G498" s="253"/>
      <c r="H498" s="253"/>
      <c r="I498" s="253"/>
      <c r="J498" s="253"/>
      <c r="K498" s="253"/>
      <c r="L498" s="253"/>
      <c r="M498" s="253"/>
      <c r="N498" s="253"/>
      <c r="O498" s="253"/>
      <c r="P498" s="253"/>
      <c r="Q498" s="253"/>
      <c r="R498" s="253"/>
      <c r="S498" s="253"/>
      <c r="T498" s="253"/>
      <c r="U498" s="253"/>
      <c r="V498" s="253"/>
      <c r="W498" s="253"/>
      <c r="X498" s="253"/>
      <c r="Y498" s="253"/>
    </row>
    <row r="499">
      <c r="A499" s="253"/>
      <c r="B499" s="253"/>
      <c r="C499" s="253"/>
      <c r="D499" s="253"/>
      <c r="E499" s="253"/>
      <c r="F499" s="253"/>
      <c r="G499" s="253"/>
      <c r="H499" s="253"/>
      <c r="I499" s="253"/>
      <c r="J499" s="253"/>
      <c r="K499" s="253"/>
      <c r="L499" s="253"/>
      <c r="M499" s="253"/>
      <c r="N499" s="253"/>
      <c r="O499" s="253"/>
      <c r="P499" s="253"/>
      <c r="Q499" s="253"/>
      <c r="R499" s="253"/>
      <c r="S499" s="253"/>
      <c r="T499" s="253"/>
      <c r="U499" s="253"/>
      <c r="V499" s="253"/>
      <c r="W499" s="253"/>
      <c r="X499" s="253"/>
      <c r="Y499" s="253"/>
    </row>
    <row r="500">
      <c r="A500" s="253"/>
      <c r="B500" s="253"/>
      <c r="C500" s="253"/>
      <c r="D500" s="253"/>
      <c r="E500" s="253"/>
      <c r="F500" s="253"/>
      <c r="G500" s="253"/>
      <c r="H500" s="253"/>
      <c r="I500" s="253"/>
      <c r="J500" s="253"/>
      <c r="K500" s="253"/>
      <c r="L500" s="253"/>
      <c r="M500" s="253"/>
      <c r="N500" s="253"/>
      <c r="O500" s="253"/>
      <c r="P500" s="253"/>
      <c r="Q500" s="253"/>
      <c r="R500" s="253"/>
      <c r="S500" s="253"/>
      <c r="T500" s="253"/>
      <c r="U500" s="253"/>
      <c r="V500" s="253"/>
      <c r="W500" s="253"/>
      <c r="X500" s="253"/>
      <c r="Y500" s="253"/>
    </row>
    <row r="501">
      <c r="A501" s="253"/>
      <c r="B501" s="253"/>
      <c r="C501" s="253"/>
      <c r="D501" s="253"/>
      <c r="E501" s="253"/>
      <c r="F501" s="253"/>
      <c r="G501" s="253"/>
      <c r="H501" s="253"/>
      <c r="I501" s="253"/>
      <c r="J501" s="253"/>
      <c r="K501" s="253"/>
      <c r="L501" s="253"/>
      <c r="M501" s="253"/>
      <c r="N501" s="253"/>
      <c r="O501" s="253"/>
      <c r="P501" s="253"/>
      <c r="Q501" s="253"/>
      <c r="R501" s="253"/>
      <c r="S501" s="253"/>
      <c r="T501" s="253"/>
      <c r="U501" s="253"/>
      <c r="V501" s="253"/>
      <c r="W501" s="253"/>
      <c r="X501" s="253"/>
      <c r="Y501" s="253"/>
    </row>
    <row r="502">
      <c r="A502" s="253"/>
      <c r="B502" s="253"/>
      <c r="C502" s="253"/>
      <c r="D502" s="253"/>
      <c r="E502" s="253"/>
      <c r="F502" s="253"/>
      <c r="G502" s="253"/>
      <c r="H502" s="253"/>
      <c r="I502" s="253"/>
      <c r="J502" s="253"/>
      <c r="K502" s="253"/>
      <c r="L502" s="253"/>
      <c r="M502" s="253"/>
      <c r="N502" s="253"/>
      <c r="O502" s="253"/>
      <c r="P502" s="253"/>
      <c r="Q502" s="253"/>
      <c r="R502" s="253"/>
      <c r="S502" s="253"/>
      <c r="T502" s="253"/>
      <c r="U502" s="253"/>
      <c r="V502" s="253"/>
      <c r="W502" s="253"/>
      <c r="X502" s="253"/>
      <c r="Y502" s="253"/>
    </row>
    <row r="503">
      <c r="A503" s="253"/>
      <c r="B503" s="253"/>
      <c r="C503" s="253"/>
      <c r="D503" s="253"/>
      <c r="E503" s="253"/>
      <c r="F503" s="253"/>
      <c r="G503" s="253"/>
      <c r="H503" s="253"/>
      <c r="I503" s="253"/>
      <c r="J503" s="253"/>
      <c r="K503" s="253"/>
      <c r="L503" s="253"/>
      <c r="M503" s="253"/>
      <c r="N503" s="253"/>
      <c r="O503" s="253"/>
      <c r="P503" s="253"/>
      <c r="Q503" s="253"/>
      <c r="R503" s="253"/>
      <c r="S503" s="253"/>
      <c r="T503" s="253"/>
      <c r="U503" s="253"/>
      <c r="V503" s="253"/>
      <c r="W503" s="253"/>
      <c r="X503" s="253"/>
      <c r="Y503" s="253"/>
    </row>
    <row r="504">
      <c r="A504" s="253"/>
      <c r="B504" s="253"/>
      <c r="C504" s="253"/>
      <c r="D504" s="253"/>
      <c r="E504" s="253"/>
      <c r="F504" s="253"/>
      <c r="G504" s="253"/>
      <c r="H504" s="253"/>
      <c r="I504" s="253"/>
      <c r="J504" s="253"/>
      <c r="K504" s="253"/>
      <c r="L504" s="253"/>
      <c r="M504" s="253"/>
      <c r="N504" s="253"/>
      <c r="O504" s="253"/>
      <c r="P504" s="253"/>
      <c r="Q504" s="253"/>
      <c r="R504" s="253"/>
      <c r="S504" s="253"/>
      <c r="T504" s="253"/>
      <c r="U504" s="253"/>
      <c r="V504" s="253"/>
      <c r="W504" s="253"/>
      <c r="X504" s="253"/>
      <c r="Y504" s="253"/>
    </row>
    <row r="505">
      <c r="A505" s="253"/>
      <c r="B505" s="253"/>
      <c r="C505" s="253"/>
      <c r="D505" s="253"/>
      <c r="E505" s="253"/>
      <c r="F505" s="253"/>
      <c r="G505" s="253"/>
      <c r="H505" s="253"/>
      <c r="I505" s="253"/>
      <c r="J505" s="253"/>
      <c r="K505" s="253"/>
      <c r="L505" s="253"/>
      <c r="M505" s="253"/>
      <c r="N505" s="253"/>
      <c r="O505" s="253"/>
      <c r="P505" s="253"/>
      <c r="Q505" s="253"/>
      <c r="R505" s="253"/>
      <c r="S505" s="253"/>
      <c r="T505" s="253"/>
      <c r="U505" s="253"/>
      <c r="V505" s="253"/>
      <c r="W505" s="253"/>
      <c r="X505" s="253"/>
      <c r="Y505" s="253"/>
    </row>
    <row r="506">
      <c r="A506" s="253"/>
      <c r="B506" s="253"/>
      <c r="C506" s="253"/>
      <c r="D506" s="253"/>
      <c r="E506" s="253"/>
      <c r="F506" s="253"/>
      <c r="G506" s="253"/>
      <c r="H506" s="253"/>
      <c r="I506" s="253"/>
      <c r="J506" s="253"/>
      <c r="K506" s="253"/>
      <c r="L506" s="253"/>
      <c r="M506" s="253"/>
      <c r="N506" s="253"/>
      <c r="O506" s="253"/>
      <c r="P506" s="253"/>
      <c r="Q506" s="253"/>
      <c r="R506" s="253"/>
      <c r="S506" s="253"/>
      <c r="T506" s="253"/>
      <c r="U506" s="253"/>
      <c r="V506" s="253"/>
      <c r="W506" s="253"/>
      <c r="X506" s="253"/>
      <c r="Y506" s="253"/>
    </row>
    <row r="507">
      <c r="A507" s="253"/>
      <c r="B507" s="253"/>
      <c r="C507" s="253"/>
      <c r="D507" s="253"/>
      <c r="E507" s="253"/>
      <c r="F507" s="253"/>
      <c r="G507" s="253"/>
      <c r="H507" s="253"/>
      <c r="I507" s="253"/>
      <c r="J507" s="253"/>
      <c r="K507" s="253"/>
      <c r="L507" s="253"/>
      <c r="M507" s="253"/>
      <c r="N507" s="253"/>
      <c r="O507" s="253"/>
      <c r="P507" s="253"/>
      <c r="Q507" s="253"/>
      <c r="R507" s="253"/>
      <c r="S507" s="253"/>
      <c r="T507" s="253"/>
      <c r="U507" s="253"/>
      <c r="V507" s="253"/>
      <c r="W507" s="253"/>
      <c r="X507" s="253"/>
      <c r="Y507" s="253"/>
    </row>
    <row r="508">
      <c r="A508" s="253"/>
      <c r="B508" s="253"/>
      <c r="C508" s="253"/>
      <c r="D508" s="253"/>
      <c r="E508" s="253"/>
      <c r="F508" s="253"/>
      <c r="G508" s="253"/>
      <c r="H508" s="253"/>
      <c r="I508" s="253"/>
      <c r="J508" s="253"/>
      <c r="K508" s="253"/>
      <c r="L508" s="253"/>
      <c r="M508" s="253"/>
      <c r="N508" s="253"/>
      <c r="O508" s="253"/>
      <c r="P508" s="253"/>
      <c r="Q508" s="253"/>
      <c r="R508" s="253"/>
      <c r="S508" s="253"/>
      <c r="T508" s="253"/>
      <c r="U508" s="253"/>
      <c r="V508" s="253"/>
      <c r="W508" s="253"/>
      <c r="X508" s="253"/>
      <c r="Y508" s="253"/>
    </row>
    <row r="509">
      <c r="A509" s="253"/>
      <c r="B509" s="253"/>
      <c r="C509" s="253"/>
      <c r="D509" s="253"/>
      <c r="E509" s="253"/>
      <c r="F509" s="253"/>
      <c r="G509" s="253"/>
      <c r="H509" s="253"/>
      <c r="I509" s="253"/>
      <c r="J509" s="253"/>
      <c r="K509" s="253"/>
      <c r="L509" s="253"/>
      <c r="M509" s="253"/>
      <c r="N509" s="253"/>
      <c r="O509" s="253"/>
      <c r="P509" s="253"/>
      <c r="Q509" s="253"/>
      <c r="R509" s="253"/>
      <c r="S509" s="253"/>
      <c r="T509" s="253"/>
      <c r="U509" s="253"/>
      <c r="V509" s="253"/>
      <c r="W509" s="253"/>
      <c r="X509" s="253"/>
      <c r="Y509" s="253"/>
    </row>
    <row r="510">
      <c r="A510" s="253"/>
      <c r="B510" s="253"/>
      <c r="C510" s="253"/>
      <c r="D510" s="253"/>
      <c r="E510" s="253"/>
      <c r="F510" s="253"/>
      <c r="G510" s="253"/>
      <c r="H510" s="253"/>
      <c r="I510" s="253"/>
      <c r="J510" s="253"/>
      <c r="K510" s="253"/>
      <c r="L510" s="253"/>
      <c r="M510" s="253"/>
      <c r="N510" s="253"/>
      <c r="O510" s="253"/>
      <c r="P510" s="253"/>
      <c r="Q510" s="253"/>
      <c r="R510" s="253"/>
      <c r="S510" s="253"/>
      <c r="T510" s="253"/>
      <c r="U510" s="253"/>
      <c r="V510" s="253"/>
      <c r="W510" s="253"/>
      <c r="X510" s="253"/>
      <c r="Y510" s="253"/>
    </row>
    <row r="511">
      <c r="A511" s="253"/>
      <c r="B511" s="253"/>
      <c r="C511" s="253"/>
      <c r="D511" s="253"/>
      <c r="E511" s="253"/>
      <c r="F511" s="253"/>
      <c r="G511" s="253"/>
      <c r="H511" s="253"/>
      <c r="I511" s="253"/>
      <c r="J511" s="253"/>
      <c r="K511" s="253"/>
      <c r="L511" s="253"/>
      <c r="M511" s="253"/>
      <c r="N511" s="253"/>
      <c r="O511" s="253"/>
      <c r="P511" s="253"/>
      <c r="Q511" s="253"/>
      <c r="R511" s="253"/>
      <c r="S511" s="253"/>
      <c r="T511" s="253"/>
      <c r="U511" s="253"/>
      <c r="V511" s="253"/>
      <c r="W511" s="253"/>
      <c r="X511" s="253"/>
      <c r="Y511" s="253"/>
    </row>
    <row r="512">
      <c r="A512" s="253"/>
      <c r="B512" s="253"/>
      <c r="C512" s="253"/>
      <c r="D512" s="253"/>
      <c r="E512" s="253"/>
      <c r="F512" s="253"/>
      <c r="G512" s="253"/>
      <c r="H512" s="253"/>
      <c r="I512" s="253"/>
      <c r="J512" s="253"/>
      <c r="K512" s="253"/>
      <c r="L512" s="253"/>
      <c r="M512" s="253"/>
      <c r="N512" s="253"/>
      <c r="O512" s="253"/>
      <c r="P512" s="253"/>
      <c r="Q512" s="253"/>
      <c r="R512" s="253"/>
      <c r="S512" s="253"/>
      <c r="T512" s="253"/>
      <c r="U512" s="253"/>
      <c r="V512" s="253"/>
      <c r="W512" s="253"/>
      <c r="X512" s="253"/>
      <c r="Y512" s="253"/>
    </row>
    <row r="513">
      <c r="A513" s="253"/>
      <c r="B513" s="253"/>
      <c r="C513" s="253"/>
      <c r="D513" s="253"/>
      <c r="E513" s="253"/>
      <c r="F513" s="253"/>
      <c r="G513" s="253"/>
      <c r="H513" s="253"/>
      <c r="I513" s="253"/>
      <c r="J513" s="253"/>
      <c r="K513" s="253"/>
      <c r="L513" s="253"/>
      <c r="M513" s="253"/>
      <c r="N513" s="253"/>
      <c r="O513" s="253"/>
      <c r="P513" s="253"/>
      <c r="Q513" s="253"/>
      <c r="R513" s="253"/>
      <c r="S513" s="253"/>
      <c r="T513" s="253"/>
      <c r="U513" s="253"/>
      <c r="V513" s="253"/>
      <c r="W513" s="253"/>
      <c r="X513" s="253"/>
      <c r="Y513" s="253"/>
    </row>
    <row r="514">
      <c r="A514" s="253"/>
      <c r="B514" s="253"/>
      <c r="C514" s="253"/>
      <c r="D514" s="253"/>
      <c r="E514" s="253"/>
      <c r="F514" s="253"/>
      <c r="G514" s="253"/>
      <c r="H514" s="253"/>
      <c r="I514" s="253"/>
      <c r="J514" s="253"/>
      <c r="K514" s="253"/>
      <c r="L514" s="253"/>
      <c r="M514" s="253"/>
      <c r="N514" s="253"/>
      <c r="O514" s="253"/>
      <c r="P514" s="253"/>
      <c r="Q514" s="253"/>
      <c r="R514" s="253"/>
      <c r="S514" s="253"/>
      <c r="T514" s="253"/>
      <c r="U514" s="253"/>
      <c r="V514" s="253"/>
      <c r="W514" s="253"/>
      <c r="X514" s="253"/>
      <c r="Y514" s="253"/>
    </row>
    <row r="515">
      <c r="A515" s="253"/>
      <c r="B515" s="253"/>
      <c r="C515" s="253"/>
      <c r="D515" s="253"/>
      <c r="E515" s="253"/>
      <c r="F515" s="253"/>
      <c r="G515" s="253"/>
      <c r="H515" s="253"/>
      <c r="I515" s="253"/>
      <c r="J515" s="253"/>
      <c r="K515" s="253"/>
      <c r="L515" s="253"/>
      <c r="M515" s="253"/>
      <c r="N515" s="253"/>
      <c r="O515" s="253"/>
      <c r="P515" s="253"/>
      <c r="Q515" s="253"/>
      <c r="R515" s="253"/>
      <c r="S515" s="253"/>
      <c r="T515" s="253"/>
      <c r="U515" s="253"/>
      <c r="V515" s="253"/>
      <c r="W515" s="253"/>
      <c r="X515" s="253"/>
      <c r="Y515" s="253"/>
    </row>
    <row r="516">
      <c r="A516" s="253"/>
      <c r="B516" s="253"/>
      <c r="C516" s="253"/>
      <c r="D516" s="253"/>
      <c r="E516" s="253"/>
      <c r="F516" s="253"/>
      <c r="G516" s="253"/>
      <c r="H516" s="253"/>
      <c r="I516" s="253"/>
      <c r="J516" s="253"/>
      <c r="K516" s="253"/>
      <c r="L516" s="253"/>
      <c r="M516" s="253"/>
      <c r="N516" s="253"/>
      <c r="O516" s="253"/>
      <c r="P516" s="253"/>
      <c r="Q516" s="253"/>
      <c r="R516" s="253"/>
      <c r="S516" s="253"/>
      <c r="T516" s="253"/>
      <c r="U516" s="253"/>
      <c r="V516" s="253"/>
      <c r="W516" s="253"/>
      <c r="X516" s="253"/>
      <c r="Y516" s="253"/>
    </row>
    <row r="517">
      <c r="A517" s="253"/>
      <c r="B517" s="253"/>
      <c r="C517" s="253"/>
      <c r="D517" s="253"/>
      <c r="E517" s="253"/>
      <c r="F517" s="253"/>
      <c r="G517" s="253"/>
      <c r="H517" s="253"/>
      <c r="I517" s="253"/>
      <c r="J517" s="253"/>
      <c r="K517" s="253"/>
      <c r="L517" s="253"/>
      <c r="M517" s="253"/>
      <c r="N517" s="253"/>
      <c r="O517" s="253"/>
      <c r="P517" s="253"/>
      <c r="Q517" s="253"/>
      <c r="R517" s="253"/>
      <c r="S517" s="253"/>
      <c r="T517" s="253"/>
      <c r="U517" s="253"/>
      <c r="V517" s="253"/>
      <c r="W517" s="253"/>
      <c r="X517" s="253"/>
      <c r="Y517" s="253"/>
    </row>
    <row r="518">
      <c r="A518" s="253"/>
      <c r="B518" s="253"/>
      <c r="C518" s="253"/>
      <c r="D518" s="253"/>
      <c r="E518" s="253"/>
      <c r="F518" s="253"/>
      <c r="G518" s="253"/>
      <c r="H518" s="253"/>
      <c r="I518" s="253"/>
      <c r="J518" s="253"/>
      <c r="K518" s="253"/>
      <c r="L518" s="253"/>
      <c r="M518" s="253"/>
      <c r="N518" s="253"/>
      <c r="O518" s="253"/>
      <c r="P518" s="253"/>
      <c r="Q518" s="253"/>
      <c r="R518" s="253"/>
      <c r="S518" s="253"/>
      <c r="T518" s="253"/>
      <c r="U518" s="253"/>
      <c r="V518" s="253"/>
      <c r="W518" s="253"/>
      <c r="X518" s="253"/>
      <c r="Y518" s="253"/>
    </row>
    <row r="519">
      <c r="A519" s="253"/>
      <c r="B519" s="253"/>
      <c r="C519" s="253"/>
      <c r="D519" s="253"/>
      <c r="E519" s="253"/>
      <c r="F519" s="253"/>
      <c r="G519" s="253"/>
      <c r="H519" s="253"/>
      <c r="I519" s="253"/>
      <c r="J519" s="253"/>
      <c r="K519" s="253"/>
      <c r="L519" s="253"/>
      <c r="M519" s="253"/>
      <c r="N519" s="253"/>
      <c r="O519" s="253"/>
      <c r="P519" s="253"/>
      <c r="Q519" s="253"/>
      <c r="R519" s="253"/>
      <c r="S519" s="253"/>
      <c r="T519" s="253"/>
      <c r="U519" s="253"/>
      <c r="V519" s="253"/>
      <c r="W519" s="253"/>
      <c r="X519" s="253"/>
      <c r="Y519" s="253"/>
    </row>
    <row r="520">
      <c r="A520" s="253"/>
      <c r="B520" s="253"/>
      <c r="C520" s="253"/>
      <c r="D520" s="253"/>
      <c r="E520" s="253"/>
      <c r="F520" s="253"/>
      <c r="G520" s="253"/>
      <c r="H520" s="253"/>
      <c r="I520" s="253"/>
      <c r="J520" s="253"/>
      <c r="K520" s="253"/>
      <c r="L520" s="253"/>
      <c r="M520" s="253"/>
      <c r="N520" s="253"/>
      <c r="O520" s="253"/>
      <c r="P520" s="253"/>
      <c r="Q520" s="253"/>
      <c r="R520" s="253"/>
      <c r="S520" s="253"/>
      <c r="T520" s="253"/>
      <c r="U520" s="253"/>
      <c r="V520" s="253"/>
      <c r="W520" s="253"/>
      <c r="X520" s="253"/>
      <c r="Y520" s="253"/>
    </row>
    <row r="521">
      <c r="A521" s="253"/>
      <c r="B521" s="253"/>
      <c r="C521" s="253"/>
      <c r="D521" s="253"/>
      <c r="E521" s="253"/>
      <c r="F521" s="253"/>
      <c r="G521" s="253"/>
      <c r="H521" s="253"/>
      <c r="I521" s="253"/>
      <c r="J521" s="253"/>
      <c r="K521" s="253"/>
      <c r="L521" s="253"/>
      <c r="M521" s="253"/>
      <c r="N521" s="253"/>
      <c r="O521" s="253"/>
      <c r="P521" s="253"/>
      <c r="Q521" s="253"/>
      <c r="R521" s="253"/>
      <c r="S521" s="253"/>
      <c r="T521" s="253"/>
      <c r="U521" s="253"/>
      <c r="V521" s="253"/>
      <c r="W521" s="253"/>
      <c r="X521" s="253"/>
      <c r="Y521" s="253"/>
    </row>
    <row r="522">
      <c r="A522" s="253"/>
      <c r="B522" s="253"/>
      <c r="C522" s="253"/>
      <c r="D522" s="253"/>
      <c r="E522" s="253"/>
      <c r="F522" s="253"/>
      <c r="G522" s="253"/>
      <c r="H522" s="253"/>
      <c r="I522" s="253"/>
      <c r="J522" s="253"/>
      <c r="K522" s="253"/>
      <c r="L522" s="253"/>
      <c r="M522" s="253"/>
      <c r="N522" s="253"/>
      <c r="O522" s="253"/>
      <c r="P522" s="253"/>
      <c r="Q522" s="253"/>
      <c r="R522" s="253"/>
      <c r="S522" s="253"/>
      <c r="T522" s="253"/>
      <c r="U522" s="253"/>
      <c r="V522" s="253"/>
      <c r="W522" s="253"/>
      <c r="X522" s="253"/>
      <c r="Y522" s="253"/>
    </row>
    <row r="523">
      <c r="A523" s="253"/>
      <c r="B523" s="253"/>
      <c r="C523" s="253"/>
      <c r="D523" s="253"/>
      <c r="E523" s="253"/>
      <c r="F523" s="253"/>
      <c r="G523" s="253"/>
      <c r="H523" s="253"/>
      <c r="I523" s="253"/>
      <c r="J523" s="253"/>
      <c r="K523" s="253"/>
      <c r="L523" s="253"/>
      <c r="M523" s="253"/>
      <c r="N523" s="253"/>
      <c r="O523" s="253"/>
      <c r="P523" s="253"/>
      <c r="Q523" s="253"/>
      <c r="R523" s="253"/>
      <c r="S523" s="253"/>
      <c r="T523" s="253"/>
      <c r="U523" s="253"/>
      <c r="V523" s="253"/>
      <c r="W523" s="253"/>
      <c r="X523" s="253"/>
      <c r="Y523" s="253"/>
    </row>
    <row r="524">
      <c r="A524" s="253"/>
      <c r="B524" s="253"/>
      <c r="C524" s="253"/>
      <c r="D524" s="253"/>
      <c r="E524" s="253"/>
      <c r="F524" s="253"/>
      <c r="G524" s="253"/>
      <c r="H524" s="253"/>
      <c r="I524" s="253"/>
      <c r="J524" s="253"/>
      <c r="K524" s="253"/>
      <c r="L524" s="253"/>
      <c r="M524" s="253"/>
      <c r="N524" s="253"/>
      <c r="O524" s="253"/>
      <c r="P524" s="253"/>
      <c r="Q524" s="253"/>
      <c r="R524" s="253"/>
      <c r="S524" s="253"/>
      <c r="T524" s="253"/>
      <c r="U524" s="253"/>
      <c r="V524" s="253"/>
      <c r="W524" s="253"/>
      <c r="X524" s="253"/>
      <c r="Y524" s="253"/>
    </row>
    <row r="525">
      <c r="A525" s="253"/>
      <c r="B525" s="253"/>
      <c r="C525" s="253"/>
      <c r="D525" s="253"/>
      <c r="E525" s="253"/>
      <c r="F525" s="253"/>
      <c r="G525" s="253"/>
      <c r="H525" s="253"/>
      <c r="I525" s="253"/>
      <c r="J525" s="253"/>
      <c r="K525" s="253"/>
      <c r="L525" s="253"/>
      <c r="M525" s="253"/>
      <c r="N525" s="253"/>
      <c r="O525" s="253"/>
      <c r="P525" s="253"/>
      <c r="Q525" s="253"/>
      <c r="R525" s="253"/>
      <c r="S525" s="253"/>
      <c r="T525" s="253"/>
      <c r="U525" s="253"/>
      <c r="V525" s="253"/>
      <c r="W525" s="253"/>
      <c r="X525" s="253"/>
      <c r="Y525" s="253"/>
    </row>
    <row r="526">
      <c r="A526" s="253"/>
      <c r="B526" s="253"/>
      <c r="C526" s="253"/>
      <c r="D526" s="253"/>
      <c r="E526" s="253"/>
      <c r="F526" s="253"/>
      <c r="G526" s="253"/>
      <c r="H526" s="253"/>
      <c r="I526" s="253"/>
      <c r="J526" s="253"/>
      <c r="K526" s="253"/>
      <c r="L526" s="253"/>
      <c r="M526" s="253"/>
      <c r="N526" s="253"/>
      <c r="O526" s="253"/>
      <c r="P526" s="253"/>
      <c r="Q526" s="253"/>
      <c r="R526" s="253"/>
      <c r="S526" s="253"/>
      <c r="T526" s="253"/>
      <c r="U526" s="253"/>
      <c r="V526" s="253"/>
      <c r="W526" s="253"/>
      <c r="X526" s="253"/>
      <c r="Y526" s="253"/>
    </row>
    <row r="527">
      <c r="A527" s="253"/>
      <c r="B527" s="253"/>
      <c r="C527" s="253"/>
      <c r="D527" s="253"/>
      <c r="E527" s="253"/>
      <c r="F527" s="253"/>
      <c r="G527" s="253"/>
      <c r="H527" s="253"/>
      <c r="I527" s="253"/>
      <c r="J527" s="253"/>
      <c r="K527" s="253"/>
      <c r="L527" s="253"/>
      <c r="M527" s="253"/>
      <c r="N527" s="253"/>
      <c r="O527" s="253"/>
      <c r="P527" s="253"/>
      <c r="Q527" s="253"/>
      <c r="R527" s="253"/>
      <c r="S527" s="253"/>
      <c r="T527" s="253"/>
      <c r="U527" s="253"/>
      <c r="V527" s="253"/>
      <c r="W527" s="253"/>
      <c r="X527" s="253"/>
      <c r="Y527" s="253"/>
    </row>
    <row r="528">
      <c r="A528" s="253"/>
      <c r="B528" s="253"/>
      <c r="C528" s="253"/>
      <c r="D528" s="253"/>
      <c r="E528" s="253"/>
      <c r="F528" s="253"/>
      <c r="G528" s="253"/>
      <c r="H528" s="253"/>
      <c r="I528" s="253"/>
      <c r="J528" s="253"/>
      <c r="K528" s="253"/>
      <c r="L528" s="253"/>
      <c r="M528" s="253"/>
      <c r="N528" s="253"/>
      <c r="O528" s="253"/>
      <c r="P528" s="253"/>
      <c r="Q528" s="253"/>
      <c r="R528" s="253"/>
      <c r="S528" s="253"/>
      <c r="T528" s="253"/>
      <c r="U528" s="253"/>
      <c r="V528" s="253"/>
      <c r="W528" s="253"/>
      <c r="X528" s="253"/>
      <c r="Y528" s="253"/>
    </row>
    <row r="529">
      <c r="A529" s="253"/>
      <c r="B529" s="253"/>
      <c r="C529" s="253"/>
      <c r="D529" s="253"/>
      <c r="E529" s="253"/>
      <c r="F529" s="253"/>
      <c r="G529" s="253"/>
      <c r="H529" s="253"/>
      <c r="I529" s="253"/>
      <c r="J529" s="253"/>
      <c r="K529" s="253"/>
      <c r="L529" s="253"/>
      <c r="M529" s="253"/>
      <c r="N529" s="253"/>
      <c r="O529" s="253"/>
      <c r="P529" s="253"/>
      <c r="Q529" s="253"/>
      <c r="R529" s="253"/>
      <c r="S529" s="253"/>
      <c r="T529" s="253"/>
      <c r="U529" s="253"/>
      <c r="V529" s="253"/>
      <c r="W529" s="253"/>
      <c r="X529" s="253"/>
      <c r="Y529" s="253"/>
    </row>
    <row r="530">
      <c r="A530" s="253"/>
      <c r="B530" s="253"/>
      <c r="C530" s="253"/>
      <c r="D530" s="253"/>
      <c r="E530" s="253"/>
      <c r="F530" s="253"/>
      <c r="G530" s="253"/>
      <c r="H530" s="253"/>
      <c r="I530" s="253"/>
      <c r="J530" s="253"/>
      <c r="K530" s="253"/>
      <c r="L530" s="253"/>
      <c r="M530" s="253"/>
      <c r="N530" s="253"/>
      <c r="O530" s="253"/>
      <c r="P530" s="253"/>
      <c r="Q530" s="253"/>
      <c r="R530" s="253"/>
      <c r="S530" s="253"/>
      <c r="T530" s="253"/>
      <c r="U530" s="253"/>
      <c r="V530" s="253"/>
      <c r="W530" s="253"/>
      <c r="X530" s="253"/>
      <c r="Y530" s="253"/>
    </row>
    <row r="531">
      <c r="A531" s="253"/>
      <c r="B531" s="253"/>
      <c r="C531" s="253"/>
      <c r="D531" s="253"/>
      <c r="E531" s="253"/>
      <c r="F531" s="253"/>
      <c r="G531" s="253"/>
      <c r="H531" s="253"/>
      <c r="I531" s="253"/>
      <c r="J531" s="253"/>
      <c r="K531" s="253"/>
      <c r="L531" s="253"/>
      <c r="M531" s="253"/>
      <c r="N531" s="253"/>
      <c r="O531" s="253"/>
      <c r="P531" s="253"/>
      <c r="Q531" s="253"/>
      <c r="R531" s="253"/>
      <c r="S531" s="253"/>
      <c r="T531" s="253"/>
      <c r="U531" s="253"/>
      <c r="V531" s="253"/>
      <c r="W531" s="253"/>
      <c r="X531" s="253"/>
      <c r="Y531" s="253"/>
    </row>
    <row r="532">
      <c r="A532" s="253"/>
      <c r="B532" s="253"/>
      <c r="C532" s="253"/>
      <c r="D532" s="253"/>
      <c r="E532" s="253"/>
      <c r="F532" s="253"/>
      <c r="G532" s="253"/>
      <c r="H532" s="253"/>
      <c r="I532" s="253"/>
      <c r="J532" s="253"/>
      <c r="K532" s="253"/>
      <c r="L532" s="253"/>
      <c r="M532" s="253"/>
      <c r="N532" s="253"/>
      <c r="O532" s="253"/>
      <c r="P532" s="253"/>
      <c r="Q532" s="253"/>
      <c r="R532" s="253"/>
      <c r="S532" s="253"/>
      <c r="T532" s="253"/>
      <c r="U532" s="253"/>
      <c r="V532" s="253"/>
      <c r="W532" s="253"/>
      <c r="X532" s="253"/>
      <c r="Y532" s="253"/>
    </row>
    <row r="533">
      <c r="A533" s="253"/>
      <c r="B533" s="253"/>
      <c r="C533" s="253"/>
      <c r="D533" s="253"/>
      <c r="E533" s="253"/>
      <c r="F533" s="253"/>
      <c r="G533" s="253"/>
      <c r="H533" s="253"/>
      <c r="I533" s="253"/>
      <c r="J533" s="253"/>
      <c r="K533" s="253"/>
      <c r="L533" s="253"/>
      <c r="M533" s="253"/>
      <c r="N533" s="253"/>
      <c r="O533" s="253"/>
      <c r="P533" s="253"/>
      <c r="Q533" s="253"/>
      <c r="R533" s="253"/>
      <c r="S533" s="253"/>
      <c r="T533" s="253"/>
      <c r="U533" s="253"/>
      <c r="V533" s="253"/>
      <c r="W533" s="253"/>
      <c r="X533" s="253"/>
      <c r="Y533" s="253"/>
    </row>
    <row r="534">
      <c r="A534" s="253"/>
      <c r="B534" s="253"/>
      <c r="C534" s="253"/>
      <c r="D534" s="253"/>
      <c r="E534" s="253"/>
      <c r="F534" s="253"/>
      <c r="G534" s="253"/>
      <c r="H534" s="253"/>
      <c r="I534" s="253"/>
      <c r="J534" s="253"/>
      <c r="K534" s="253"/>
      <c r="L534" s="253"/>
      <c r="M534" s="253"/>
      <c r="N534" s="253"/>
      <c r="O534" s="253"/>
      <c r="P534" s="253"/>
      <c r="Q534" s="253"/>
      <c r="R534" s="253"/>
      <c r="S534" s="253"/>
      <c r="T534" s="253"/>
      <c r="U534" s="253"/>
      <c r="V534" s="253"/>
      <c r="W534" s="253"/>
      <c r="X534" s="253"/>
      <c r="Y534" s="253"/>
    </row>
    <row r="535">
      <c r="A535" s="253"/>
      <c r="B535" s="253"/>
      <c r="C535" s="253"/>
      <c r="D535" s="253"/>
      <c r="E535" s="253"/>
      <c r="F535" s="253"/>
      <c r="G535" s="253"/>
      <c r="H535" s="253"/>
      <c r="I535" s="253"/>
      <c r="J535" s="253"/>
      <c r="K535" s="253"/>
      <c r="L535" s="253"/>
      <c r="M535" s="253"/>
      <c r="N535" s="253"/>
      <c r="O535" s="253"/>
      <c r="P535" s="253"/>
      <c r="Q535" s="253"/>
      <c r="R535" s="253"/>
      <c r="S535" s="253"/>
      <c r="T535" s="253"/>
      <c r="U535" s="253"/>
      <c r="V535" s="253"/>
      <c r="W535" s="253"/>
      <c r="X535" s="253"/>
      <c r="Y535" s="253"/>
    </row>
    <row r="536">
      <c r="A536" s="253"/>
      <c r="B536" s="253"/>
      <c r="C536" s="253"/>
      <c r="D536" s="253"/>
      <c r="E536" s="253"/>
      <c r="F536" s="253"/>
      <c r="G536" s="253"/>
      <c r="H536" s="253"/>
      <c r="I536" s="253"/>
      <c r="J536" s="253"/>
      <c r="K536" s="253"/>
      <c r="L536" s="253"/>
      <c r="M536" s="253"/>
      <c r="N536" s="253"/>
      <c r="O536" s="253"/>
      <c r="P536" s="253"/>
      <c r="Q536" s="253"/>
      <c r="R536" s="253"/>
      <c r="S536" s="253"/>
      <c r="T536" s="253"/>
      <c r="U536" s="253"/>
      <c r="V536" s="253"/>
      <c r="W536" s="253"/>
      <c r="X536" s="253"/>
      <c r="Y536" s="253"/>
    </row>
    <row r="537">
      <c r="A537" s="253"/>
      <c r="B537" s="253"/>
      <c r="C537" s="253"/>
      <c r="D537" s="253"/>
      <c r="E537" s="253"/>
      <c r="F537" s="253"/>
      <c r="G537" s="253"/>
      <c r="H537" s="253"/>
      <c r="I537" s="253"/>
      <c r="J537" s="253"/>
      <c r="K537" s="253"/>
      <c r="L537" s="253"/>
      <c r="M537" s="253"/>
      <c r="N537" s="253"/>
      <c r="O537" s="253"/>
      <c r="P537" s="253"/>
      <c r="Q537" s="253"/>
      <c r="R537" s="253"/>
      <c r="S537" s="253"/>
      <c r="T537" s="253"/>
      <c r="U537" s="253"/>
      <c r="V537" s="253"/>
      <c r="W537" s="253"/>
      <c r="X537" s="253"/>
      <c r="Y537" s="253"/>
    </row>
    <row r="538">
      <c r="A538" s="253"/>
      <c r="B538" s="253"/>
      <c r="C538" s="253"/>
      <c r="D538" s="253"/>
      <c r="E538" s="253"/>
      <c r="F538" s="253"/>
      <c r="G538" s="253"/>
      <c r="H538" s="253"/>
      <c r="I538" s="253"/>
      <c r="J538" s="253"/>
      <c r="K538" s="253"/>
      <c r="L538" s="253"/>
      <c r="M538" s="253"/>
      <c r="N538" s="253"/>
      <c r="O538" s="253"/>
      <c r="P538" s="253"/>
      <c r="Q538" s="253"/>
      <c r="R538" s="253"/>
      <c r="S538" s="253"/>
      <c r="T538" s="253"/>
      <c r="U538" s="253"/>
      <c r="V538" s="253"/>
      <c r="W538" s="253"/>
      <c r="X538" s="253"/>
      <c r="Y538" s="253"/>
    </row>
    <row r="539">
      <c r="A539" s="253"/>
      <c r="B539" s="253"/>
      <c r="C539" s="253"/>
      <c r="D539" s="253"/>
      <c r="E539" s="253"/>
      <c r="F539" s="253"/>
      <c r="G539" s="253"/>
      <c r="H539" s="253"/>
      <c r="I539" s="253"/>
      <c r="J539" s="253"/>
      <c r="K539" s="253"/>
      <c r="L539" s="253"/>
      <c r="M539" s="253"/>
      <c r="N539" s="253"/>
      <c r="O539" s="253"/>
      <c r="P539" s="253"/>
      <c r="Q539" s="253"/>
      <c r="R539" s="253"/>
      <c r="S539" s="253"/>
      <c r="T539" s="253"/>
      <c r="U539" s="253"/>
      <c r="V539" s="253"/>
      <c r="W539" s="253"/>
      <c r="X539" s="253"/>
      <c r="Y539" s="253"/>
    </row>
    <row r="540">
      <c r="A540" s="253"/>
      <c r="B540" s="253"/>
      <c r="C540" s="253"/>
      <c r="D540" s="253"/>
      <c r="E540" s="253"/>
      <c r="F540" s="253"/>
      <c r="G540" s="253"/>
      <c r="H540" s="253"/>
      <c r="I540" s="253"/>
      <c r="J540" s="253"/>
      <c r="K540" s="253"/>
      <c r="L540" s="253"/>
      <c r="M540" s="253"/>
      <c r="N540" s="253"/>
      <c r="O540" s="253"/>
      <c r="P540" s="253"/>
      <c r="Q540" s="253"/>
      <c r="R540" s="253"/>
      <c r="S540" s="253"/>
      <c r="T540" s="253"/>
      <c r="U540" s="253"/>
      <c r="V540" s="253"/>
      <c r="W540" s="253"/>
      <c r="X540" s="253"/>
      <c r="Y540" s="253"/>
    </row>
    <row r="541">
      <c r="A541" s="253"/>
      <c r="B541" s="253"/>
      <c r="C541" s="253"/>
      <c r="D541" s="253"/>
      <c r="E541" s="253"/>
      <c r="F541" s="253"/>
      <c r="G541" s="253"/>
      <c r="H541" s="253"/>
      <c r="I541" s="253"/>
      <c r="J541" s="253"/>
      <c r="K541" s="253"/>
      <c r="L541" s="253"/>
      <c r="M541" s="253"/>
      <c r="N541" s="253"/>
      <c r="O541" s="253"/>
      <c r="P541" s="253"/>
      <c r="Q541" s="253"/>
      <c r="R541" s="253"/>
      <c r="S541" s="253"/>
      <c r="T541" s="253"/>
      <c r="U541" s="253"/>
      <c r="V541" s="253"/>
      <c r="W541" s="253"/>
      <c r="X541" s="253"/>
      <c r="Y541" s="253"/>
    </row>
    <row r="542">
      <c r="A542" s="253"/>
      <c r="B542" s="253"/>
      <c r="C542" s="253"/>
      <c r="D542" s="253"/>
      <c r="E542" s="253"/>
      <c r="F542" s="253"/>
      <c r="G542" s="253"/>
      <c r="H542" s="253"/>
      <c r="I542" s="253"/>
      <c r="J542" s="253"/>
      <c r="K542" s="253"/>
      <c r="L542" s="253"/>
      <c r="M542" s="253"/>
      <c r="N542" s="253"/>
      <c r="O542" s="253"/>
      <c r="P542" s="253"/>
      <c r="Q542" s="253"/>
      <c r="R542" s="253"/>
      <c r="S542" s="253"/>
      <c r="T542" s="253"/>
      <c r="U542" s="253"/>
      <c r="V542" s="253"/>
      <c r="W542" s="253"/>
      <c r="X542" s="253"/>
      <c r="Y542" s="253"/>
    </row>
    <row r="543">
      <c r="A543" s="253"/>
      <c r="B543" s="253"/>
      <c r="C543" s="253"/>
      <c r="D543" s="253"/>
      <c r="E543" s="253"/>
      <c r="F543" s="253"/>
      <c r="G543" s="253"/>
      <c r="H543" s="253"/>
      <c r="I543" s="253"/>
      <c r="J543" s="253"/>
      <c r="K543" s="253"/>
      <c r="L543" s="253"/>
      <c r="M543" s="253"/>
      <c r="N543" s="253"/>
      <c r="O543" s="253"/>
      <c r="P543" s="253"/>
      <c r="Q543" s="253"/>
      <c r="R543" s="253"/>
      <c r="S543" s="253"/>
      <c r="T543" s="253"/>
      <c r="U543" s="253"/>
      <c r="V543" s="253"/>
      <c r="W543" s="253"/>
      <c r="X543" s="253"/>
      <c r="Y543" s="253"/>
    </row>
    <row r="544">
      <c r="A544" s="253"/>
      <c r="B544" s="253"/>
      <c r="C544" s="253"/>
      <c r="D544" s="253"/>
      <c r="E544" s="253"/>
      <c r="F544" s="253"/>
      <c r="G544" s="253"/>
      <c r="H544" s="253"/>
      <c r="I544" s="253"/>
      <c r="J544" s="253"/>
      <c r="K544" s="253"/>
      <c r="L544" s="253"/>
      <c r="M544" s="253"/>
      <c r="N544" s="253"/>
      <c r="O544" s="253"/>
      <c r="P544" s="253"/>
      <c r="Q544" s="253"/>
      <c r="R544" s="253"/>
      <c r="S544" s="253"/>
      <c r="T544" s="253"/>
      <c r="U544" s="253"/>
      <c r="V544" s="253"/>
      <c r="W544" s="253"/>
      <c r="X544" s="253"/>
      <c r="Y544" s="253"/>
    </row>
    <row r="545">
      <c r="A545" s="253"/>
      <c r="B545" s="253"/>
      <c r="C545" s="253"/>
      <c r="D545" s="253"/>
      <c r="E545" s="253"/>
      <c r="F545" s="253"/>
      <c r="G545" s="253"/>
      <c r="H545" s="253"/>
      <c r="I545" s="253"/>
      <c r="J545" s="253"/>
      <c r="K545" s="253"/>
      <c r="L545" s="253"/>
      <c r="M545" s="253"/>
      <c r="N545" s="253"/>
      <c r="O545" s="253"/>
      <c r="P545" s="253"/>
      <c r="Q545" s="253"/>
      <c r="R545" s="253"/>
      <c r="S545" s="253"/>
      <c r="T545" s="253"/>
      <c r="U545" s="253"/>
      <c r="V545" s="253"/>
      <c r="W545" s="253"/>
      <c r="X545" s="253"/>
      <c r="Y545" s="253"/>
    </row>
    <row r="546">
      <c r="A546" s="253"/>
      <c r="B546" s="253"/>
      <c r="C546" s="253"/>
      <c r="D546" s="253"/>
      <c r="E546" s="253"/>
      <c r="F546" s="253"/>
      <c r="G546" s="253"/>
      <c r="H546" s="253"/>
      <c r="I546" s="253"/>
      <c r="J546" s="253"/>
      <c r="K546" s="253"/>
      <c r="L546" s="253"/>
      <c r="M546" s="253"/>
      <c r="N546" s="253"/>
      <c r="O546" s="253"/>
      <c r="P546" s="253"/>
      <c r="Q546" s="253"/>
      <c r="R546" s="253"/>
      <c r="S546" s="253"/>
      <c r="T546" s="253"/>
      <c r="U546" s="253"/>
      <c r="V546" s="253"/>
      <c r="W546" s="253"/>
      <c r="X546" s="253"/>
      <c r="Y546" s="253"/>
    </row>
    <row r="547">
      <c r="A547" s="253"/>
      <c r="B547" s="253"/>
      <c r="C547" s="253"/>
      <c r="D547" s="253"/>
      <c r="E547" s="253"/>
      <c r="F547" s="253"/>
      <c r="G547" s="253"/>
      <c r="H547" s="253"/>
      <c r="I547" s="253"/>
      <c r="J547" s="253"/>
      <c r="K547" s="253"/>
      <c r="L547" s="253"/>
      <c r="M547" s="253"/>
      <c r="N547" s="253"/>
      <c r="O547" s="253"/>
      <c r="P547" s="253"/>
      <c r="Q547" s="253"/>
      <c r="R547" s="253"/>
      <c r="S547" s="253"/>
      <c r="T547" s="253"/>
      <c r="U547" s="253"/>
      <c r="V547" s="253"/>
      <c r="W547" s="253"/>
      <c r="X547" s="253"/>
      <c r="Y547" s="253"/>
    </row>
    <row r="548">
      <c r="A548" s="253"/>
      <c r="B548" s="253"/>
      <c r="C548" s="253"/>
      <c r="D548" s="253"/>
      <c r="E548" s="253"/>
      <c r="F548" s="253"/>
      <c r="G548" s="253"/>
      <c r="H548" s="253"/>
      <c r="I548" s="253"/>
      <c r="J548" s="253"/>
      <c r="K548" s="253"/>
      <c r="L548" s="253"/>
      <c r="M548" s="253"/>
      <c r="N548" s="253"/>
      <c r="O548" s="253"/>
      <c r="P548" s="253"/>
      <c r="Q548" s="253"/>
      <c r="R548" s="253"/>
      <c r="S548" s="253"/>
      <c r="T548" s="253"/>
      <c r="U548" s="253"/>
      <c r="V548" s="253"/>
      <c r="W548" s="253"/>
      <c r="X548" s="253"/>
      <c r="Y548" s="253"/>
    </row>
    <row r="549">
      <c r="A549" s="253"/>
      <c r="B549" s="253"/>
      <c r="C549" s="253"/>
      <c r="D549" s="253"/>
      <c r="E549" s="253"/>
      <c r="F549" s="253"/>
      <c r="G549" s="253"/>
      <c r="H549" s="253"/>
      <c r="I549" s="253"/>
      <c r="J549" s="253"/>
      <c r="K549" s="253"/>
      <c r="L549" s="253"/>
      <c r="M549" s="253"/>
      <c r="N549" s="253"/>
      <c r="O549" s="253"/>
      <c r="P549" s="253"/>
      <c r="Q549" s="253"/>
      <c r="R549" s="253"/>
      <c r="S549" s="253"/>
      <c r="T549" s="253"/>
      <c r="U549" s="253"/>
      <c r="V549" s="253"/>
      <c r="W549" s="253"/>
      <c r="X549" s="253"/>
      <c r="Y549" s="253"/>
    </row>
    <row r="550">
      <c r="A550" s="253"/>
      <c r="B550" s="253"/>
      <c r="C550" s="253"/>
      <c r="D550" s="253"/>
      <c r="E550" s="253"/>
      <c r="F550" s="253"/>
      <c r="G550" s="253"/>
      <c r="H550" s="253"/>
      <c r="I550" s="253"/>
      <c r="J550" s="253"/>
      <c r="K550" s="253"/>
      <c r="L550" s="253"/>
      <c r="M550" s="253"/>
      <c r="N550" s="253"/>
      <c r="O550" s="253"/>
      <c r="P550" s="253"/>
      <c r="Q550" s="253"/>
      <c r="R550" s="253"/>
      <c r="S550" s="253"/>
      <c r="T550" s="253"/>
      <c r="U550" s="253"/>
      <c r="V550" s="253"/>
      <c r="W550" s="253"/>
      <c r="X550" s="253"/>
      <c r="Y550" s="253"/>
    </row>
    <row r="551">
      <c r="A551" s="253"/>
      <c r="B551" s="253"/>
      <c r="C551" s="253"/>
      <c r="D551" s="253"/>
      <c r="E551" s="253"/>
      <c r="F551" s="253"/>
      <c r="G551" s="253"/>
      <c r="H551" s="253"/>
      <c r="I551" s="253"/>
      <c r="J551" s="253"/>
      <c r="K551" s="253"/>
      <c r="L551" s="253"/>
      <c r="M551" s="253"/>
      <c r="N551" s="253"/>
      <c r="O551" s="253"/>
      <c r="P551" s="253"/>
      <c r="Q551" s="253"/>
      <c r="R551" s="253"/>
      <c r="S551" s="253"/>
      <c r="T551" s="253"/>
      <c r="U551" s="253"/>
      <c r="V551" s="253"/>
      <c r="W551" s="253"/>
      <c r="X551" s="253"/>
      <c r="Y551" s="253"/>
    </row>
    <row r="552">
      <c r="A552" s="253"/>
      <c r="B552" s="253"/>
      <c r="C552" s="253"/>
      <c r="D552" s="253"/>
      <c r="E552" s="253"/>
      <c r="F552" s="253"/>
      <c r="G552" s="253"/>
      <c r="H552" s="253"/>
      <c r="I552" s="253"/>
      <c r="J552" s="253"/>
      <c r="K552" s="253"/>
      <c r="L552" s="253"/>
      <c r="M552" s="253"/>
      <c r="N552" s="253"/>
      <c r="O552" s="253"/>
      <c r="P552" s="253"/>
      <c r="Q552" s="253"/>
      <c r="R552" s="253"/>
      <c r="S552" s="253"/>
      <c r="T552" s="253"/>
      <c r="U552" s="253"/>
      <c r="V552" s="253"/>
      <c r="W552" s="253"/>
      <c r="X552" s="253"/>
      <c r="Y552" s="253"/>
    </row>
    <row r="553">
      <c r="A553" s="253"/>
      <c r="B553" s="253"/>
      <c r="C553" s="253"/>
      <c r="D553" s="253"/>
      <c r="E553" s="253"/>
      <c r="F553" s="253"/>
      <c r="G553" s="253"/>
      <c r="H553" s="253"/>
      <c r="I553" s="253"/>
      <c r="J553" s="253"/>
      <c r="K553" s="253"/>
      <c r="L553" s="253"/>
      <c r="M553" s="253"/>
      <c r="N553" s="253"/>
      <c r="O553" s="253"/>
      <c r="P553" s="253"/>
      <c r="Q553" s="253"/>
      <c r="R553" s="253"/>
      <c r="S553" s="253"/>
      <c r="T553" s="253"/>
      <c r="U553" s="253"/>
      <c r="V553" s="253"/>
      <c r="W553" s="253"/>
      <c r="X553" s="253"/>
      <c r="Y553" s="253"/>
    </row>
    <row r="554">
      <c r="A554" s="253"/>
      <c r="B554" s="253"/>
      <c r="C554" s="253"/>
      <c r="D554" s="253"/>
      <c r="E554" s="253"/>
      <c r="F554" s="253"/>
      <c r="G554" s="253"/>
      <c r="H554" s="253"/>
      <c r="I554" s="253"/>
      <c r="J554" s="253"/>
      <c r="K554" s="253"/>
      <c r="L554" s="253"/>
      <c r="M554" s="253"/>
      <c r="N554" s="253"/>
      <c r="O554" s="253"/>
      <c r="P554" s="253"/>
      <c r="Q554" s="253"/>
      <c r="R554" s="253"/>
      <c r="S554" s="253"/>
      <c r="T554" s="253"/>
      <c r="U554" s="253"/>
      <c r="V554" s="253"/>
      <c r="W554" s="253"/>
      <c r="X554" s="253"/>
      <c r="Y554" s="253"/>
    </row>
    <row r="555">
      <c r="A555" s="253"/>
      <c r="B555" s="253"/>
      <c r="C555" s="253"/>
      <c r="D555" s="253"/>
      <c r="E555" s="253"/>
      <c r="F555" s="253"/>
      <c r="G555" s="253"/>
      <c r="H555" s="253"/>
      <c r="I555" s="253"/>
      <c r="J555" s="253"/>
      <c r="K555" s="253"/>
      <c r="L555" s="253"/>
      <c r="M555" s="253"/>
      <c r="N555" s="253"/>
      <c r="O555" s="253"/>
      <c r="P555" s="253"/>
      <c r="Q555" s="253"/>
      <c r="R555" s="253"/>
      <c r="S555" s="253"/>
      <c r="T555" s="253"/>
      <c r="U555" s="253"/>
      <c r="V555" s="253"/>
      <c r="W555" s="253"/>
      <c r="X555" s="253"/>
      <c r="Y555" s="253"/>
    </row>
    <row r="556">
      <c r="A556" s="253"/>
      <c r="B556" s="253"/>
      <c r="C556" s="253"/>
      <c r="D556" s="253"/>
      <c r="E556" s="253"/>
      <c r="F556" s="253"/>
      <c r="G556" s="253"/>
      <c r="H556" s="253"/>
      <c r="I556" s="253"/>
      <c r="J556" s="253"/>
      <c r="K556" s="253"/>
      <c r="L556" s="253"/>
      <c r="M556" s="253"/>
      <c r="N556" s="253"/>
      <c r="O556" s="253"/>
      <c r="P556" s="253"/>
      <c r="Q556" s="253"/>
      <c r="R556" s="253"/>
      <c r="S556" s="253"/>
      <c r="T556" s="253"/>
      <c r="U556" s="253"/>
      <c r="V556" s="253"/>
      <c r="W556" s="253"/>
      <c r="X556" s="253"/>
      <c r="Y556" s="253"/>
    </row>
    <row r="557">
      <c r="A557" s="253"/>
      <c r="B557" s="253"/>
      <c r="C557" s="253"/>
      <c r="D557" s="253"/>
      <c r="E557" s="253"/>
      <c r="F557" s="253"/>
      <c r="G557" s="253"/>
      <c r="H557" s="253"/>
      <c r="I557" s="253"/>
      <c r="J557" s="253"/>
      <c r="K557" s="253"/>
      <c r="L557" s="253"/>
      <c r="M557" s="253"/>
      <c r="N557" s="253"/>
      <c r="O557" s="253"/>
      <c r="P557" s="253"/>
      <c r="Q557" s="253"/>
      <c r="R557" s="253"/>
      <c r="S557" s="253"/>
      <c r="T557" s="253"/>
      <c r="U557" s="253"/>
      <c r="V557" s="253"/>
      <c r="W557" s="253"/>
      <c r="X557" s="253"/>
      <c r="Y557" s="253"/>
    </row>
    <row r="558">
      <c r="A558" s="253"/>
      <c r="B558" s="253"/>
      <c r="C558" s="253"/>
      <c r="D558" s="253"/>
      <c r="E558" s="253"/>
      <c r="F558" s="253"/>
      <c r="G558" s="253"/>
      <c r="H558" s="253"/>
      <c r="I558" s="253"/>
      <c r="J558" s="253"/>
      <c r="K558" s="253"/>
      <c r="L558" s="253"/>
      <c r="M558" s="253"/>
      <c r="N558" s="253"/>
      <c r="O558" s="253"/>
      <c r="P558" s="253"/>
      <c r="Q558" s="253"/>
      <c r="R558" s="253"/>
      <c r="S558" s="253"/>
      <c r="T558" s="253"/>
      <c r="U558" s="253"/>
      <c r="V558" s="253"/>
      <c r="W558" s="253"/>
      <c r="X558" s="253"/>
      <c r="Y558" s="253"/>
    </row>
    <row r="559">
      <c r="A559" s="253"/>
      <c r="B559" s="253"/>
      <c r="C559" s="253"/>
      <c r="D559" s="253"/>
      <c r="E559" s="253"/>
      <c r="F559" s="253"/>
      <c r="G559" s="253"/>
      <c r="H559" s="253"/>
      <c r="I559" s="253"/>
      <c r="J559" s="253"/>
      <c r="K559" s="253"/>
      <c r="L559" s="253"/>
      <c r="M559" s="253"/>
      <c r="N559" s="253"/>
      <c r="O559" s="253"/>
      <c r="P559" s="253"/>
      <c r="Q559" s="253"/>
      <c r="R559" s="253"/>
      <c r="S559" s="253"/>
      <c r="T559" s="253"/>
      <c r="U559" s="253"/>
      <c r="V559" s="253"/>
      <c r="W559" s="253"/>
      <c r="X559" s="253"/>
      <c r="Y559" s="253"/>
    </row>
    <row r="560">
      <c r="A560" s="253"/>
      <c r="B560" s="253"/>
      <c r="C560" s="253"/>
      <c r="D560" s="253"/>
      <c r="E560" s="253"/>
      <c r="F560" s="253"/>
      <c r="G560" s="253"/>
      <c r="H560" s="253"/>
      <c r="I560" s="253"/>
      <c r="J560" s="253"/>
      <c r="K560" s="253"/>
      <c r="L560" s="253"/>
      <c r="M560" s="253"/>
      <c r="N560" s="253"/>
      <c r="O560" s="253"/>
      <c r="P560" s="253"/>
      <c r="Q560" s="253"/>
      <c r="R560" s="253"/>
      <c r="S560" s="253"/>
      <c r="T560" s="253"/>
      <c r="U560" s="253"/>
      <c r="V560" s="253"/>
      <c r="W560" s="253"/>
      <c r="X560" s="253"/>
      <c r="Y560" s="253"/>
    </row>
    <row r="561">
      <c r="A561" s="253"/>
      <c r="B561" s="253"/>
      <c r="C561" s="253"/>
      <c r="D561" s="253"/>
      <c r="E561" s="253"/>
      <c r="F561" s="253"/>
      <c r="G561" s="253"/>
      <c r="H561" s="253"/>
      <c r="I561" s="253"/>
      <c r="J561" s="253"/>
      <c r="K561" s="253"/>
      <c r="L561" s="253"/>
      <c r="M561" s="253"/>
      <c r="N561" s="253"/>
      <c r="O561" s="253"/>
      <c r="P561" s="253"/>
      <c r="Q561" s="253"/>
      <c r="R561" s="253"/>
      <c r="S561" s="253"/>
      <c r="T561" s="253"/>
      <c r="U561" s="253"/>
      <c r="V561" s="253"/>
      <c r="W561" s="253"/>
      <c r="X561" s="253"/>
      <c r="Y561" s="253"/>
    </row>
    <row r="562">
      <c r="A562" s="253"/>
      <c r="B562" s="253"/>
      <c r="C562" s="253"/>
      <c r="D562" s="253"/>
      <c r="E562" s="253"/>
      <c r="F562" s="253"/>
      <c r="G562" s="253"/>
      <c r="H562" s="253"/>
      <c r="I562" s="253"/>
      <c r="J562" s="253"/>
      <c r="K562" s="253"/>
      <c r="L562" s="253"/>
      <c r="M562" s="253"/>
      <c r="N562" s="253"/>
      <c r="O562" s="253"/>
      <c r="P562" s="253"/>
      <c r="Q562" s="253"/>
      <c r="R562" s="253"/>
      <c r="S562" s="253"/>
      <c r="T562" s="253"/>
      <c r="U562" s="253"/>
      <c r="V562" s="253"/>
      <c r="W562" s="253"/>
      <c r="X562" s="253"/>
      <c r="Y562" s="253"/>
    </row>
    <row r="563">
      <c r="A563" s="253"/>
      <c r="B563" s="253"/>
      <c r="C563" s="253"/>
      <c r="D563" s="253"/>
      <c r="E563" s="253"/>
      <c r="F563" s="253"/>
      <c r="G563" s="253"/>
      <c r="H563" s="253"/>
      <c r="I563" s="253"/>
      <c r="J563" s="253"/>
      <c r="K563" s="253"/>
      <c r="L563" s="253"/>
      <c r="M563" s="253"/>
      <c r="N563" s="253"/>
      <c r="O563" s="253"/>
      <c r="P563" s="253"/>
      <c r="Q563" s="253"/>
      <c r="R563" s="253"/>
      <c r="S563" s="253"/>
      <c r="T563" s="253"/>
      <c r="U563" s="253"/>
      <c r="V563" s="253"/>
      <c r="W563" s="253"/>
      <c r="X563" s="253"/>
      <c r="Y563" s="253"/>
    </row>
    <row r="564">
      <c r="A564" s="253"/>
      <c r="B564" s="253"/>
      <c r="C564" s="253"/>
      <c r="D564" s="253"/>
      <c r="E564" s="253"/>
      <c r="F564" s="253"/>
      <c r="G564" s="253"/>
      <c r="H564" s="253"/>
      <c r="I564" s="253"/>
      <c r="J564" s="253"/>
      <c r="K564" s="253"/>
      <c r="L564" s="253"/>
      <c r="M564" s="253"/>
      <c r="N564" s="253"/>
      <c r="O564" s="253"/>
      <c r="P564" s="253"/>
      <c r="Q564" s="253"/>
      <c r="R564" s="253"/>
      <c r="S564" s="253"/>
      <c r="T564" s="253"/>
      <c r="U564" s="253"/>
      <c r="V564" s="253"/>
      <c r="W564" s="253"/>
      <c r="X564" s="253"/>
      <c r="Y564" s="253"/>
    </row>
    <row r="565">
      <c r="A565" s="253"/>
      <c r="B565" s="253"/>
      <c r="C565" s="253"/>
      <c r="D565" s="253"/>
      <c r="E565" s="253"/>
      <c r="F565" s="253"/>
      <c r="G565" s="253"/>
      <c r="H565" s="253"/>
      <c r="I565" s="253"/>
      <c r="J565" s="253"/>
      <c r="K565" s="253"/>
      <c r="L565" s="253"/>
      <c r="M565" s="253"/>
      <c r="N565" s="253"/>
      <c r="O565" s="253"/>
      <c r="P565" s="253"/>
      <c r="Q565" s="253"/>
      <c r="R565" s="253"/>
      <c r="S565" s="253"/>
      <c r="T565" s="253"/>
      <c r="U565" s="253"/>
      <c r="V565" s="253"/>
      <c r="W565" s="253"/>
      <c r="X565" s="253"/>
      <c r="Y565" s="253"/>
    </row>
    <row r="566">
      <c r="A566" s="253"/>
      <c r="B566" s="253"/>
      <c r="C566" s="253"/>
      <c r="D566" s="253"/>
      <c r="E566" s="253"/>
      <c r="F566" s="253"/>
      <c r="G566" s="253"/>
      <c r="H566" s="253"/>
      <c r="I566" s="253"/>
      <c r="J566" s="253"/>
      <c r="K566" s="253"/>
      <c r="L566" s="253"/>
      <c r="M566" s="253"/>
      <c r="N566" s="253"/>
      <c r="O566" s="253"/>
      <c r="P566" s="253"/>
      <c r="Q566" s="253"/>
      <c r="R566" s="253"/>
      <c r="S566" s="253"/>
      <c r="T566" s="253"/>
      <c r="U566" s="253"/>
      <c r="V566" s="253"/>
      <c r="W566" s="253"/>
      <c r="X566" s="253"/>
      <c r="Y566" s="253"/>
    </row>
    <row r="567">
      <c r="A567" s="253"/>
      <c r="B567" s="253"/>
      <c r="C567" s="253"/>
      <c r="D567" s="253"/>
      <c r="E567" s="253"/>
      <c r="F567" s="253"/>
      <c r="G567" s="253"/>
      <c r="H567" s="253"/>
      <c r="I567" s="253"/>
      <c r="J567" s="253"/>
      <c r="K567" s="253"/>
      <c r="L567" s="253"/>
      <c r="M567" s="253"/>
      <c r="N567" s="253"/>
      <c r="O567" s="253"/>
      <c r="P567" s="253"/>
      <c r="Q567" s="253"/>
      <c r="R567" s="253"/>
      <c r="S567" s="253"/>
      <c r="T567" s="253"/>
      <c r="U567" s="253"/>
      <c r="V567" s="253"/>
      <c r="W567" s="253"/>
      <c r="X567" s="253"/>
      <c r="Y567" s="253"/>
    </row>
    <row r="568">
      <c r="A568" s="253"/>
      <c r="B568" s="253"/>
      <c r="C568" s="253"/>
      <c r="D568" s="253"/>
      <c r="E568" s="253"/>
      <c r="F568" s="253"/>
      <c r="G568" s="253"/>
      <c r="H568" s="253"/>
      <c r="I568" s="253"/>
      <c r="J568" s="253"/>
      <c r="K568" s="253"/>
      <c r="L568" s="253"/>
      <c r="M568" s="253"/>
      <c r="N568" s="253"/>
      <c r="O568" s="253"/>
      <c r="P568" s="253"/>
      <c r="Q568" s="253"/>
      <c r="R568" s="253"/>
      <c r="S568" s="253"/>
      <c r="T568" s="253"/>
      <c r="U568" s="253"/>
      <c r="V568" s="253"/>
      <c r="W568" s="253"/>
      <c r="X568" s="253"/>
      <c r="Y568" s="253"/>
    </row>
    <row r="569">
      <c r="A569" s="253"/>
      <c r="B569" s="253"/>
      <c r="C569" s="253"/>
      <c r="D569" s="253"/>
      <c r="E569" s="253"/>
      <c r="F569" s="253"/>
      <c r="G569" s="253"/>
      <c r="H569" s="253"/>
      <c r="I569" s="253"/>
      <c r="J569" s="253"/>
      <c r="K569" s="253"/>
      <c r="L569" s="253"/>
      <c r="M569" s="253"/>
      <c r="N569" s="253"/>
      <c r="O569" s="253"/>
      <c r="P569" s="253"/>
      <c r="Q569" s="253"/>
      <c r="R569" s="253"/>
      <c r="S569" s="253"/>
      <c r="T569" s="253"/>
      <c r="U569" s="253"/>
      <c r="V569" s="253"/>
      <c r="W569" s="253"/>
      <c r="X569" s="253"/>
      <c r="Y569" s="253"/>
    </row>
    <row r="570">
      <c r="A570" s="253"/>
      <c r="B570" s="253"/>
      <c r="C570" s="253"/>
      <c r="D570" s="253"/>
      <c r="E570" s="253"/>
      <c r="F570" s="253"/>
      <c r="G570" s="253"/>
      <c r="H570" s="253"/>
      <c r="I570" s="253"/>
      <c r="J570" s="253"/>
      <c r="K570" s="253"/>
      <c r="L570" s="253"/>
      <c r="M570" s="253"/>
      <c r="N570" s="253"/>
      <c r="O570" s="253"/>
      <c r="P570" s="253"/>
      <c r="Q570" s="253"/>
      <c r="R570" s="253"/>
      <c r="S570" s="253"/>
      <c r="T570" s="253"/>
      <c r="U570" s="253"/>
      <c r="V570" s="253"/>
      <c r="W570" s="253"/>
      <c r="X570" s="253"/>
      <c r="Y570" s="253"/>
    </row>
    <row r="571">
      <c r="A571" s="253"/>
      <c r="B571" s="253"/>
      <c r="C571" s="253"/>
      <c r="D571" s="253"/>
      <c r="E571" s="253"/>
      <c r="F571" s="253"/>
      <c r="G571" s="253"/>
      <c r="H571" s="253"/>
      <c r="I571" s="253"/>
      <c r="J571" s="253"/>
      <c r="K571" s="253"/>
      <c r="L571" s="253"/>
      <c r="M571" s="253"/>
      <c r="N571" s="253"/>
      <c r="O571" s="253"/>
      <c r="P571" s="253"/>
      <c r="Q571" s="253"/>
      <c r="R571" s="253"/>
      <c r="S571" s="253"/>
      <c r="T571" s="253"/>
      <c r="U571" s="253"/>
      <c r="V571" s="253"/>
      <c r="W571" s="253"/>
      <c r="X571" s="253"/>
      <c r="Y571" s="253"/>
    </row>
    <row r="572">
      <c r="A572" s="253"/>
      <c r="B572" s="253"/>
      <c r="C572" s="253"/>
      <c r="D572" s="253"/>
      <c r="E572" s="253"/>
      <c r="F572" s="253"/>
      <c r="G572" s="253"/>
      <c r="H572" s="253"/>
      <c r="I572" s="253"/>
      <c r="J572" s="253"/>
      <c r="K572" s="253"/>
      <c r="L572" s="253"/>
      <c r="M572" s="253"/>
      <c r="N572" s="253"/>
      <c r="O572" s="253"/>
      <c r="P572" s="253"/>
      <c r="Q572" s="253"/>
      <c r="R572" s="253"/>
      <c r="S572" s="253"/>
      <c r="T572" s="253"/>
      <c r="U572" s="253"/>
      <c r="V572" s="253"/>
      <c r="W572" s="253"/>
      <c r="X572" s="253"/>
      <c r="Y572" s="253"/>
    </row>
    <row r="573">
      <c r="A573" s="253"/>
      <c r="B573" s="253"/>
      <c r="C573" s="253"/>
      <c r="D573" s="253"/>
      <c r="E573" s="253"/>
      <c r="F573" s="253"/>
      <c r="G573" s="253"/>
      <c r="H573" s="253"/>
      <c r="I573" s="253"/>
      <c r="J573" s="253"/>
      <c r="K573" s="253"/>
      <c r="L573" s="253"/>
      <c r="M573" s="253"/>
      <c r="N573" s="253"/>
      <c r="O573" s="253"/>
      <c r="P573" s="253"/>
      <c r="Q573" s="253"/>
      <c r="R573" s="253"/>
      <c r="S573" s="253"/>
      <c r="T573" s="253"/>
      <c r="U573" s="253"/>
      <c r="V573" s="253"/>
      <c r="W573" s="253"/>
      <c r="X573" s="253"/>
      <c r="Y573" s="253"/>
    </row>
    <row r="574">
      <c r="A574" s="253"/>
      <c r="B574" s="253"/>
      <c r="C574" s="253"/>
      <c r="D574" s="253"/>
      <c r="E574" s="253"/>
      <c r="F574" s="253"/>
      <c r="G574" s="253"/>
      <c r="H574" s="253"/>
      <c r="I574" s="253"/>
      <c r="J574" s="253"/>
      <c r="K574" s="253"/>
      <c r="L574" s="253"/>
      <c r="M574" s="253"/>
      <c r="N574" s="253"/>
      <c r="O574" s="253"/>
      <c r="P574" s="253"/>
      <c r="Q574" s="253"/>
      <c r="R574" s="253"/>
      <c r="S574" s="253"/>
      <c r="T574" s="253"/>
      <c r="U574" s="253"/>
      <c r="V574" s="253"/>
      <c r="W574" s="253"/>
      <c r="X574" s="253"/>
      <c r="Y574" s="253"/>
    </row>
    <row r="575">
      <c r="A575" s="253"/>
      <c r="B575" s="253"/>
      <c r="C575" s="253"/>
      <c r="D575" s="253"/>
      <c r="E575" s="253"/>
      <c r="F575" s="253"/>
      <c r="G575" s="253"/>
      <c r="H575" s="253"/>
      <c r="I575" s="253"/>
      <c r="J575" s="253"/>
      <c r="K575" s="253"/>
      <c r="L575" s="253"/>
      <c r="M575" s="253"/>
      <c r="N575" s="253"/>
      <c r="O575" s="253"/>
      <c r="P575" s="253"/>
      <c r="Q575" s="253"/>
      <c r="R575" s="253"/>
      <c r="S575" s="253"/>
      <c r="T575" s="253"/>
      <c r="U575" s="253"/>
      <c r="V575" s="253"/>
      <c r="W575" s="253"/>
      <c r="X575" s="253"/>
      <c r="Y575" s="253"/>
    </row>
    <row r="576">
      <c r="A576" s="253"/>
      <c r="B576" s="253"/>
      <c r="C576" s="253"/>
      <c r="D576" s="253"/>
      <c r="E576" s="253"/>
      <c r="F576" s="253"/>
      <c r="G576" s="253"/>
      <c r="H576" s="253"/>
      <c r="I576" s="253"/>
      <c r="J576" s="253"/>
      <c r="K576" s="253"/>
      <c r="L576" s="253"/>
      <c r="M576" s="253"/>
      <c r="N576" s="253"/>
      <c r="O576" s="253"/>
      <c r="P576" s="253"/>
      <c r="Q576" s="253"/>
      <c r="R576" s="253"/>
      <c r="S576" s="253"/>
      <c r="T576" s="253"/>
      <c r="U576" s="253"/>
      <c r="V576" s="253"/>
      <c r="W576" s="253"/>
      <c r="X576" s="253"/>
      <c r="Y576" s="253"/>
    </row>
    <row r="577">
      <c r="A577" s="253"/>
      <c r="B577" s="253"/>
      <c r="C577" s="253"/>
      <c r="D577" s="253"/>
      <c r="E577" s="253"/>
      <c r="F577" s="253"/>
      <c r="G577" s="253"/>
      <c r="H577" s="253"/>
      <c r="I577" s="253"/>
      <c r="J577" s="253"/>
      <c r="K577" s="253"/>
      <c r="L577" s="253"/>
      <c r="M577" s="253"/>
      <c r="N577" s="253"/>
      <c r="O577" s="253"/>
      <c r="P577" s="253"/>
      <c r="Q577" s="253"/>
      <c r="R577" s="253"/>
      <c r="S577" s="253"/>
      <c r="T577" s="253"/>
      <c r="U577" s="253"/>
      <c r="V577" s="253"/>
      <c r="W577" s="253"/>
      <c r="X577" s="253"/>
      <c r="Y577" s="253"/>
    </row>
    <row r="578">
      <c r="A578" s="253"/>
      <c r="B578" s="253"/>
      <c r="C578" s="253"/>
      <c r="D578" s="253"/>
      <c r="E578" s="253"/>
      <c r="F578" s="253"/>
      <c r="G578" s="253"/>
      <c r="H578" s="253"/>
      <c r="I578" s="253"/>
      <c r="J578" s="253"/>
      <c r="K578" s="253"/>
      <c r="L578" s="253"/>
      <c r="M578" s="253"/>
      <c r="N578" s="253"/>
      <c r="O578" s="253"/>
      <c r="P578" s="253"/>
      <c r="Q578" s="253"/>
      <c r="R578" s="253"/>
      <c r="S578" s="253"/>
      <c r="T578" s="253"/>
      <c r="U578" s="253"/>
      <c r="V578" s="253"/>
      <c r="W578" s="253"/>
      <c r="X578" s="253"/>
      <c r="Y578" s="253"/>
    </row>
    <row r="579">
      <c r="A579" s="253"/>
      <c r="B579" s="253"/>
      <c r="C579" s="253"/>
      <c r="D579" s="253"/>
      <c r="E579" s="253"/>
      <c r="F579" s="253"/>
      <c r="G579" s="253"/>
      <c r="H579" s="253"/>
      <c r="I579" s="253"/>
      <c r="J579" s="253"/>
      <c r="K579" s="253"/>
      <c r="L579" s="253"/>
      <c r="M579" s="253"/>
      <c r="N579" s="253"/>
      <c r="O579" s="253"/>
      <c r="P579" s="253"/>
      <c r="Q579" s="253"/>
      <c r="R579" s="253"/>
      <c r="S579" s="253"/>
      <c r="T579" s="253"/>
      <c r="U579" s="253"/>
      <c r="V579" s="253"/>
      <c r="W579" s="253"/>
      <c r="X579" s="253"/>
      <c r="Y579" s="253"/>
    </row>
    <row r="580">
      <c r="A580" s="253"/>
      <c r="B580" s="253"/>
      <c r="C580" s="253"/>
      <c r="D580" s="253"/>
      <c r="E580" s="253"/>
      <c r="F580" s="253"/>
      <c r="G580" s="253"/>
      <c r="H580" s="253"/>
      <c r="I580" s="253"/>
      <c r="J580" s="253"/>
      <c r="K580" s="253"/>
      <c r="L580" s="253"/>
      <c r="M580" s="253"/>
      <c r="N580" s="253"/>
      <c r="O580" s="253"/>
      <c r="P580" s="253"/>
      <c r="Q580" s="253"/>
      <c r="R580" s="253"/>
      <c r="S580" s="253"/>
      <c r="T580" s="253"/>
      <c r="U580" s="253"/>
      <c r="V580" s="253"/>
      <c r="W580" s="253"/>
      <c r="X580" s="253"/>
      <c r="Y580" s="253"/>
    </row>
    <row r="581">
      <c r="A581" s="253"/>
      <c r="B581" s="253"/>
      <c r="C581" s="253"/>
      <c r="D581" s="253"/>
      <c r="E581" s="253"/>
      <c r="F581" s="253"/>
      <c r="G581" s="253"/>
      <c r="H581" s="253"/>
      <c r="I581" s="253"/>
      <c r="J581" s="253"/>
      <c r="K581" s="253"/>
      <c r="L581" s="253"/>
      <c r="M581" s="253"/>
      <c r="N581" s="253"/>
      <c r="O581" s="253"/>
      <c r="P581" s="253"/>
      <c r="Q581" s="253"/>
      <c r="R581" s="253"/>
      <c r="S581" s="253"/>
      <c r="T581" s="253"/>
      <c r="U581" s="253"/>
      <c r="V581" s="253"/>
      <c r="W581" s="253"/>
      <c r="X581" s="253"/>
      <c r="Y581" s="253"/>
    </row>
    <row r="582">
      <c r="A582" s="253"/>
      <c r="B582" s="253"/>
      <c r="C582" s="253"/>
      <c r="D582" s="253"/>
      <c r="E582" s="253"/>
      <c r="F582" s="253"/>
      <c r="G582" s="253"/>
      <c r="H582" s="253"/>
      <c r="I582" s="253"/>
      <c r="J582" s="253"/>
      <c r="K582" s="253"/>
      <c r="L582" s="253"/>
      <c r="M582" s="253"/>
      <c r="N582" s="253"/>
      <c r="O582" s="253"/>
      <c r="P582" s="253"/>
      <c r="Q582" s="253"/>
      <c r="R582" s="253"/>
      <c r="S582" s="253"/>
      <c r="T582" s="253"/>
      <c r="U582" s="253"/>
      <c r="V582" s="253"/>
      <c r="W582" s="253"/>
      <c r="X582" s="253"/>
      <c r="Y582" s="253"/>
    </row>
    <row r="583">
      <c r="A583" s="253"/>
      <c r="B583" s="253"/>
      <c r="C583" s="253"/>
      <c r="D583" s="253"/>
      <c r="E583" s="253"/>
      <c r="F583" s="253"/>
      <c r="G583" s="253"/>
      <c r="H583" s="253"/>
      <c r="I583" s="253"/>
      <c r="J583" s="253"/>
      <c r="K583" s="253"/>
      <c r="L583" s="253"/>
      <c r="M583" s="253"/>
      <c r="N583" s="253"/>
      <c r="O583" s="253"/>
      <c r="P583" s="253"/>
      <c r="Q583" s="253"/>
      <c r="R583" s="253"/>
      <c r="S583" s="253"/>
      <c r="T583" s="253"/>
      <c r="U583" s="253"/>
      <c r="V583" s="253"/>
      <c r="W583" s="253"/>
      <c r="X583" s="253"/>
      <c r="Y583" s="253"/>
    </row>
    <row r="584">
      <c r="A584" s="253"/>
      <c r="B584" s="253"/>
      <c r="C584" s="253"/>
      <c r="D584" s="253"/>
      <c r="E584" s="253"/>
      <c r="F584" s="253"/>
      <c r="G584" s="253"/>
      <c r="H584" s="253"/>
      <c r="I584" s="253"/>
      <c r="J584" s="253"/>
      <c r="K584" s="253"/>
      <c r="L584" s="253"/>
      <c r="M584" s="253"/>
      <c r="N584" s="253"/>
      <c r="O584" s="253"/>
      <c r="P584" s="253"/>
      <c r="Q584" s="253"/>
      <c r="R584" s="253"/>
      <c r="S584" s="253"/>
      <c r="T584" s="253"/>
      <c r="U584" s="253"/>
      <c r="V584" s="253"/>
      <c r="W584" s="253"/>
      <c r="X584" s="253"/>
      <c r="Y584" s="253"/>
    </row>
    <row r="585">
      <c r="A585" s="253"/>
      <c r="B585" s="253"/>
      <c r="C585" s="253"/>
      <c r="D585" s="253"/>
      <c r="E585" s="253"/>
      <c r="F585" s="253"/>
      <c r="G585" s="253"/>
      <c r="H585" s="253"/>
      <c r="I585" s="253"/>
      <c r="J585" s="253"/>
      <c r="K585" s="253"/>
      <c r="L585" s="253"/>
      <c r="M585" s="253"/>
      <c r="N585" s="253"/>
      <c r="O585" s="253"/>
      <c r="P585" s="253"/>
      <c r="Q585" s="253"/>
      <c r="R585" s="253"/>
      <c r="S585" s="253"/>
      <c r="T585" s="253"/>
      <c r="U585" s="253"/>
      <c r="V585" s="253"/>
      <c r="W585" s="253"/>
      <c r="X585" s="253"/>
      <c r="Y585" s="253"/>
    </row>
    <row r="586">
      <c r="A586" s="253"/>
      <c r="B586" s="253"/>
      <c r="C586" s="253"/>
      <c r="D586" s="253"/>
      <c r="E586" s="253"/>
      <c r="F586" s="253"/>
      <c r="G586" s="253"/>
      <c r="H586" s="253"/>
      <c r="I586" s="253"/>
      <c r="J586" s="253"/>
      <c r="K586" s="253"/>
      <c r="L586" s="253"/>
      <c r="M586" s="253"/>
      <c r="N586" s="253"/>
      <c r="O586" s="253"/>
      <c r="P586" s="253"/>
      <c r="Q586" s="253"/>
      <c r="R586" s="253"/>
      <c r="S586" s="253"/>
      <c r="T586" s="253"/>
      <c r="U586" s="253"/>
      <c r="V586" s="253"/>
      <c r="W586" s="253"/>
      <c r="X586" s="253"/>
      <c r="Y586" s="253"/>
    </row>
    <row r="587">
      <c r="A587" s="253"/>
      <c r="B587" s="253"/>
      <c r="C587" s="253"/>
      <c r="D587" s="253"/>
      <c r="E587" s="253"/>
      <c r="F587" s="253"/>
      <c r="G587" s="253"/>
      <c r="H587" s="253"/>
      <c r="I587" s="253"/>
      <c r="J587" s="253"/>
      <c r="K587" s="253"/>
      <c r="L587" s="253"/>
      <c r="M587" s="253"/>
      <c r="N587" s="253"/>
      <c r="O587" s="253"/>
      <c r="P587" s="253"/>
      <c r="Q587" s="253"/>
      <c r="R587" s="253"/>
      <c r="S587" s="253"/>
      <c r="T587" s="253"/>
      <c r="U587" s="253"/>
      <c r="V587" s="253"/>
      <c r="W587" s="253"/>
      <c r="X587" s="253"/>
      <c r="Y587" s="253"/>
    </row>
    <row r="588">
      <c r="A588" s="253"/>
      <c r="B588" s="253"/>
      <c r="C588" s="253"/>
      <c r="D588" s="253"/>
      <c r="E588" s="253"/>
      <c r="F588" s="253"/>
      <c r="G588" s="253"/>
      <c r="H588" s="253"/>
      <c r="I588" s="253"/>
      <c r="J588" s="253"/>
      <c r="K588" s="253"/>
      <c r="L588" s="253"/>
      <c r="M588" s="253"/>
      <c r="N588" s="253"/>
      <c r="O588" s="253"/>
      <c r="P588" s="253"/>
      <c r="Q588" s="253"/>
      <c r="R588" s="253"/>
      <c r="S588" s="253"/>
      <c r="T588" s="253"/>
      <c r="U588" s="253"/>
      <c r="V588" s="253"/>
      <c r="W588" s="253"/>
      <c r="X588" s="253"/>
      <c r="Y588" s="253"/>
    </row>
    <row r="589">
      <c r="A589" s="253"/>
      <c r="B589" s="253"/>
      <c r="C589" s="253"/>
      <c r="D589" s="253"/>
      <c r="E589" s="253"/>
      <c r="F589" s="253"/>
      <c r="G589" s="253"/>
      <c r="H589" s="253"/>
      <c r="I589" s="253"/>
      <c r="J589" s="253"/>
      <c r="K589" s="253"/>
      <c r="L589" s="253"/>
      <c r="M589" s="253"/>
      <c r="N589" s="253"/>
      <c r="O589" s="253"/>
      <c r="P589" s="253"/>
      <c r="Q589" s="253"/>
      <c r="R589" s="253"/>
      <c r="S589" s="253"/>
      <c r="T589" s="253"/>
      <c r="U589" s="253"/>
      <c r="V589" s="253"/>
      <c r="W589" s="253"/>
      <c r="X589" s="253"/>
      <c r="Y589" s="253"/>
    </row>
    <row r="590">
      <c r="A590" s="253"/>
      <c r="B590" s="253"/>
      <c r="C590" s="253"/>
      <c r="D590" s="253"/>
      <c r="E590" s="253"/>
      <c r="F590" s="253"/>
      <c r="G590" s="253"/>
      <c r="H590" s="253"/>
      <c r="I590" s="253"/>
      <c r="J590" s="253"/>
      <c r="K590" s="253"/>
      <c r="L590" s="253"/>
      <c r="M590" s="253"/>
      <c r="N590" s="253"/>
      <c r="O590" s="253"/>
      <c r="P590" s="253"/>
      <c r="Q590" s="253"/>
      <c r="R590" s="253"/>
      <c r="S590" s="253"/>
      <c r="T590" s="253"/>
      <c r="U590" s="253"/>
      <c r="V590" s="253"/>
      <c r="W590" s="253"/>
      <c r="X590" s="253"/>
      <c r="Y590" s="253"/>
    </row>
    <row r="591">
      <c r="A591" s="253"/>
      <c r="B591" s="253"/>
      <c r="C591" s="253"/>
      <c r="D591" s="253"/>
      <c r="E591" s="253"/>
      <c r="F591" s="253"/>
      <c r="G591" s="253"/>
      <c r="H591" s="253"/>
      <c r="I591" s="253"/>
      <c r="J591" s="253"/>
      <c r="K591" s="253"/>
      <c r="L591" s="253"/>
      <c r="M591" s="253"/>
      <c r="N591" s="253"/>
      <c r="O591" s="253"/>
      <c r="P591" s="253"/>
      <c r="Q591" s="253"/>
      <c r="R591" s="253"/>
      <c r="S591" s="253"/>
      <c r="T591" s="253"/>
      <c r="U591" s="253"/>
      <c r="V591" s="253"/>
      <c r="W591" s="253"/>
      <c r="X591" s="253"/>
      <c r="Y591" s="253"/>
    </row>
    <row r="592">
      <c r="A592" s="253"/>
      <c r="B592" s="253"/>
      <c r="C592" s="253"/>
      <c r="D592" s="253"/>
      <c r="E592" s="253"/>
      <c r="F592" s="253"/>
      <c r="G592" s="253"/>
      <c r="H592" s="253"/>
      <c r="I592" s="253"/>
      <c r="J592" s="253"/>
      <c r="K592" s="253"/>
      <c r="L592" s="253"/>
      <c r="M592" s="253"/>
      <c r="N592" s="253"/>
      <c r="O592" s="253"/>
      <c r="P592" s="253"/>
      <c r="Q592" s="253"/>
      <c r="R592" s="253"/>
      <c r="S592" s="253"/>
      <c r="T592" s="253"/>
      <c r="U592" s="253"/>
      <c r="V592" s="253"/>
      <c r="W592" s="253"/>
      <c r="X592" s="253"/>
      <c r="Y592" s="253"/>
    </row>
    <row r="593">
      <c r="A593" s="253"/>
      <c r="B593" s="253"/>
      <c r="C593" s="253"/>
      <c r="D593" s="253"/>
      <c r="E593" s="253"/>
      <c r="F593" s="253"/>
      <c r="G593" s="253"/>
      <c r="H593" s="253"/>
      <c r="I593" s="253"/>
      <c r="J593" s="253"/>
      <c r="K593" s="253"/>
      <c r="L593" s="253"/>
      <c r="M593" s="253"/>
      <c r="N593" s="253"/>
      <c r="O593" s="253"/>
      <c r="P593" s="253"/>
      <c r="Q593" s="253"/>
      <c r="R593" s="253"/>
      <c r="S593" s="253"/>
      <c r="T593" s="253"/>
      <c r="U593" s="253"/>
      <c r="V593" s="253"/>
      <c r="W593" s="253"/>
      <c r="X593" s="253"/>
      <c r="Y593" s="253"/>
    </row>
    <row r="594">
      <c r="A594" s="253"/>
      <c r="B594" s="253"/>
      <c r="C594" s="253"/>
      <c r="D594" s="253"/>
      <c r="E594" s="253"/>
      <c r="F594" s="253"/>
      <c r="G594" s="253"/>
      <c r="H594" s="253"/>
      <c r="I594" s="253"/>
      <c r="J594" s="253"/>
      <c r="K594" s="253"/>
      <c r="L594" s="253"/>
      <c r="M594" s="253"/>
      <c r="N594" s="253"/>
      <c r="O594" s="253"/>
      <c r="P594" s="253"/>
      <c r="Q594" s="253"/>
      <c r="R594" s="253"/>
      <c r="S594" s="253"/>
      <c r="T594" s="253"/>
      <c r="U594" s="253"/>
      <c r="V594" s="253"/>
      <c r="W594" s="253"/>
      <c r="X594" s="253"/>
      <c r="Y594" s="253"/>
    </row>
    <row r="595">
      <c r="A595" s="253"/>
      <c r="B595" s="253"/>
      <c r="C595" s="253"/>
      <c r="D595" s="253"/>
      <c r="E595" s="253"/>
      <c r="F595" s="253"/>
      <c r="G595" s="253"/>
      <c r="H595" s="253"/>
      <c r="I595" s="253"/>
      <c r="J595" s="253"/>
      <c r="K595" s="253"/>
      <c r="L595" s="253"/>
      <c r="M595" s="253"/>
      <c r="N595" s="253"/>
      <c r="O595" s="253"/>
      <c r="P595" s="253"/>
      <c r="Q595" s="253"/>
      <c r="R595" s="253"/>
      <c r="S595" s="253"/>
      <c r="T595" s="253"/>
      <c r="U595" s="253"/>
      <c r="V595" s="253"/>
      <c r="W595" s="253"/>
      <c r="X595" s="253"/>
      <c r="Y595" s="253"/>
    </row>
    <row r="596">
      <c r="A596" s="253"/>
      <c r="B596" s="253"/>
      <c r="C596" s="253"/>
      <c r="D596" s="253"/>
      <c r="E596" s="253"/>
      <c r="F596" s="253"/>
      <c r="G596" s="253"/>
      <c r="H596" s="253"/>
      <c r="I596" s="253"/>
      <c r="J596" s="253"/>
      <c r="K596" s="253"/>
      <c r="L596" s="253"/>
      <c r="M596" s="253"/>
      <c r="N596" s="253"/>
      <c r="O596" s="253"/>
      <c r="P596" s="253"/>
      <c r="Q596" s="253"/>
      <c r="R596" s="253"/>
      <c r="S596" s="253"/>
      <c r="T596" s="253"/>
      <c r="U596" s="253"/>
      <c r="V596" s="253"/>
      <c r="W596" s="253"/>
      <c r="X596" s="253"/>
      <c r="Y596" s="253"/>
    </row>
    <row r="597">
      <c r="A597" s="253"/>
      <c r="B597" s="253"/>
      <c r="C597" s="253"/>
      <c r="D597" s="253"/>
      <c r="E597" s="253"/>
      <c r="F597" s="253"/>
      <c r="G597" s="253"/>
      <c r="H597" s="253"/>
      <c r="I597" s="253"/>
      <c r="J597" s="253"/>
      <c r="K597" s="253"/>
      <c r="L597" s="253"/>
      <c r="M597" s="253"/>
      <c r="N597" s="253"/>
      <c r="O597" s="253"/>
      <c r="P597" s="253"/>
      <c r="Q597" s="253"/>
      <c r="R597" s="253"/>
      <c r="S597" s="253"/>
      <c r="T597" s="253"/>
      <c r="U597" s="253"/>
      <c r="V597" s="253"/>
      <c r="W597" s="253"/>
      <c r="X597" s="253"/>
      <c r="Y597" s="253"/>
    </row>
    <row r="598">
      <c r="A598" s="253"/>
      <c r="B598" s="253"/>
      <c r="C598" s="253"/>
      <c r="D598" s="253"/>
      <c r="E598" s="253"/>
      <c r="F598" s="253"/>
      <c r="G598" s="253"/>
      <c r="H598" s="253"/>
      <c r="I598" s="253"/>
      <c r="J598" s="253"/>
      <c r="K598" s="253"/>
      <c r="L598" s="253"/>
      <c r="M598" s="253"/>
      <c r="N598" s="253"/>
      <c r="O598" s="253"/>
      <c r="P598" s="253"/>
      <c r="Q598" s="253"/>
      <c r="R598" s="253"/>
      <c r="S598" s="253"/>
      <c r="T598" s="253"/>
      <c r="U598" s="253"/>
      <c r="V598" s="253"/>
      <c r="W598" s="253"/>
      <c r="X598" s="253"/>
      <c r="Y598" s="253"/>
    </row>
    <row r="599">
      <c r="A599" s="253"/>
      <c r="B599" s="253"/>
      <c r="C599" s="253"/>
      <c r="D599" s="253"/>
      <c r="E599" s="253"/>
      <c r="F599" s="253"/>
      <c r="G599" s="253"/>
      <c r="H599" s="253"/>
      <c r="I599" s="253"/>
      <c r="J599" s="253"/>
      <c r="K599" s="253"/>
      <c r="L599" s="253"/>
      <c r="M599" s="253"/>
      <c r="N599" s="253"/>
      <c r="O599" s="253"/>
      <c r="P599" s="253"/>
      <c r="Q599" s="253"/>
      <c r="R599" s="253"/>
      <c r="S599" s="253"/>
      <c r="T599" s="253"/>
      <c r="U599" s="253"/>
      <c r="V599" s="253"/>
      <c r="W599" s="253"/>
      <c r="X599" s="253"/>
      <c r="Y599" s="253"/>
    </row>
    <row r="600">
      <c r="A600" s="253"/>
      <c r="B600" s="253"/>
      <c r="C600" s="253"/>
      <c r="D600" s="253"/>
      <c r="E600" s="253"/>
      <c r="F600" s="253"/>
      <c r="G600" s="253"/>
      <c r="H600" s="253"/>
      <c r="I600" s="253"/>
      <c r="J600" s="253"/>
      <c r="K600" s="253"/>
      <c r="L600" s="253"/>
      <c r="M600" s="253"/>
      <c r="N600" s="253"/>
      <c r="O600" s="253"/>
      <c r="P600" s="253"/>
      <c r="Q600" s="253"/>
      <c r="R600" s="253"/>
      <c r="S600" s="253"/>
      <c r="T600" s="253"/>
      <c r="U600" s="253"/>
      <c r="V600" s="253"/>
      <c r="W600" s="253"/>
      <c r="X600" s="253"/>
      <c r="Y600" s="253"/>
    </row>
    <row r="601">
      <c r="A601" s="253"/>
      <c r="B601" s="253"/>
      <c r="C601" s="253"/>
      <c r="D601" s="253"/>
      <c r="E601" s="253"/>
      <c r="F601" s="253"/>
      <c r="G601" s="253"/>
      <c r="H601" s="253"/>
      <c r="I601" s="253"/>
      <c r="J601" s="253"/>
      <c r="K601" s="253"/>
      <c r="L601" s="253"/>
      <c r="M601" s="253"/>
      <c r="N601" s="253"/>
      <c r="O601" s="253"/>
      <c r="P601" s="253"/>
      <c r="Q601" s="253"/>
      <c r="R601" s="253"/>
      <c r="S601" s="253"/>
      <c r="T601" s="253"/>
      <c r="U601" s="253"/>
      <c r="V601" s="253"/>
      <c r="W601" s="253"/>
      <c r="X601" s="253"/>
      <c r="Y601" s="253"/>
    </row>
    <row r="602">
      <c r="A602" s="253"/>
      <c r="B602" s="253"/>
      <c r="C602" s="253"/>
      <c r="D602" s="253"/>
      <c r="E602" s="253"/>
      <c r="F602" s="253"/>
      <c r="G602" s="253"/>
      <c r="H602" s="253"/>
      <c r="I602" s="253"/>
      <c r="J602" s="253"/>
      <c r="K602" s="253"/>
      <c r="L602" s="253"/>
      <c r="M602" s="253"/>
      <c r="N602" s="253"/>
      <c r="O602" s="253"/>
      <c r="P602" s="253"/>
      <c r="Q602" s="253"/>
      <c r="R602" s="253"/>
      <c r="S602" s="253"/>
      <c r="T602" s="253"/>
      <c r="U602" s="253"/>
      <c r="V602" s="253"/>
      <c r="W602" s="253"/>
      <c r="X602" s="253"/>
      <c r="Y602" s="253"/>
    </row>
    <row r="603">
      <c r="A603" s="253"/>
      <c r="B603" s="253"/>
      <c r="C603" s="253"/>
      <c r="D603" s="253"/>
      <c r="E603" s="253"/>
      <c r="F603" s="253"/>
      <c r="G603" s="253"/>
      <c r="H603" s="253"/>
      <c r="I603" s="253"/>
      <c r="J603" s="253"/>
      <c r="K603" s="253"/>
      <c r="L603" s="253"/>
      <c r="M603" s="253"/>
      <c r="N603" s="253"/>
      <c r="O603" s="253"/>
      <c r="P603" s="253"/>
      <c r="Q603" s="253"/>
      <c r="R603" s="253"/>
      <c r="S603" s="253"/>
      <c r="T603" s="253"/>
      <c r="U603" s="253"/>
      <c r="V603" s="253"/>
      <c r="W603" s="253"/>
      <c r="X603" s="253"/>
      <c r="Y603" s="253"/>
    </row>
    <row r="604">
      <c r="A604" s="253"/>
      <c r="B604" s="253"/>
      <c r="C604" s="253"/>
      <c r="D604" s="253"/>
      <c r="E604" s="253"/>
      <c r="F604" s="253"/>
      <c r="G604" s="253"/>
      <c r="H604" s="253"/>
      <c r="I604" s="253"/>
      <c r="J604" s="253"/>
      <c r="K604" s="253"/>
      <c r="L604" s="253"/>
      <c r="M604" s="253"/>
      <c r="N604" s="253"/>
      <c r="O604" s="253"/>
      <c r="P604" s="253"/>
      <c r="Q604" s="253"/>
      <c r="R604" s="253"/>
      <c r="S604" s="253"/>
      <c r="T604" s="253"/>
      <c r="U604" s="253"/>
      <c r="V604" s="253"/>
      <c r="W604" s="253"/>
      <c r="X604" s="253"/>
      <c r="Y604" s="253"/>
    </row>
    <row r="605">
      <c r="A605" s="253"/>
      <c r="B605" s="253"/>
      <c r="C605" s="253"/>
      <c r="D605" s="253"/>
      <c r="E605" s="253"/>
      <c r="F605" s="253"/>
      <c r="G605" s="253"/>
      <c r="H605" s="253"/>
      <c r="I605" s="253"/>
      <c r="J605" s="253"/>
      <c r="K605" s="253"/>
      <c r="L605" s="253"/>
      <c r="M605" s="253"/>
      <c r="N605" s="253"/>
      <c r="O605" s="253"/>
      <c r="P605" s="253"/>
      <c r="Q605" s="253"/>
      <c r="R605" s="253"/>
      <c r="S605" s="253"/>
      <c r="T605" s="253"/>
      <c r="U605" s="253"/>
      <c r="V605" s="253"/>
      <c r="W605" s="253"/>
      <c r="X605" s="253"/>
      <c r="Y605" s="253"/>
    </row>
    <row r="606">
      <c r="A606" s="253"/>
      <c r="B606" s="253"/>
      <c r="C606" s="253"/>
      <c r="D606" s="253"/>
      <c r="E606" s="253"/>
      <c r="F606" s="253"/>
      <c r="G606" s="253"/>
      <c r="H606" s="253"/>
      <c r="I606" s="253"/>
      <c r="J606" s="253"/>
      <c r="K606" s="253"/>
      <c r="L606" s="253"/>
      <c r="M606" s="253"/>
      <c r="N606" s="253"/>
      <c r="O606" s="253"/>
      <c r="P606" s="253"/>
      <c r="Q606" s="253"/>
      <c r="R606" s="253"/>
      <c r="S606" s="253"/>
      <c r="T606" s="253"/>
      <c r="U606" s="253"/>
      <c r="V606" s="253"/>
      <c r="W606" s="253"/>
      <c r="X606" s="253"/>
      <c r="Y606" s="253"/>
    </row>
    <row r="607">
      <c r="A607" s="253"/>
      <c r="B607" s="253"/>
      <c r="C607" s="253"/>
      <c r="D607" s="253"/>
      <c r="E607" s="253"/>
      <c r="F607" s="253"/>
      <c r="G607" s="253"/>
      <c r="H607" s="253"/>
      <c r="I607" s="253"/>
      <c r="J607" s="253"/>
      <c r="K607" s="253"/>
      <c r="L607" s="253"/>
      <c r="M607" s="253"/>
      <c r="N607" s="253"/>
      <c r="O607" s="253"/>
      <c r="P607" s="253"/>
      <c r="Q607" s="253"/>
      <c r="R607" s="253"/>
      <c r="S607" s="253"/>
      <c r="T607" s="253"/>
      <c r="U607" s="253"/>
      <c r="V607" s="253"/>
      <c r="W607" s="253"/>
      <c r="X607" s="253"/>
      <c r="Y607" s="253"/>
    </row>
    <row r="608">
      <c r="A608" s="253"/>
      <c r="B608" s="253"/>
      <c r="C608" s="253"/>
      <c r="D608" s="253"/>
      <c r="E608" s="253"/>
      <c r="F608" s="253"/>
      <c r="G608" s="253"/>
      <c r="H608" s="253"/>
      <c r="I608" s="253"/>
      <c r="J608" s="253"/>
      <c r="K608" s="253"/>
      <c r="L608" s="253"/>
      <c r="M608" s="253"/>
      <c r="N608" s="253"/>
      <c r="O608" s="253"/>
      <c r="P608" s="253"/>
      <c r="Q608" s="253"/>
      <c r="R608" s="253"/>
      <c r="S608" s="253"/>
      <c r="T608" s="253"/>
      <c r="U608" s="253"/>
      <c r="V608" s="253"/>
      <c r="W608" s="253"/>
      <c r="X608" s="253"/>
      <c r="Y608" s="253"/>
    </row>
    <row r="609">
      <c r="A609" s="253"/>
      <c r="B609" s="253"/>
      <c r="C609" s="253"/>
      <c r="D609" s="253"/>
      <c r="E609" s="253"/>
      <c r="F609" s="253"/>
      <c r="G609" s="253"/>
      <c r="H609" s="253"/>
      <c r="I609" s="253"/>
      <c r="J609" s="253"/>
      <c r="K609" s="253"/>
      <c r="L609" s="253"/>
      <c r="M609" s="253"/>
      <c r="N609" s="253"/>
      <c r="O609" s="253"/>
      <c r="P609" s="253"/>
      <c r="Q609" s="253"/>
      <c r="R609" s="253"/>
      <c r="S609" s="253"/>
      <c r="T609" s="253"/>
      <c r="U609" s="253"/>
      <c r="V609" s="253"/>
      <c r="W609" s="253"/>
      <c r="X609" s="253"/>
      <c r="Y609" s="253"/>
    </row>
    <row r="610">
      <c r="A610" s="253"/>
      <c r="B610" s="253"/>
      <c r="C610" s="253"/>
      <c r="D610" s="253"/>
      <c r="E610" s="253"/>
      <c r="F610" s="253"/>
      <c r="G610" s="253"/>
      <c r="H610" s="253"/>
      <c r="I610" s="253"/>
      <c r="J610" s="253"/>
      <c r="K610" s="253"/>
      <c r="L610" s="253"/>
      <c r="M610" s="253"/>
      <c r="N610" s="253"/>
      <c r="O610" s="253"/>
      <c r="P610" s="253"/>
      <c r="Q610" s="253"/>
      <c r="R610" s="253"/>
      <c r="S610" s="253"/>
      <c r="T610" s="253"/>
      <c r="U610" s="253"/>
      <c r="V610" s="253"/>
      <c r="W610" s="253"/>
      <c r="X610" s="253"/>
      <c r="Y610" s="253"/>
    </row>
    <row r="611">
      <c r="A611" s="253"/>
      <c r="B611" s="253"/>
      <c r="C611" s="253"/>
      <c r="D611" s="253"/>
      <c r="E611" s="253"/>
      <c r="F611" s="253"/>
      <c r="G611" s="253"/>
      <c r="H611" s="253"/>
      <c r="I611" s="253"/>
      <c r="J611" s="253"/>
      <c r="K611" s="253"/>
      <c r="L611" s="253"/>
      <c r="M611" s="253"/>
      <c r="N611" s="253"/>
      <c r="O611" s="253"/>
      <c r="P611" s="253"/>
      <c r="Q611" s="253"/>
      <c r="R611" s="253"/>
      <c r="S611" s="253"/>
      <c r="T611" s="253"/>
      <c r="U611" s="253"/>
      <c r="V611" s="253"/>
      <c r="W611" s="253"/>
      <c r="X611" s="253"/>
      <c r="Y611" s="253"/>
    </row>
    <row r="612">
      <c r="A612" s="253"/>
      <c r="B612" s="253"/>
      <c r="C612" s="253"/>
      <c r="D612" s="253"/>
      <c r="E612" s="253"/>
      <c r="F612" s="253"/>
      <c r="G612" s="253"/>
      <c r="H612" s="253"/>
      <c r="I612" s="253"/>
      <c r="J612" s="253"/>
      <c r="K612" s="253"/>
      <c r="L612" s="253"/>
      <c r="M612" s="253"/>
      <c r="N612" s="253"/>
      <c r="O612" s="253"/>
      <c r="P612" s="253"/>
      <c r="Q612" s="253"/>
      <c r="R612" s="253"/>
      <c r="S612" s="253"/>
      <c r="T612" s="253"/>
      <c r="U612" s="253"/>
      <c r="V612" s="253"/>
      <c r="W612" s="253"/>
      <c r="X612" s="253"/>
      <c r="Y612" s="253"/>
    </row>
    <row r="613">
      <c r="A613" s="253"/>
      <c r="B613" s="253"/>
      <c r="C613" s="253"/>
      <c r="D613" s="253"/>
      <c r="E613" s="253"/>
      <c r="F613" s="253"/>
      <c r="G613" s="253"/>
      <c r="H613" s="253"/>
      <c r="I613" s="253"/>
      <c r="J613" s="253"/>
      <c r="K613" s="253"/>
      <c r="L613" s="253"/>
      <c r="M613" s="253"/>
      <c r="N613" s="253"/>
      <c r="O613" s="253"/>
      <c r="P613" s="253"/>
      <c r="Q613" s="253"/>
      <c r="R613" s="253"/>
      <c r="S613" s="253"/>
      <c r="T613" s="253"/>
      <c r="U613" s="253"/>
      <c r="V613" s="253"/>
      <c r="W613" s="253"/>
      <c r="X613" s="253"/>
      <c r="Y613" s="253"/>
    </row>
    <row r="614">
      <c r="A614" s="253"/>
      <c r="B614" s="253"/>
      <c r="C614" s="253"/>
      <c r="D614" s="253"/>
      <c r="E614" s="253"/>
      <c r="F614" s="253"/>
      <c r="G614" s="253"/>
      <c r="H614" s="253"/>
      <c r="I614" s="253"/>
      <c r="J614" s="253"/>
      <c r="K614" s="253"/>
      <c r="L614" s="253"/>
      <c r="M614" s="253"/>
      <c r="N614" s="253"/>
      <c r="O614" s="253"/>
      <c r="P614" s="253"/>
      <c r="Q614" s="253"/>
      <c r="R614" s="253"/>
      <c r="S614" s="253"/>
      <c r="T614" s="253"/>
      <c r="U614" s="253"/>
      <c r="V614" s="253"/>
      <c r="W614" s="253"/>
      <c r="X614" s="253"/>
      <c r="Y614" s="253"/>
    </row>
    <row r="615">
      <c r="A615" s="253"/>
      <c r="B615" s="253"/>
      <c r="C615" s="253"/>
      <c r="D615" s="253"/>
      <c r="E615" s="253"/>
      <c r="F615" s="253"/>
      <c r="G615" s="253"/>
      <c r="H615" s="253"/>
      <c r="I615" s="253"/>
      <c r="J615" s="253"/>
      <c r="K615" s="253"/>
      <c r="L615" s="253"/>
      <c r="M615" s="253"/>
      <c r="N615" s="253"/>
      <c r="O615" s="253"/>
      <c r="P615" s="253"/>
      <c r="Q615" s="253"/>
      <c r="R615" s="253"/>
      <c r="S615" s="253"/>
      <c r="T615" s="253"/>
      <c r="U615" s="253"/>
      <c r="V615" s="253"/>
      <c r="W615" s="253"/>
      <c r="X615" s="253"/>
      <c r="Y615" s="253"/>
    </row>
    <row r="616">
      <c r="A616" s="253"/>
      <c r="B616" s="253"/>
      <c r="C616" s="253"/>
      <c r="D616" s="253"/>
      <c r="E616" s="253"/>
      <c r="F616" s="253"/>
      <c r="G616" s="253"/>
      <c r="H616" s="253"/>
      <c r="I616" s="253"/>
      <c r="J616" s="253"/>
      <c r="K616" s="253"/>
      <c r="L616" s="253"/>
      <c r="M616" s="253"/>
      <c r="N616" s="253"/>
      <c r="O616" s="253"/>
      <c r="P616" s="253"/>
      <c r="Q616" s="253"/>
      <c r="R616" s="253"/>
      <c r="S616" s="253"/>
      <c r="T616" s="253"/>
      <c r="U616" s="253"/>
      <c r="V616" s="253"/>
      <c r="W616" s="253"/>
      <c r="X616" s="253"/>
      <c r="Y616" s="253"/>
    </row>
    <row r="617">
      <c r="A617" s="253"/>
      <c r="B617" s="253"/>
      <c r="C617" s="253"/>
      <c r="D617" s="253"/>
      <c r="E617" s="253"/>
      <c r="F617" s="253"/>
      <c r="G617" s="253"/>
      <c r="H617" s="253"/>
      <c r="I617" s="253"/>
      <c r="J617" s="253"/>
      <c r="K617" s="253"/>
      <c r="L617" s="253"/>
      <c r="M617" s="253"/>
      <c r="N617" s="253"/>
      <c r="O617" s="253"/>
      <c r="P617" s="253"/>
      <c r="Q617" s="253"/>
      <c r="R617" s="253"/>
      <c r="S617" s="253"/>
      <c r="T617" s="253"/>
      <c r="U617" s="253"/>
      <c r="V617" s="253"/>
      <c r="W617" s="253"/>
      <c r="X617" s="253"/>
      <c r="Y617" s="253"/>
    </row>
    <row r="618">
      <c r="A618" s="253"/>
      <c r="B618" s="253"/>
      <c r="C618" s="253"/>
      <c r="D618" s="253"/>
      <c r="E618" s="253"/>
      <c r="F618" s="253"/>
      <c r="G618" s="253"/>
      <c r="H618" s="253"/>
      <c r="I618" s="253"/>
      <c r="J618" s="253"/>
      <c r="K618" s="253"/>
      <c r="L618" s="253"/>
      <c r="M618" s="253"/>
      <c r="N618" s="253"/>
      <c r="O618" s="253"/>
      <c r="P618" s="253"/>
      <c r="Q618" s="253"/>
      <c r="R618" s="253"/>
      <c r="S618" s="253"/>
      <c r="T618" s="253"/>
      <c r="U618" s="253"/>
      <c r="V618" s="253"/>
      <c r="W618" s="253"/>
      <c r="X618" s="253"/>
      <c r="Y618" s="253"/>
    </row>
    <row r="619">
      <c r="A619" s="253"/>
      <c r="B619" s="253"/>
      <c r="C619" s="253"/>
      <c r="D619" s="253"/>
      <c r="E619" s="253"/>
      <c r="F619" s="253"/>
      <c r="G619" s="253"/>
      <c r="H619" s="253"/>
      <c r="I619" s="253"/>
      <c r="J619" s="253"/>
      <c r="K619" s="253"/>
      <c r="L619" s="253"/>
      <c r="M619" s="253"/>
      <c r="N619" s="253"/>
      <c r="O619" s="253"/>
      <c r="P619" s="253"/>
      <c r="Q619" s="253"/>
      <c r="R619" s="253"/>
      <c r="S619" s="253"/>
      <c r="T619" s="253"/>
      <c r="U619" s="253"/>
      <c r="V619" s="253"/>
      <c r="W619" s="253"/>
      <c r="X619" s="253"/>
      <c r="Y619" s="253"/>
    </row>
    <row r="620">
      <c r="A620" s="253"/>
      <c r="B620" s="253"/>
      <c r="C620" s="253"/>
      <c r="D620" s="253"/>
      <c r="E620" s="253"/>
      <c r="F620" s="253"/>
      <c r="G620" s="253"/>
      <c r="H620" s="253"/>
      <c r="I620" s="253"/>
      <c r="J620" s="253"/>
      <c r="K620" s="253"/>
      <c r="L620" s="253"/>
      <c r="M620" s="253"/>
      <c r="N620" s="253"/>
      <c r="O620" s="253"/>
      <c r="P620" s="253"/>
      <c r="Q620" s="253"/>
      <c r="R620" s="253"/>
      <c r="S620" s="253"/>
      <c r="T620" s="253"/>
      <c r="U620" s="253"/>
      <c r="V620" s="253"/>
      <c r="W620" s="253"/>
      <c r="X620" s="253"/>
      <c r="Y620" s="253"/>
    </row>
    <row r="621">
      <c r="A621" s="253"/>
      <c r="B621" s="253"/>
      <c r="C621" s="253"/>
      <c r="D621" s="253"/>
      <c r="E621" s="253"/>
      <c r="F621" s="253"/>
      <c r="G621" s="253"/>
      <c r="H621" s="253"/>
      <c r="I621" s="253"/>
      <c r="J621" s="253"/>
      <c r="K621" s="253"/>
      <c r="L621" s="253"/>
      <c r="M621" s="253"/>
      <c r="N621" s="253"/>
      <c r="O621" s="253"/>
      <c r="P621" s="253"/>
      <c r="Q621" s="253"/>
      <c r="R621" s="253"/>
      <c r="S621" s="253"/>
      <c r="T621" s="253"/>
      <c r="U621" s="253"/>
      <c r="V621" s="253"/>
      <c r="W621" s="253"/>
      <c r="X621" s="253"/>
      <c r="Y621" s="253"/>
    </row>
    <row r="622">
      <c r="A622" s="253"/>
      <c r="B622" s="253"/>
      <c r="C622" s="253"/>
      <c r="D622" s="253"/>
      <c r="E622" s="253"/>
      <c r="F622" s="253"/>
      <c r="G622" s="253"/>
      <c r="H622" s="253"/>
      <c r="I622" s="253"/>
      <c r="J622" s="253"/>
      <c r="K622" s="253"/>
      <c r="L622" s="253"/>
      <c r="M622" s="253"/>
      <c r="N622" s="253"/>
      <c r="O622" s="253"/>
      <c r="P622" s="253"/>
      <c r="Q622" s="253"/>
      <c r="R622" s="253"/>
      <c r="S622" s="253"/>
      <c r="T622" s="253"/>
      <c r="U622" s="253"/>
      <c r="V622" s="253"/>
      <c r="W622" s="253"/>
      <c r="X622" s="253"/>
      <c r="Y622" s="253"/>
    </row>
    <row r="623">
      <c r="A623" s="253"/>
      <c r="B623" s="253"/>
      <c r="C623" s="253"/>
      <c r="D623" s="253"/>
      <c r="E623" s="253"/>
      <c r="F623" s="253"/>
      <c r="G623" s="253"/>
      <c r="H623" s="253"/>
      <c r="I623" s="253"/>
      <c r="J623" s="253"/>
      <c r="K623" s="253"/>
      <c r="L623" s="253"/>
      <c r="M623" s="253"/>
      <c r="N623" s="253"/>
      <c r="O623" s="253"/>
      <c r="P623" s="253"/>
      <c r="Q623" s="253"/>
      <c r="R623" s="253"/>
      <c r="S623" s="253"/>
      <c r="T623" s="253"/>
      <c r="U623" s="253"/>
      <c r="V623" s="253"/>
      <c r="W623" s="253"/>
      <c r="X623" s="253"/>
      <c r="Y623" s="253"/>
    </row>
    <row r="624">
      <c r="A624" s="253"/>
      <c r="B624" s="253"/>
      <c r="C624" s="253"/>
      <c r="D624" s="253"/>
      <c r="E624" s="253"/>
      <c r="F624" s="253"/>
      <c r="G624" s="253"/>
      <c r="H624" s="253"/>
      <c r="I624" s="253"/>
      <c r="J624" s="253"/>
      <c r="K624" s="253"/>
      <c r="L624" s="253"/>
      <c r="M624" s="253"/>
      <c r="N624" s="253"/>
      <c r="O624" s="253"/>
      <c r="P624" s="253"/>
      <c r="Q624" s="253"/>
      <c r="R624" s="253"/>
      <c r="S624" s="253"/>
      <c r="T624" s="253"/>
      <c r="U624" s="253"/>
      <c r="V624" s="253"/>
      <c r="W624" s="253"/>
      <c r="X624" s="253"/>
      <c r="Y624" s="253"/>
    </row>
    <row r="625">
      <c r="A625" s="253"/>
      <c r="B625" s="253"/>
      <c r="C625" s="253"/>
      <c r="D625" s="253"/>
      <c r="E625" s="253"/>
      <c r="F625" s="253"/>
      <c r="G625" s="253"/>
      <c r="H625" s="253"/>
      <c r="I625" s="253"/>
      <c r="J625" s="253"/>
      <c r="K625" s="253"/>
      <c r="L625" s="253"/>
      <c r="M625" s="253"/>
      <c r="N625" s="253"/>
      <c r="O625" s="253"/>
      <c r="P625" s="253"/>
      <c r="Q625" s="253"/>
      <c r="R625" s="253"/>
      <c r="S625" s="253"/>
      <c r="T625" s="253"/>
      <c r="U625" s="253"/>
      <c r="V625" s="253"/>
      <c r="W625" s="253"/>
      <c r="X625" s="253"/>
      <c r="Y625" s="253"/>
    </row>
    <row r="626">
      <c r="A626" s="253"/>
      <c r="B626" s="253"/>
      <c r="C626" s="253"/>
      <c r="D626" s="253"/>
      <c r="E626" s="253"/>
      <c r="F626" s="253"/>
      <c r="G626" s="253"/>
      <c r="H626" s="253"/>
      <c r="I626" s="253"/>
      <c r="J626" s="253"/>
      <c r="K626" s="253"/>
      <c r="L626" s="253"/>
      <c r="M626" s="253"/>
      <c r="N626" s="253"/>
      <c r="O626" s="253"/>
      <c r="P626" s="253"/>
      <c r="Q626" s="253"/>
      <c r="R626" s="253"/>
      <c r="S626" s="253"/>
      <c r="T626" s="253"/>
      <c r="U626" s="253"/>
      <c r="V626" s="253"/>
      <c r="W626" s="253"/>
      <c r="X626" s="253"/>
      <c r="Y626" s="253"/>
    </row>
    <row r="627">
      <c r="A627" s="253"/>
      <c r="B627" s="253"/>
      <c r="C627" s="253"/>
      <c r="D627" s="253"/>
      <c r="E627" s="253"/>
      <c r="F627" s="253"/>
      <c r="G627" s="253"/>
      <c r="H627" s="253"/>
      <c r="I627" s="253"/>
      <c r="J627" s="253"/>
      <c r="K627" s="253"/>
      <c r="L627" s="253"/>
      <c r="M627" s="253"/>
      <c r="N627" s="253"/>
      <c r="O627" s="253"/>
      <c r="P627" s="253"/>
      <c r="Q627" s="253"/>
      <c r="R627" s="253"/>
      <c r="S627" s="253"/>
      <c r="T627" s="253"/>
      <c r="U627" s="253"/>
      <c r="V627" s="253"/>
      <c r="W627" s="253"/>
      <c r="X627" s="253"/>
      <c r="Y627" s="253"/>
    </row>
    <row r="628">
      <c r="A628" s="253"/>
      <c r="B628" s="253"/>
      <c r="C628" s="253"/>
      <c r="D628" s="253"/>
      <c r="E628" s="253"/>
      <c r="F628" s="253"/>
      <c r="G628" s="253"/>
      <c r="H628" s="253"/>
      <c r="I628" s="253"/>
      <c r="J628" s="253"/>
      <c r="K628" s="253"/>
      <c r="L628" s="253"/>
      <c r="M628" s="253"/>
      <c r="N628" s="253"/>
      <c r="O628" s="253"/>
      <c r="P628" s="253"/>
      <c r="Q628" s="253"/>
      <c r="R628" s="253"/>
      <c r="S628" s="253"/>
      <c r="T628" s="253"/>
      <c r="U628" s="253"/>
      <c r="V628" s="253"/>
      <c r="W628" s="253"/>
      <c r="X628" s="253"/>
      <c r="Y628" s="253"/>
    </row>
    <row r="629">
      <c r="A629" s="253"/>
      <c r="B629" s="253"/>
      <c r="C629" s="253"/>
      <c r="D629" s="253"/>
      <c r="E629" s="253"/>
      <c r="F629" s="253"/>
      <c r="G629" s="253"/>
      <c r="H629" s="253"/>
      <c r="I629" s="253"/>
      <c r="J629" s="253"/>
      <c r="K629" s="253"/>
      <c r="L629" s="253"/>
      <c r="M629" s="253"/>
      <c r="N629" s="253"/>
      <c r="O629" s="253"/>
      <c r="P629" s="253"/>
      <c r="Q629" s="253"/>
      <c r="R629" s="253"/>
      <c r="S629" s="253"/>
      <c r="T629" s="253"/>
      <c r="U629" s="253"/>
      <c r="V629" s="253"/>
      <c r="W629" s="253"/>
      <c r="X629" s="253"/>
      <c r="Y629" s="253"/>
    </row>
    <row r="630">
      <c r="A630" s="253"/>
      <c r="B630" s="253"/>
      <c r="C630" s="253"/>
      <c r="D630" s="253"/>
      <c r="E630" s="253"/>
      <c r="F630" s="253"/>
      <c r="G630" s="253"/>
      <c r="H630" s="253"/>
      <c r="I630" s="253"/>
      <c r="J630" s="253"/>
      <c r="K630" s="253"/>
      <c r="L630" s="253"/>
      <c r="M630" s="253"/>
      <c r="N630" s="253"/>
      <c r="O630" s="253"/>
      <c r="P630" s="253"/>
      <c r="Q630" s="253"/>
      <c r="R630" s="253"/>
      <c r="S630" s="253"/>
      <c r="T630" s="253"/>
      <c r="U630" s="253"/>
      <c r="V630" s="253"/>
      <c r="W630" s="253"/>
      <c r="X630" s="253"/>
      <c r="Y630" s="253"/>
    </row>
    <row r="631">
      <c r="A631" s="253"/>
      <c r="B631" s="253"/>
      <c r="C631" s="253"/>
      <c r="D631" s="253"/>
      <c r="E631" s="253"/>
      <c r="F631" s="253"/>
      <c r="G631" s="253"/>
      <c r="H631" s="253"/>
      <c r="I631" s="253"/>
      <c r="J631" s="253"/>
      <c r="K631" s="253"/>
      <c r="L631" s="253"/>
      <c r="M631" s="253"/>
      <c r="N631" s="253"/>
      <c r="O631" s="253"/>
      <c r="P631" s="253"/>
      <c r="Q631" s="253"/>
      <c r="R631" s="253"/>
      <c r="S631" s="253"/>
      <c r="T631" s="253"/>
      <c r="U631" s="253"/>
      <c r="V631" s="253"/>
      <c r="W631" s="253"/>
      <c r="X631" s="253"/>
      <c r="Y631" s="253"/>
    </row>
    <row r="632">
      <c r="A632" s="253"/>
      <c r="B632" s="253"/>
      <c r="C632" s="253"/>
      <c r="D632" s="253"/>
      <c r="E632" s="253"/>
      <c r="F632" s="253"/>
      <c r="G632" s="253"/>
      <c r="H632" s="253"/>
      <c r="I632" s="253"/>
      <c r="J632" s="253"/>
      <c r="K632" s="253"/>
      <c r="L632" s="253"/>
      <c r="M632" s="253"/>
      <c r="N632" s="253"/>
      <c r="O632" s="253"/>
      <c r="P632" s="253"/>
      <c r="Q632" s="253"/>
      <c r="R632" s="253"/>
      <c r="S632" s="253"/>
      <c r="T632" s="253"/>
      <c r="U632" s="253"/>
      <c r="V632" s="253"/>
      <c r="W632" s="253"/>
      <c r="X632" s="253"/>
      <c r="Y632" s="253"/>
    </row>
    <row r="633">
      <c r="A633" s="253"/>
      <c r="B633" s="253"/>
      <c r="C633" s="253"/>
      <c r="D633" s="253"/>
      <c r="E633" s="253"/>
      <c r="F633" s="253"/>
      <c r="G633" s="253"/>
      <c r="H633" s="253"/>
      <c r="I633" s="253"/>
      <c r="J633" s="253"/>
      <c r="K633" s="253"/>
      <c r="L633" s="253"/>
      <c r="M633" s="253"/>
      <c r="N633" s="253"/>
      <c r="O633" s="253"/>
      <c r="P633" s="253"/>
      <c r="Q633" s="253"/>
      <c r="R633" s="253"/>
      <c r="S633" s="253"/>
      <c r="T633" s="253"/>
      <c r="U633" s="253"/>
      <c r="V633" s="253"/>
      <c r="W633" s="253"/>
      <c r="X633" s="253"/>
      <c r="Y633" s="253"/>
    </row>
    <row r="634">
      <c r="A634" s="253"/>
      <c r="B634" s="253"/>
      <c r="C634" s="253"/>
      <c r="D634" s="253"/>
      <c r="E634" s="253"/>
      <c r="F634" s="253"/>
      <c r="G634" s="253"/>
      <c r="H634" s="253"/>
      <c r="I634" s="253"/>
      <c r="J634" s="253"/>
      <c r="K634" s="253"/>
      <c r="L634" s="253"/>
      <c r="M634" s="253"/>
      <c r="N634" s="253"/>
      <c r="O634" s="253"/>
      <c r="P634" s="253"/>
      <c r="Q634" s="253"/>
      <c r="R634" s="253"/>
      <c r="S634" s="253"/>
      <c r="T634" s="253"/>
      <c r="U634" s="253"/>
      <c r="V634" s="253"/>
      <c r="W634" s="253"/>
      <c r="X634" s="253"/>
      <c r="Y634" s="253"/>
    </row>
    <row r="635">
      <c r="A635" s="253"/>
      <c r="B635" s="253"/>
      <c r="C635" s="253"/>
      <c r="D635" s="253"/>
      <c r="E635" s="253"/>
      <c r="F635" s="253"/>
      <c r="G635" s="253"/>
      <c r="H635" s="253"/>
      <c r="I635" s="253"/>
      <c r="J635" s="253"/>
      <c r="K635" s="253"/>
      <c r="L635" s="253"/>
      <c r="M635" s="253"/>
      <c r="N635" s="253"/>
      <c r="O635" s="253"/>
      <c r="P635" s="253"/>
      <c r="Q635" s="253"/>
      <c r="R635" s="253"/>
      <c r="S635" s="253"/>
      <c r="T635" s="253"/>
      <c r="U635" s="253"/>
      <c r="V635" s="253"/>
      <c r="W635" s="253"/>
      <c r="X635" s="253"/>
      <c r="Y635" s="253"/>
    </row>
    <row r="636">
      <c r="A636" s="253"/>
      <c r="B636" s="253"/>
      <c r="C636" s="253"/>
      <c r="D636" s="253"/>
      <c r="E636" s="253"/>
      <c r="F636" s="253"/>
      <c r="G636" s="253"/>
      <c r="H636" s="253"/>
      <c r="I636" s="253"/>
      <c r="J636" s="253"/>
      <c r="K636" s="253"/>
      <c r="L636" s="253"/>
      <c r="M636" s="253"/>
      <c r="N636" s="253"/>
      <c r="O636" s="253"/>
      <c r="P636" s="253"/>
      <c r="Q636" s="253"/>
      <c r="R636" s="253"/>
      <c r="S636" s="253"/>
      <c r="T636" s="253"/>
      <c r="U636" s="253"/>
      <c r="V636" s="253"/>
      <c r="W636" s="253"/>
      <c r="X636" s="253"/>
      <c r="Y636" s="253"/>
    </row>
    <row r="637">
      <c r="A637" s="253"/>
      <c r="B637" s="253"/>
      <c r="C637" s="253"/>
      <c r="D637" s="253"/>
      <c r="E637" s="253"/>
      <c r="F637" s="253"/>
      <c r="G637" s="253"/>
      <c r="H637" s="253"/>
      <c r="I637" s="253"/>
      <c r="J637" s="253"/>
      <c r="K637" s="253"/>
      <c r="L637" s="253"/>
      <c r="M637" s="253"/>
      <c r="N637" s="253"/>
      <c r="O637" s="253"/>
      <c r="P637" s="253"/>
      <c r="Q637" s="253"/>
      <c r="R637" s="253"/>
      <c r="S637" s="253"/>
      <c r="T637" s="253"/>
      <c r="U637" s="253"/>
      <c r="V637" s="253"/>
      <c r="W637" s="253"/>
      <c r="X637" s="253"/>
      <c r="Y637" s="253"/>
    </row>
    <row r="638">
      <c r="A638" s="253"/>
      <c r="B638" s="253"/>
      <c r="C638" s="253"/>
      <c r="D638" s="253"/>
      <c r="E638" s="253"/>
      <c r="F638" s="253"/>
      <c r="G638" s="253"/>
      <c r="H638" s="253"/>
      <c r="I638" s="253"/>
      <c r="J638" s="253"/>
      <c r="K638" s="253"/>
      <c r="L638" s="253"/>
      <c r="M638" s="253"/>
      <c r="N638" s="253"/>
      <c r="O638" s="253"/>
      <c r="P638" s="253"/>
      <c r="Q638" s="253"/>
      <c r="R638" s="253"/>
      <c r="S638" s="253"/>
      <c r="T638" s="253"/>
      <c r="U638" s="253"/>
      <c r="V638" s="253"/>
      <c r="W638" s="253"/>
      <c r="X638" s="253"/>
      <c r="Y638" s="253"/>
    </row>
    <row r="639">
      <c r="A639" s="253"/>
      <c r="B639" s="253"/>
      <c r="C639" s="253"/>
      <c r="D639" s="253"/>
      <c r="E639" s="253"/>
      <c r="F639" s="253"/>
      <c r="G639" s="253"/>
      <c r="H639" s="253"/>
      <c r="I639" s="253"/>
      <c r="J639" s="253"/>
      <c r="K639" s="253"/>
      <c r="L639" s="253"/>
      <c r="M639" s="253"/>
      <c r="N639" s="253"/>
      <c r="O639" s="253"/>
      <c r="P639" s="253"/>
      <c r="Q639" s="253"/>
      <c r="R639" s="253"/>
      <c r="S639" s="253"/>
      <c r="T639" s="253"/>
      <c r="U639" s="253"/>
      <c r="V639" s="253"/>
      <c r="W639" s="253"/>
      <c r="X639" s="253"/>
      <c r="Y639" s="253"/>
    </row>
    <row r="640">
      <c r="A640" s="253"/>
      <c r="B640" s="253"/>
      <c r="C640" s="253"/>
      <c r="D640" s="253"/>
      <c r="E640" s="253"/>
      <c r="F640" s="253"/>
      <c r="G640" s="253"/>
      <c r="H640" s="253"/>
      <c r="I640" s="253"/>
      <c r="J640" s="253"/>
      <c r="K640" s="253"/>
      <c r="L640" s="253"/>
      <c r="M640" s="253"/>
      <c r="N640" s="253"/>
      <c r="O640" s="253"/>
      <c r="P640" s="253"/>
      <c r="Q640" s="253"/>
      <c r="R640" s="253"/>
      <c r="S640" s="253"/>
      <c r="T640" s="253"/>
      <c r="U640" s="253"/>
      <c r="V640" s="253"/>
      <c r="W640" s="253"/>
      <c r="X640" s="253"/>
      <c r="Y640" s="253"/>
    </row>
    <row r="641">
      <c r="A641" s="253"/>
      <c r="B641" s="253"/>
      <c r="C641" s="253"/>
      <c r="D641" s="253"/>
      <c r="E641" s="253"/>
      <c r="F641" s="253"/>
      <c r="G641" s="253"/>
      <c r="H641" s="253"/>
      <c r="I641" s="253"/>
      <c r="J641" s="253"/>
      <c r="K641" s="253"/>
      <c r="L641" s="253"/>
      <c r="M641" s="253"/>
      <c r="N641" s="253"/>
      <c r="O641" s="253"/>
      <c r="P641" s="253"/>
      <c r="Q641" s="253"/>
      <c r="R641" s="253"/>
      <c r="S641" s="253"/>
      <c r="T641" s="253"/>
      <c r="U641" s="253"/>
      <c r="V641" s="253"/>
      <c r="W641" s="253"/>
      <c r="X641" s="253"/>
      <c r="Y641" s="253"/>
    </row>
    <row r="642">
      <c r="A642" s="253"/>
      <c r="B642" s="253"/>
      <c r="C642" s="253"/>
      <c r="D642" s="253"/>
      <c r="E642" s="253"/>
      <c r="F642" s="253"/>
      <c r="G642" s="253"/>
      <c r="H642" s="253"/>
      <c r="I642" s="253"/>
      <c r="J642" s="253"/>
      <c r="K642" s="253"/>
      <c r="L642" s="253"/>
      <c r="M642" s="253"/>
      <c r="N642" s="253"/>
      <c r="O642" s="253"/>
      <c r="P642" s="253"/>
      <c r="Q642" s="253"/>
      <c r="R642" s="253"/>
      <c r="S642" s="253"/>
      <c r="T642" s="253"/>
      <c r="U642" s="253"/>
      <c r="V642" s="253"/>
      <c r="W642" s="253"/>
      <c r="X642" s="253"/>
      <c r="Y642" s="253"/>
    </row>
    <row r="643">
      <c r="A643" s="253"/>
      <c r="B643" s="253"/>
      <c r="C643" s="253"/>
      <c r="D643" s="253"/>
      <c r="E643" s="253"/>
      <c r="F643" s="253"/>
      <c r="G643" s="253"/>
      <c r="H643" s="253"/>
      <c r="I643" s="253"/>
      <c r="J643" s="253"/>
      <c r="K643" s="253"/>
      <c r="L643" s="253"/>
      <c r="M643" s="253"/>
      <c r="N643" s="253"/>
      <c r="O643" s="253"/>
      <c r="P643" s="253"/>
      <c r="Q643" s="253"/>
      <c r="R643" s="253"/>
      <c r="S643" s="253"/>
      <c r="T643" s="253"/>
      <c r="U643" s="253"/>
      <c r="V643" s="253"/>
      <c r="W643" s="253"/>
      <c r="X643" s="253"/>
      <c r="Y643" s="253"/>
    </row>
    <row r="644">
      <c r="A644" s="253"/>
      <c r="B644" s="253"/>
      <c r="C644" s="253"/>
      <c r="D644" s="253"/>
      <c r="E644" s="253"/>
      <c r="F644" s="253"/>
      <c r="G644" s="253"/>
      <c r="H644" s="253"/>
      <c r="I644" s="253"/>
      <c r="J644" s="253"/>
      <c r="K644" s="253"/>
      <c r="L644" s="253"/>
      <c r="M644" s="253"/>
      <c r="N644" s="253"/>
      <c r="O644" s="253"/>
      <c r="P644" s="253"/>
      <c r="Q644" s="253"/>
      <c r="R644" s="253"/>
      <c r="S644" s="253"/>
      <c r="T644" s="253"/>
      <c r="U644" s="253"/>
      <c r="V644" s="253"/>
      <c r="W644" s="253"/>
      <c r="X644" s="253"/>
      <c r="Y644" s="253"/>
    </row>
    <row r="645">
      <c r="A645" s="253"/>
      <c r="B645" s="253"/>
      <c r="C645" s="253"/>
      <c r="D645" s="253"/>
      <c r="E645" s="253"/>
      <c r="F645" s="253"/>
      <c r="G645" s="253"/>
      <c r="H645" s="253"/>
      <c r="I645" s="253"/>
      <c r="J645" s="253"/>
      <c r="K645" s="253"/>
      <c r="L645" s="253"/>
      <c r="M645" s="253"/>
      <c r="N645" s="253"/>
      <c r="O645" s="253"/>
      <c r="P645" s="253"/>
      <c r="Q645" s="253"/>
      <c r="R645" s="253"/>
      <c r="S645" s="253"/>
      <c r="T645" s="253"/>
      <c r="U645" s="253"/>
      <c r="V645" s="253"/>
      <c r="W645" s="253"/>
      <c r="X645" s="253"/>
      <c r="Y645" s="253"/>
    </row>
    <row r="646">
      <c r="A646" s="253"/>
      <c r="B646" s="253"/>
      <c r="C646" s="253"/>
      <c r="D646" s="253"/>
      <c r="E646" s="253"/>
      <c r="F646" s="253"/>
      <c r="G646" s="253"/>
      <c r="H646" s="253"/>
      <c r="I646" s="253"/>
      <c r="J646" s="253"/>
      <c r="K646" s="253"/>
      <c r="L646" s="253"/>
      <c r="M646" s="253"/>
      <c r="N646" s="253"/>
      <c r="O646" s="253"/>
      <c r="P646" s="253"/>
      <c r="Q646" s="253"/>
      <c r="R646" s="253"/>
      <c r="S646" s="253"/>
      <c r="T646" s="253"/>
      <c r="U646" s="253"/>
      <c r="V646" s="253"/>
      <c r="W646" s="253"/>
      <c r="X646" s="253"/>
      <c r="Y646" s="253"/>
    </row>
    <row r="647">
      <c r="A647" s="253"/>
      <c r="B647" s="253"/>
      <c r="C647" s="253"/>
      <c r="D647" s="253"/>
      <c r="E647" s="253"/>
      <c r="F647" s="253"/>
      <c r="G647" s="253"/>
      <c r="H647" s="253"/>
      <c r="I647" s="253"/>
      <c r="J647" s="253"/>
      <c r="K647" s="253"/>
      <c r="L647" s="253"/>
      <c r="M647" s="253"/>
      <c r="N647" s="253"/>
      <c r="O647" s="253"/>
      <c r="P647" s="253"/>
      <c r="Q647" s="253"/>
      <c r="R647" s="253"/>
      <c r="S647" s="253"/>
      <c r="T647" s="253"/>
      <c r="U647" s="253"/>
      <c r="V647" s="253"/>
      <c r="W647" s="253"/>
      <c r="X647" s="253"/>
      <c r="Y647" s="253"/>
    </row>
    <row r="648">
      <c r="A648" s="253"/>
      <c r="B648" s="253"/>
      <c r="C648" s="253"/>
      <c r="D648" s="253"/>
      <c r="E648" s="253"/>
      <c r="F648" s="253"/>
      <c r="G648" s="253"/>
      <c r="H648" s="253"/>
      <c r="I648" s="253"/>
      <c r="J648" s="253"/>
      <c r="K648" s="253"/>
      <c r="L648" s="253"/>
      <c r="M648" s="253"/>
      <c r="N648" s="253"/>
      <c r="O648" s="253"/>
      <c r="P648" s="253"/>
      <c r="Q648" s="253"/>
      <c r="R648" s="253"/>
      <c r="S648" s="253"/>
      <c r="T648" s="253"/>
      <c r="U648" s="253"/>
      <c r="V648" s="253"/>
      <c r="W648" s="253"/>
      <c r="X648" s="253"/>
      <c r="Y648" s="253"/>
    </row>
    <row r="649">
      <c r="A649" s="253"/>
      <c r="B649" s="253"/>
      <c r="C649" s="253"/>
      <c r="D649" s="253"/>
      <c r="E649" s="253"/>
      <c r="F649" s="253"/>
      <c r="G649" s="253"/>
      <c r="H649" s="253"/>
      <c r="I649" s="253"/>
      <c r="J649" s="253"/>
      <c r="K649" s="253"/>
      <c r="L649" s="253"/>
      <c r="M649" s="253"/>
      <c r="N649" s="253"/>
      <c r="O649" s="253"/>
      <c r="P649" s="253"/>
      <c r="Q649" s="253"/>
      <c r="R649" s="253"/>
      <c r="S649" s="253"/>
      <c r="T649" s="253"/>
      <c r="U649" s="253"/>
      <c r="V649" s="253"/>
      <c r="W649" s="253"/>
      <c r="X649" s="253"/>
      <c r="Y649" s="253"/>
    </row>
    <row r="650">
      <c r="A650" s="253"/>
      <c r="B650" s="253"/>
      <c r="C650" s="253"/>
      <c r="D650" s="253"/>
      <c r="E650" s="253"/>
      <c r="F650" s="253"/>
      <c r="G650" s="253"/>
      <c r="H650" s="253"/>
      <c r="I650" s="253"/>
      <c r="J650" s="253"/>
      <c r="K650" s="253"/>
      <c r="L650" s="253"/>
      <c r="M650" s="253"/>
      <c r="N650" s="253"/>
      <c r="O650" s="253"/>
      <c r="P650" s="253"/>
      <c r="Q650" s="253"/>
      <c r="R650" s="253"/>
      <c r="S650" s="253"/>
      <c r="T650" s="253"/>
      <c r="U650" s="253"/>
      <c r="V650" s="253"/>
      <c r="W650" s="253"/>
      <c r="X650" s="253"/>
      <c r="Y650" s="253"/>
    </row>
    <row r="651">
      <c r="A651" s="253"/>
      <c r="B651" s="253"/>
      <c r="C651" s="253"/>
      <c r="D651" s="253"/>
      <c r="E651" s="253"/>
      <c r="F651" s="253"/>
      <c r="G651" s="253"/>
      <c r="H651" s="253"/>
      <c r="I651" s="253"/>
      <c r="J651" s="253"/>
      <c r="K651" s="253"/>
      <c r="L651" s="253"/>
      <c r="M651" s="253"/>
      <c r="N651" s="253"/>
      <c r="O651" s="253"/>
      <c r="P651" s="253"/>
      <c r="Q651" s="253"/>
      <c r="R651" s="253"/>
      <c r="S651" s="253"/>
      <c r="T651" s="253"/>
      <c r="U651" s="253"/>
      <c r="V651" s="253"/>
      <c r="W651" s="253"/>
      <c r="X651" s="253"/>
      <c r="Y651" s="253"/>
    </row>
    <row r="652">
      <c r="A652" s="253"/>
      <c r="B652" s="253"/>
      <c r="C652" s="253"/>
      <c r="D652" s="253"/>
      <c r="E652" s="253"/>
      <c r="F652" s="253"/>
      <c r="G652" s="253"/>
      <c r="H652" s="253"/>
      <c r="I652" s="253"/>
      <c r="J652" s="253"/>
      <c r="K652" s="253"/>
      <c r="L652" s="253"/>
      <c r="M652" s="253"/>
      <c r="N652" s="253"/>
      <c r="O652" s="253"/>
      <c r="P652" s="253"/>
      <c r="Q652" s="253"/>
      <c r="R652" s="253"/>
      <c r="S652" s="253"/>
      <c r="T652" s="253"/>
      <c r="U652" s="253"/>
      <c r="V652" s="253"/>
      <c r="W652" s="253"/>
      <c r="X652" s="253"/>
      <c r="Y652" s="253"/>
    </row>
    <row r="653">
      <c r="A653" s="253"/>
      <c r="B653" s="253"/>
      <c r="C653" s="253"/>
      <c r="D653" s="253"/>
      <c r="E653" s="253"/>
      <c r="F653" s="253"/>
      <c r="G653" s="253"/>
      <c r="H653" s="253"/>
      <c r="I653" s="253"/>
      <c r="J653" s="253"/>
      <c r="K653" s="253"/>
      <c r="L653" s="253"/>
      <c r="M653" s="253"/>
      <c r="N653" s="253"/>
      <c r="O653" s="253"/>
      <c r="P653" s="253"/>
      <c r="Q653" s="253"/>
      <c r="R653" s="253"/>
      <c r="S653" s="253"/>
      <c r="T653" s="253"/>
      <c r="U653" s="253"/>
      <c r="V653" s="253"/>
      <c r="W653" s="253"/>
      <c r="X653" s="253"/>
      <c r="Y653" s="253"/>
    </row>
    <row r="654">
      <c r="A654" s="253"/>
      <c r="B654" s="253"/>
      <c r="C654" s="253"/>
      <c r="D654" s="253"/>
      <c r="E654" s="253"/>
      <c r="F654" s="253"/>
      <c r="G654" s="253"/>
      <c r="H654" s="253"/>
      <c r="I654" s="253"/>
      <c r="J654" s="253"/>
      <c r="K654" s="253"/>
      <c r="L654" s="253"/>
      <c r="M654" s="253"/>
      <c r="N654" s="253"/>
      <c r="O654" s="253"/>
      <c r="P654" s="253"/>
      <c r="Q654" s="253"/>
      <c r="R654" s="253"/>
      <c r="S654" s="253"/>
      <c r="T654" s="253"/>
      <c r="U654" s="253"/>
      <c r="V654" s="253"/>
      <c r="W654" s="253"/>
      <c r="X654" s="253"/>
      <c r="Y654" s="253"/>
    </row>
    <row r="655">
      <c r="A655" s="253"/>
      <c r="B655" s="253"/>
      <c r="C655" s="253"/>
      <c r="D655" s="253"/>
      <c r="E655" s="253"/>
      <c r="F655" s="253"/>
      <c r="G655" s="253"/>
      <c r="H655" s="253"/>
      <c r="I655" s="253"/>
      <c r="J655" s="253"/>
      <c r="K655" s="253"/>
      <c r="L655" s="253"/>
      <c r="M655" s="253"/>
      <c r="N655" s="253"/>
      <c r="O655" s="253"/>
      <c r="P655" s="253"/>
      <c r="Q655" s="253"/>
      <c r="R655" s="253"/>
      <c r="S655" s="253"/>
      <c r="T655" s="253"/>
      <c r="U655" s="253"/>
      <c r="V655" s="253"/>
      <c r="W655" s="253"/>
      <c r="X655" s="253"/>
      <c r="Y655" s="253"/>
    </row>
    <row r="656">
      <c r="A656" s="253"/>
      <c r="B656" s="253"/>
      <c r="C656" s="253"/>
      <c r="D656" s="253"/>
      <c r="E656" s="253"/>
      <c r="F656" s="253"/>
      <c r="G656" s="253"/>
      <c r="H656" s="253"/>
      <c r="I656" s="253"/>
      <c r="J656" s="253"/>
      <c r="K656" s="253"/>
      <c r="L656" s="253"/>
      <c r="M656" s="253"/>
      <c r="N656" s="253"/>
      <c r="O656" s="253"/>
      <c r="P656" s="253"/>
      <c r="Q656" s="253"/>
      <c r="R656" s="253"/>
      <c r="S656" s="253"/>
      <c r="T656" s="253"/>
      <c r="U656" s="253"/>
      <c r="V656" s="253"/>
      <c r="W656" s="253"/>
      <c r="X656" s="253"/>
      <c r="Y656" s="253"/>
    </row>
    <row r="657">
      <c r="A657" s="253"/>
      <c r="B657" s="253"/>
      <c r="C657" s="253"/>
      <c r="D657" s="253"/>
      <c r="E657" s="253"/>
      <c r="F657" s="253"/>
      <c r="G657" s="253"/>
      <c r="H657" s="253"/>
      <c r="I657" s="253"/>
      <c r="J657" s="253"/>
      <c r="K657" s="253"/>
      <c r="L657" s="253"/>
      <c r="M657" s="253"/>
      <c r="N657" s="253"/>
      <c r="O657" s="253"/>
      <c r="P657" s="253"/>
      <c r="Q657" s="253"/>
      <c r="R657" s="253"/>
      <c r="S657" s="253"/>
      <c r="T657" s="253"/>
      <c r="U657" s="253"/>
      <c r="V657" s="253"/>
      <c r="W657" s="253"/>
      <c r="X657" s="253"/>
      <c r="Y657" s="253"/>
    </row>
    <row r="658">
      <c r="A658" s="253"/>
      <c r="B658" s="253"/>
      <c r="C658" s="253"/>
      <c r="D658" s="253"/>
      <c r="E658" s="253"/>
      <c r="F658" s="253"/>
      <c r="G658" s="253"/>
      <c r="H658" s="253"/>
      <c r="I658" s="253"/>
      <c r="J658" s="253"/>
      <c r="K658" s="253"/>
      <c r="L658" s="253"/>
      <c r="M658" s="253"/>
      <c r="N658" s="253"/>
      <c r="O658" s="253"/>
      <c r="P658" s="253"/>
      <c r="Q658" s="253"/>
      <c r="R658" s="253"/>
      <c r="S658" s="253"/>
      <c r="T658" s="253"/>
      <c r="U658" s="253"/>
      <c r="V658" s="253"/>
      <c r="W658" s="253"/>
      <c r="X658" s="253"/>
      <c r="Y658" s="253"/>
    </row>
    <row r="659">
      <c r="A659" s="253"/>
      <c r="B659" s="253"/>
      <c r="C659" s="253"/>
      <c r="D659" s="253"/>
      <c r="E659" s="253"/>
      <c r="F659" s="253"/>
      <c r="G659" s="253"/>
      <c r="H659" s="253"/>
      <c r="I659" s="253"/>
      <c r="J659" s="253"/>
      <c r="K659" s="253"/>
      <c r="L659" s="253"/>
      <c r="M659" s="253"/>
      <c r="N659" s="253"/>
      <c r="O659" s="253"/>
      <c r="P659" s="253"/>
      <c r="Q659" s="253"/>
      <c r="R659" s="253"/>
      <c r="S659" s="253"/>
      <c r="T659" s="253"/>
      <c r="U659" s="253"/>
      <c r="V659" s="253"/>
      <c r="W659" s="253"/>
      <c r="X659" s="253"/>
      <c r="Y659" s="253"/>
    </row>
    <row r="660">
      <c r="A660" s="253"/>
      <c r="B660" s="253"/>
      <c r="C660" s="253"/>
      <c r="D660" s="253"/>
      <c r="E660" s="253"/>
      <c r="F660" s="253"/>
      <c r="G660" s="253"/>
      <c r="H660" s="253"/>
      <c r="I660" s="253"/>
      <c r="J660" s="253"/>
      <c r="K660" s="253"/>
      <c r="L660" s="253"/>
      <c r="M660" s="253"/>
      <c r="N660" s="253"/>
      <c r="O660" s="253"/>
      <c r="P660" s="253"/>
      <c r="Q660" s="253"/>
      <c r="R660" s="253"/>
      <c r="S660" s="253"/>
      <c r="T660" s="253"/>
      <c r="U660" s="253"/>
      <c r="V660" s="253"/>
      <c r="W660" s="253"/>
      <c r="X660" s="253"/>
      <c r="Y660" s="253"/>
    </row>
    <row r="661">
      <c r="A661" s="253"/>
      <c r="B661" s="253"/>
      <c r="C661" s="253"/>
      <c r="D661" s="253"/>
      <c r="E661" s="253"/>
      <c r="F661" s="253"/>
      <c r="G661" s="253"/>
      <c r="H661" s="253"/>
      <c r="I661" s="253"/>
      <c r="J661" s="253"/>
      <c r="K661" s="253"/>
      <c r="L661" s="253"/>
      <c r="M661" s="253"/>
      <c r="N661" s="253"/>
      <c r="O661" s="253"/>
      <c r="P661" s="253"/>
      <c r="Q661" s="253"/>
      <c r="R661" s="253"/>
      <c r="S661" s="253"/>
      <c r="T661" s="253"/>
      <c r="U661" s="253"/>
      <c r="V661" s="253"/>
      <c r="W661" s="253"/>
      <c r="X661" s="253"/>
      <c r="Y661" s="253"/>
    </row>
    <row r="662">
      <c r="A662" s="253"/>
      <c r="B662" s="253"/>
      <c r="C662" s="253"/>
      <c r="D662" s="253"/>
      <c r="E662" s="253"/>
      <c r="F662" s="253"/>
      <c r="G662" s="253"/>
      <c r="H662" s="253"/>
      <c r="I662" s="253"/>
      <c r="J662" s="253"/>
      <c r="K662" s="253"/>
      <c r="L662" s="253"/>
      <c r="M662" s="253"/>
      <c r="N662" s="253"/>
      <c r="O662" s="253"/>
      <c r="P662" s="253"/>
      <c r="Q662" s="253"/>
      <c r="R662" s="253"/>
      <c r="S662" s="253"/>
      <c r="T662" s="253"/>
      <c r="U662" s="253"/>
      <c r="V662" s="253"/>
      <c r="W662" s="253"/>
      <c r="X662" s="253"/>
      <c r="Y662" s="253"/>
    </row>
    <row r="663">
      <c r="A663" s="253"/>
      <c r="B663" s="253"/>
      <c r="C663" s="253"/>
      <c r="D663" s="253"/>
      <c r="E663" s="253"/>
      <c r="F663" s="253"/>
      <c r="G663" s="253"/>
      <c r="H663" s="253"/>
      <c r="I663" s="253"/>
      <c r="J663" s="253"/>
      <c r="K663" s="253"/>
      <c r="L663" s="253"/>
      <c r="M663" s="253"/>
      <c r="N663" s="253"/>
      <c r="O663" s="253"/>
      <c r="P663" s="253"/>
      <c r="Q663" s="253"/>
      <c r="R663" s="253"/>
      <c r="S663" s="253"/>
      <c r="T663" s="253"/>
      <c r="U663" s="253"/>
      <c r="V663" s="253"/>
      <c r="W663" s="253"/>
      <c r="X663" s="253"/>
      <c r="Y663" s="253"/>
    </row>
    <row r="664">
      <c r="A664" s="253"/>
      <c r="B664" s="253"/>
      <c r="C664" s="253"/>
      <c r="D664" s="253"/>
      <c r="E664" s="253"/>
      <c r="F664" s="253"/>
      <c r="G664" s="253"/>
      <c r="H664" s="253"/>
      <c r="I664" s="253"/>
      <c r="J664" s="253"/>
      <c r="K664" s="253"/>
      <c r="L664" s="253"/>
      <c r="M664" s="253"/>
      <c r="N664" s="253"/>
      <c r="O664" s="253"/>
      <c r="P664" s="253"/>
      <c r="Q664" s="253"/>
      <c r="R664" s="253"/>
      <c r="S664" s="253"/>
      <c r="T664" s="253"/>
      <c r="U664" s="253"/>
      <c r="V664" s="253"/>
      <c r="W664" s="253"/>
      <c r="X664" s="253"/>
      <c r="Y664" s="253"/>
    </row>
    <row r="665">
      <c r="A665" s="253"/>
      <c r="B665" s="253"/>
      <c r="C665" s="253"/>
      <c r="D665" s="253"/>
      <c r="E665" s="253"/>
      <c r="F665" s="253"/>
      <c r="G665" s="253"/>
      <c r="H665" s="253"/>
      <c r="I665" s="253"/>
      <c r="J665" s="253"/>
      <c r="K665" s="253"/>
      <c r="L665" s="253"/>
      <c r="M665" s="253"/>
      <c r="N665" s="253"/>
      <c r="O665" s="253"/>
      <c r="P665" s="253"/>
      <c r="Q665" s="253"/>
      <c r="R665" s="253"/>
      <c r="S665" s="253"/>
      <c r="T665" s="253"/>
      <c r="U665" s="253"/>
      <c r="V665" s="253"/>
      <c r="W665" s="253"/>
      <c r="X665" s="253"/>
      <c r="Y665" s="253"/>
    </row>
    <row r="666">
      <c r="A666" s="253"/>
      <c r="B666" s="253"/>
      <c r="C666" s="253"/>
      <c r="D666" s="253"/>
      <c r="E666" s="253"/>
      <c r="F666" s="253"/>
      <c r="G666" s="253"/>
      <c r="H666" s="253"/>
      <c r="I666" s="253"/>
      <c r="J666" s="253"/>
      <c r="K666" s="253"/>
      <c r="L666" s="253"/>
      <c r="M666" s="253"/>
      <c r="N666" s="253"/>
      <c r="O666" s="253"/>
      <c r="P666" s="253"/>
      <c r="Q666" s="253"/>
      <c r="R666" s="253"/>
      <c r="S666" s="253"/>
      <c r="T666" s="253"/>
      <c r="U666" s="253"/>
      <c r="V666" s="253"/>
      <c r="W666" s="253"/>
      <c r="X666" s="253"/>
      <c r="Y666" s="253"/>
    </row>
    <row r="667">
      <c r="A667" s="253"/>
      <c r="B667" s="253"/>
      <c r="C667" s="253"/>
      <c r="D667" s="253"/>
      <c r="E667" s="253"/>
      <c r="F667" s="253"/>
      <c r="G667" s="253"/>
      <c r="H667" s="253"/>
      <c r="I667" s="253"/>
      <c r="J667" s="253"/>
      <c r="K667" s="253"/>
      <c r="L667" s="253"/>
      <c r="M667" s="253"/>
      <c r="N667" s="253"/>
      <c r="O667" s="253"/>
      <c r="P667" s="253"/>
      <c r="Q667" s="253"/>
      <c r="R667" s="253"/>
      <c r="S667" s="253"/>
      <c r="T667" s="253"/>
      <c r="U667" s="253"/>
      <c r="V667" s="253"/>
      <c r="W667" s="253"/>
      <c r="X667" s="253"/>
      <c r="Y667" s="253"/>
    </row>
    <row r="668">
      <c r="A668" s="253"/>
      <c r="B668" s="253"/>
      <c r="C668" s="253"/>
      <c r="D668" s="253"/>
      <c r="E668" s="253"/>
      <c r="F668" s="253"/>
      <c r="G668" s="253"/>
      <c r="H668" s="253"/>
      <c r="I668" s="253"/>
      <c r="J668" s="253"/>
      <c r="K668" s="253"/>
      <c r="L668" s="253"/>
      <c r="M668" s="253"/>
      <c r="N668" s="253"/>
      <c r="O668" s="253"/>
      <c r="P668" s="253"/>
      <c r="Q668" s="253"/>
      <c r="R668" s="253"/>
      <c r="S668" s="253"/>
      <c r="T668" s="253"/>
      <c r="U668" s="253"/>
      <c r="V668" s="253"/>
      <c r="W668" s="253"/>
      <c r="X668" s="253"/>
      <c r="Y668" s="253"/>
    </row>
    <row r="669">
      <c r="A669" s="253"/>
      <c r="B669" s="253"/>
      <c r="C669" s="253"/>
      <c r="D669" s="253"/>
      <c r="E669" s="253"/>
      <c r="F669" s="253"/>
      <c r="G669" s="253"/>
      <c r="H669" s="253"/>
      <c r="I669" s="253"/>
      <c r="J669" s="253"/>
      <c r="K669" s="253"/>
      <c r="L669" s="253"/>
      <c r="M669" s="253"/>
      <c r="N669" s="253"/>
      <c r="O669" s="253"/>
      <c r="P669" s="253"/>
      <c r="Q669" s="253"/>
      <c r="R669" s="253"/>
      <c r="S669" s="253"/>
      <c r="T669" s="253"/>
      <c r="U669" s="253"/>
      <c r="V669" s="253"/>
      <c r="W669" s="253"/>
      <c r="X669" s="253"/>
      <c r="Y669" s="253"/>
    </row>
    <row r="670">
      <c r="A670" s="253"/>
      <c r="B670" s="253"/>
      <c r="C670" s="253"/>
      <c r="D670" s="253"/>
      <c r="E670" s="253"/>
      <c r="F670" s="253"/>
      <c r="G670" s="253"/>
      <c r="H670" s="253"/>
      <c r="I670" s="253"/>
      <c r="J670" s="253"/>
      <c r="K670" s="253"/>
      <c r="L670" s="253"/>
      <c r="M670" s="253"/>
      <c r="N670" s="253"/>
      <c r="O670" s="253"/>
      <c r="P670" s="253"/>
      <c r="Q670" s="253"/>
      <c r="R670" s="253"/>
      <c r="S670" s="253"/>
      <c r="T670" s="253"/>
      <c r="U670" s="253"/>
      <c r="V670" s="253"/>
      <c r="W670" s="253"/>
      <c r="X670" s="253"/>
      <c r="Y670" s="253"/>
    </row>
    <row r="671">
      <c r="A671" s="253"/>
      <c r="B671" s="253"/>
      <c r="C671" s="253"/>
      <c r="D671" s="253"/>
      <c r="E671" s="253"/>
      <c r="F671" s="253"/>
      <c r="G671" s="253"/>
      <c r="H671" s="253"/>
      <c r="I671" s="253"/>
      <c r="J671" s="253"/>
      <c r="K671" s="253"/>
      <c r="L671" s="253"/>
      <c r="M671" s="253"/>
      <c r="N671" s="253"/>
      <c r="O671" s="253"/>
      <c r="P671" s="253"/>
      <c r="Q671" s="253"/>
      <c r="R671" s="253"/>
      <c r="S671" s="253"/>
      <c r="T671" s="253"/>
      <c r="U671" s="253"/>
      <c r="V671" s="253"/>
      <c r="W671" s="253"/>
      <c r="X671" s="253"/>
      <c r="Y671" s="253"/>
    </row>
    <row r="672">
      <c r="A672" s="253"/>
      <c r="B672" s="253"/>
      <c r="C672" s="253"/>
      <c r="D672" s="253"/>
      <c r="E672" s="253"/>
      <c r="F672" s="253"/>
      <c r="G672" s="253"/>
      <c r="H672" s="253"/>
      <c r="I672" s="253"/>
      <c r="J672" s="253"/>
      <c r="K672" s="253"/>
      <c r="L672" s="253"/>
      <c r="M672" s="253"/>
      <c r="N672" s="253"/>
      <c r="O672" s="253"/>
      <c r="P672" s="253"/>
      <c r="Q672" s="253"/>
      <c r="R672" s="253"/>
      <c r="S672" s="253"/>
      <c r="T672" s="253"/>
      <c r="U672" s="253"/>
      <c r="V672" s="253"/>
      <c r="W672" s="253"/>
      <c r="X672" s="253"/>
      <c r="Y672" s="253"/>
    </row>
    <row r="673">
      <c r="A673" s="253"/>
      <c r="B673" s="253"/>
      <c r="C673" s="253"/>
      <c r="D673" s="253"/>
      <c r="E673" s="253"/>
      <c r="F673" s="253"/>
      <c r="G673" s="253"/>
      <c r="H673" s="253"/>
      <c r="I673" s="253"/>
      <c r="J673" s="253"/>
      <c r="K673" s="253"/>
      <c r="L673" s="253"/>
      <c r="M673" s="253"/>
      <c r="N673" s="253"/>
      <c r="O673" s="253"/>
      <c r="P673" s="253"/>
      <c r="Q673" s="253"/>
      <c r="R673" s="253"/>
      <c r="S673" s="253"/>
      <c r="T673" s="253"/>
      <c r="U673" s="253"/>
      <c r="V673" s="253"/>
      <c r="W673" s="253"/>
      <c r="X673" s="253"/>
      <c r="Y673" s="253"/>
    </row>
    <row r="674">
      <c r="A674" s="253"/>
      <c r="B674" s="253"/>
      <c r="C674" s="253"/>
      <c r="D674" s="253"/>
      <c r="E674" s="253"/>
      <c r="F674" s="253"/>
      <c r="G674" s="253"/>
      <c r="H674" s="253"/>
      <c r="I674" s="253"/>
      <c r="J674" s="253"/>
      <c r="K674" s="253"/>
      <c r="L674" s="253"/>
      <c r="M674" s="253"/>
      <c r="N674" s="253"/>
      <c r="O674" s="253"/>
      <c r="P674" s="253"/>
      <c r="Q674" s="253"/>
      <c r="R674" s="253"/>
      <c r="S674" s="253"/>
      <c r="T674" s="253"/>
      <c r="U674" s="253"/>
      <c r="V674" s="253"/>
      <c r="W674" s="253"/>
      <c r="X674" s="253"/>
      <c r="Y674" s="253"/>
    </row>
    <row r="675">
      <c r="A675" s="253"/>
      <c r="B675" s="253"/>
      <c r="C675" s="253"/>
      <c r="D675" s="253"/>
      <c r="E675" s="253"/>
      <c r="F675" s="253"/>
      <c r="G675" s="253"/>
      <c r="H675" s="253"/>
      <c r="I675" s="253"/>
      <c r="J675" s="253"/>
      <c r="K675" s="253"/>
      <c r="L675" s="253"/>
      <c r="M675" s="253"/>
      <c r="N675" s="253"/>
      <c r="O675" s="253"/>
      <c r="P675" s="253"/>
      <c r="Q675" s="253"/>
      <c r="R675" s="253"/>
      <c r="S675" s="253"/>
      <c r="T675" s="253"/>
      <c r="U675" s="253"/>
      <c r="V675" s="253"/>
      <c r="W675" s="253"/>
      <c r="X675" s="253"/>
      <c r="Y675" s="253"/>
    </row>
    <row r="676">
      <c r="A676" s="253"/>
      <c r="B676" s="253"/>
      <c r="C676" s="253"/>
      <c r="D676" s="253"/>
      <c r="E676" s="253"/>
      <c r="F676" s="253"/>
      <c r="G676" s="253"/>
      <c r="H676" s="253"/>
      <c r="I676" s="253"/>
      <c r="J676" s="253"/>
      <c r="K676" s="253"/>
      <c r="L676" s="253"/>
      <c r="M676" s="253"/>
      <c r="N676" s="253"/>
      <c r="O676" s="253"/>
      <c r="P676" s="253"/>
      <c r="Q676" s="253"/>
      <c r="R676" s="253"/>
      <c r="S676" s="253"/>
      <c r="T676" s="253"/>
      <c r="U676" s="253"/>
      <c r="V676" s="253"/>
      <c r="W676" s="253"/>
      <c r="X676" s="253"/>
      <c r="Y676" s="253"/>
    </row>
    <row r="677">
      <c r="A677" s="253"/>
      <c r="B677" s="253"/>
      <c r="C677" s="253"/>
      <c r="D677" s="253"/>
      <c r="E677" s="253"/>
      <c r="F677" s="253"/>
      <c r="G677" s="253"/>
      <c r="H677" s="253"/>
      <c r="I677" s="253"/>
      <c r="J677" s="253"/>
      <c r="K677" s="253"/>
      <c r="L677" s="253"/>
      <c r="M677" s="253"/>
      <c r="N677" s="253"/>
      <c r="O677" s="253"/>
      <c r="P677" s="253"/>
      <c r="Q677" s="253"/>
      <c r="R677" s="253"/>
      <c r="S677" s="253"/>
      <c r="T677" s="253"/>
      <c r="U677" s="253"/>
      <c r="V677" s="253"/>
      <c r="W677" s="253"/>
      <c r="X677" s="253"/>
      <c r="Y677" s="253"/>
    </row>
    <row r="678">
      <c r="A678" s="253"/>
      <c r="B678" s="253"/>
      <c r="C678" s="253"/>
      <c r="D678" s="253"/>
      <c r="E678" s="253"/>
      <c r="F678" s="253"/>
      <c r="G678" s="253"/>
      <c r="H678" s="253"/>
      <c r="I678" s="253"/>
      <c r="J678" s="253"/>
      <c r="K678" s="253"/>
      <c r="L678" s="253"/>
      <c r="M678" s="253"/>
      <c r="N678" s="253"/>
      <c r="O678" s="253"/>
      <c r="P678" s="253"/>
      <c r="Q678" s="253"/>
      <c r="R678" s="253"/>
      <c r="S678" s="253"/>
      <c r="T678" s="253"/>
      <c r="U678" s="253"/>
      <c r="V678" s="253"/>
      <c r="W678" s="253"/>
      <c r="X678" s="253"/>
      <c r="Y678" s="253"/>
    </row>
    <row r="679">
      <c r="A679" s="253"/>
      <c r="B679" s="253"/>
      <c r="C679" s="253"/>
      <c r="D679" s="253"/>
      <c r="E679" s="253"/>
      <c r="F679" s="253"/>
      <c r="G679" s="253"/>
      <c r="H679" s="253"/>
      <c r="I679" s="253"/>
      <c r="J679" s="253"/>
      <c r="K679" s="253"/>
      <c r="L679" s="253"/>
      <c r="M679" s="253"/>
      <c r="N679" s="253"/>
      <c r="O679" s="253"/>
      <c r="P679" s="253"/>
      <c r="Q679" s="253"/>
      <c r="R679" s="253"/>
      <c r="S679" s="253"/>
      <c r="T679" s="253"/>
      <c r="U679" s="253"/>
      <c r="V679" s="253"/>
      <c r="W679" s="253"/>
      <c r="X679" s="253"/>
      <c r="Y679" s="253"/>
    </row>
    <row r="680">
      <c r="A680" s="253"/>
      <c r="B680" s="253"/>
      <c r="C680" s="253"/>
      <c r="D680" s="253"/>
      <c r="E680" s="253"/>
      <c r="F680" s="253"/>
      <c r="G680" s="253"/>
      <c r="H680" s="253"/>
      <c r="I680" s="253"/>
      <c r="J680" s="253"/>
      <c r="K680" s="253"/>
      <c r="L680" s="253"/>
      <c r="M680" s="253"/>
      <c r="N680" s="253"/>
      <c r="O680" s="253"/>
      <c r="P680" s="253"/>
      <c r="Q680" s="253"/>
      <c r="R680" s="253"/>
      <c r="S680" s="253"/>
      <c r="T680" s="253"/>
      <c r="U680" s="253"/>
      <c r="V680" s="253"/>
      <c r="W680" s="253"/>
      <c r="X680" s="253"/>
      <c r="Y680" s="253"/>
    </row>
    <row r="681">
      <c r="A681" s="253"/>
      <c r="B681" s="253"/>
      <c r="C681" s="253"/>
      <c r="D681" s="253"/>
      <c r="E681" s="253"/>
      <c r="F681" s="253"/>
      <c r="G681" s="253"/>
      <c r="H681" s="253"/>
      <c r="I681" s="253"/>
      <c r="J681" s="253"/>
      <c r="K681" s="253"/>
      <c r="L681" s="253"/>
      <c r="M681" s="253"/>
      <c r="N681" s="253"/>
      <c r="O681" s="253"/>
      <c r="P681" s="253"/>
      <c r="Q681" s="253"/>
      <c r="R681" s="253"/>
      <c r="S681" s="253"/>
      <c r="T681" s="253"/>
      <c r="U681" s="253"/>
      <c r="V681" s="253"/>
      <c r="W681" s="253"/>
      <c r="X681" s="253"/>
      <c r="Y681" s="253"/>
    </row>
    <row r="682">
      <c r="A682" s="253"/>
      <c r="B682" s="253"/>
      <c r="C682" s="253"/>
      <c r="D682" s="253"/>
      <c r="E682" s="253"/>
      <c r="F682" s="253"/>
      <c r="G682" s="253"/>
      <c r="H682" s="253"/>
      <c r="I682" s="253"/>
      <c r="J682" s="253"/>
      <c r="K682" s="253"/>
      <c r="L682" s="253"/>
      <c r="M682" s="253"/>
      <c r="N682" s="253"/>
      <c r="O682" s="253"/>
      <c r="P682" s="253"/>
      <c r="Q682" s="253"/>
      <c r="R682" s="253"/>
      <c r="S682" s="253"/>
      <c r="T682" s="253"/>
      <c r="U682" s="253"/>
      <c r="V682" s="253"/>
      <c r="W682" s="253"/>
      <c r="X682" s="253"/>
      <c r="Y682" s="253"/>
    </row>
    <row r="683">
      <c r="A683" s="253"/>
      <c r="B683" s="253"/>
      <c r="C683" s="253"/>
      <c r="D683" s="253"/>
      <c r="E683" s="253"/>
      <c r="F683" s="253"/>
      <c r="G683" s="253"/>
      <c r="H683" s="253"/>
      <c r="I683" s="253"/>
      <c r="J683" s="253"/>
      <c r="K683" s="253"/>
      <c r="L683" s="253"/>
      <c r="M683" s="253"/>
      <c r="N683" s="253"/>
      <c r="O683" s="253"/>
      <c r="P683" s="253"/>
      <c r="Q683" s="253"/>
      <c r="R683" s="253"/>
      <c r="S683" s="253"/>
      <c r="T683" s="253"/>
      <c r="U683" s="253"/>
      <c r="V683" s="253"/>
      <c r="W683" s="253"/>
      <c r="X683" s="253"/>
      <c r="Y683" s="253"/>
    </row>
    <row r="684">
      <c r="A684" s="253"/>
      <c r="B684" s="253"/>
      <c r="C684" s="253"/>
      <c r="D684" s="253"/>
      <c r="E684" s="253"/>
      <c r="F684" s="253"/>
      <c r="G684" s="253"/>
      <c r="H684" s="253"/>
      <c r="I684" s="253"/>
      <c r="J684" s="253"/>
      <c r="K684" s="253"/>
      <c r="L684" s="253"/>
      <c r="M684" s="253"/>
      <c r="N684" s="253"/>
      <c r="O684" s="253"/>
      <c r="P684" s="253"/>
      <c r="Q684" s="253"/>
      <c r="R684" s="253"/>
      <c r="S684" s="253"/>
      <c r="T684" s="253"/>
      <c r="U684" s="253"/>
      <c r="V684" s="253"/>
      <c r="W684" s="253"/>
      <c r="X684" s="253"/>
      <c r="Y684" s="253"/>
    </row>
    <row r="685">
      <c r="A685" s="253"/>
      <c r="B685" s="253"/>
      <c r="C685" s="253"/>
      <c r="D685" s="253"/>
      <c r="E685" s="253"/>
      <c r="F685" s="253"/>
      <c r="G685" s="253"/>
      <c r="H685" s="253"/>
      <c r="I685" s="253"/>
      <c r="J685" s="253"/>
      <c r="K685" s="253"/>
      <c r="L685" s="253"/>
      <c r="M685" s="253"/>
      <c r="N685" s="253"/>
      <c r="O685" s="253"/>
      <c r="P685" s="253"/>
      <c r="Q685" s="253"/>
      <c r="R685" s="253"/>
      <c r="S685" s="253"/>
      <c r="T685" s="253"/>
      <c r="U685" s="253"/>
      <c r="V685" s="253"/>
      <c r="W685" s="253"/>
      <c r="X685" s="253"/>
      <c r="Y685" s="253"/>
    </row>
    <row r="686">
      <c r="A686" s="253"/>
      <c r="B686" s="253"/>
      <c r="C686" s="253"/>
      <c r="D686" s="253"/>
      <c r="E686" s="253"/>
      <c r="F686" s="253"/>
      <c r="G686" s="253"/>
      <c r="H686" s="253"/>
      <c r="I686" s="253"/>
      <c r="J686" s="253"/>
      <c r="K686" s="253"/>
      <c r="L686" s="253"/>
      <c r="M686" s="253"/>
      <c r="N686" s="253"/>
      <c r="O686" s="253"/>
      <c r="P686" s="253"/>
      <c r="Q686" s="253"/>
      <c r="R686" s="253"/>
      <c r="S686" s="253"/>
      <c r="T686" s="253"/>
      <c r="U686" s="253"/>
      <c r="V686" s="253"/>
      <c r="W686" s="253"/>
      <c r="X686" s="253"/>
      <c r="Y686" s="253"/>
    </row>
    <row r="687">
      <c r="A687" s="253"/>
      <c r="B687" s="253"/>
      <c r="C687" s="253"/>
      <c r="D687" s="253"/>
      <c r="E687" s="253"/>
      <c r="F687" s="253"/>
      <c r="G687" s="253"/>
      <c r="H687" s="253"/>
      <c r="I687" s="253"/>
      <c r="J687" s="253"/>
      <c r="K687" s="253"/>
      <c r="L687" s="253"/>
      <c r="M687" s="253"/>
      <c r="N687" s="253"/>
      <c r="O687" s="253"/>
      <c r="P687" s="253"/>
      <c r="Q687" s="253"/>
      <c r="R687" s="253"/>
      <c r="S687" s="253"/>
      <c r="T687" s="253"/>
      <c r="U687" s="253"/>
      <c r="V687" s="253"/>
      <c r="W687" s="253"/>
      <c r="X687" s="253"/>
      <c r="Y687" s="253"/>
    </row>
    <row r="688">
      <c r="A688" s="253"/>
      <c r="B688" s="253"/>
      <c r="C688" s="253"/>
      <c r="D688" s="253"/>
      <c r="E688" s="253"/>
      <c r="F688" s="253"/>
      <c r="G688" s="253"/>
      <c r="H688" s="253"/>
      <c r="I688" s="253"/>
      <c r="J688" s="253"/>
      <c r="K688" s="253"/>
      <c r="L688" s="253"/>
      <c r="M688" s="253"/>
      <c r="N688" s="253"/>
      <c r="O688" s="253"/>
      <c r="P688" s="253"/>
      <c r="Q688" s="253"/>
      <c r="R688" s="253"/>
      <c r="S688" s="253"/>
      <c r="T688" s="253"/>
      <c r="U688" s="253"/>
      <c r="V688" s="253"/>
      <c r="W688" s="253"/>
      <c r="X688" s="253"/>
      <c r="Y688" s="253"/>
    </row>
    <row r="689">
      <c r="A689" s="253"/>
      <c r="B689" s="253"/>
      <c r="C689" s="253"/>
      <c r="D689" s="253"/>
      <c r="E689" s="253"/>
      <c r="F689" s="253"/>
      <c r="G689" s="253"/>
      <c r="H689" s="253"/>
      <c r="I689" s="253"/>
      <c r="J689" s="253"/>
      <c r="K689" s="253"/>
      <c r="L689" s="253"/>
      <c r="M689" s="253"/>
      <c r="N689" s="253"/>
      <c r="O689" s="253"/>
      <c r="P689" s="253"/>
      <c r="Q689" s="253"/>
      <c r="R689" s="253"/>
      <c r="S689" s="253"/>
      <c r="T689" s="253"/>
      <c r="U689" s="253"/>
      <c r="V689" s="253"/>
      <c r="W689" s="253"/>
      <c r="X689" s="253"/>
      <c r="Y689" s="253"/>
    </row>
    <row r="690">
      <c r="A690" s="253"/>
      <c r="B690" s="253"/>
      <c r="C690" s="253"/>
      <c r="D690" s="253"/>
      <c r="E690" s="253"/>
      <c r="F690" s="253"/>
      <c r="G690" s="253"/>
      <c r="H690" s="253"/>
      <c r="I690" s="253"/>
      <c r="J690" s="253"/>
      <c r="K690" s="253"/>
      <c r="L690" s="253"/>
      <c r="M690" s="253"/>
      <c r="N690" s="253"/>
      <c r="O690" s="253"/>
      <c r="P690" s="253"/>
      <c r="Q690" s="253"/>
      <c r="R690" s="253"/>
      <c r="S690" s="253"/>
      <c r="T690" s="253"/>
      <c r="U690" s="253"/>
      <c r="V690" s="253"/>
      <c r="W690" s="253"/>
      <c r="X690" s="253"/>
      <c r="Y690" s="253"/>
    </row>
    <row r="691">
      <c r="A691" s="253"/>
      <c r="B691" s="253"/>
      <c r="C691" s="253"/>
      <c r="D691" s="253"/>
      <c r="E691" s="253"/>
      <c r="F691" s="253"/>
      <c r="G691" s="253"/>
      <c r="H691" s="253"/>
      <c r="I691" s="253"/>
      <c r="J691" s="253"/>
      <c r="K691" s="253"/>
      <c r="L691" s="253"/>
      <c r="M691" s="253"/>
      <c r="N691" s="253"/>
      <c r="O691" s="253"/>
      <c r="P691" s="253"/>
      <c r="Q691" s="253"/>
      <c r="R691" s="253"/>
      <c r="S691" s="253"/>
      <c r="T691" s="253"/>
      <c r="U691" s="253"/>
      <c r="V691" s="253"/>
      <c r="W691" s="253"/>
      <c r="X691" s="253"/>
      <c r="Y691" s="253"/>
    </row>
    <row r="692">
      <c r="A692" s="253"/>
      <c r="B692" s="253"/>
      <c r="C692" s="253"/>
      <c r="D692" s="253"/>
      <c r="E692" s="253"/>
      <c r="F692" s="253"/>
      <c r="G692" s="253"/>
      <c r="H692" s="253"/>
      <c r="I692" s="253"/>
      <c r="J692" s="253"/>
      <c r="K692" s="253"/>
      <c r="L692" s="253"/>
      <c r="M692" s="253"/>
      <c r="N692" s="253"/>
      <c r="O692" s="253"/>
      <c r="P692" s="253"/>
      <c r="Q692" s="253"/>
      <c r="R692" s="253"/>
      <c r="S692" s="253"/>
      <c r="T692" s="253"/>
      <c r="U692" s="253"/>
      <c r="V692" s="253"/>
      <c r="W692" s="253"/>
      <c r="X692" s="253"/>
      <c r="Y692" s="253"/>
    </row>
    <row r="693">
      <c r="A693" s="253"/>
      <c r="B693" s="253"/>
      <c r="C693" s="253"/>
      <c r="D693" s="253"/>
      <c r="E693" s="253"/>
      <c r="F693" s="253"/>
      <c r="G693" s="253"/>
      <c r="H693" s="253"/>
      <c r="I693" s="253"/>
      <c r="J693" s="253"/>
      <c r="K693" s="253"/>
      <c r="L693" s="253"/>
      <c r="M693" s="253"/>
      <c r="N693" s="253"/>
      <c r="O693" s="253"/>
      <c r="P693" s="253"/>
      <c r="Q693" s="253"/>
      <c r="R693" s="253"/>
      <c r="S693" s="253"/>
      <c r="T693" s="253"/>
      <c r="U693" s="253"/>
      <c r="V693" s="253"/>
      <c r="W693" s="253"/>
      <c r="X693" s="253"/>
      <c r="Y693" s="253"/>
    </row>
    <row r="694">
      <c r="A694" s="253"/>
      <c r="B694" s="253"/>
      <c r="C694" s="253"/>
      <c r="D694" s="253"/>
      <c r="E694" s="253"/>
      <c r="F694" s="253"/>
      <c r="G694" s="253"/>
      <c r="H694" s="253"/>
      <c r="I694" s="253"/>
      <c r="J694" s="253"/>
      <c r="K694" s="253"/>
      <c r="L694" s="253"/>
      <c r="M694" s="253"/>
      <c r="N694" s="253"/>
      <c r="O694" s="253"/>
      <c r="P694" s="253"/>
      <c r="Q694" s="253"/>
      <c r="R694" s="253"/>
      <c r="S694" s="253"/>
      <c r="T694" s="253"/>
      <c r="U694" s="253"/>
      <c r="V694" s="253"/>
      <c r="W694" s="253"/>
      <c r="X694" s="253"/>
      <c r="Y694" s="253"/>
    </row>
    <row r="695">
      <c r="A695" s="253"/>
      <c r="B695" s="253"/>
      <c r="C695" s="253"/>
      <c r="D695" s="253"/>
      <c r="E695" s="253"/>
      <c r="F695" s="253"/>
      <c r="G695" s="253"/>
      <c r="H695" s="253"/>
      <c r="I695" s="253"/>
      <c r="J695" s="253"/>
      <c r="K695" s="253"/>
      <c r="L695" s="253"/>
      <c r="M695" s="253"/>
      <c r="N695" s="253"/>
      <c r="O695" s="253"/>
      <c r="P695" s="253"/>
      <c r="Q695" s="253"/>
      <c r="R695" s="253"/>
      <c r="S695" s="253"/>
      <c r="T695" s="253"/>
      <c r="U695" s="253"/>
      <c r="V695" s="253"/>
      <c r="W695" s="253"/>
      <c r="X695" s="253"/>
      <c r="Y695" s="253"/>
    </row>
    <row r="696">
      <c r="A696" s="253"/>
      <c r="B696" s="253"/>
      <c r="C696" s="253"/>
      <c r="D696" s="253"/>
      <c r="E696" s="253"/>
      <c r="F696" s="253"/>
      <c r="G696" s="253"/>
      <c r="H696" s="253"/>
      <c r="I696" s="253"/>
      <c r="J696" s="253"/>
      <c r="K696" s="253"/>
      <c r="L696" s="253"/>
      <c r="M696" s="253"/>
      <c r="N696" s="253"/>
      <c r="O696" s="253"/>
      <c r="P696" s="253"/>
      <c r="Q696" s="253"/>
      <c r="R696" s="253"/>
      <c r="S696" s="253"/>
      <c r="T696" s="253"/>
      <c r="U696" s="253"/>
      <c r="V696" s="253"/>
      <c r="W696" s="253"/>
      <c r="X696" s="253"/>
      <c r="Y696" s="253"/>
    </row>
    <row r="697">
      <c r="A697" s="253"/>
      <c r="B697" s="253"/>
      <c r="C697" s="253"/>
      <c r="D697" s="253"/>
      <c r="E697" s="253"/>
      <c r="F697" s="253"/>
      <c r="G697" s="253"/>
      <c r="H697" s="253"/>
      <c r="I697" s="253"/>
      <c r="J697" s="253"/>
      <c r="K697" s="253"/>
      <c r="L697" s="253"/>
      <c r="M697" s="253"/>
      <c r="N697" s="253"/>
      <c r="O697" s="253"/>
      <c r="P697" s="253"/>
      <c r="Q697" s="253"/>
      <c r="R697" s="253"/>
      <c r="S697" s="253"/>
      <c r="T697" s="253"/>
      <c r="U697" s="253"/>
      <c r="V697" s="253"/>
      <c r="W697" s="253"/>
      <c r="X697" s="253"/>
      <c r="Y697" s="253"/>
    </row>
    <row r="698">
      <c r="A698" s="253"/>
      <c r="B698" s="253"/>
      <c r="C698" s="253"/>
      <c r="D698" s="253"/>
      <c r="E698" s="253"/>
      <c r="F698" s="253"/>
      <c r="G698" s="253"/>
      <c r="H698" s="253"/>
      <c r="I698" s="253"/>
      <c r="J698" s="253"/>
      <c r="K698" s="253"/>
      <c r="L698" s="253"/>
      <c r="M698" s="253"/>
      <c r="N698" s="253"/>
      <c r="O698" s="253"/>
      <c r="P698" s="253"/>
      <c r="Q698" s="253"/>
      <c r="R698" s="253"/>
      <c r="S698" s="253"/>
      <c r="T698" s="253"/>
      <c r="U698" s="253"/>
      <c r="V698" s="253"/>
      <c r="W698" s="253"/>
      <c r="X698" s="253"/>
      <c r="Y698" s="253"/>
    </row>
    <row r="699">
      <c r="A699" s="253"/>
      <c r="B699" s="253"/>
      <c r="C699" s="253"/>
      <c r="D699" s="253"/>
      <c r="E699" s="253"/>
      <c r="F699" s="253"/>
      <c r="G699" s="253"/>
      <c r="H699" s="253"/>
      <c r="I699" s="253"/>
      <c r="J699" s="253"/>
      <c r="K699" s="253"/>
      <c r="L699" s="253"/>
      <c r="M699" s="253"/>
      <c r="N699" s="253"/>
      <c r="O699" s="253"/>
      <c r="P699" s="253"/>
      <c r="Q699" s="253"/>
      <c r="R699" s="253"/>
      <c r="S699" s="253"/>
      <c r="T699" s="253"/>
      <c r="U699" s="253"/>
      <c r="V699" s="253"/>
      <c r="W699" s="253"/>
      <c r="X699" s="253"/>
      <c r="Y699" s="253"/>
    </row>
    <row r="700">
      <c r="A700" s="253"/>
      <c r="B700" s="253"/>
      <c r="C700" s="253"/>
      <c r="D700" s="253"/>
      <c r="E700" s="253"/>
      <c r="F700" s="253"/>
      <c r="G700" s="253"/>
      <c r="H700" s="253"/>
      <c r="I700" s="253"/>
      <c r="J700" s="253"/>
      <c r="K700" s="253"/>
      <c r="L700" s="253"/>
      <c r="M700" s="253"/>
      <c r="N700" s="253"/>
      <c r="O700" s="253"/>
      <c r="P700" s="253"/>
      <c r="Q700" s="253"/>
      <c r="R700" s="253"/>
      <c r="S700" s="253"/>
      <c r="T700" s="253"/>
      <c r="U700" s="253"/>
      <c r="V700" s="253"/>
      <c r="W700" s="253"/>
      <c r="X700" s="253"/>
      <c r="Y700" s="253"/>
    </row>
    <row r="701">
      <c r="A701" s="253"/>
      <c r="B701" s="253"/>
      <c r="C701" s="253"/>
      <c r="D701" s="253"/>
      <c r="E701" s="253"/>
      <c r="F701" s="253"/>
      <c r="G701" s="253"/>
      <c r="H701" s="253"/>
      <c r="I701" s="253"/>
      <c r="J701" s="253"/>
      <c r="K701" s="253"/>
      <c r="L701" s="253"/>
      <c r="M701" s="253"/>
      <c r="N701" s="253"/>
      <c r="O701" s="253"/>
      <c r="P701" s="253"/>
      <c r="Q701" s="253"/>
      <c r="R701" s="253"/>
      <c r="S701" s="253"/>
      <c r="T701" s="253"/>
      <c r="U701" s="253"/>
      <c r="V701" s="253"/>
      <c r="W701" s="253"/>
      <c r="X701" s="253"/>
      <c r="Y701" s="253"/>
    </row>
    <row r="702">
      <c r="A702" s="253"/>
      <c r="B702" s="253"/>
      <c r="C702" s="253"/>
      <c r="D702" s="253"/>
      <c r="E702" s="253"/>
      <c r="F702" s="253"/>
      <c r="G702" s="253"/>
      <c r="H702" s="253"/>
      <c r="I702" s="253"/>
      <c r="J702" s="253"/>
      <c r="K702" s="253"/>
      <c r="L702" s="253"/>
      <c r="M702" s="253"/>
      <c r="N702" s="253"/>
      <c r="O702" s="253"/>
      <c r="P702" s="253"/>
      <c r="Q702" s="253"/>
      <c r="R702" s="253"/>
      <c r="S702" s="253"/>
      <c r="T702" s="253"/>
      <c r="U702" s="253"/>
      <c r="V702" s="253"/>
      <c r="W702" s="253"/>
      <c r="X702" s="253"/>
      <c r="Y702" s="253"/>
    </row>
    <row r="703">
      <c r="A703" s="253"/>
      <c r="B703" s="253"/>
      <c r="C703" s="253"/>
      <c r="D703" s="253"/>
      <c r="E703" s="253"/>
      <c r="F703" s="253"/>
      <c r="G703" s="253"/>
      <c r="H703" s="253"/>
      <c r="I703" s="253"/>
      <c r="J703" s="253"/>
      <c r="K703" s="253"/>
      <c r="L703" s="253"/>
      <c r="M703" s="253"/>
      <c r="N703" s="253"/>
      <c r="O703" s="253"/>
      <c r="P703" s="253"/>
      <c r="Q703" s="253"/>
      <c r="R703" s="253"/>
      <c r="S703" s="253"/>
      <c r="T703" s="253"/>
      <c r="U703" s="253"/>
      <c r="V703" s="253"/>
      <c r="W703" s="253"/>
      <c r="X703" s="253"/>
      <c r="Y703" s="253"/>
    </row>
    <row r="704">
      <c r="A704" s="253"/>
      <c r="B704" s="253"/>
      <c r="C704" s="253"/>
      <c r="D704" s="253"/>
      <c r="E704" s="253"/>
      <c r="F704" s="253"/>
      <c r="G704" s="253"/>
      <c r="H704" s="253"/>
      <c r="I704" s="253"/>
      <c r="J704" s="253"/>
      <c r="K704" s="253"/>
      <c r="L704" s="253"/>
      <c r="M704" s="253"/>
      <c r="N704" s="253"/>
      <c r="O704" s="253"/>
      <c r="P704" s="253"/>
      <c r="Q704" s="253"/>
      <c r="R704" s="253"/>
      <c r="S704" s="253"/>
      <c r="T704" s="253"/>
      <c r="U704" s="253"/>
      <c r="V704" s="253"/>
      <c r="W704" s="253"/>
      <c r="X704" s="253"/>
      <c r="Y704" s="253"/>
    </row>
    <row r="705">
      <c r="A705" s="253"/>
      <c r="B705" s="253"/>
      <c r="C705" s="253"/>
      <c r="D705" s="253"/>
      <c r="E705" s="253"/>
      <c r="F705" s="253"/>
      <c r="G705" s="253"/>
      <c r="H705" s="253"/>
      <c r="I705" s="253"/>
      <c r="J705" s="253"/>
      <c r="K705" s="253"/>
      <c r="L705" s="253"/>
      <c r="M705" s="253"/>
      <c r="N705" s="253"/>
      <c r="O705" s="253"/>
      <c r="P705" s="253"/>
      <c r="Q705" s="253"/>
      <c r="R705" s="253"/>
      <c r="S705" s="253"/>
      <c r="T705" s="253"/>
      <c r="U705" s="253"/>
      <c r="V705" s="253"/>
      <c r="W705" s="253"/>
      <c r="X705" s="253"/>
      <c r="Y705" s="253"/>
    </row>
    <row r="706">
      <c r="A706" s="253"/>
      <c r="B706" s="253"/>
      <c r="C706" s="253"/>
      <c r="D706" s="253"/>
      <c r="E706" s="253"/>
      <c r="F706" s="253"/>
      <c r="G706" s="253"/>
      <c r="H706" s="253"/>
      <c r="I706" s="253"/>
      <c r="J706" s="253"/>
      <c r="K706" s="253"/>
      <c r="L706" s="253"/>
      <c r="M706" s="253"/>
      <c r="N706" s="253"/>
      <c r="O706" s="253"/>
      <c r="P706" s="253"/>
      <c r="Q706" s="253"/>
      <c r="R706" s="253"/>
      <c r="S706" s="253"/>
      <c r="T706" s="253"/>
      <c r="U706" s="253"/>
      <c r="V706" s="253"/>
      <c r="W706" s="253"/>
      <c r="X706" s="253"/>
      <c r="Y706" s="253"/>
    </row>
    <row r="707">
      <c r="A707" s="253"/>
      <c r="B707" s="253"/>
      <c r="C707" s="253"/>
      <c r="D707" s="253"/>
      <c r="E707" s="253"/>
      <c r="F707" s="253"/>
      <c r="G707" s="253"/>
      <c r="H707" s="253"/>
      <c r="I707" s="253"/>
      <c r="J707" s="253"/>
      <c r="K707" s="253"/>
      <c r="L707" s="253"/>
      <c r="M707" s="253"/>
      <c r="N707" s="253"/>
      <c r="O707" s="253"/>
      <c r="P707" s="253"/>
      <c r="Q707" s="253"/>
      <c r="R707" s="253"/>
      <c r="S707" s="253"/>
      <c r="T707" s="253"/>
      <c r="U707" s="253"/>
      <c r="V707" s="253"/>
      <c r="W707" s="253"/>
      <c r="X707" s="253"/>
      <c r="Y707" s="253"/>
    </row>
    <row r="708">
      <c r="A708" s="253"/>
      <c r="B708" s="253"/>
      <c r="C708" s="253"/>
      <c r="D708" s="253"/>
      <c r="E708" s="253"/>
      <c r="F708" s="253"/>
      <c r="G708" s="253"/>
      <c r="H708" s="253"/>
      <c r="I708" s="253"/>
      <c r="J708" s="253"/>
      <c r="K708" s="253"/>
      <c r="L708" s="253"/>
      <c r="M708" s="253"/>
      <c r="N708" s="253"/>
      <c r="O708" s="253"/>
      <c r="P708" s="253"/>
      <c r="Q708" s="253"/>
      <c r="R708" s="253"/>
      <c r="S708" s="253"/>
      <c r="T708" s="253"/>
      <c r="U708" s="253"/>
      <c r="V708" s="253"/>
      <c r="W708" s="253"/>
      <c r="X708" s="253"/>
      <c r="Y708" s="253"/>
    </row>
    <row r="709">
      <c r="A709" s="253"/>
      <c r="B709" s="253"/>
      <c r="C709" s="253"/>
      <c r="D709" s="253"/>
      <c r="E709" s="253"/>
      <c r="F709" s="253"/>
      <c r="G709" s="253"/>
      <c r="H709" s="253"/>
      <c r="I709" s="253"/>
      <c r="J709" s="253"/>
      <c r="K709" s="253"/>
      <c r="L709" s="253"/>
      <c r="M709" s="253"/>
      <c r="N709" s="253"/>
      <c r="O709" s="253"/>
      <c r="P709" s="253"/>
      <c r="Q709" s="253"/>
      <c r="R709" s="253"/>
      <c r="S709" s="253"/>
      <c r="T709" s="253"/>
      <c r="U709" s="253"/>
      <c r="V709" s="253"/>
      <c r="W709" s="253"/>
      <c r="X709" s="253"/>
      <c r="Y709" s="253"/>
    </row>
    <row r="710">
      <c r="A710" s="253"/>
      <c r="B710" s="253"/>
      <c r="C710" s="253"/>
      <c r="D710" s="253"/>
      <c r="E710" s="253"/>
      <c r="F710" s="253"/>
      <c r="G710" s="253"/>
      <c r="H710" s="253"/>
      <c r="I710" s="253"/>
      <c r="J710" s="253"/>
      <c r="K710" s="253"/>
      <c r="L710" s="253"/>
      <c r="M710" s="253"/>
      <c r="N710" s="253"/>
      <c r="O710" s="253"/>
      <c r="P710" s="253"/>
      <c r="Q710" s="253"/>
      <c r="R710" s="253"/>
      <c r="S710" s="253"/>
      <c r="T710" s="253"/>
      <c r="U710" s="253"/>
      <c r="V710" s="253"/>
      <c r="W710" s="253"/>
      <c r="X710" s="253"/>
      <c r="Y710" s="253"/>
    </row>
    <row r="711">
      <c r="A711" s="253"/>
      <c r="B711" s="253"/>
      <c r="C711" s="253"/>
      <c r="D711" s="253"/>
      <c r="E711" s="253"/>
      <c r="F711" s="253"/>
      <c r="G711" s="253"/>
      <c r="H711" s="253"/>
      <c r="I711" s="253"/>
      <c r="J711" s="253"/>
      <c r="K711" s="253"/>
      <c r="L711" s="253"/>
      <c r="M711" s="253"/>
      <c r="N711" s="253"/>
      <c r="O711" s="253"/>
      <c r="P711" s="253"/>
      <c r="Q711" s="253"/>
      <c r="R711" s="253"/>
      <c r="S711" s="253"/>
      <c r="T711" s="253"/>
      <c r="U711" s="253"/>
      <c r="V711" s="253"/>
      <c r="W711" s="253"/>
      <c r="X711" s="253"/>
      <c r="Y711" s="253"/>
    </row>
    <row r="712">
      <c r="A712" s="253"/>
      <c r="B712" s="253"/>
      <c r="C712" s="253"/>
      <c r="D712" s="253"/>
      <c r="E712" s="253"/>
      <c r="F712" s="253"/>
      <c r="G712" s="253"/>
      <c r="H712" s="253"/>
      <c r="I712" s="253"/>
      <c r="J712" s="253"/>
      <c r="K712" s="253"/>
      <c r="L712" s="253"/>
      <c r="M712" s="253"/>
      <c r="N712" s="253"/>
      <c r="O712" s="253"/>
      <c r="P712" s="253"/>
      <c r="Q712" s="253"/>
      <c r="R712" s="253"/>
      <c r="S712" s="253"/>
      <c r="T712" s="253"/>
      <c r="U712" s="253"/>
      <c r="V712" s="253"/>
      <c r="W712" s="253"/>
      <c r="X712" s="253"/>
      <c r="Y712" s="253"/>
    </row>
    <row r="713">
      <c r="A713" s="253"/>
      <c r="B713" s="253"/>
      <c r="C713" s="253"/>
      <c r="D713" s="253"/>
      <c r="E713" s="253"/>
      <c r="F713" s="253"/>
      <c r="G713" s="253"/>
      <c r="H713" s="253"/>
      <c r="I713" s="253"/>
      <c r="J713" s="253"/>
      <c r="K713" s="253"/>
      <c r="L713" s="253"/>
      <c r="M713" s="253"/>
      <c r="N713" s="253"/>
      <c r="O713" s="253"/>
      <c r="P713" s="253"/>
      <c r="Q713" s="253"/>
      <c r="R713" s="253"/>
      <c r="S713" s="253"/>
      <c r="T713" s="253"/>
      <c r="U713" s="253"/>
      <c r="V713" s="253"/>
      <c r="W713" s="253"/>
      <c r="X713" s="253"/>
      <c r="Y713" s="253"/>
    </row>
    <row r="714">
      <c r="A714" s="253"/>
      <c r="B714" s="253"/>
      <c r="C714" s="253"/>
      <c r="D714" s="253"/>
      <c r="E714" s="253"/>
      <c r="F714" s="253"/>
      <c r="G714" s="253"/>
      <c r="H714" s="253"/>
      <c r="I714" s="253"/>
      <c r="J714" s="253"/>
      <c r="K714" s="253"/>
      <c r="L714" s="253"/>
      <c r="M714" s="253"/>
      <c r="N714" s="253"/>
      <c r="O714" s="253"/>
      <c r="P714" s="253"/>
      <c r="Q714" s="253"/>
      <c r="R714" s="253"/>
      <c r="S714" s="253"/>
      <c r="T714" s="253"/>
      <c r="U714" s="253"/>
      <c r="V714" s="253"/>
      <c r="W714" s="253"/>
      <c r="X714" s="253"/>
      <c r="Y714" s="253"/>
    </row>
    <row r="715">
      <c r="A715" s="253"/>
      <c r="B715" s="253"/>
      <c r="C715" s="253"/>
      <c r="D715" s="253"/>
      <c r="E715" s="253"/>
      <c r="F715" s="253"/>
      <c r="G715" s="253"/>
      <c r="H715" s="253"/>
      <c r="I715" s="253"/>
      <c r="J715" s="253"/>
      <c r="K715" s="253"/>
      <c r="L715" s="253"/>
      <c r="M715" s="253"/>
      <c r="N715" s="253"/>
      <c r="O715" s="253"/>
      <c r="P715" s="253"/>
      <c r="Q715" s="253"/>
      <c r="R715" s="253"/>
      <c r="S715" s="253"/>
      <c r="T715" s="253"/>
      <c r="U715" s="253"/>
      <c r="V715" s="253"/>
      <c r="W715" s="253"/>
      <c r="X715" s="253"/>
      <c r="Y715" s="253"/>
    </row>
    <row r="716">
      <c r="A716" s="253"/>
      <c r="B716" s="253"/>
      <c r="C716" s="253"/>
      <c r="D716" s="253"/>
      <c r="E716" s="253"/>
      <c r="F716" s="253"/>
      <c r="G716" s="253"/>
      <c r="H716" s="253"/>
      <c r="I716" s="253"/>
      <c r="J716" s="253"/>
      <c r="K716" s="253"/>
      <c r="L716" s="253"/>
      <c r="M716" s="253"/>
      <c r="N716" s="253"/>
      <c r="O716" s="253"/>
      <c r="P716" s="253"/>
      <c r="Q716" s="253"/>
      <c r="R716" s="253"/>
      <c r="S716" s="253"/>
      <c r="T716" s="253"/>
      <c r="U716" s="253"/>
      <c r="V716" s="253"/>
      <c r="W716" s="253"/>
      <c r="X716" s="253"/>
      <c r="Y716" s="253"/>
    </row>
    <row r="717">
      <c r="A717" s="253"/>
      <c r="B717" s="253"/>
      <c r="C717" s="253"/>
      <c r="D717" s="253"/>
      <c r="E717" s="253"/>
      <c r="F717" s="253"/>
      <c r="G717" s="253"/>
      <c r="H717" s="253"/>
      <c r="I717" s="253"/>
      <c r="J717" s="253"/>
      <c r="K717" s="253"/>
      <c r="L717" s="253"/>
      <c r="M717" s="253"/>
      <c r="N717" s="253"/>
      <c r="O717" s="253"/>
      <c r="P717" s="253"/>
      <c r="Q717" s="253"/>
      <c r="R717" s="253"/>
      <c r="S717" s="253"/>
      <c r="T717" s="253"/>
      <c r="U717" s="253"/>
      <c r="V717" s="253"/>
      <c r="W717" s="253"/>
      <c r="X717" s="253"/>
      <c r="Y717" s="253"/>
    </row>
    <row r="718">
      <c r="A718" s="253"/>
      <c r="B718" s="253"/>
      <c r="C718" s="253"/>
      <c r="D718" s="253"/>
      <c r="E718" s="253"/>
      <c r="F718" s="253"/>
      <c r="G718" s="253"/>
      <c r="H718" s="253"/>
      <c r="I718" s="253"/>
      <c r="J718" s="253"/>
      <c r="K718" s="253"/>
      <c r="L718" s="253"/>
      <c r="M718" s="253"/>
      <c r="N718" s="253"/>
      <c r="O718" s="253"/>
      <c r="P718" s="253"/>
      <c r="Q718" s="253"/>
      <c r="R718" s="253"/>
      <c r="S718" s="253"/>
      <c r="T718" s="253"/>
      <c r="U718" s="253"/>
      <c r="V718" s="253"/>
      <c r="W718" s="253"/>
      <c r="X718" s="253"/>
      <c r="Y718" s="253"/>
    </row>
    <row r="719">
      <c r="A719" s="253"/>
      <c r="B719" s="253"/>
      <c r="C719" s="253"/>
      <c r="D719" s="253"/>
      <c r="E719" s="253"/>
      <c r="F719" s="253"/>
      <c r="G719" s="253"/>
      <c r="H719" s="253"/>
      <c r="I719" s="253"/>
      <c r="J719" s="253"/>
      <c r="K719" s="253"/>
      <c r="L719" s="253"/>
      <c r="M719" s="253"/>
      <c r="N719" s="253"/>
      <c r="O719" s="253"/>
      <c r="P719" s="253"/>
      <c r="Q719" s="253"/>
      <c r="R719" s="253"/>
      <c r="S719" s="253"/>
      <c r="T719" s="253"/>
      <c r="U719" s="253"/>
      <c r="V719" s="253"/>
      <c r="W719" s="253"/>
      <c r="X719" s="253"/>
      <c r="Y719" s="253"/>
    </row>
    <row r="720">
      <c r="A720" s="253"/>
      <c r="B720" s="253"/>
      <c r="C720" s="253"/>
      <c r="D720" s="253"/>
      <c r="E720" s="253"/>
      <c r="F720" s="253"/>
      <c r="G720" s="253"/>
      <c r="H720" s="253"/>
      <c r="I720" s="253"/>
      <c r="J720" s="253"/>
      <c r="K720" s="253"/>
      <c r="L720" s="253"/>
      <c r="M720" s="253"/>
      <c r="N720" s="253"/>
      <c r="O720" s="253"/>
      <c r="P720" s="253"/>
      <c r="Q720" s="253"/>
      <c r="R720" s="253"/>
      <c r="S720" s="253"/>
      <c r="T720" s="253"/>
      <c r="U720" s="253"/>
      <c r="V720" s="253"/>
      <c r="W720" s="253"/>
      <c r="X720" s="253"/>
      <c r="Y720" s="253"/>
    </row>
    <row r="721">
      <c r="A721" s="253"/>
      <c r="B721" s="253"/>
      <c r="C721" s="253"/>
      <c r="D721" s="253"/>
      <c r="E721" s="253"/>
      <c r="F721" s="253"/>
      <c r="G721" s="253"/>
      <c r="H721" s="253"/>
      <c r="I721" s="253"/>
      <c r="J721" s="253"/>
      <c r="K721" s="253"/>
      <c r="L721" s="253"/>
      <c r="M721" s="253"/>
      <c r="N721" s="253"/>
      <c r="O721" s="253"/>
      <c r="P721" s="253"/>
      <c r="Q721" s="253"/>
      <c r="R721" s="253"/>
      <c r="S721" s="253"/>
      <c r="T721" s="253"/>
      <c r="U721" s="253"/>
      <c r="V721" s="253"/>
      <c r="W721" s="253"/>
      <c r="X721" s="253"/>
      <c r="Y721" s="253"/>
    </row>
    <row r="722">
      <c r="A722" s="253"/>
      <c r="B722" s="253"/>
      <c r="C722" s="253"/>
      <c r="D722" s="253"/>
      <c r="E722" s="253"/>
      <c r="F722" s="253"/>
      <c r="G722" s="253"/>
      <c r="H722" s="253"/>
      <c r="I722" s="253"/>
      <c r="J722" s="253"/>
      <c r="K722" s="253"/>
      <c r="L722" s="253"/>
      <c r="M722" s="253"/>
      <c r="N722" s="253"/>
      <c r="O722" s="253"/>
      <c r="P722" s="253"/>
      <c r="Q722" s="253"/>
      <c r="R722" s="253"/>
      <c r="S722" s="253"/>
      <c r="T722" s="253"/>
      <c r="U722" s="253"/>
      <c r="V722" s="253"/>
      <c r="W722" s="253"/>
      <c r="X722" s="253"/>
      <c r="Y722" s="253"/>
    </row>
    <row r="723">
      <c r="A723" s="253"/>
      <c r="B723" s="253"/>
      <c r="C723" s="253"/>
      <c r="D723" s="253"/>
      <c r="E723" s="253"/>
      <c r="F723" s="253"/>
      <c r="G723" s="253"/>
      <c r="H723" s="253"/>
      <c r="I723" s="253"/>
      <c r="J723" s="253"/>
      <c r="K723" s="253"/>
      <c r="L723" s="253"/>
      <c r="M723" s="253"/>
      <c r="N723" s="253"/>
      <c r="O723" s="253"/>
      <c r="P723" s="253"/>
      <c r="Q723" s="253"/>
      <c r="R723" s="253"/>
      <c r="S723" s="253"/>
      <c r="T723" s="253"/>
      <c r="U723" s="253"/>
      <c r="V723" s="253"/>
      <c r="W723" s="253"/>
      <c r="X723" s="253"/>
      <c r="Y723" s="253"/>
    </row>
    <row r="724">
      <c r="A724" s="253"/>
      <c r="B724" s="253"/>
      <c r="C724" s="253"/>
      <c r="D724" s="253"/>
      <c r="E724" s="253"/>
      <c r="F724" s="253"/>
      <c r="G724" s="253"/>
      <c r="H724" s="253"/>
      <c r="I724" s="253"/>
      <c r="J724" s="253"/>
      <c r="K724" s="253"/>
      <c r="L724" s="253"/>
      <c r="M724" s="253"/>
      <c r="N724" s="253"/>
      <c r="O724" s="253"/>
      <c r="P724" s="253"/>
      <c r="Q724" s="253"/>
      <c r="R724" s="253"/>
      <c r="S724" s="253"/>
      <c r="T724" s="253"/>
      <c r="U724" s="253"/>
      <c r="V724" s="253"/>
      <c r="W724" s="253"/>
      <c r="X724" s="253"/>
      <c r="Y724" s="253"/>
    </row>
    <row r="725">
      <c r="A725" s="253"/>
      <c r="B725" s="253"/>
      <c r="C725" s="253"/>
      <c r="D725" s="253"/>
      <c r="E725" s="253"/>
      <c r="F725" s="253"/>
      <c r="G725" s="253"/>
      <c r="H725" s="253"/>
      <c r="I725" s="253"/>
      <c r="J725" s="253"/>
      <c r="K725" s="253"/>
      <c r="L725" s="253"/>
      <c r="M725" s="253"/>
      <c r="N725" s="253"/>
      <c r="O725" s="253"/>
      <c r="P725" s="253"/>
      <c r="Q725" s="253"/>
      <c r="R725" s="253"/>
      <c r="S725" s="253"/>
      <c r="T725" s="253"/>
      <c r="U725" s="253"/>
      <c r="V725" s="253"/>
      <c r="W725" s="253"/>
      <c r="X725" s="253"/>
      <c r="Y725" s="253"/>
    </row>
    <row r="726">
      <c r="A726" s="253"/>
      <c r="B726" s="253"/>
      <c r="C726" s="253"/>
      <c r="D726" s="253"/>
      <c r="E726" s="253"/>
      <c r="F726" s="253"/>
      <c r="G726" s="253"/>
      <c r="H726" s="253"/>
      <c r="I726" s="253"/>
      <c r="J726" s="253"/>
      <c r="K726" s="253"/>
      <c r="L726" s="253"/>
      <c r="M726" s="253"/>
      <c r="N726" s="253"/>
      <c r="O726" s="253"/>
      <c r="P726" s="253"/>
      <c r="Q726" s="253"/>
      <c r="R726" s="253"/>
      <c r="S726" s="253"/>
      <c r="T726" s="253"/>
      <c r="U726" s="253"/>
      <c r="V726" s="253"/>
      <c r="W726" s="253"/>
      <c r="X726" s="253"/>
      <c r="Y726" s="253"/>
    </row>
    <row r="727">
      <c r="A727" s="253"/>
      <c r="B727" s="253"/>
      <c r="C727" s="253"/>
      <c r="D727" s="253"/>
      <c r="E727" s="253"/>
      <c r="F727" s="253"/>
      <c r="G727" s="253"/>
      <c r="H727" s="253"/>
      <c r="I727" s="253"/>
      <c r="J727" s="253"/>
      <c r="K727" s="253"/>
      <c r="L727" s="253"/>
      <c r="M727" s="253"/>
      <c r="N727" s="253"/>
      <c r="O727" s="253"/>
      <c r="P727" s="253"/>
      <c r="Q727" s="253"/>
      <c r="R727" s="253"/>
      <c r="S727" s="253"/>
      <c r="T727" s="253"/>
      <c r="U727" s="253"/>
      <c r="V727" s="253"/>
      <c r="W727" s="253"/>
      <c r="X727" s="253"/>
      <c r="Y727" s="253"/>
    </row>
    <row r="728">
      <c r="A728" s="253"/>
      <c r="B728" s="253"/>
      <c r="C728" s="253"/>
      <c r="D728" s="253"/>
      <c r="E728" s="253"/>
      <c r="F728" s="253"/>
      <c r="G728" s="253"/>
      <c r="H728" s="253"/>
      <c r="I728" s="253"/>
      <c r="J728" s="253"/>
      <c r="K728" s="253"/>
      <c r="L728" s="253"/>
      <c r="M728" s="253"/>
      <c r="N728" s="253"/>
      <c r="O728" s="253"/>
      <c r="P728" s="253"/>
      <c r="Q728" s="253"/>
      <c r="R728" s="253"/>
      <c r="S728" s="253"/>
      <c r="T728" s="253"/>
      <c r="U728" s="253"/>
      <c r="V728" s="253"/>
      <c r="W728" s="253"/>
      <c r="X728" s="253"/>
      <c r="Y728" s="253"/>
    </row>
    <row r="729">
      <c r="A729" s="253"/>
      <c r="B729" s="253"/>
      <c r="C729" s="253"/>
      <c r="D729" s="253"/>
      <c r="E729" s="253"/>
      <c r="F729" s="253"/>
      <c r="G729" s="253"/>
      <c r="H729" s="253"/>
      <c r="I729" s="253"/>
      <c r="J729" s="253"/>
      <c r="K729" s="253"/>
      <c r="L729" s="253"/>
      <c r="M729" s="253"/>
      <c r="N729" s="253"/>
      <c r="O729" s="253"/>
      <c r="P729" s="253"/>
      <c r="Q729" s="253"/>
      <c r="R729" s="253"/>
      <c r="S729" s="253"/>
      <c r="T729" s="253"/>
      <c r="U729" s="253"/>
      <c r="V729" s="253"/>
      <c r="W729" s="253"/>
      <c r="X729" s="253"/>
      <c r="Y729" s="253"/>
    </row>
    <row r="730">
      <c r="A730" s="253"/>
      <c r="B730" s="253"/>
      <c r="C730" s="253"/>
      <c r="D730" s="253"/>
      <c r="E730" s="253"/>
      <c r="F730" s="253"/>
      <c r="G730" s="253"/>
      <c r="H730" s="253"/>
      <c r="I730" s="253"/>
      <c r="J730" s="253"/>
      <c r="K730" s="253"/>
      <c r="L730" s="253"/>
      <c r="M730" s="253"/>
      <c r="N730" s="253"/>
      <c r="O730" s="253"/>
      <c r="P730" s="253"/>
      <c r="Q730" s="253"/>
      <c r="R730" s="253"/>
      <c r="S730" s="253"/>
      <c r="T730" s="253"/>
      <c r="U730" s="253"/>
      <c r="V730" s="253"/>
      <c r="W730" s="253"/>
      <c r="X730" s="253"/>
      <c r="Y730" s="253"/>
    </row>
    <row r="731">
      <c r="A731" s="253"/>
      <c r="B731" s="253"/>
      <c r="C731" s="253"/>
      <c r="D731" s="253"/>
      <c r="E731" s="253"/>
      <c r="F731" s="253"/>
      <c r="G731" s="253"/>
      <c r="H731" s="253"/>
      <c r="I731" s="253"/>
      <c r="J731" s="253"/>
      <c r="K731" s="253"/>
      <c r="L731" s="253"/>
      <c r="M731" s="253"/>
      <c r="N731" s="253"/>
      <c r="O731" s="253"/>
      <c r="P731" s="253"/>
      <c r="Q731" s="253"/>
      <c r="R731" s="253"/>
      <c r="S731" s="253"/>
      <c r="T731" s="253"/>
      <c r="U731" s="253"/>
      <c r="V731" s="253"/>
      <c r="W731" s="253"/>
      <c r="X731" s="253"/>
      <c r="Y731" s="253"/>
    </row>
    <row r="732">
      <c r="A732" s="253"/>
      <c r="B732" s="253"/>
      <c r="C732" s="253"/>
      <c r="D732" s="253"/>
      <c r="E732" s="253"/>
      <c r="F732" s="253"/>
      <c r="G732" s="253"/>
      <c r="H732" s="253"/>
      <c r="I732" s="253"/>
      <c r="J732" s="253"/>
      <c r="K732" s="253"/>
      <c r="L732" s="253"/>
      <c r="M732" s="253"/>
      <c r="N732" s="253"/>
      <c r="O732" s="253"/>
      <c r="P732" s="253"/>
      <c r="Q732" s="253"/>
      <c r="R732" s="253"/>
      <c r="S732" s="253"/>
      <c r="T732" s="253"/>
      <c r="U732" s="253"/>
      <c r="V732" s="253"/>
      <c r="W732" s="253"/>
      <c r="X732" s="253"/>
      <c r="Y732" s="253"/>
    </row>
    <row r="733">
      <c r="A733" s="253"/>
      <c r="B733" s="253"/>
      <c r="C733" s="253"/>
      <c r="D733" s="253"/>
      <c r="E733" s="253"/>
      <c r="F733" s="253"/>
      <c r="G733" s="253"/>
      <c r="H733" s="253"/>
      <c r="I733" s="253"/>
      <c r="J733" s="253"/>
      <c r="K733" s="253"/>
      <c r="L733" s="253"/>
      <c r="M733" s="253"/>
      <c r="N733" s="253"/>
      <c r="O733" s="253"/>
      <c r="P733" s="253"/>
      <c r="Q733" s="253"/>
      <c r="R733" s="253"/>
      <c r="S733" s="253"/>
      <c r="T733" s="253"/>
      <c r="U733" s="253"/>
      <c r="V733" s="253"/>
      <c r="W733" s="253"/>
      <c r="X733" s="253"/>
      <c r="Y733" s="253"/>
    </row>
    <row r="734">
      <c r="A734" s="253"/>
      <c r="B734" s="253"/>
      <c r="C734" s="253"/>
      <c r="D734" s="253"/>
      <c r="E734" s="253"/>
      <c r="F734" s="253"/>
      <c r="G734" s="253"/>
      <c r="H734" s="253"/>
      <c r="I734" s="253"/>
      <c r="J734" s="253"/>
      <c r="K734" s="253"/>
      <c r="L734" s="253"/>
      <c r="M734" s="253"/>
      <c r="N734" s="253"/>
      <c r="O734" s="253"/>
      <c r="P734" s="253"/>
      <c r="Q734" s="253"/>
      <c r="R734" s="253"/>
      <c r="S734" s="253"/>
      <c r="T734" s="253"/>
      <c r="U734" s="253"/>
      <c r="V734" s="253"/>
      <c r="W734" s="253"/>
      <c r="X734" s="253"/>
      <c r="Y734" s="253"/>
    </row>
    <row r="735">
      <c r="A735" s="253"/>
      <c r="B735" s="253"/>
      <c r="C735" s="253"/>
      <c r="D735" s="253"/>
      <c r="E735" s="253"/>
      <c r="F735" s="253"/>
      <c r="G735" s="253"/>
      <c r="H735" s="253"/>
      <c r="I735" s="253"/>
      <c r="J735" s="253"/>
      <c r="K735" s="253"/>
      <c r="L735" s="253"/>
      <c r="M735" s="253"/>
      <c r="N735" s="253"/>
      <c r="O735" s="253"/>
      <c r="P735" s="253"/>
      <c r="Q735" s="253"/>
      <c r="R735" s="253"/>
      <c r="S735" s="253"/>
      <c r="T735" s="253"/>
      <c r="U735" s="253"/>
      <c r="V735" s="253"/>
      <c r="W735" s="253"/>
      <c r="X735" s="253"/>
      <c r="Y735" s="253"/>
    </row>
    <row r="736">
      <c r="A736" s="253"/>
      <c r="B736" s="253"/>
      <c r="C736" s="253"/>
      <c r="D736" s="253"/>
      <c r="E736" s="253"/>
      <c r="F736" s="253"/>
      <c r="G736" s="253"/>
      <c r="H736" s="253"/>
      <c r="I736" s="253"/>
      <c r="J736" s="253"/>
      <c r="K736" s="253"/>
      <c r="L736" s="253"/>
      <c r="M736" s="253"/>
      <c r="N736" s="253"/>
      <c r="O736" s="253"/>
      <c r="P736" s="253"/>
      <c r="Q736" s="253"/>
      <c r="R736" s="253"/>
      <c r="S736" s="253"/>
      <c r="T736" s="253"/>
      <c r="U736" s="253"/>
      <c r="V736" s="253"/>
      <c r="W736" s="253"/>
      <c r="X736" s="253"/>
      <c r="Y736" s="253"/>
    </row>
    <row r="737">
      <c r="A737" s="253"/>
      <c r="B737" s="253"/>
      <c r="C737" s="253"/>
      <c r="D737" s="253"/>
      <c r="E737" s="253"/>
      <c r="F737" s="253"/>
      <c r="G737" s="253"/>
      <c r="H737" s="253"/>
      <c r="I737" s="253"/>
      <c r="J737" s="253"/>
      <c r="K737" s="253"/>
      <c r="L737" s="253"/>
      <c r="M737" s="253"/>
      <c r="N737" s="253"/>
      <c r="O737" s="253"/>
      <c r="P737" s="253"/>
      <c r="Q737" s="253"/>
      <c r="R737" s="253"/>
      <c r="S737" s="253"/>
      <c r="T737" s="253"/>
      <c r="U737" s="253"/>
      <c r="V737" s="253"/>
      <c r="W737" s="253"/>
      <c r="X737" s="253"/>
      <c r="Y737" s="253"/>
    </row>
    <row r="738">
      <c r="A738" s="253"/>
      <c r="B738" s="253"/>
      <c r="C738" s="253"/>
      <c r="D738" s="253"/>
      <c r="E738" s="253"/>
      <c r="F738" s="253"/>
      <c r="G738" s="253"/>
      <c r="H738" s="253"/>
      <c r="I738" s="253"/>
      <c r="J738" s="253"/>
      <c r="K738" s="253"/>
      <c r="L738" s="253"/>
      <c r="M738" s="253"/>
      <c r="N738" s="253"/>
      <c r="O738" s="253"/>
      <c r="P738" s="253"/>
      <c r="Q738" s="253"/>
      <c r="R738" s="253"/>
      <c r="S738" s="253"/>
      <c r="T738" s="253"/>
      <c r="U738" s="253"/>
      <c r="V738" s="253"/>
      <c r="W738" s="253"/>
      <c r="X738" s="253"/>
      <c r="Y738" s="253"/>
    </row>
    <row r="739">
      <c r="A739" s="253"/>
      <c r="B739" s="253"/>
      <c r="C739" s="253"/>
      <c r="D739" s="253"/>
      <c r="E739" s="253"/>
      <c r="F739" s="253"/>
      <c r="G739" s="253"/>
      <c r="H739" s="253"/>
      <c r="I739" s="253"/>
      <c r="J739" s="253"/>
      <c r="K739" s="253"/>
      <c r="L739" s="253"/>
      <c r="M739" s="253"/>
      <c r="N739" s="253"/>
      <c r="O739" s="253"/>
      <c r="P739" s="253"/>
      <c r="Q739" s="253"/>
      <c r="R739" s="253"/>
      <c r="S739" s="253"/>
      <c r="T739" s="253"/>
      <c r="U739" s="253"/>
      <c r="V739" s="253"/>
      <c r="W739" s="253"/>
      <c r="X739" s="253"/>
      <c r="Y739" s="253"/>
    </row>
    <row r="740">
      <c r="A740" s="253"/>
      <c r="B740" s="253"/>
      <c r="C740" s="253"/>
      <c r="D740" s="253"/>
      <c r="E740" s="253"/>
      <c r="F740" s="253"/>
      <c r="G740" s="253"/>
      <c r="H740" s="253"/>
      <c r="I740" s="253"/>
      <c r="J740" s="253"/>
      <c r="K740" s="253"/>
      <c r="L740" s="253"/>
      <c r="M740" s="253"/>
      <c r="N740" s="253"/>
      <c r="O740" s="253"/>
      <c r="P740" s="253"/>
      <c r="Q740" s="253"/>
      <c r="R740" s="253"/>
      <c r="S740" s="253"/>
      <c r="T740" s="253"/>
      <c r="U740" s="253"/>
      <c r="V740" s="253"/>
      <c r="W740" s="253"/>
      <c r="X740" s="253"/>
      <c r="Y740" s="253"/>
    </row>
    <row r="741">
      <c r="A741" s="253"/>
      <c r="B741" s="253"/>
      <c r="C741" s="253"/>
      <c r="D741" s="253"/>
      <c r="E741" s="253"/>
      <c r="F741" s="253"/>
      <c r="G741" s="253"/>
      <c r="H741" s="253"/>
      <c r="I741" s="253"/>
      <c r="J741" s="253"/>
      <c r="K741" s="253"/>
      <c r="L741" s="253"/>
      <c r="M741" s="253"/>
      <c r="N741" s="253"/>
      <c r="O741" s="253"/>
      <c r="P741" s="253"/>
      <c r="Q741" s="253"/>
      <c r="R741" s="253"/>
      <c r="S741" s="253"/>
      <c r="T741" s="253"/>
      <c r="U741" s="253"/>
      <c r="V741" s="253"/>
      <c r="W741" s="253"/>
      <c r="X741" s="253"/>
      <c r="Y741" s="253"/>
    </row>
    <row r="742">
      <c r="A742" s="253"/>
      <c r="B742" s="253"/>
      <c r="C742" s="253"/>
      <c r="D742" s="253"/>
      <c r="E742" s="253"/>
      <c r="F742" s="253"/>
      <c r="G742" s="253"/>
      <c r="H742" s="253"/>
      <c r="I742" s="253"/>
      <c r="J742" s="253"/>
      <c r="K742" s="253"/>
      <c r="L742" s="253"/>
      <c r="M742" s="253"/>
      <c r="N742" s="253"/>
      <c r="O742" s="253"/>
      <c r="P742" s="253"/>
      <c r="Q742" s="253"/>
      <c r="R742" s="253"/>
      <c r="S742" s="253"/>
      <c r="T742" s="253"/>
      <c r="U742" s="253"/>
      <c r="V742" s="253"/>
      <c r="W742" s="253"/>
      <c r="X742" s="253"/>
      <c r="Y742" s="253"/>
    </row>
    <row r="743">
      <c r="A743" s="253"/>
      <c r="B743" s="253"/>
      <c r="C743" s="253"/>
      <c r="D743" s="253"/>
      <c r="E743" s="253"/>
      <c r="F743" s="253"/>
      <c r="G743" s="253"/>
      <c r="H743" s="253"/>
      <c r="I743" s="253"/>
      <c r="J743" s="253"/>
      <c r="K743" s="253"/>
      <c r="L743" s="253"/>
      <c r="M743" s="253"/>
      <c r="N743" s="253"/>
      <c r="O743" s="253"/>
      <c r="P743" s="253"/>
      <c r="Q743" s="253"/>
      <c r="R743" s="253"/>
      <c r="S743" s="253"/>
      <c r="T743" s="253"/>
      <c r="U743" s="253"/>
      <c r="V743" s="253"/>
      <c r="W743" s="253"/>
      <c r="X743" s="253"/>
      <c r="Y743" s="253"/>
    </row>
    <row r="744">
      <c r="A744" s="253"/>
      <c r="B744" s="253"/>
      <c r="C744" s="253"/>
      <c r="D744" s="253"/>
      <c r="E744" s="253"/>
      <c r="F744" s="253"/>
      <c r="G744" s="253"/>
      <c r="H744" s="253"/>
      <c r="I744" s="253"/>
      <c r="J744" s="253"/>
      <c r="K744" s="253"/>
      <c r="L744" s="253"/>
      <c r="M744" s="253"/>
      <c r="N744" s="253"/>
      <c r="O744" s="253"/>
      <c r="P744" s="253"/>
      <c r="Q744" s="253"/>
      <c r="R744" s="253"/>
      <c r="S744" s="253"/>
      <c r="T744" s="253"/>
      <c r="U744" s="253"/>
      <c r="V744" s="253"/>
      <c r="W744" s="253"/>
      <c r="X744" s="253"/>
      <c r="Y744" s="253"/>
    </row>
    <row r="745">
      <c r="A745" s="253"/>
      <c r="B745" s="253"/>
      <c r="C745" s="253"/>
      <c r="D745" s="253"/>
      <c r="E745" s="253"/>
      <c r="F745" s="253"/>
      <c r="G745" s="253"/>
      <c r="H745" s="253"/>
      <c r="I745" s="253"/>
      <c r="J745" s="253"/>
      <c r="K745" s="253"/>
      <c r="L745" s="253"/>
      <c r="M745" s="253"/>
      <c r="N745" s="253"/>
      <c r="O745" s="253"/>
      <c r="P745" s="253"/>
      <c r="Q745" s="253"/>
      <c r="R745" s="253"/>
      <c r="S745" s="253"/>
      <c r="T745" s="253"/>
      <c r="U745" s="253"/>
      <c r="V745" s="253"/>
      <c r="W745" s="253"/>
      <c r="X745" s="253"/>
      <c r="Y745" s="253"/>
    </row>
    <row r="746">
      <c r="A746" s="253"/>
      <c r="B746" s="253"/>
      <c r="C746" s="253"/>
      <c r="D746" s="253"/>
      <c r="E746" s="253"/>
      <c r="F746" s="253"/>
      <c r="G746" s="253"/>
      <c r="H746" s="253"/>
      <c r="I746" s="253"/>
      <c r="J746" s="253"/>
      <c r="K746" s="253"/>
      <c r="L746" s="253"/>
      <c r="M746" s="253"/>
      <c r="N746" s="253"/>
      <c r="O746" s="253"/>
      <c r="P746" s="253"/>
      <c r="Q746" s="253"/>
      <c r="R746" s="253"/>
      <c r="S746" s="253"/>
      <c r="T746" s="253"/>
      <c r="U746" s="253"/>
      <c r="V746" s="253"/>
      <c r="W746" s="253"/>
      <c r="X746" s="253"/>
      <c r="Y746" s="253"/>
    </row>
    <row r="747">
      <c r="A747" s="253"/>
      <c r="B747" s="253"/>
      <c r="C747" s="253"/>
      <c r="D747" s="253"/>
      <c r="E747" s="253"/>
      <c r="F747" s="253"/>
      <c r="G747" s="253"/>
      <c r="H747" s="253"/>
      <c r="I747" s="253"/>
      <c r="J747" s="253"/>
      <c r="K747" s="253"/>
      <c r="L747" s="253"/>
      <c r="M747" s="253"/>
      <c r="N747" s="253"/>
      <c r="O747" s="253"/>
      <c r="P747" s="253"/>
      <c r="Q747" s="253"/>
      <c r="R747" s="253"/>
      <c r="S747" s="253"/>
      <c r="T747" s="253"/>
      <c r="U747" s="253"/>
      <c r="V747" s="253"/>
      <c r="W747" s="253"/>
      <c r="X747" s="253"/>
      <c r="Y747" s="253"/>
    </row>
    <row r="748">
      <c r="A748" s="253"/>
      <c r="B748" s="253"/>
      <c r="C748" s="253"/>
      <c r="D748" s="253"/>
      <c r="E748" s="253"/>
      <c r="F748" s="253"/>
      <c r="G748" s="253"/>
      <c r="H748" s="253"/>
      <c r="I748" s="253"/>
      <c r="J748" s="253"/>
      <c r="K748" s="253"/>
      <c r="L748" s="253"/>
      <c r="M748" s="253"/>
      <c r="N748" s="253"/>
      <c r="O748" s="253"/>
      <c r="P748" s="253"/>
      <c r="Q748" s="253"/>
      <c r="R748" s="253"/>
      <c r="S748" s="253"/>
      <c r="T748" s="253"/>
      <c r="U748" s="253"/>
      <c r="V748" s="253"/>
      <c r="W748" s="253"/>
      <c r="X748" s="253"/>
      <c r="Y748" s="253"/>
    </row>
    <row r="749">
      <c r="A749" s="253"/>
      <c r="B749" s="253"/>
      <c r="C749" s="253"/>
      <c r="D749" s="253"/>
      <c r="E749" s="253"/>
      <c r="F749" s="253"/>
      <c r="G749" s="253"/>
      <c r="H749" s="253"/>
      <c r="I749" s="253"/>
      <c r="J749" s="253"/>
      <c r="K749" s="253"/>
      <c r="L749" s="253"/>
      <c r="M749" s="253"/>
      <c r="N749" s="253"/>
      <c r="O749" s="253"/>
      <c r="P749" s="253"/>
      <c r="Q749" s="253"/>
      <c r="R749" s="253"/>
      <c r="S749" s="253"/>
      <c r="T749" s="253"/>
      <c r="U749" s="253"/>
      <c r="V749" s="253"/>
      <c r="W749" s="253"/>
      <c r="X749" s="253"/>
      <c r="Y749" s="253"/>
    </row>
    <row r="750">
      <c r="A750" s="253"/>
      <c r="B750" s="253"/>
      <c r="C750" s="253"/>
      <c r="D750" s="253"/>
      <c r="E750" s="253"/>
      <c r="F750" s="253"/>
      <c r="G750" s="253"/>
      <c r="H750" s="253"/>
      <c r="I750" s="253"/>
      <c r="J750" s="253"/>
      <c r="K750" s="253"/>
      <c r="L750" s="253"/>
      <c r="M750" s="253"/>
      <c r="N750" s="253"/>
      <c r="O750" s="253"/>
      <c r="P750" s="253"/>
      <c r="Q750" s="253"/>
      <c r="R750" s="253"/>
      <c r="S750" s="253"/>
      <c r="T750" s="253"/>
      <c r="U750" s="253"/>
      <c r="V750" s="253"/>
      <c r="W750" s="253"/>
      <c r="X750" s="253"/>
      <c r="Y750" s="253"/>
    </row>
    <row r="751">
      <c r="A751" s="253"/>
      <c r="B751" s="253"/>
      <c r="C751" s="253"/>
      <c r="D751" s="253"/>
      <c r="E751" s="253"/>
      <c r="F751" s="253"/>
      <c r="G751" s="253"/>
      <c r="H751" s="253"/>
      <c r="I751" s="253"/>
      <c r="J751" s="253"/>
      <c r="K751" s="253"/>
      <c r="L751" s="253"/>
      <c r="M751" s="253"/>
      <c r="N751" s="253"/>
      <c r="O751" s="253"/>
      <c r="P751" s="253"/>
      <c r="Q751" s="253"/>
      <c r="R751" s="253"/>
      <c r="S751" s="253"/>
      <c r="T751" s="253"/>
      <c r="U751" s="253"/>
      <c r="V751" s="253"/>
      <c r="W751" s="253"/>
      <c r="X751" s="253"/>
      <c r="Y751" s="253"/>
    </row>
    <row r="752">
      <c r="A752" s="253"/>
      <c r="B752" s="253"/>
      <c r="C752" s="253"/>
      <c r="D752" s="253"/>
      <c r="E752" s="253"/>
      <c r="F752" s="253"/>
      <c r="G752" s="253"/>
      <c r="H752" s="253"/>
      <c r="I752" s="253"/>
      <c r="J752" s="253"/>
      <c r="K752" s="253"/>
      <c r="L752" s="253"/>
      <c r="M752" s="253"/>
      <c r="N752" s="253"/>
      <c r="O752" s="253"/>
      <c r="P752" s="253"/>
      <c r="Q752" s="253"/>
      <c r="R752" s="253"/>
      <c r="S752" s="253"/>
      <c r="T752" s="253"/>
      <c r="U752" s="253"/>
      <c r="V752" s="253"/>
      <c r="W752" s="253"/>
      <c r="X752" s="253"/>
      <c r="Y752" s="253"/>
    </row>
    <row r="753">
      <c r="A753" s="253"/>
      <c r="B753" s="253"/>
      <c r="C753" s="253"/>
      <c r="D753" s="253"/>
      <c r="E753" s="253"/>
      <c r="F753" s="253"/>
      <c r="G753" s="253"/>
      <c r="H753" s="253"/>
      <c r="I753" s="253"/>
      <c r="J753" s="253"/>
      <c r="K753" s="253"/>
      <c r="L753" s="253"/>
      <c r="M753" s="253"/>
      <c r="N753" s="253"/>
      <c r="O753" s="253"/>
      <c r="P753" s="253"/>
      <c r="Q753" s="253"/>
      <c r="R753" s="253"/>
      <c r="S753" s="253"/>
      <c r="T753" s="253"/>
      <c r="U753" s="253"/>
      <c r="V753" s="253"/>
      <c r="W753" s="253"/>
      <c r="X753" s="253"/>
      <c r="Y753" s="253"/>
    </row>
    <row r="754">
      <c r="A754" s="253"/>
      <c r="B754" s="253"/>
      <c r="C754" s="253"/>
      <c r="D754" s="253"/>
      <c r="E754" s="253"/>
      <c r="F754" s="253"/>
      <c r="G754" s="253"/>
      <c r="H754" s="253"/>
      <c r="I754" s="253"/>
      <c r="J754" s="253"/>
      <c r="K754" s="253"/>
      <c r="L754" s="253"/>
      <c r="M754" s="253"/>
      <c r="N754" s="253"/>
      <c r="O754" s="253"/>
      <c r="P754" s="253"/>
      <c r="Q754" s="253"/>
      <c r="R754" s="253"/>
      <c r="S754" s="253"/>
      <c r="T754" s="253"/>
      <c r="U754" s="253"/>
      <c r="V754" s="253"/>
      <c r="W754" s="253"/>
      <c r="X754" s="253"/>
      <c r="Y754" s="253"/>
    </row>
    <row r="755">
      <c r="A755" s="253"/>
      <c r="B755" s="253"/>
      <c r="C755" s="253"/>
      <c r="D755" s="253"/>
      <c r="E755" s="253"/>
      <c r="F755" s="253"/>
      <c r="G755" s="253"/>
      <c r="H755" s="253"/>
      <c r="I755" s="253"/>
      <c r="J755" s="253"/>
      <c r="K755" s="253"/>
      <c r="L755" s="253"/>
      <c r="M755" s="253"/>
      <c r="N755" s="253"/>
      <c r="O755" s="253"/>
      <c r="P755" s="253"/>
      <c r="Q755" s="253"/>
      <c r="R755" s="253"/>
      <c r="S755" s="253"/>
      <c r="T755" s="253"/>
      <c r="U755" s="253"/>
      <c r="V755" s="253"/>
      <c r="W755" s="253"/>
      <c r="X755" s="253"/>
      <c r="Y755" s="253"/>
    </row>
    <row r="756">
      <c r="A756" s="253"/>
      <c r="B756" s="253"/>
      <c r="C756" s="253"/>
      <c r="D756" s="253"/>
      <c r="E756" s="253"/>
      <c r="F756" s="253"/>
      <c r="G756" s="253"/>
      <c r="H756" s="253"/>
      <c r="I756" s="253"/>
      <c r="J756" s="253"/>
      <c r="K756" s="253"/>
      <c r="L756" s="253"/>
      <c r="M756" s="253"/>
      <c r="N756" s="253"/>
      <c r="O756" s="253"/>
      <c r="P756" s="253"/>
      <c r="Q756" s="253"/>
      <c r="R756" s="253"/>
      <c r="S756" s="253"/>
      <c r="T756" s="253"/>
      <c r="U756" s="253"/>
      <c r="V756" s="253"/>
      <c r="W756" s="253"/>
      <c r="X756" s="253"/>
      <c r="Y756" s="253"/>
    </row>
    <row r="757">
      <c r="A757" s="253"/>
      <c r="B757" s="253"/>
      <c r="C757" s="253"/>
      <c r="D757" s="253"/>
      <c r="E757" s="253"/>
      <c r="F757" s="253"/>
      <c r="G757" s="253"/>
      <c r="H757" s="253"/>
      <c r="I757" s="253"/>
      <c r="J757" s="253"/>
      <c r="K757" s="253"/>
      <c r="L757" s="253"/>
      <c r="M757" s="253"/>
      <c r="N757" s="253"/>
      <c r="O757" s="253"/>
      <c r="P757" s="253"/>
      <c r="Q757" s="253"/>
      <c r="R757" s="253"/>
      <c r="S757" s="253"/>
      <c r="T757" s="253"/>
      <c r="U757" s="253"/>
      <c r="V757" s="253"/>
      <c r="W757" s="253"/>
      <c r="X757" s="253"/>
      <c r="Y757" s="253"/>
    </row>
    <row r="758">
      <c r="A758" s="253"/>
      <c r="B758" s="253"/>
      <c r="C758" s="253"/>
      <c r="D758" s="253"/>
      <c r="E758" s="253"/>
      <c r="F758" s="253"/>
      <c r="G758" s="253"/>
      <c r="H758" s="253"/>
      <c r="I758" s="253"/>
      <c r="J758" s="253"/>
      <c r="K758" s="253"/>
      <c r="L758" s="253"/>
      <c r="M758" s="253"/>
      <c r="N758" s="253"/>
      <c r="O758" s="253"/>
      <c r="P758" s="253"/>
      <c r="Q758" s="253"/>
      <c r="R758" s="253"/>
      <c r="S758" s="253"/>
      <c r="T758" s="253"/>
      <c r="U758" s="253"/>
      <c r="V758" s="253"/>
      <c r="W758" s="253"/>
      <c r="X758" s="253"/>
      <c r="Y758" s="253"/>
    </row>
    <row r="759">
      <c r="A759" s="253"/>
      <c r="B759" s="253"/>
      <c r="C759" s="253"/>
      <c r="D759" s="253"/>
      <c r="E759" s="253"/>
      <c r="F759" s="253"/>
      <c r="G759" s="253"/>
      <c r="H759" s="253"/>
      <c r="I759" s="253"/>
      <c r="J759" s="253"/>
      <c r="K759" s="253"/>
      <c r="L759" s="253"/>
      <c r="M759" s="253"/>
      <c r="N759" s="253"/>
      <c r="O759" s="253"/>
      <c r="P759" s="253"/>
      <c r="Q759" s="253"/>
      <c r="R759" s="253"/>
      <c r="S759" s="253"/>
      <c r="T759" s="253"/>
      <c r="U759" s="253"/>
      <c r="V759" s="253"/>
      <c r="W759" s="253"/>
      <c r="X759" s="253"/>
      <c r="Y759" s="253"/>
    </row>
    <row r="760">
      <c r="A760" s="253"/>
      <c r="B760" s="253"/>
      <c r="C760" s="253"/>
      <c r="D760" s="253"/>
      <c r="E760" s="253"/>
      <c r="F760" s="253"/>
      <c r="G760" s="253"/>
      <c r="H760" s="253"/>
      <c r="I760" s="253"/>
      <c r="J760" s="253"/>
      <c r="K760" s="253"/>
      <c r="L760" s="253"/>
      <c r="M760" s="253"/>
      <c r="N760" s="253"/>
      <c r="O760" s="253"/>
      <c r="P760" s="253"/>
      <c r="Q760" s="253"/>
      <c r="R760" s="253"/>
      <c r="S760" s="253"/>
      <c r="T760" s="253"/>
      <c r="U760" s="253"/>
      <c r="V760" s="253"/>
      <c r="W760" s="253"/>
      <c r="X760" s="253"/>
      <c r="Y760" s="253"/>
    </row>
    <row r="761">
      <c r="A761" s="253"/>
      <c r="B761" s="253"/>
      <c r="C761" s="253"/>
      <c r="D761" s="253"/>
      <c r="E761" s="253"/>
      <c r="F761" s="253"/>
      <c r="G761" s="253"/>
      <c r="H761" s="253"/>
      <c r="I761" s="253"/>
      <c r="J761" s="253"/>
      <c r="K761" s="253"/>
      <c r="L761" s="253"/>
      <c r="M761" s="253"/>
      <c r="N761" s="253"/>
      <c r="O761" s="253"/>
      <c r="P761" s="253"/>
      <c r="Q761" s="253"/>
      <c r="R761" s="253"/>
      <c r="S761" s="253"/>
      <c r="T761" s="253"/>
      <c r="U761" s="253"/>
      <c r="V761" s="253"/>
      <c r="W761" s="253"/>
      <c r="X761" s="253"/>
      <c r="Y761" s="253"/>
    </row>
    <row r="762">
      <c r="A762" s="253"/>
      <c r="B762" s="253"/>
      <c r="C762" s="253"/>
      <c r="D762" s="253"/>
      <c r="E762" s="253"/>
      <c r="F762" s="253"/>
      <c r="G762" s="253"/>
      <c r="H762" s="253"/>
      <c r="I762" s="253"/>
      <c r="J762" s="253"/>
      <c r="K762" s="253"/>
      <c r="L762" s="253"/>
      <c r="M762" s="253"/>
      <c r="N762" s="253"/>
      <c r="O762" s="253"/>
      <c r="P762" s="253"/>
      <c r="Q762" s="253"/>
      <c r="R762" s="253"/>
      <c r="S762" s="253"/>
      <c r="T762" s="253"/>
      <c r="U762" s="253"/>
      <c r="V762" s="253"/>
      <c r="W762" s="253"/>
      <c r="X762" s="253"/>
      <c r="Y762" s="253"/>
    </row>
    <row r="763">
      <c r="A763" s="253"/>
      <c r="B763" s="253"/>
      <c r="C763" s="253"/>
      <c r="D763" s="253"/>
      <c r="E763" s="253"/>
      <c r="F763" s="253"/>
      <c r="G763" s="253"/>
      <c r="H763" s="253"/>
      <c r="I763" s="253"/>
      <c r="J763" s="253"/>
      <c r="K763" s="253"/>
      <c r="L763" s="253"/>
      <c r="M763" s="253"/>
      <c r="N763" s="253"/>
      <c r="O763" s="253"/>
      <c r="P763" s="253"/>
      <c r="Q763" s="253"/>
      <c r="R763" s="253"/>
      <c r="S763" s="253"/>
      <c r="T763" s="253"/>
      <c r="U763" s="253"/>
      <c r="V763" s="253"/>
      <c r="W763" s="253"/>
      <c r="X763" s="253"/>
      <c r="Y763" s="253"/>
    </row>
    <row r="764">
      <c r="A764" s="253"/>
      <c r="B764" s="253"/>
      <c r="C764" s="253"/>
      <c r="D764" s="253"/>
      <c r="E764" s="253"/>
      <c r="F764" s="253"/>
      <c r="G764" s="253"/>
      <c r="H764" s="253"/>
      <c r="I764" s="253"/>
      <c r="J764" s="253"/>
      <c r="K764" s="253"/>
      <c r="L764" s="253"/>
      <c r="M764" s="253"/>
      <c r="N764" s="253"/>
      <c r="O764" s="253"/>
      <c r="P764" s="253"/>
      <c r="Q764" s="253"/>
      <c r="R764" s="253"/>
      <c r="S764" s="253"/>
      <c r="T764" s="253"/>
      <c r="U764" s="253"/>
      <c r="V764" s="253"/>
      <c r="W764" s="253"/>
      <c r="X764" s="253"/>
      <c r="Y764" s="253"/>
    </row>
    <row r="765">
      <c r="A765" s="253"/>
      <c r="B765" s="253"/>
      <c r="C765" s="253"/>
      <c r="D765" s="253"/>
      <c r="E765" s="253"/>
      <c r="F765" s="253"/>
      <c r="G765" s="253"/>
      <c r="H765" s="253"/>
      <c r="I765" s="253"/>
      <c r="J765" s="253"/>
      <c r="K765" s="253"/>
      <c r="L765" s="253"/>
      <c r="M765" s="253"/>
      <c r="N765" s="253"/>
      <c r="O765" s="253"/>
      <c r="P765" s="253"/>
      <c r="Q765" s="253"/>
      <c r="R765" s="253"/>
      <c r="S765" s="253"/>
      <c r="T765" s="253"/>
      <c r="U765" s="253"/>
      <c r="V765" s="253"/>
      <c r="W765" s="253"/>
      <c r="X765" s="253"/>
      <c r="Y765" s="253"/>
    </row>
    <row r="766">
      <c r="A766" s="253"/>
      <c r="B766" s="253"/>
      <c r="C766" s="253"/>
      <c r="D766" s="253"/>
      <c r="E766" s="253"/>
      <c r="F766" s="253"/>
      <c r="G766" s="253"/>
      <c r="H766" s="253"/>
      <c r="I766" s="253"/>
      <c r="J766" s="253"/>
      <c r="K766" s="253"/>
      <c r="L766" s="253"/>
      <c r="M766" s="253"/>
      <c r="N766" s="253"/>
      <c r="O766" s="253"/>
      <c r="P766" s="253"/>
      <c r="Q766" s="253"/>
      <c r="R766" s="253"/>
      <c r="S766" s="253"/>
      <c r="T766" s="253"/>
      <c r="U766" s="253"/>
      <c r="V766" s="253"/>
      <c r="W766" s="253"/>
      <c r="X766" s="253"/>
      <c r="Y766" s="253"/>
    </row>
    <row r="767">
      <c r="A767" s="253"/>
      <c r="B767" s="253"/>
      <c r="C767" s="253"/>
      <c r="D767" s="253"/>
      <c r="E767" s="253"/>
      <c r="F767" s="253"/>
      <c r="G767" s="253"/>
      <c r="H767" s="253"/>
      <c r="I767" s="253"/>
      <c r="J767" s="253"/>
      <c r="K767" s="253"/>
      <c r="L767" s="253"/>
      <c r="M767" s="253"/>
      <c r="N767" s="253"/>
      <c r="O767" s="253"/>
      <c r="P767" s="253"/>
      <c r="Q767" s="253"/>
      <c r="R767" s="253"/>
      <c r="S767" s="253"/>
      <c r="T767" s="253"/>
      <c r="U767" s="253"/>
      <c r="V767" s="253"/>
      <c r="W767" s="253"/>
      <c r="X767" s="253"/>
      <c r="Y767" s="253"/>
    </row>
    <row r="768">
      <c r="A768" s="253"/>
      <c r="B768" s="253"/>
      <c r="C768" s="253"/>
      <c r="D768" s="253"/>
      <c r="E768" s="253"/>
      <c r="F768" s="253"/>
      <c r="G768" s="253"/>
      <c r="H768" s="253"/>
      <c r="I768" s="253"/>
      <c r="J768" s="253"/>
      <c r="K768" s="253"/>
      <c r="L768" s="253"/>
      <c r="M768" s="253"/>
      <c r="N768" s="253"/>
      <c r="O768" s="253"/>
      <c r="P768" s="253"/>
      <c r="Q768" s="253"/>
      <c r="R768" s="253"/>
      <c r="S768" s="253"/>
      <c r="T768" s="253"/>
      <c r="U768" s="253"/>
      <c r="V768" s="253"/>
      <c r="W768" s="253"/>
      <c r="X768" s="253"/>
      <c r="Y768" s="253"/>
    </row>
    <row r="769">
      <c r="A769" s="253"/>
      <c r="B769" s="253"/>
      <c r="C769" s="253"/>
      <c r="D769" s="253"/>
      <c r="E769" s="253"/>
      <c r="F769" s="253"/>
      <c r="G769" s="253"/>
      <c r="H769" s="253"/>
      <c r="I769" s="253"/>
      <c r="J769" s="253"/>
      <c r="K769" s="253"/>
      <c r="L769" s="253"/>
      <c r="M769" s="253"/>
      <c r="N769" s="253"/>
      <c r="O769" s="253"/>
      <c r="P769" s="253"/>
      <c r="Q769" s="253"/>
      <c r="R769" s="253"/>
      <c r="S769" s="253"/>
      <c r="T769" s="253"/>
      <c r="U769" s="253"/>
      <c r="V769" s="253"/>
      <c r="W769" s="253"/>
      <c r="X769" s="253"/>
      <c r="Y769" s="253"/>
    </row>
    <row r="770">
      <c r="A770" s="253"/>
      <c r="B770" s="253"/>
      <c r="C770" s="253"/>
      <c r="D770" s="253"/>
      <c r="E770" s="253"/>
      <c r="F770" s="253"/>
      <c r="G770" s="253"/>
      <c r="H770" s="253"/>
      <c r="I770" s="253"/>
      <c r="J770" s="253"/>
      <c r="K770" s="253"/>
      <c r="L770" s="253"/>
      <c r="M770" s="253"/>
      <c r="N770" s="253"/>
      <c r="O770" s="253"/>
      <c r="P770" s="253"/>
      <c r="Q770" s="253"/>
      <c r="R770" s="253"/>
      <c r="S770" s="253"/>
      <c r="T770" s="253"/>
      <c r="U770" s="253"/>
      <c r="V770" s="253"/>
      <c r="W770" s="253"/>
      <c r="X770" s="253"/>
      <c r="Y770" s="253"/>
    </row>
    <row r="771">
      <c r="A771" s="253"/>
      <c r="B771" s="253"/>
      <c r="C771" s="253"/>
      <c r="D771" s="253"/>
      <c r="E771" s="253"/>
      <c r="F771" s="253"/>
      <c r="G771" s="253"/>
      <c r="H771" s="253"/>
      <c r="I771" s="253"/>
      <c r="J771" s="253"/>
      <c r="K771" s="253"/>
      <c r="L771" s="253"/>
      <c r="M771" s="253"/>
      <c r="N771" s="253"/>
      <c r="O771" s="253"/>
      <c r="P771" s="253"/>
      <c r="Q771" s="253"/>
      <c r="R771" s="253"/>
      <c r="S771" s="253"/>
      <c r="T771" s="253"/>
      <c r="U771" s="253"/>
      <c r="V771" s="253"/>
      <c r="W771" s="253"/>
      <c r="X771" s="253"/>
      <c r="Y771" s="253"/>
    </row>
    <row r="772">
      <c r="A772" s="253"/>
      <c r="B772" s="253"/>
      <c r="C772" s="253"/>
      <c r="D772" s="253"/>
      <c r="E772" s="253"/>
      <c r="F772" s="253"/>
      <c r="G772" s="253"/>
      <c r="H772" s="253"/>
      <c r="I772" s="253"/>
      <c r="J772" s="253"/>
      <c r="K772" s="253"/>
      <c r="L772" s="253"/>
      <c r="M772" s="253"/>
      <c r="N772" s="253"/>
      <c r="O772" s="253"/>
      <c r="P772" s="253"/>
      <c r="Q772" s="253"/>
      <c r="R772" s="253"/>
      <c r="S772" s="253"/>
      <c r="T772" s="253"/>
      <c r="U772" s="253"/>
      <c r="V772" s="253"/>
      <c r="W772" s="253"/>
      <c r="X772" s="253"/>
      <c r="Y772" s="253"/>
    </row>
    <row r="773">
      <c r="A773" s="253"/>
      <c r="B773" s="253"/>
      <c r="C773" s="253"/>
      <c r="D773" s="253"/>
      <c r="E773" s="253"/>
      <c r="F773" s="253"/>
      <c r="G773" s="253"/>
      <c r="H773" s="253"/>
      <c r="I773" s="253"/>
      <c r="J773" s="253"/>
      <c r="K773" s="253"/>
      <c r="L773" s="253"/>
      <c r="M773" s="253"/>
      <c r="N773" s="253"/>
      <c r="O773" s="253"/>
      <c r="P773" s="253"/>
      <c r="Q773" s="253"/>
      <c r="R773" s="253"/>
      <c r="S773" s="253"/>
      <c r="T773" s="253"/>
      <c r="U773" s="253"/>
      <c r="V773" s="253"/>
      <c r="W773" s="253"/>
      <c r="X773" s="253"/>
      <c r="Y773" s="253"/>
    </row>
    <row r="774">
      <c r="A774" s="253"/>
      <c r="B774" s="253"/>
      <c r="C774" s="253"/>
      <c r="D774" s="253"/>
      <c r="E774" s="253"/>
      <c r="F774" s="253"/>
      <c r="G774" s="253"/>
      <c r="H774" s="253"/>
      <c r="I774" s="253"/>
      <c r="J774" s="253"/>
      <c r="K774" s="253"/>
      <c r="L774" s="253"/>
      <c r="M774" s="253"/>
      <c r="N774" s="253"/>
      <c r="O774" s="253"/>
      <c r="P774" s="253"/>
      <c r="Q774" s="253"/>
      <c r="R774" s="253"/>
      <c r="S774" s="253"/>
      <c r="T774" s="253"/>
      <c r="U774" s="253"/>
      <c r="V774" s="253"/>
      <c r="W774" s="253"/>
      <c r="X774" s="253"/>
      <c r="Y774" s="253"/>
    </row>
    <row r="775">
      <c r="A775" s="253"/>
      <c r="B775" s="253"/>
      <c r="C775" s="253"/>
      <c r="D775" s="253"/>
      <c r="E775" s="253"/>
      <c r="F775" s="253"/>
      <c r="G775" s="253"/>
      <c r="H775" s="253"/>
      <c r="I775" s="253"/>
      <c r="J775" s="253"/>
      <c r="K775" s="253"/>
      <c r="L775" s="253"/>
      <c r="M775" s="253"/>
      <c r="N775" s="253"/>
      <c r="O775" s="253"/>
      <c r="P775" s="253"/>
      <c r="Q775" s="253"/>
      <c r="R775" s="253"/>
      <c r="S775" s="253"/>
      <c r="T775" s="253"/>
      <c r="U775" s="253"/>
      <c r="V775" s="253"/>
      <c r="W775" s="253"/>
      <c r="X775" s="253"/>
      <c r="Y775" s="253"/>
    </row>
    <row r="776">
      <c r="A776" s="253"/>
      <c r="B776" s="253"/>
      <c r="C776" s="253"/>
      <c r="D776" s="253"/>
      <c r="E776" s="253"/>
      <c r="F776" s="253"/>
      <c r="G776" s="253"/>
      <c r="H776" s="253"/>
      <c r="I776" s="253"/>
      <c r="J776" s="253"/>
      <c r="K776" s="253"/>
      <c r="L776" s="253"/>
      <c r="M776" s="253"/>
      <c r="N776" s="253"/>
      <c r="O776" s="253"/>
      <c r="P776" s="253"/>
      <c r="Q776" s="253"/>
      <c r="R776" s="253"/>
      <c r="S776" s="253"/>
      <c r="T776" s="253"/>
      <c r="U776" s="253"/>
      <c r="V776" s="253"/>
      <c r="W776" s="253"/>
      <c r="X776" s="253"/>
      <c r="Y776" s="253"/>
    </row>
    <row r="777">
      <c r="A777" s="253"/>
      <c r="B777" s="253"/>
      <c r="C777" s="253"/>
      <c r="D777" s="253"/>
      <c r="E777" s="253"/>
      <c r="F777" s="253"/>
      <c r="G777" s="253"/>
      <c r="H777" s="253"/>
      <c r="I777" s="253"/>
      <c r="J777" s="253"/>
      <c r="K777" s="253"/>
      <c r="L777" s="253"/>
      <c r="M777" s="253"/>
      <c r="N777" s="253"/>
      <c r="O777" s="253"/>
      <c r="P777" s="253"/>
      <c r="Q777" s="253"/>
      <c r="R777" s="253"/>
      <c r="S777" s="253"/>
      <c r="T777" s="253"/>
      <c r="U777" s="253"/>
      <c r="V777" s="253"/>
      <c r="W777" s="253"/>
      <c r="X777" s="253"/>
      <c r="Y777" s="253"/>
    </row>
    <row r="778">
      <c r="A778" s="253"/>
      <c r="B778" s="253"/>
      <c r="C778" s="253"/>
      <c r="D778" s="253"/>
      <c r="E778" s="253"/>
      <c r="F778" s="253"/>
      <c r="G778" s="253"/>
      <c r="H778" s="253"/>
      <c r="I778" s="253"/>
      <c r="J778" s="253"/>
      <c r="K778" s="253"/>
      <c r="L778" s="253"/>
      <c r="M778" s="253"/>
      <c r="N778" s="253"/>
      <c r="O778" s="253"/>
      <c r="P778" s="253"/>
      <c r="Q778" s="253"/>
      <c r="R778" s="253"/>
      <c r="S778" s="253"/>
      <c r="T778" s="253"/>
      <c r="U778" s="253"/>
      <c r="V778" s="253"/>
      <c r="W778" s="253"/>
      <c r="X778" s="253"/>
      <c r="Y778" s="253"/>
    </row>
    <row r="779">
      <c r="A779" s="253"/>
      <c r="B779" s="253"/>
      <c r="C779" s="253"/>
      <c r="D779" s="253"/>
      <c r="E779" s="253"/>
      <c r="F779" s="253"/>
      <c r="G779" s="253"/>
      <c r="H779" s="253"/>
      <c r="I779" s="253"/>
      <c r="J779" s="253"/>
      <c r="K779" s="253"/>
      <c r="L779" s="253"/>
      <c r="M779" s="253"/>
      <c r="N779" s="253"/>
      <c r="O779" s="253"/>
      <c r="P779" s="253"/>
      <c r="Q779" s="253"/>
      <c r="R779" s="253"/>
      <c r="S779" s="253"/>
      <c r="T779" s="253"/>
      <c r="U779" s="253"/>
      <c r="V779" s="253"/>
      <c r="W779" s="253"/>
      <c r="X779" s="253"/>
      <c r="Y779" s="253"/>
    </row>
    <row r="780">
      <c r="A780" s="253"/>
      <c r="B780" s="253"/>
      <c r="C780" s="253"/>
      <c r="D780" s="253"/>
      <c r="E780" s="253"/>
      <c r="F780" s="253"/>
      <c r="G780" s="253"/>
      <c r="H780" s="253"/>
      <c r="I780" s="253"/>
      <c r="J780" s="253"/>
      <c r="K780" s="253"/>
      <c r="L780" s="253"/>
      <c r="M780" s="253"/>
      <c r="N780" s="253"/>
      <c r="O780" s="253"/>
      <c r="P780" s="253"/>
      <c r="Q780" s="253"/>
      <c r="R780" s="253"/>
      <c r="S780" s="253"/>
      <c r="T780" s="253"/>
      <c r="U780" s="253"/>
      <c r="V780" s="253"/>
      <c r="W780" s="253"/>
      <c r="X780" s="253"/>
      <c r="Y780" s="253"/>
    </row>
    <row r="781">
      <c r="A781" s="253"/>
      <c r="B781" s="253"/>
      <c r="C781" s="253"/>
      <c r="D781" s="253"/>
      <c r="E781" s="253"/>
      <c r="F781" s="253"/>
      <c r="G781" s="253"/>
      <c r="H781" s="253"/>
      <c r="I781" s="253"/>
      <c r="J781" s="253"/>
      <c r="K781" s="253"/>
      <c r="L781" s="253"/>
      <c r="M781" s="253"/>
      <c r="N781" s="253"/>
      <c r="O781" s="253"/>
      <c r="P781" s="253"/>
      <c r="Q781" s="253"/>
      <c r="R781" s="253"/>
      <c r="S781" s="253"/>
      <c r="T781" s="253"/>
      <c r="U781" s="253"/>
      <c r="V781" s="253"/>
      <c r="W781" s="253"/>
      <c r="X781" s="253"/>
      <c r="Y781" s="253"/>
    </row>
    <row r="782">
      <c r="A782" s="253"/>
      <c r="B782" s="253"/>
      <c r="C782" s="253"/>
      <c r="D782" s="253"/>
      <c r="E782" s="253"/>
      <c r="F782" s="253"/>
      <c r="G782" s="253"/>
      <c r="H782" s="253"/>
      <c r="I782" s="253"/>
      <c r="J782" s="253"/>
      <c r="K782" s="253"/>
      <c r="L782" s="253"/>
      <c r="M782" s="253"/>
      <c r="N782" s="253"/>
      <c r="O782" s="253"/>
      <c r="P782" s="253"/>
      <c r="Q782" s="253"/>
      <c r="R782" s="253"/>
      <c r="S782" s="253"/>
      <c r="T782" s="253"/>
      <c r="U782" s="253"/>
      <c r="V782" s="253"/>
      <c r="W782" s="253"/>
      <c r="X782" s="253"/>
      <c r="Y782" s="253"/>
    </row>
    <row r="783">
      <c r="A783" s="253"/>
      <c r="B783" s="253"/>
      <c r="C783" s="253"/>
      <c r="D783" s="253"/>
      <c r="E783" s="253"/>
      <c r="F783" s="253"/>
      <c r="G783" s="253"/>
      <c r="H783" s="253"/>
      <c r="I783" s="253"/>
      <c r="J783" s="253"/>
      <c r="K783" s="253"/>
      <c r="L783" s="253"/>
      <c r="M783" s="253"/>
      <c r="N783" s="253"/>
      <c r="O783" s="253"/>
      <c r="P783" s="253"/>
      <c r="Q783" s="253"/>
      <c r="R783" s="253"/>
      <c r="S783" s="253"/>
      <c r="T783" s="253"/>
      <c r="U783" s="253"/>
      <c r="V783" s="253"/>
      <c r="W783" s="253"/>
      <c r="X783" s="253"/>
      <c r="Y783" s="253"/>
    </row>
    <row r="784">
      <c r="A784" s="253"/>
      <c r="B784" s="253"/>
      <c r="C784" s="253"/>
      <c r="D784" s="253"/>
      <c r="E784" s="253"/>
      <c r="F784" s="253"/>
      <c r="G784" s="253"/>
      <c r="H784" s="253"/>
      <c r="I784" s="253"/>
      <c r="J784" s="253"/>
      <c r="K784" s="253"/>
      <c r="L784" s="253"/>
      <c r="M784" s="253"/>
      <c r="N784" s="253"/>
      <c r="O784" s="253"/>
      <c r="P784" s="253"/>
      <c r="Q784" s="253"/>
      <c r="R784" s="253"/>
      <c r="S784" s="253"/>
      <c r="T784" s="253"/>
      <c r="U784" s="253"/>
      <c r="V784" s="253"/>
      <c r="W784" s="253"/>
      <c r="X784" s="253"/>
      <c r="Y784" s="253"/>
    </row>
    <row r="785">
      <c r="A785" s="253"/>
      <c r="B785" s="253"/>
      <c r="C785" s="253"/>
      <c r="D785" s="253"/>
      <c r="E785" s="253"/>
      <c r="F785" s="253"/>
      <c r="G785" s="253"/>
      <c r="H785" s="253"/>
      <c r="I785" s="253"/>
      <c r="J785" s="253"/>
      <c r="K785" s="253"/>
      <c r="L785" s="253"/>
      <c r="M785" s="253"/>
      <c r="N785" s="253"/>
      <c r="O785" s="253"/>
      <c r="P785" s="253"/>
      <c r="Q785" s="253"/>
      <c r="R785" s="253"/>
      <c r="S785" s="253"/>
      <c r="T785" s="253"/>
      <c r="U785" s="253"/>
      <c r="V785" s="253"/>
      <c r="W785" s="253"/>
      <c r="X785" s="253"/>
      <c r="Y785" s="253"/>
    </row>
    <row r="786">
      <c r="A786" s="253"/>
      <c r="B786" s="253"/>
      <c r="C786" s="253"/>
      <c r="D786" s="253"/>
      <c r="E786" s="253"/>
      <c r="F786" s="253"/>
      <c r="G786" s="253"/>
      <c r="H786" s="253"/>
      <c r="I786" s="253"/>
      <c r="J786" s="253"/>
      <c r="K786" s="253"/>
      <c r="L786" s="253"/>
      <c r="M786" s="253"/>
      <c r="N786" s="253"/>
      <c r="O786" s="253"/>
      <c r="P786" s="253"/>
      <c r="Q786" s="253"/>
      <c r="R786" s="253"/>
      <c r="S786" s="253"/>
      <c r="T786" s="253"/>
      <c r="U786" s="253"/>
      <c r="V786" s="253"/>
      <c r="W786" s="253"/>
      <c r="X786" s="253"/>
      <c r="Y786" s="253"/>
    </row>
    <row r="787">
      <c r="A787" s="253"/>
      <c r="B787" s="253"/>
      <c r="C787" s="253"/>
      <c r="D787" s="253"/>
      <c r="E787" s="253"/>
      <c r="F787" s="253"/>
      <c r="G787" s="253"/>
      <c r="H787" s="253"/>
      <c r="I787" s="253"/>
      <c r="J787" s="253"/>
      <c r="K787" s="253"/>
      <c r="L787" s="253"/>
      <c r="M787" s="253"/>
      <c r="N787" s="253"/>
      <c r="O787" s="253"/>
      <c r="P787" s="253"/>
      <c r="Q787" s="253"/>
      <c r="R787" s="253"/>
      <c r="S787" s="253"/>
      <c r="T787" s="253"/>
      <c r="U787" s="253"/>
      <c r="V787" s="253"/>
      <c r="W787" s="253"/>
      <c r="X787" s="253"/>
      <c r="Y787" s="253"/>
    </row>
    <row r="788">
      <c r="A788" s="253"/>
      <c r="B788" s="253"/>
      <c r="C788" s="253"/>
      <c r="D788" s="253"/>
      <c r="E788" s="253"/>
      <c r="F788" s="253"/>
      <c r="G788" s="253"/>
      <c r="H788" s="253"/>
      <c r="I788" s="253"/>
      <c r="J788" s="253"/>
      <c r="K788" s="253"/>
      <c r="L788" s="253"/>
      <c r="M788" s="253"/>
      <c r="N788" s="253"/>
      <c r="O788" s="253"/>
      <c r="P788" s="253"/>
      <c r="Q788" s="253"/>
      <c r="R788" s="253"/>
      <c r="S788" s="253"/>
      <c r="T788" s="253"/>
      <c r="U788" s="253"/>
      <c r="V788" s="253"/>
      <c r="W788" s="253"/>
      <c r="X788" s="253"/>
      <c r="Y788" s="253"/>
    </row>
    <row r="789">
      <c r="A789" s="253"/>
      <c r="B789" s="253"/>
      <c r="C789" s="253"/>
      <c r="D789" s="253"/>
      <c r="E789" s="253"/>
      <c r="F789" s="253"/>
      <c r="G789" s="253"/>
      <c r="H789" s="253"/>
      <c r="I789" s="253"/>
      <c r="J789" s="253"/>
      <c r="K789" s="253"/>
      <c r="L789" s="253"/>
      <c r="M789" s="253"/>
      <c r="N789" s="253"/>
      <c r="O789" s="253"/>
      <c r="P789" s="253"/>
      <c r="Q789" s="253"/>
      <c r="R789" s="253"/>
      <c r="S789" s="253"/>
      <c r="T789" s="253"/>
      <c r="U789" s="253"/>
      <c r="V789" s="253"/>
      <c r="W789" s="253"/>
      <c r="X789" s="253"/>
      <c r="Y789" s="253"/>
    </row>
    <row r="790">
      <c r="A790" s="253"/>
      <c r="B790" s="253"/>
      <c r="C790" s="253"/>
      <c r="D790" s="253"/>
      <c r="E790" s="253"/>
      <c r="F790" s="253"/>
      <c r="G790" s="253"/>
      <c r="H790" s="253"/>
      <c r="I790" s="253"/>
      <c r="J790" s="253"/>
      <c r="K790" s="253"/>
      <c r="L790" s="253"/>
      <c r="M790" s="253"/>
      <c r="N790" s="253"/>
      <c r="O790" s="253"/>
      <c r="P790" s="253"/>
      <c r="Q790" s="253"/>
      <c r="R790" s="253"/>
      <c r="S790" s="253"/>
      <c r="T790" s="253"/>
      <c r="U790" s="253"/>
      <c r="V790" s="253"/>
      <c r="W790" s="253"/>
      <c r="X790" s="253"/>
      <c r="Y790" s="253"/>
    </row>
    <row r="791">
      <c r="A791" s="253"/>
      <c r="B791" s="253"/>
      <c r="C791" s="253"/>
      <c r="D791" s="253"/>
      <c r="E791" s="253"/>
      <c r="F791" s="253"/>
      <c r="G791" s="253"/>
      <c r="H791" s="253"/>
      <c r="I791" s="253"/>
      <c r="J791" s="253"/>
      <c r="K791" s="253"/>
      <c r="L791" s="253"/>
      <c r="M791" s="253"/>
      <c r="N791" s="253"/>
      <c r="O791" s="253"/>
      <c r="P791" s="253"/>
      <c r="Q791" s="253"/>
      <c r="R791" s="253"/>
      <c r="S791" s="253"/>
      <c r="T791" s="253"/>
      <c r="U791" s="253"/>
      <c r="V791" s="253"/>
      <c r="W791" s="253"/>
      <c r="X791" s="253"/>
      <c r="Y791" s="253"/>
    </row>
    <row r="792">
      <c r="A792" s="253"/>
      <c r="B792" s="253"/>
      <c r="C792" s="253"/>
      <c r="D792" s="253"/>
      <c r="E792" s="253"/>
      <c r="F792" s="253"/>
      <c r="G792" s="253"/>
      <c r="H792" s="253"/>
      <c r="I792" s="253"/>
      <c r="J792" s="253"/>
      <c r="K792" s="253"/>
      <c r="L792" s="253"/>
      <c r="M792" s="253"/>
      <c r="N792" s="253"/>
      <c r="O792" s="253"/>
      <c r="P792" s="253"/>
      <c r="Q792" s="253"/>
      <c r="R792" s="253"/>
      <c r="S792" s="253"/>
      <c r="T792" s="253"/>
      <c r="U792" s="253"/>
      <c r="V792" s="253"/>
      <c r="W792" s="253"/>
      <c r="X792" s="253"/>
      <c r="Y792" s="253"/>
    </row>
    <row r="793">
      <c r="A793" s="253"/>
      <c r="B793" s="253"/>
      <c r="C793" s="253"/>
      <c r="D793" s="253"/>
      <c r="E793" s="253"/>
      <c r="F793" s="253"/>
      <c r="G793" s="253"/>
      <c r="H793" s="253"/>
      <c r="I793" s="253"/>
      <c r="J793" s="253"/>
      <c r="K793" s="253"/>
      <c r="L793" s="253"/>
      <c r="M793" s="253"/>
      <c r="N793" s="253"/>
      <c r="O793" s="253"/>
      <c r="P793" s="253"/>
      <c r="Q793" s="253"/>
      <c r="R793" s="253"/>
      <c r="S793" s="253"/>
      <c r="T793" s="253"/>
      <c r="U793" s="253"/>
      <c r="V793" s="253"/>
      <c r="W793" s="253"/>
      <c r="X793" s="253"/>
      <c r="Y793" s="253"/>
    </row>
    <row r="794">
      <c r="A794" s="253"/>
      <c r="B794" s="253"/>
      <c r="C794" s="253"/>
      <c r="D794" s="253"/>
      <c r="E794" s="253"/>
      <c r="F794" s="253"/>
      <c r="G794" s="253"/>
      <c r="H794" s="253"/>
      <c r="I794" s="253"/>
      <c r="J794" s="253"/>
      <c r="K794" s="253"/>
      <c r="L794" s="253"/>
      <c r="M794" s="253"/>
      <c r="N794" s="253"/>
      <c r="O794" s="253"/>
      <c r="P794" s="253"/>
      <c r="Q794" s="253"/>
      <c r="R794" s="253"/>
      <c r="S794" s="253"/>
      <c r="T794" s="253"/>
      <c r="U794" s="253"/>
      <c r="V794" s="253"/>
      <c r="W794" s="253"/>
      <c r="X794" s="253"/>
      <c r="Y794" s="253"/>
    </row>
    <row r="795">
      <c r="A795" s="253"/>
      <c r="B795" s="253"/>
      <c r="C795" s="253"/>
      <c r="D795" s="253"/>
      <c r="E795" s="253"/>
      <c r="F795" s="253"/>
      <c r="G795" s="253"/>
      <c r="H795" s="253"/>
      <c r="I795" s="253"/>
      <c r="J795" s="253"/>
      <c r="K795" s="253"/>
      <c r="L795" s="253"/>
      <c r="M795" s="253"/>
      <c r="N795" s="253"/>
      <c r="O795" s="253"/>
      <c r="P795" s="253"/>
      <c r="Q795" s="253"/>
      <c r="R795" s="253"/>
      <c r="S795" s="253"/>
      <c r="T795" s="253"/>
      <c r="U795" s="253"/>
      <c r="V795" s="253"/>
      <c r="W795" s="253"/>
      <c r="X795" s="253"/>
      <c r="Y795" s="253"/>
    </row>
    <row r="796">
      <c r="A796" s="253"/>
      <c r="B796" s="253"/>
      <c r="C796" s="253"/>
      <c r="D796" s="253"/>
      <c r="E796" s="253"/>
      <c r="F796" s="253"/>
      <c r="G796" s="253"/>
      <c r="H796" s="253"/>
      <c r="I796" s="253"/>
      <c r="J796" s="253"/>
      <c r="K796" s="253"/>
      <c r="L796" s="253"/>
      <c r="M796" s="253"/>
      <c r="N796" s="253"/>
      <c r="O796" s="253"/>
      <c r="P796" s="253"/>
      <c r="Q796" s="253"/>
      <c r="R796" s="253"/>
      <c r="S796" s="253"/>
      <c r="T796" s="253"/>
      <c r="U796" s="253"/>
      <c r="V796" s="253"/>
      <c r="W796" s="253"/>
      <c r="X796" s="253"/>
      <c r="Y796" s="253"/>
    </row>
    <row r="797">
      <c r="A797" s="253"/>
      <c r="B797" s="253"/>
      <c r="C797" s="253"/>
      <c r="D797" s="253"/>
      <c r="E797" s="253"/>
      <c r="F797" s="253"/>
      <c r="G797" s="253"/>
      <c r="H797" s="253"/>
      <c r="I797" s="253"/>
      <c r="J797" s="253"/>
      <c r="K797" s="253"/>
      <c r="L797" s="253"/>
      <c r="M797" s="253"/>
      <c r="N797" s="253"/>
      <c r="O797" s="253"/>
      <c r="P797" s="253"/>
      <c r="Q797" s="253"/>
      <c r="R797" s="253"/>
      <c r="S797" s="253"/>
      <c r="T797" s="253"/>
      <c r="U797" s="253"/>
      <c r="V797" s="253"/>
      <c r="W797" s="253"/>
      <c r="X797" s="253"/>
      <c r="Y797" s="253"/>
    </row>
    <row r="798">
      <c r="A798" s="253"/>
      <c r="B798" s="253"/>
      <c r="C798" s="253"/>
      <c r="D798" s="253"/>
      <c r="E798" s="253"/>
      <c r="F798" s="253"/>
      <c r="G798" s="253"/>
      <c r="H798" s="253"/>
      <c r="I798" s="253"/>
      <c r="J798" s="253"/>
      <c r="K798" s="253"/>
      <c r="L798" s="253"/>
      <c r="M798" s="253"/>
      <c r="N798" s="253"/>
      <c r="O798" s="253"/>
      <c r="P798" s="253"/>
      <c r="Q798" s="253"/>
      <c r="R798" s="253"/>
      <c r="S798" s="253"/>
      <c r="T798" s="253"/>
      <c r="U798" s="253"/>
      <c r="V798" s="253"/>
      <c r="W798" s="253"/>
      <c r="X798" s="253"/>
      <c r="Y798" s="253"/>
    </row>
    <row r="799">
      <c r="A799" s="253"/>
      <c r="B799" s="253"/>
      <c r="C799" s="253"/>
      <c r="D799" s="253"/>
      <c r="E799" s="253"/>
      <c r="F799" s="253"/>
      <c r="G799" s="253"/>
      <c r="H799" s="253"/>
      <c r="I799" s="253"/>
      <c r="J799" s="253"/>
      <c r="K799" s="253"/>
      <c r="L799" s="253"/>
      <c r="M799" s="253"/>
      <c r="N799" s="253"/>
      <c r="O799" s="253"/>
      <c r="P799" s="253"/>
      <c r="Q799" s="253"/>
      <c r="R799" s="253"/>
      <c r="S799" s="253"/>
      <c r="T799" s="253"/>
      <c r="U799" s="253"/>
      <c r="V799" s="253"/>
      <c r="W799" s="253"/>
      <c r="X799" s="253"/>
      <c r="Y799" s="253"/>
    </row>
    <row r="800">
      <c r="A800" s="253"/>
      <c r="B800" s="253"/>
      <c r="C800" s="253"/>
      <c r="D800" s="253"/>
      <c r="E800" s="253"/>
      <c r="F800" s="253"/>
      <c r="G800" s="253"/>
      <c r="H800" s="253"/>
      <c r="I800" s="253"/>
      <c r="J800" s="253"/>
      <c r="K800" s="253"/>
      <c r="L800" s="253"/>
      <c r="M800" s="253"/>
      <c r="N800" s="253"/>
      <c r="O800" s="253"/>
      <c r="P800" s="253"/>
      <c r="Q800" s="253"/>
      <c r="R800" s="253"/>
      <c r="S800" s="253"/>
      <c r="T800" s="253"/>
      <c r="U800" s="253"/>
      <c r="V800" s="253"/>
      <c r="W800" s="253"/>
      <c r="X800" s="253"/>
      <c r="Y800" s="253"/>
    </row>
    <row r="801">
      <c r="A801" s="253"/>
      <c r="B801" s="253"/>
      <c r="C801" s="253"/>
      <c r="D801" s="253"/>
      <c r="E801" s="253"/>
      <c r="F801" s="253"/>
      <c r="G801" s="253"/>
      <c r="H801" s="253"/>
      <c r="I801" s="253"/>
      <c r="J801" s="253"/>
      <c r="K801" s="253"/>
      <c r="L801" s="253"/>
      <c r="M801" s="253"/>
      <c r="N801" s="253"/>
      <c r="O801" s="253"/>
      <c r="P801" s="253"/>
      <c r="Q801" s="253"/>
      <c r="R801" s="253"/>
      <c r="S801" s="253"/>
      <c r="T801" s="253"/>
      <c r="U801" s="253"/>
      <c r="V801" s="253"/>
      <c r="W801" s="253"/>
      <c r="X801" s="253"/>
      <c r="Y801" s="253"/>
    </row>
    <row r="802">
      <c r="A802" s="253"/>
      <c r="B802" s="253"/>
      <c r="C802" s="253"/>
      <c r="D802" s="253"/>
      <c r="E802" s="253"/>
      <c r="F802" s="253"/>
      <c r="G802" s="253"/>
      <c r="H802" s="253"/>
      <c r="I802" s="253"/>
      <c r="J802" s="253"/>
      <c r="K802" s="253"/>
      <c r="L802" s="253"/>
      <c r="M802" s="253"/>
      <c r="N802" s="253"/>
      <c r="O802" s="253"/>
      <c r="P802" s="253"/>
      <c r="Q802" s="253"/>
      <c r="R802" s="253"/>
      <c r="S802" s="253"/>
      <c r="T802" s="253"/>
      <c r="U802" s="253"/>
      <c r="V802" s="253"/>
      <c r="W802" s="253"/>
      <c r="X802" s="253"/>
      <c r="Y802" s="253"/>
    </row>
    <row r="803">
      <c r="A803" s="253"/>
      <c r="B803" s="253"/>
      <c r="C803" s="253"/>
      <c r="D803" s="253"/>
      <c r="E803" s="253"/>
      <c r="F803" s="253"/>
      <c r="G803" s="253"/>
      <c r="H803" s="253"/>
      <c r="I803" s="253"/>
      <c r="J803" s="253"/>
      <c r="K803" s="253"/>
      <c r="L803" s="253"/>
      <c r="M803" s="253"/>
      <c r="N803" s="253"/>
      <c r="O803" s="253"/>
      <c r="P803" s="253"/>
      <c r="Q803" s="253"/>
      <c r="R803" s="253"/>
      <c r="S803" s="253"/>
      <c r="T803" s="253"/>
      <c r="U803" s="253"/>
      <c r="V803" s="253"/>
      <c r="W803" s="253"/>
      <c r="X803" s="253"/>
      <c r="Y803" s="253"/>
    </row>
    <row r="804">
      <c r="A804" s="253"/>
      <c r="B804" s="253"/>
      <c r="C804" s="253"/>
      <c r="D804" s="253"/>
      <c r="E804" s="253"/>
      <c r="F804" s="253"/>
      <c r="G804" s="253"/>
      <c r="H804" s="253"/>
      <c r="I804" s="253"/>
      <c r="J804" s="253"/>
      <c r="K804" s="253"/>
      <c r="L804" s="253"/>
      <c r="M804" s="253"/>
      <c r="N804" s="253"/>
      <c r="O804" s="253"/>
      <c r="P804" s="253"/>
      <c r="Q804" s="253"/>
      <c r="R804" s="253"/>
      <c r="S804" s="253"/>
      <c r="T804" s="253"/>
      <c r="U804" s="253"/>
      <c r="V804" s="253"/>
      <c r="W804" s="253"/>
      <c r="X804" s="253"/>
      <c r="Y804" s="253"/>
    </row>
    <row r="805">
      <c r="A805" s="253"/>
      <c r="B805" s="253"/>
      <c r="C805" s="253"/>
      <c r="D805" s="253"/>
      <c r="E805" s="253"/>
      <c r="F805" s="253"/>
      <c r="G805" s="253"/>
      <c r="H805" s="253"/>
      <c r="I805" s="253"/>
      <c r="J805" s="253"/>
      <c r="K805" s="253"/>
      <c r="L805" s="253"/>
      <c r="M805" s="253"/>
      <c r="N805" s="253"/>
      <c r="O805" s="253"/>
      <c r="P805" s="253"/>
      <c r="Q805" s="253"/>
      <c r="R805" s="253"/>
      <c r="S805" s="253"/>
      <c r="T805" s="253"/>
      <c r="U805" s="253"/>
      <c r="V805" s="253"/>
      <c r="W805" s="253"/>
      <c r="X805" s="253"/>
      <c r="Y805" s="253"/>
    </row>
    <row r="806">
      <c r="A806" s="253"/>
      <c r="B806" s="253"/>
      <c r="C806" s="253"/>
      <c r="D806" s="253"/>
      <c r="E806" s="253"/>
      <c r="F806" s="253"/>
      <c r="G806" s="253"/>
      <c r="H806" s="253"/>
      <c r="I806" s="253"/>
      <c r="J806" s="253"/>
      <c r="K806" s="253"/>
      <c r="L806" s="253"/>
      <c r="M806" s="253"/>
      <c r="N806" s="253"/>
      <c r="O806" s="253"/>
      <c r="P806" s="253"/>
      <c r="Q806" s="253"/>
      <c r="R806" s="253"/>
      <c r="S806" s="253"/>
      <c r="T806" s="253"/>
      <c r="U806" s="253"/>
      <c r="V806" s="253"/>
      <c r="W806" s="253"/>
      <c r="X806" s="253"/>
      <c r="Y806" s="253"/>
    </row>
    <row r="807">
      <c r="A807" s="253"/>
      <c r="B807" s="253"/>
      <c r="C807" s="253"/>
      <c r="D807" s="253"/>
      <c r="E807" s="253"/>
      <c r="F807" s="253"/>
      <c r="G807" s="253"/>
      <c r="H807" s="253"/>
      <c r="I807" s="253"/>
      <c r="J807" s="253"/>
      <c r="K807" s="253"/>
      <c r="L807" s="253"/>
      <c r="M807" s="253"/>
      <c r="N807" s="253"/>
      <c r="O807" s="253"/>
      <c r="P807" s="253"/>
      <c r="Q807" s="253"/>
      <c r="R807" s="253"/>
      <c r="S807" s="253"/>
      <c r="T807" s="253"/>
      <c r="U807" s="253"/>
      <c r="V807" s="253"/>
      <c r="W807" s="253"/>
      <c r="X807" s="253"/>
      <c r="Y807" s="253"/>
    </row>
    <row r="808">
      <c r="A808" s="253"/>
      <c r="B808" s="253"/>
      <c r="C808" s="253"/>
      <c r="D808" s="253"/>
      <c r="E808" s="253"/>
      <c r="F808" s="253"/>
      <c r="G808" s="253"/>
      <c r="H808" s="253"/>
      <c r="I808" s="253"/>
      <c r="J808" s="253"/>
      <c r="K808" s="253"/>
      <c r="L808" s="253"/>
      <c r="M808" s="253"/>
      <c r="N808" s="253"/>
      <c r="O808" s="253"/>
      <c r="P808" s="253"/>
      <c r="Q808" s="253"/>
      <c r="R808" s="253"/>
      <c r="S808" s="253"/>
      <c r="T808" s="253"/>
      <c r="U808" s="253"/>
      <c r="V808" s="253"/>
      <c r="W808" s="253"/>
      <c r="X808" s="253"/>
      <c r="Y808" s="253"/>
    </row>
    <row r="809">
      <c r="A809" s="253"/>
      <c r="B809" s="253"/>
      <c r="C809" s="253"/>
      <c r="D809" s="253"/>
      <c r="E809" s="253"/>
      <c r="F809" s="253"/>
      <c r="G809" s="253"/>
      <c r="H809" s="253"/>
      <c r="I809" s="253"/>
      <c r="J809" s="253"/>
      <c r="K809" s="253"/>
      <c r="L809" s="253"/>
      <c r="M809" s="253"/>
      <c r="N809" s="253"/>
      <c r="O809" s="253"/>
      <c r="P809" s="253"/>
      <c r="Q809" s="253"/>
      <c r="R809" s="253"/>
      <c r="S809" s="253"/>
      <c r="T809" s="253"/>
      <c r="U809" s="253"/>
      <c r="V809" s="253"/>
      <c r="W809" s="253"/>
      <c r="X809" s="253"/>
      <c r="Y809" s="253"/>
    </row>
    <row r="810">
      <c r="A810" s="253"/>
      <c r="B810" s="253"/>
      <c r="C810" s="253"/>
      <c r="D810" s="253"/>
      <c r="E810" s="253"/>
      <c r="F810" s="253"/>
      <c r="G810" s="253"/>
      <c r="H810" s="253"/>
      <c r="I810" s="253"/>
      <c r="J810" s="253"/>
      <c r="K810" s="253"/>
      <c r="L810" s="253"/>
      <c r="M810" s="253"/>
      <c r="N810" s="253"/>
      <c r="O810" s="253"/>
      <c r="P810" s="253"/>
      <c r="Q810" s="253"/>
      <c r="R810" s="253"/>
      <c r="S810" s="253"/>
      <c r="T810" s="253"/>
      <c r="U810" s="253"/>
      <c r="V810" s="253"/>
      <c r="W810" s="253"/>
      <c r="X810" s="253"/>
      <c r="Y810" s="253"/>
    </row>
    <row r="811">
      <c r="A811" s="253"/>
      <c r="B811" s="253"/>
      <c r="C811" s="253"/>
      <c r="D811" s="253"/>
      <c r="E811" s="253"/>
      <c r="F811" s="253"/>
      <c r="G811" s="253"/>
      <c r="H811" s="253"/>
      <c r="I811" s="253"/>
      <c r="J811" s="253"/>
      <c r="K811" s="253"/>
      <c r="L811" s="253"/>
      <c r="M811" s="253"/>
      <c r="N811" s="253"/>
      <c r="O811" s="253"/>
      <c r="P811" s="253"/>
      <c r="Q811" s="253"/>
      <c r="R811" s="253"/>
      <c r="S811" s="253"/>
      <c r="T811" s="253"/>
      <c r="U811" s="253"/>
      <c r="V811" s="253"/>
      <c r="W811" s="253"/>
      <c r="X811" s="253"/>
      <c r="Y811" s="253"/>
    </row>
    <row r="812">
      <c r="A812" s="253"/>
      <c r="B812" s="253"/>
      <c r="C812" s="253"/>
      <c r="D812" s="253"/>
      <c r="E812" s="253"/>
      <c r="F812" s="253"/>
      <c r="G812" s="253"/>
      <c r="H812" s="253"/>
      <c r="I812" s="253"/>
      <c r="J812" s="253"/>
      <c r="K812" s="253"/>
      <c r="L812" s="253"/>
      <c r="M812" s="253"/>
      <c r="N812" s="253"/>
      <c r="O812" s="253"/>
      <c r="P812" s="253"/>
      <c r="Q812" s="253"/>
      <c r="R812" s="253"/>
      <c r="S812" s="253"/>
      <c r="T812" s="253"/>
      <c r="U812" s="253"/>
      <c r="V812" s="253"/>
      <c r="W812" s="253"/>
      <c r="X812" s="253"/>
      <c r="Y812" s="253"/>
    </row>
    <row r="813">
      <c r="A813" s="253"/>
      <c r="B813" s="253"/>
      <c r="C813" s="253"/>
      <c r="D813" s="253"/>
      <c r="E813" s="253"/>
      <c r="F813" s="253"/>
      <c r="G813" s="253"/>
      <c r="H813" s="253"/>
      <c r="I813" s="253"/>
      <c r="J813" s="253"/>
      <c r="K813" s="253"/>
      <c r="L813" s="253"/>
      <c r="M813" s="253"/>
      <c r="N813" s="253"/>
      <c r="O813" s="253"/>
      <c r="P813" s="253"/>
      <c r="Q813" s="253"/>
      <c r="R813" s="253"/>
      <c r="S813" s="253"/>
      <c r="T813" s="253"/>
      <c r="U813" s="253"/>
      <c r="V813" s="253"/>
      <c r="W813" s="253"/>
      <c r="X813" s="253"/>
      <c r="Y813" s="253"/>
    </row>
    <row r="814">
      <c r="A814" s="253"/>
      <c r="B814" s="253"/>
      <c r="C814" s="253"/>
      <c r="D814" s="253"/>
      <c r="E814" s="253"/>
      <c r="F814" s="253"/>
      <c r="G814" s="253"/>
      <c r="H814" s="253"/>
      <c r="I814" s="253"/>
      <c r="J814" s="253"/>
      <c r="K814" s="253"/>
      <c r="L814" s="253"/>
      <c r="M814" s="253"/>
      <c r="N814" s="253"/>
      <c r="O814" s="253"/>
      <c r="P814" s="253"/>
      <c r="Q814" s="253"/>
      <c r="R814" s="253"/>
      <c r="S814" s="253"/>
      <c r="T814" s="253"/>
      <c r="U814" s="253"/>
      <c r="V814" s="253"/>
      <c r="W814" s="253"/>
      <c r="X814" s="253"/>
      <c r="Y814" s="253"/>
    </row>
    <row r="815">
      <c r="A815" s="253"/>
      <c r="B815" s="253"/>
      <c r="C815" s="253"/>
      <c r="D815" s="253"/>
      <c r="E815" s="253"/>
      <c r="F815" s="253"/>
      <c r="G815" s="253"/>
      <c r="H815" s="253"/>
      <c r="I815" s="253"/>
      <c r="J815" s="253"/>
      <c r="K815" s="253"/>
      <c r="L815" s="253"/>
      <c r="M815" s="253"/>
      <c r="N815" s="253"/>
      <c r="O815" s="253"/>
      <c r="P815" s="253"/>
      <c r="Q815" s="253"/>
      <c r="R815" s="253"/>
      <c r="S815" s="253"/>
      <c r="T815" s="253"/>
      <c r="U815" s="253"/>
      <c r="V815" s="253"/>
      <c r="W815" s="253"/>
      <c r="X815" s="253"/>
      <c r="Y815" s="253"/>
    </row>
    <row r="816">
      <c r="A816" s="253"/>
      <c r="B816" s="253"/>
      <c r="C816" s="253"/>
      <c r="D816" s="253"/>
      <c r="E816" s="253"/>
      <c r="F816" s="253"/>
      <c r="G816" s="253"/>
      <c r="H816" s="253"/>
      <c r="I816" s="253"/>
      <c r="J816" s="253"/>
      <c r="K816" s="253"/>
      <c r="L816" s="253"/>
      <c r="M816" s="253"/>
      <c r="N816" s="253"/>
      <c r="O816" s="253"/>
      <c r="P816" s="253"/>
      <c r="Q816" s="253"/>
      <c r="R816" s="253"/>
      <c r="S816" s="253"/>
      <c r="T816" s="253"/>
      <c r="U816" s="253"/>
      <c r="V816" s="253"/>
      <c r="W816" s="253"/>
      <c r="X816" s="253"/>
      <c r="Y816" s="253"/>
    </row>
    <row r="817">
      <c r="A817" s="253"/>
      <c r="B817" s="253"/>
      <c r="C817" s="253"/>
      <c r="D817" s="253"/>
      <c r="E817" s="253"/>
      <c r="F817" s="253"/>
      <c r="G817" s="253"/>
      <c r="H817" s="253"/>
      <c r="I817" s="253"/>
      <c r="J817" s="253"/>
      <c r="K817" s="253"/>
      <c r="L817" s="253"/>
      <c r="M817" s="253"/>
      <c r="N817" s="253"/>
      <c r="O817" s="253"/>
      <c r="P817" s="253"/>
      <c r="Q817" s="253"/>
      <c r="R817" s="253"/>
      <c r="S817" s="253"/>
      <c r="T817" s="253"/>
      <c r="U817" s="253"/>
      <c r="V817" s="253"/>
      <c r="W817" s="253"/>
      <c r="X817" s="253"/>
      <c r="Y817" s="253"/>
    </row>
    <row r="818">
      <c r="A818" s="253"/>
      <c r="B818" s="253"/>
      <c r="C818" s="253"/>
      <c r="D818" s="253"/>
      <c r="E818" s="253"/>
      <c r="F818" s="253"/>
      <c r="G818" s="253"/>
      <c r="H818" s="253"/>
      <c r="I818" s="253"/>
      <c r="J818" s="253"/>
      <c r="K818" s="253"/>
      <c r="L818" s="253"/>
      <c r="M818" s="253"/>
      <c r="N818" s="253"/>
      <c r="O818" s="253"/>
      <c r="P818" s="253"/>
      <c r="Q818" s="253"/>
      <c r="R818" s="253"/>
      <c r="S818" s="253"/>
      <c r="T818" s="253"/>
      <c r="U818" s="253"/>
      <c r="V818" s="253"/>
      <c r="W818" s="253"/>
      <c r="X818" s="253"/>
      <c r="Y818" s="253"/>
    </row>
    <row r="819">
      <c r="A819" s="253"/>
      <c r="B819" s="253"/>
      <c r="C819" s="253"/>
      <c r="D819" s="253"/>
      <c r="E819" s="253"/>
      <c r="F819" s="253"/>
      <c r="G819" s="253"/>
      <c r="H819" s="253"/>
      <c r="I819" s="253"/>
      <c r="J819" s="253"/>
      <c r="K819" s="253"/>
      <c r="L819" s="253"/>
      <c r="M819" s="253"/>
      <c r="N819" s="253"/>
      <c r="O819" s="253"/>
      <c r="P819" s="253"/>
      <c r="Q819" s="253"/>
      <c r="R819" s="253"/>
      <c r="S819" s="253"/>
      <c r="T819" s="253"/>
      <c r="U819" s="253"/>
      <c r="V819" s="253"/>
      <c r="W819" s="253"/>
      <c r="X819" s="253"/>
      <c r="Y819" s="253"/>
    </row>
    <row r="820">
      <c r="A820" s="253"/>
      <c r="B820" s="253"/>
      <c r="C820" s="253"/>
      <c r="D820" s="253"/>
      <c r="E820" s="253"/>
      <c r="F820" s="253"/>
      <c r="G820" s="253"/>
      <c r="H820" s="253"/>
      <c r="I820" s="253"/>
      <c r="J820" s="253"/>
      <c r="K820" s="253"/>
      <c r="L820" s="253"/>
      <c r="M820" s="253"/>
      <c r="N820" s="253"/>
      <c r="O820" s="253"/>
      <c r="P820" s="253"/>
      <c r="Q820" s="253"/>
      <c r="R820" s="253"/>
      <c r="S820" s="253"/>
      <c r="T820" s="253"/>
      <c r="U820" s="253"/>
      <c r="V820" s="253"/>
      <c r="W820" s="253"/>
      <c r="X820" s="253"/>
      <c r="Y820" s="253"/>
    </row>
    <row r="821">
      <c r="A821" s="253"/>
      <c r="B821" s="253"/>
      <c r="C821" s="253"/>
      <c r="D821" s="253"/>
      <c r="E821" s="253"/>
      <c r="F821" s="253"/>
      <c r="G821" s="253"/>
      <c r="H821" s="253"/>
      <c r="I821" s="253"/>
      <c r="J821" s="253"/>
      <c r="K821" s="253"/>
      <c r="L821" s="253"/>
      <c r="M821" s="253"/>
      <c r="N821" s="253"/>
      <c r="O821" s="253"/>
      <c r="P821" s="253"/>
      <c r="Q821" s="253"/>
      <c r="R821" s="253"/>
      <c r="S821" s="253"/>
      <c r="T821" s="253"/>
      <c r="U821" s="253"/>
      <c r="V821" s="253"/>
      <c r="W821" s="253"/>
      <c r="X821" s="253"/>
      <c r="Y821" s="253"/>
    </row>
    <row r="822">
      <c r="A822" s="253"/>
      <c r="B822" s="253"/>
      <c r="C822" s="253"/>
      <c r="D822" s="253"/>
      <c r="E822" s="253"/>
      <c r="F822" s="253"/>
      <c r="G822" s="253"/>
      <c r="H822" s="253"/>
      <c r="I822" s="253"/>
      <c r="J822" s="253"/>
      <c r="K822" s="253"/>
      <c r="L822" s="253"/>
      <c r="M822" s="253"/>
      <c r="N822" s="253"/>
      <c r="O822" s="253"/>
      <c r="P822" s="253"/>
      <c r="Q822" s="253"/>
      <c r="R822" s="253"/>
      <c r="S822" s="253"/>
      <c r="T822" s="253"/>
      <c r="U822" s="253"/>
      <c r="V822" s="253"/>
      <c r="W822" s="253"/>
      <c r="X822" s="253"/>
      <c r="Y822" s="253"/>
    </row>
    <row r="823">
      <c r="A823" s="253"/>
      <c r="B823" s="253"/>
      <c r="C823" s="253"/>
      <c r="D823" s="253"/>
      <c r="E823" s="253"/>
      <c r="F823" s="253"/>
      <c r="G823" s="253"/>
      <c r="H823" s="253"/>
      <c r="I823" s="253"/>
      <c r="J823" s="253"/>
      <c r="K823" s="253"/>
      <c r="L823" s="253"/>
      <c r="M823" s="253"/>
      <c r="N823" s="253"/>
      <c r="O823" s="253"/>
      <c r="P823" s="253"/>
      <c r="Q823" s="253"/>
      <c r="R823" s="253"/>
      <c r="S823" s="253"/>
      <c r="T823" s="253"/>
      <c r="U823" s="253"/>
      <c r="V823" s="253"/>
      <c r="W823" s="253"/>
      <c r="X823" s="253"/>
      <c r="Y823" s="253"/>
    </row>
    <row r="824">
      <c r="A824" s="253"/>
      <c r="B824" s="253"/>
      <c r="C824" s="253"/>
      <c r="D824" s="253"/>
      <c r="E824" s="253"/>
      <c r="F824" s="253"/>
      <c r="G824" s="253"/>
      <c r="H824" s="253"/>
      <c r="I824" s="253"/>
      <c r="J824" s="253"/>
      <c r="K824" s="253"/>
      <c r="L824" s="253"/>
      <c r="M824" s="253"/>
      <c r="N824" s="253"/>
      <c r="O824" s="253"/>
      <c r="P824" s="253"/>
      <c r="Q824" s="253"/>
      <c r="R824" s="253"/>
      <c r="S824" s="253"/>
      <c r="T824" s="253"/>
      <c r="U824" s="253"/>
      <c r="V824" s="253"/>
      <c r="W824" s="253"/>
      <c r="X824" s="253"/>
      <c r="Y824" s="253"/>
    </row>
    <row r="825">
      <c r="A825" s="253"/>
      <c r="B825" s="253"/>
      <c r="C825" s="253"/>
      <c r="D825" s="253"/>
      <c r="E825" s="253"/>
      <c r="F825" s="253"/>
      <c r="G825" s="253"/>
      <c r="H825" s="253"/>
      <c r="I825" s="253"/>
      <c r="J825" s="253"/>
      <c r="K825" s="253"/>
      <c r="L825" s="253"/>
      <c r="M825" s="253"/>
      <c r="N825" s="253"/>
      <c r="O825" s="253"/>
      <c r="P825" s="253"/>
      <c r="Q825" s="253"/>
      <c r="R825" s="253"/>
      <c r="S825" s="253"/>
      <c r="T825" s="253"/>
      <c r="U825" s="253"/>
      <c r="V825" s="253"/>
      <c r="W825" s="253"/>
      <c r="X825" s="253"/>
      <c r="Y825" s="253"/>
    </row>
    <row r="826">
      <c r="A826" s="253"/>
      <c r="B826" s="253"/>
      <c r="C826" s="253"/>
      <c r="D826" s="253"/>
      <c r="E826" s="253"/>
      <c r="F826" s="253"/>
      <c r="G826" s="253"/>
      <c r="H826" s="253"/>
      <c r="I826" s="253"/>
      <c r="J826" s="253"/>
      <c r="K826" s="253"/>
      <c r="L826" s="253"/>
      <c r="M826" s="253"/>
      <c r="N826" s="253"/>
      <c r="O826" s="253"/>
      <c r="P826" s="253"/>
      <c r="Q826" s="253"/>
      <c r="R826" s="253"/>
      <c r="S826" s="253"/>
      <c r="T826" s="253"/>
      <c r="U826" s="253"/>
      <c r="V826" s="253"/>
      <c r="W826" s="253"/>
      <c r="X826" s="253"/>
      <c r="Y826" s="253"/>
    </row>
    <row r="827">
      <c r="A827" s="253"/>
      <c r="B827" s="253"/>
      <c r="C827" s="253"/>
      <c r="D827" s="253"/>
      <c r="E827" s="253"/>
      <c r="F827" s="253"/>
      <c r="G827" s="253"/>
      <c r="H827" s="253"/>
      <c r="I827" s="253"/>
      <c r="J827" s="253"/>
      <c r="K827" s="253"/>
      <c r="L827" s="253"/>
      <c r="M827" s="253"/>
      <c r="N827" s="253"/>
      <c r="O827" s="253"/>
      <c r="P827" s="253"/>
      <c r="Q827" s="253"/>
      <c r="R827" s="253"/>
      <c r="S827" s="253"/>
      <c r="T827" s="253"/>
      <c r="U827" s="253"/>
      <c r="V827" s="253"/>
      <c r="W827" s="253"/>
      <c r="X827" s="253"/>
      <c r="Y827" s="253"/>
    </row>
    <row r="828">
      <c r="A828" s="253"/>
      <c r="B828" s="253"/>
      <c r="C828" s="253"/>
      <c r="D828" s="253"/>
      <c r="E828" s="253"/>
      <c r="F828" s="253"/>
      <c r="G828" s="253"/>
      <c r="H828" s="253"/>
      <c r="I828" s="253"/>
      <c r="J828" s="253"/>
      <c r="K828" s="253"/>
      <c r="L828" s="253"/>
      <c r="M828" s="253"/>
      <c r="N828" s="253"/>
      <c r="O828" s="253"/>
      <c r="P828" s="253"/>
      <c r="Q828" s="253"/>
      <c r="R828" s="253"/>
      <c r="S828" s="253"/>
      <c r="T828" s="253"/>
      <c r="U828" s="253"/>
      <c r="V828" s="253"/>
      <c r="W828" s="253"/>
      <c r="X828" s="253"/>
      <c r="Y828" s="253"/>
    </row>
    <row r="829">
      <c r="A829" s="253"/>
      <c r="B829" s="253"/>
      <c r="C829" s="253"/>
      <c r="D829" s="253"/>
      <c r="E829" s="253"/>
      <c r="F829" s="253"/>
      <c r="G829" s="253"/>
      <c r="H829" s="253"/>
      <c r="I829" s="253"/>
      <c r="J829" s="253"/>
      <c r="K829" s="253"/>
      <c r="L829" s="253"/>
      <c r="M829" s="253"/>
      <c r="N829" s="253"/>
      <c r="O829" s="253"/>
      <c r="P829" s="253"/>
      <c r="Q829" s="253"/>
      <c r="R829" s="253"/>
      <c r="S829" s="253"/>
      <c r="T829" s="253"/>
      <c r="U829" s="253"/>
      <c r="V829" s="253"/>
      <c r="W829" s="253"/>
      <c r="X829" s="253"/>
      <c r="Y829" s="253"/>
    </row>
    <row r="830">
      <c r="A830" s="253"/>
      <c r="B830" s="253"/>
      <c r="C830" s="253"/>
      <c r="D830" s="253"/>
      <c r="E830" s="253"/>
      <c r="F830" s="253"/>
      <c r="G830" s="253"/>
      <c r="H830" s="253"/>
      <c r="I830" s="253"/>
      <c r="J830" s="253"/>
      <c r="K830" s="253"/>
      <c r="L830" s="253"/>
      <c r="M830" s="253"/>
      <c r="N830" s="253"/>
      <c r="O830" s="253"/>
      <c r="P830" s="253"/>
      <c r="Q830" s="253"/>
      <c r="R830" s="253"/>
      <c r="S830" s="253"/>
      <c r="T830" s="253"/>
      <c r="U830" s="253"/>
      <c r="V830" s="253"/>
      <c r="W830" s="253"/>
      <c r="X830" s="253"/>
      <c r="Y830" s="253"/>
    </row>
    <row r="831">
      <c r="A831" s="253"/>
      <c r="B831" s="253"/>
      <c r="C831" s="253"/>
      <c r="D831" s="253"/>
      <c r="E831" s="253"/>
      <c r="F831" s="253"/>
      <c r="G831" s="253"/>
      <c r="H831" s="253"/>
      <c r="I831" s="253"/>
      <c r="J831" s="253"/>
      <c r="K831" s="253"/>
      <c r="L831" s="253"/>
      <c r="M831" s="253"/>
      <c r="N831" s="253"/>
      <c r="O831" s="253"/>
      <c r="P831" s="253"/>
      <c r="Q831" s="253"/>
      <c r="R831" s="253"/>
      <c r="S831" s="253"/>
      <c r="T831" s="253"/>
      <c r="U831" s="253"/>
      <c r="V831" s="253"/>
      <c r="W831" s="253"/>
      <c r="X831" s="253"/>
      <c r="Y831" s="253"/>
    </row>
    <row r="832">
      <c r="A832" s="253"/>
      <c r="B832" s="253"/>
      <c r="C832" s="253"/>
      <c r="D832" s="253"/>
      <c r="E832" s="253"/>
      <c r="F832" s="253"/>
      <c r="G832" s="253"/>
      <c r="H832" s="253"/>
      <c r="I832" s="253"/>
      <c r="J832" s="253"/>
      <c r="K832" s="253"/>
      <c r="L832" s="253"/>
      <c r="M832" s="253"/>
      <c r="N832" s="253"/>
      <c r="O832" s="253"/>
      <c r="P832" s="253"/>
      <c r="Q832" s="253"/>
      <c r="R832" s="253"/>
      <c r="S832" s="253"/>
      <c r="T832" s="253"/>
      <c r="U832" s="253"/>
      <c r="V832" s="253"/>
      <c r="W832" s="253"/>
      <c r="X832" s="253"/>
      <c r="Y832" s="253"/>
    </row>
    <row r="833">
      <c r="A833" s="253"/>
      <c r="B833" s="253"/>
      <c r="C833" s="253"/>
      <c r="D833" s="253"/>
      <c r="E833" s="253"/>
      <c r="F833" s="253"/>
      <c r="G833" s="253"/>
      <c r="H833" s="253"/>
      <c r="I833" s="253"/>
      <c r="J833" s="253"/>
      <c r="K833" s="253"/>
      <c r="L833" s="253"/>
      <c r="M833" s="253"/>
      <c r="N833" s="253"/>
      <c r="O833" s="253"/>
      <c r="P833" s="253"/>
      <c r="Q833" s="253"/>
      <c r="R833" s="253"/>
      <c r="S833" s="253"/>
      <c r="T833" s="253"/>
      <c r="U833" s="253"/>
      <c r="V833" s="253"/>
      <c r="W833" s="253"/>
      <c r="X833" s="253"/>
      <c r="Y833" s="253"/>
    </row>
    <row r="834">
      <c r="A834" s="253"/>
      <c r="B834" s="253"/>
      <c r="C834" s="253"/>
      <c r="D834" s="253"/>
      <c r="E834" s="253"/>
      <c r="F834" s="253"/>
      <c r="G834" s="253"/>
      <c r="H834" s="253"/>
      <c r="I834" s="253"/>
      <c r="J834" s="253"/>
      <c r="K834" s="253"/>
      <c r="L834" s="253"/>
      <c r="M834" s="253"/>
      <c r="N834" s="253"/>
      <c r="O834" s="253"/>
      <c r="P834" s="253"/>
      <c r="Q834" s="253"/>
      <c r="R834" s="253"/>
      <c r="S834" s="253"/>
      <c r="T834" s="253"/>
      <c r="U834" s="253"/>
      <c r="V834" s="253"/>
      <c r="W834" s="253"/>
      <c r="X834" s="253"/>
      <c r="Y834" s="253"/>
    </row>
    <row r="835">
      <c r="A835" s="253"/>
      <c r="B835" s="253"/>
      <c r="C835" s="253"/>
      <c r="D835" s="253"/>
      <c r="E835" s="253"/>
      <c r="F835" s="253"/>
      <c r="G835" s="253"/>
      <c r="H835" s="253"/>
      <c r="I835" s="253"/>
      <c r="J835" s="253"/>
      <c r="K835" s="253"/>
      <c r="L835" s="253"/>
      <c r="M835" s="253"/>
      <c r="N835" s="253"/>
      <c r="O835" s="253"/>
      <c r="P835" s="253"/>
      <c r="Q835" s="253"/>
      <c r="R835" s="253"/>
      <c r="S835" s="253"/>
      <c r="T835" s="253"/>
      <c r="U835" s="253"/>
      <c r="V835" s="253"/>
      <c r="W835" s="253"/>
      <c r="X835" s="253"/>
      <c r="Y835" s="253"/>
    </row>
    <row r="836">
      <c r="A836" s="253"/>
      <c r="B836" s="253"/>
      <c r="C836" s="253"/>
      <c r="D836" s="253"/>
      <c r="E836" s="253"/>
      <c r="F836" s="253"/>
      <c r="G836" s="253"/>
      <c r="H836" s="253"/>
      <c r="I836" s="253"/>
      <c r="J836" s="253"/>
      <c r="K836" s="253"/>
      <c r="L836" s="253"/>
      <c r="M836" s="253"/>
      <c r="N836" s="253"/>
      <c r="O836" s="253"/>
      <c r="P836" s="253"/>
      <c r="Q836" s="253"/>
      <c r="R836" s="253"/>
      <c r="S836" s="253"/>
      <c r="T836" s="253"/>
      <c r="U836" s="253"/>
      <c r="V836" s="253"/>
      <c r="W836" s="253"/>
      <c r="X836" s="253"/>
      <c r="Y836" s="253"/>
    </row>
    <row r="837">
      <c r="A837" s="253"/>
      <c r="B837" s="253"/>
      <c r="C837" s="253"/>
      <c r="D837" s="253"/>
      <c r="E837" s="253"/>
      <c r="F837" s="253"/>
      <c r="G837" s="253"/>
      <c r="H837" s="253"/>
      <c r="I837" s="253"/>
      <c r="J837" s="253"/>
      <c r="K837" s="253"/>
      <c r="L837" s="253"/>
      <c r="M837" s="253"/>
      <c r="N837" s="253"/>
      <c r="O837" s="253"/>
      <c r="P837" s="253"/>
      <c r="Q837" s="253"/>
      <c r="R837" s="253"/>
      <c r="S837" s="253"/>
      <c r="T837" s="253"/>
      <c r="U837" s="253"/>
      <c r="V837" s="253"/>
      <c r="W837" s="253"/>
      <c r="X837" s="253"/>
      <c r="Y837" s="253"/>
    </row>
    <row r="838">
      <c r="A838" s="253"/>
      <c r="B838" s="253"/>
      <c r="C838" s="253"/>
      <c r="D838" s="253"/>
      <c r="E838" s="253"/>
      <c r="F838" s="253"/>
      <c r="G838" s="253"/>
      <c r="H838" s="253"/>
      <c r="I838" s="253"/>
      <c r="J838" s="253"/>
      <c r="K838" s="253"/>
      <c r="L838" s="253"/>
      <c r="M838" s="253"/>
      <c r="N838" s="253"/>
      <c r="O838" s="253"/>
      <c r="P838" s="253"/>
      <c r="Q838" s="253"/>
      <c r="R838" s="253"/>
      <c r="S838" s="253"/>
      <c r="T838" s="253"/>
      <c r="U838" s="253"/>
      <c r="V838" s="253"/>
      <c r="W838" s="253"/>
      <c r="X838" s="253"/>
      <c r="Y838" s="253"/>
    </row>
    <row r="839">
      <c r="A839" s="253"/>
      <c r="B839" s="253"/>
      <c r="C839" s="253"/>
      <c r="D839" s="253"/>
      <c r="E839" s="253"/>
      <c r="F839" s="253"/>
      <c r="G839" s="253"/>
      <c r="H839" s="253"/>
      <c r="I839" s="253"/>
      <c r="J839" s="253"/>
      <c r="K839" s="253"/>
      <c r="L839" s="253"/>
      <c r="M839" s="253"/>
      <c r="N839" s="253"/>
      <c r="O839" s="253"/>
      <c r="P839" s="253"/>
      <c r="Q839" s="253"/>
      <c r="R839" s="253"/>
      <c r="S839" s="253"/>
      <c r="T839" s="253"/>
      <c r="U839" s="253"/>
      <c r="V839" s="253"/>
      <c r="W839" s="253"/>
      <c r="X839" s="253"/>
      <c r="Y839" s="253"/>
    </row>
    <row r="840">
      <c r="A840" s="253"/>
      <c r="B840" s="253"/>
      <c r="C840" s="253"/>
      <c r="D840" s="253"/>
      <c r="E840" s="253"/>
      <c r="F840" s="253"/>
      <c r="G840" s="253"/>
      <c r="H840" s="253"/>
      <c r="I840" s="253"/>
      <c r="J840" s="253"/>
      <c r="K840" s="253"/>
      <c r="L840" s="253"/>
      <c r="M840" s="253"/>
      <c r="N840" s="253"/>
      <c r="O840" s="253"/>
      <c r="P840" s="253"/>
      <c r="Q840" s="253"/>
      <c r="R840" s="253"/>
      <c r="S840" s="253"/>
      <c r="T840" s="253"/>
      <c r="U840" s="253"/>
      <c r="V840" s="253"/>
      <c r="W840" s="253"/>
      <c r="X840" s="253"/>
      <c r="Y840" s="253"/>
    </row>
    <row r="841">
      <c r="A841" s="253"/>
      <c r="B841" s="253"/>
      <c r="C841" s="253"/>
      <c r="D841" s="253"/>
      <c r="E841" s="253"/>
      <c r="F841" s="253"/>
      <c r="G841" s="253"/>
      <c r="H841" s="253"/>
      <c r="I841" s="253"/>
      <c r="J841" s="253"/>
      <c r="K841" s="253"/>
      <c r="L841" s="253"/>
      <c r="M841" s="253"/>
      <c r="N841" s="253"/>
      <c r="O841" s="253"/>
      <c r="P841" s="253"/>
      <c r="Q841" s="253"/>
      <c r="R841" s="253"/>
      <c r="S841" s="253"/>
      <c r="T841" s="253"/>
      <c r="U841" s="253"/>
      <c r="V841" s="253"/>
      <c r="W841" s="253"/>
      <c r="X841" s="253"/>
      <c r="Y841" s="253"/>
    </row>
    <row r="842">
      <c r="A842" s="253"/>
      <c r="B842" s="253"/>
      <c r="C842" s="253"/>
      <c r="D842" s="253"/>
      <c r="E842" s="253"/>
      <c r="F842" s="253"/>
      <c r="G842" s="253"/>
      <c r="H842" s="253"/>
      <c r="I842" s="253"/>
      <c r="J842" s="253"/>
      <c r="K842" s="253"/>
      <c r="L842" s="253"/>
      <c r="M842" s="253"/>
      <c r="N842" s="253"/>
      <c r="O842" s="253"/>
      <c r="P842" s="253"/>
      <c r="Q842" s="253"/>
      <c r="R842" s="253"/>
      <c r="S842" s="253"/>
      <c r="T842" s="253"/>
      <c r="U842" s="253"/>
      <c r="V842" s="253"/>
      <c r="W842" s="253"/>
      <c r="X842" s="253"/>
      <c r="Y842" s="253"/>
    </row>
    <row r="843">
      <c r="A843" s="253"/>
      <c r="B843" s="253"/>
      <c r="C843" s="253"/>
      <c r="D843" s="253"/>
      <c r="E843" s="253"/>
      <c r="F843" s="253"/>
      <c r="G843" s="253"/>
      <c r="H843" s="253"/>
      <c r="I843" s="253"/>
      <c r="J843" s="253"/>
      <c r="K843" s="253"/>
      <c r="L843" s="253"/>
      <c r="M843" s="253"/>
      <c r="N843" s="253"/>
      <c r="O843" s="253"/>
      <c r="P843" s="253"/>
      <c r="Q843" s="253"/>
      <c r="R843" s="253"/>
      <c r="S843" s="253"/>
      <c r="T843" s="253"/>
      <c r="U843" s="253"/>
      <c r="V843" s="253"/>
      <c r="W843" s="253"/>
      <c r="X843" s="253"/>
      <c r="Y843" s="253"/>
    </row>
    <row r="844">
      <c r="A844" s="253"/>
      <c r="B844" s="253"/>
      <c r="C844" s="253"/>
      <c r="D844" s="253"/>
      <c r="E844" s="253"/>
      <c r="F844" s="253"/>
      <c r="G844" s="253"/>
      <c r="H844" s="253"/>
      <c r="I844" s="253"/>
      <c r="J844" s="253"/>
      <c r="K844" s="253"/>
      <c r="L844" s="253"/>
      <c r="M844" s="253"/>
      <c r="N844" s="253"/>
      <c r="O844" s="253"/>
      <c r="P844" s="253"/>
      <c r="Q844" s="253"/>
      <c r="R844" s="253"/>
      <c r="S844" s="253"/>
      <c r="T844" s="253"/>
      <c r="U844" s="253"/>
      <c r="V844" s="253"/>
      <c r="W844" s="253"/>
      <c r="X844" s="253"/>
      <c r="Y844" s="253"/>
    </row>
    <row r="845">
      <c r="A845" s="253"/>
      <c r="B845" s="253"/>
      <c r="C845" s="253"/>
      <c r="D845" s="253"/>
      <c r="E845" s="253"/>
      <c r="F845" s="253"/>
      <c r="G845" s="253"/>
      <c r="H845" s="253"/>
      <c r="I845" s="253"/>
      <c r="J845" s="253"/>
      <c r="K845" s="253"/>
      <c r="L845" s="253"/>
      <c r="M845" s="253"/>
      <c r="N845" s="253"/>
      <c r="O845" s="253"/>
      <c r="P845" s="253"/>
      <c r="Q845" s="253"/>
      <c r="R845" s="253"/>
      <c r="S845" s="253"/>
      <c r="T845" s="253"/>
      <c r="U845" s="253"/>
      <c r="V845" s="253"/>
      <c r="W845" s="253"/>
      <c r="X845" s="253"/>
      <c r="Y845" s="253"/>
    </row>
    <row r="846">
      <c r="A846" s="253"/>
      <c r="B846" s="253"/>
      <c r="C846" s="253"/>
      <c r="D846" s="253"/>
      <c r="E846" s="253"/>
      <c r="F846" s="253"/>
      <c r="G846" s="253"/>
      <c r="H846" s="253"/>
      <c r="I846" s="253"/>
      <c r="J846" s="253"/>
      <c r="K846" s="253"/>
      <c r="L846" s="253"/>
      <c r="M846" s="253"/>
      <c r="N846" s="253"/>
      <c r="O846" s="253"/>
      <c r="P846" s="253"/>
      <c r="Q846" s="253"/>
      <c r="R846" s="253"/>
      <c r="S846" s="253"/>
      <c r="T846" s="253"/>
      <c r="U846" s="253"/>
      <c r="V846" s="253"/>
      <c r="W846" s="253"/>
      <c r="X846" s="253"/>
      <c r="Y846" s="253"/>
    </row>
    <row r="847">
      <c r="A847" s="253"/>
      <c r="B847" s="253"/>
      <c r="C847" s="253"/>
      <c r="D847" s="253"/>
      <c r="E847" s="253"/>
      <c r="F847" s="253"/>
      <c r="G847" s="253"/>
      <c r="H847" s="253"/>
      <c r="I847" s="253"/>
      <c r="J847" s="253"/>
      <c r="K847" s="253"/>
      <c r="L847" s="253"/>
      <c r="M847" s="253"/>
      <c r="N847" s="253"/>
      <c r="O847" s="253"/>
      <c r="P847" s="253"/>
      <c r="Q847" s="253"/>
      <c r="R847" s="253"/>
      <c r="S847" s="253"/>
      <c r="T847" s="253"/>
      <c r="U847" s="253"/>
      <c r="V847" s="253"/>
      <c r="W847" s="253"/>
      <c r="X847" s="253"/>
      <c r="Y847" s="253"/>
    </row>
    <row r="848">
      <c r="A848" s="253"/>
      <c r="B848" s="253"/>
      <c r="C848" s="253"/>
      <c r="D848" s="253"/>
      <c r="E848" s="253"/>
      <c r="F848" s="253"/>
      <c r="G848" s="253"/>
      <c r="H848" s="253"/>
      <c r="I848" s="253"/>
      <c r="J848" s="253"/>
      <c r="K848" s="253"/>
      <c r="L848" s="253"/>
      <c r="M848" s="253"/>
      <c r="N848" s="253"/>
      <c r="O848" s="253"/>
      <c r="P848" s="253"/>
      <c r="Q848" s="253"/>
      <c r="R848" s="253"/>
      <c r="S848" s="253"/>
      <c r="T848" s="253"/>
      <c r="U848" s="253"/>
      <c r="V848" s="253"/>
      <c r="W848" s="253"/>
      <c r="X848" s="253"/>
      <c r="Y848" s="253"/>
    </row>
    <row r="849">
      <c r="A849" s="253"/>
      <c r="B849" s="253"/>
      <c r="C849" s="253"/>
      <c r="D849" s="253"/>
      <c r="E849" s="253"/>
      <c r="F849" s="253"/>
      <c r="G849" s="253"/>
      <c r="H849" s="253"/>
      <c r="I849" s="253"/>
      <c r="J849" s="253"/>
      <c r="K849" s="253"/>
      <c r="L849" s="253"/>
      <c r="M849" s="253"/>
      <c r="N849" s="253"/>
      <c r="O849" s="253"/>
      <c r="P849" s="253"/>
      <c r="Q849" s="253"/>
      <c r="R849" s="253"/>
      <c r="S849" s="253"/>
      <c r="T849" s="253"/>
      <c r="U849" s="253"/>
      <c r="V849" s="253"/>
      <c r="W849" s="253"/>
      <c r="X849" s="253"/>
      <c r="Y849" s="253"/>
    </row>
    <row r="850">
      <c r="A850" s="253"/>
      <c r="B850" s="253"/>
      <c r="C850" s="253"/>
      <c r="D850" s="253"/>
      <c r="E850" s="253"/>
      <c r="F850" s="253"/>
      <c r="G850" s="253"/>
      <c r="H850" s="253"/>
      <c r="I850" s="253"/>
      <c r="J850" s="253"/>
      <c r="K850" s="253"/>
      <c r="L850" s="253"/>
      <c r="M850" s="253"/>
      <c r="N850" s="253"/>
      <c r="O850" s="253"/>
      <c r="P850" s="253"/>
      <c r="Q850" s="253"/>
      <c r="R850" s="253"/>
      <c r="S850" s="253"/>
      <c r="T850" s="253"/>
      <c r="U850" s="253"/>
      <c r="V850" s="253"/>
      <c r="W850" s="253"/>
      <c r="X850" s="253"/>
      <c r="Y850" s="253"/>
    </row>
    <row r="851">
      <c r="A851" s="253"/>
      <c r="B851" s="253"/>
      <c r="C851" s="253"/>
      <c r="D851" s="253"/>
      <c r="E851" s="253"/>
      <c r="F851" s="253"/>
      <c r="G851" s="253"/>
      <c r="H851" s="253"/>
      <c r="I851" s="253"/>
      <c r="J851" s="253"/>
      <c r="K851" s="253"/>
      <c r="L851" s="253"/>
      <c r="M851" s="253"/>
      <c r="N851" s="253"/>
      <c r="O851" s="253"/>
      <c r="P851" s="253"/>
      <c r="Q851" s="253"/>
      <c r="R851" s="253"/>
      <c r="S851" s="253"/>
      <c r="T851" s="253"/>
      <c r="U851" s="253"/>
      <c r="V851" s="253"/>
      <c r="W851" s="253"/>
      <c r="X851" s="253"/>
      <c r="Y851" s="253"/>
    </row>
    <row r="852">
      <c r="A852" s="253"/>
      <c r="B852" s="253"/>
      <c r="C852" s="253"/>
      <c r="D852" s="253"/>
      <c r="E852" s="253"/>
      <c r="F852" s="253"/>
      <c r="G852" s="253"/>
      <c r="H852" s="253"/>
      <c r="I852" s="253"/>
      <c r="J852" s="253"/>
      <c r="K852" s="253"/>
      <c r="L852" s="253"/>
      <c r="M852" s="253"/>
      <c r="N852" s="253"/>
      <c r="O852" s="253"/>
      <c r="P852" s="253"/>
      <c r="Q852" s="253"/>
      <c r="R852" s="253"/>
      <c r="S852" s="253"/>
      <c r="T852" s="253"/>
      <c r="U852" s="253"/>
      <c r="V852" s="253"/>
      <c r="W852" s="253"/>
      <c r="X852" s="253"/>
      <c r="Y852" s="253"/>
    </row>
    <row r="853">
      <c r="A853" s="253"/>
      <c r="B853" s="253"/>
      <c r="C853" s="253"/>
      <c r="D853" s="253"/>
      <c r="E853" s="253"/>
      <c r="F853" s="253"/>
      <c r="G853" s="253"/>
      <c r="H853" s="253"/>
      <c r="I853" s="253"/>
      <c r="J853" s="253"/>
      <c r="K853" s="253"/>
      <c r="L853" s="253"/>
      <c r="M853" s="253"/>
      <c r="N853" s="253"/>
      <c r="O853" s="253"/>
      <c r="P853" s="253"/>
      <c r="Q853" s="253"/>
      <c r="R853" s="253"/>
      <c r="S853" s="253"/>
      <c r="T853" s="253"/>
      <c r="U853" s="253"/>
      <c r="V853" s="253"/>
      <c r="W853" s="253"/>
      <c r="X853" s="253"/>
      <c r="Y853" s="253"/>
    </row>
    <row r="854">
      <c r="A854" s="253"/>
      <c r="B854" s="253"/>
      <c r="C854" s="253"/>
      <c r="D854" s="253"/>
      <c r="E854" s="253"/>
      <c r="F854" s="253"/>
      <c r="G854" s="253"/>
      <c r="H854" s="253"/>
      <c r="I854" s="253"/>
      <c r="J854" s="253"/>
      <c r="K854" s="253"/>
      <c r="L854" s="253"/>
      <c r="M854" s="253"/>
      <c r="N854" s="253"/>
      <c r="O854" s="253"/>
      <c r="P854" s="253"/>
      <c r="Q854" s="253"/>
      <c r="R854" s="253"/>
      <c r="S854" s="253"/>
      <c r="T854" s="253"/>
      <c r="U854" s="253"/>
      <c r="V854" s="253"/>
      <c r="W854" s="253"/>
      <c r="X854" s="253"/>
      <c r="Y854" s="253"/>
    </row>
    <row r="855">
      <c r="A855" s="253"/>
      <c r="B855" s="253"/>
      <c r="C855" s="253"/>
      <c r="D855" s="253"/>
      <c r="E855" s="253"/>
      <c r="F855" s="253"/>
      <c r="G855" s="253"/>
      <c r="H855" s="253"/>
      <c r="I855" s="253"/>
      <c r="J855" s="253"/>
      <c r="K855" s="253"/>
      <c r="L855" s="253"/>
      <c r="M855" s="253"/>
      <c r="N855" s="253"/>
      <c r="O855" s="253"/>
      <c r="P855" s="253"/>
      <c r="Q855" s="253"/>
      <c r="R855" s="253"/>
      <c r="S855" s="253"/>
      <c r="T855" s="253"/>
      <c r="U855" s="253"/>
      <c r="V855" s="253"/>
      <c r="W855" s="253"/>
      <c r="X855" s="253"/>
      <c r="Y855" s="253"/>
    </row>
    <row r="856">
      <c r="A856" s="253"/>
      <c r="B856" s="253"/>
      <c r="C856" s="253"/>
      <c r="D856" s="253"/>
      <c r="E856" s="253"/>
      <c r="F856" s="253"/>
      <c r="G856" s="253"/>
      <c r="H856" s="253"/>
      <c r="I856" s="253"/>
      <c r="J856" s="253"/>
      <c r="K856" s="253"/>
      <c r="L856" s="253"/>
      <c r="M856" s="253"/>
      <c r="N856" s="253"/>
      <c r="O856" s="253"/>
      <c r="P856" s="253"/>
      <c r="Q856" s="253"/>
      <c r="R856" s="253"/>
      <c r="S856" s="253"/>
      <c r="T856" s="253"/>
      <c r="U856" s="253"/>
      <c r="V856" s="253"/>
      <c r="W856" s="253"/>
      <c r="X856" s="253"/>
      <c r="Y856" s="253"/>
    </row>
    <row r="857">
      <c r="A857" s="253"/>
      <c r="B857" s="253"/>
      <c r="C857" s="253"/>
      <c r="D857" s="253"/>
      <c r="E857" s="253"/>
      <c r="F857" s="253"/>
      <c r="G857" s="253"/>
      <c r="H857" s="253"/>
      <c r="I857" s="253"/>
      <c r="J857" s="253"/>
      <c r="K857" s="253"/>
      <c r="L857" s="253"/>
      <c r="M857" s="253"/>
      <c r="N857" s="253"/>
      <c r="O857" s="253"/>
      <c r="P857" s="253"/>
      <c r="Q857" s="253"/>
      <c r="R857" s="253"/>
      <c r="S857" s="253"/>
      <c r="T857" s="253"/>
      <c r="U857" s="253"/>
      <c r="V857" s="253"/>
      <c r="W857" s="253"/>
      <c r="X857" s="253"/>
      <c r="Y857" s="253"/>
    </row>
    <row r="858">
      <c r="A858" s="253"/>
      <c r="B858" s="253"/>
      <c r="C858" s="253"/>
      <c r="D858" s="253"/>
      <c r="E858" s="253"/>
      <c r="F858" s="253"/>
      <c r="G858" s="253"/>
      <c r="H858" s="253"/>
      <c r="I858" s="253"/>
      <c r="J858" s="253"/>
      <c r="K858" s="253"/>
      <c r="L858" s="253"/>
      <c r="M858" s="253"/>
      <c r="N858" s="253"/>
      <c r="O858" s="253"/>
      <c r="P858" s="253"/>
      <c r="Q858" s="253"/>
      <c r="R858" s="253"/>
      <c r="S858" s="253"/>
      <c r="T858" s="253"/>
      <c r="U858" s="253"/>
      <c r="V858" s="253"/>
      <c r="W858" s="253"/>
      <c r="X858" s="253"/>
      <c r="Y858" s="253"/>
    </row>
    <row r="859">
      <c r="A859" s="253"/>
      <c r="B859" s="253"/>
      <c r="C859" s="253"/>
      <c r="D859" s="253"/>
      <c r="E859" s="253"/>
      <c r="F859" s="253"/>
      <c r="G859" s="253"/>
      <c r="H859" s="253"/>
      <c r="I859" s="253"/>
      <c r="J859" s="253"/>
      <c r="K859" s="253"/>
      <c r="L859" s="253"/>
      <c r="M859" s="253"/>
      <c r="N859" s="253"/>
      <c r="O859" s="253"/>
      <c r="P859" s="253"/>
      <c r="Q859" s="253"/>
      <c r="R859" s="253"/>
      <c r="S859" s="253"/>
      <c r="T859" s="253"/>
      <c r="U859" s="253"/>
      <c r="V859" s="253"/>
      <c r="W859" s="253"/>
      <c r="X859" s="253"/>
      <c r="Y859" s="253"/>
    </row>
    <row r="860">
      <c r="A860" s="253"/>
      <c r="B860" s="253"/>
      <c r="C860" s="253"/>
      <c r="D860" s="253"/>
      <c r="E860" s="253"/>
      <c r="F860" s="253"/>
      <c r="G860" s="253"/>
      <c r="H860" s="253"/>
      <c r="I860" s="253"/>
      <c r="J860" s="253"/>
      <c r="K860" s="253"/>
      <c r="L860" s="253"/>
      <c r="M860" s="253"/>
      <c r="N860" s="253"/>
      <c r="O860" s="253"/>
      <c r="P860" s="253"/>
      <c r="Q860" s="253"/>
      <c r="R860" s="253"/>
      <c r="S860" s="253"/>
      <c r="T860" s="253"/>
      <c r="U860" s="253"/>
      <c r="V860" s="253"/>
      <c r="W860" s="253"/>
      <c r="X860" s="253"/>
      <c r="Y860" s="253"/>
    </row>
    <row r="861">
      <c r="A861" s="253"/>
      <c r="B861" s="253"/>
      <c r="C861" s="253"/>
      <c r="D861" s="253"/>
      <c r="E861" s="253"/>
      <c r="F861" s="253"/>
      <c r="G861" s="253"/>
      <c r="H861" s="253"/>
      <c r="I861" s="253"/>
      <c r="J861" s="253"/>
      <c r="K861" s="253"/>
      <c r="L861" s="253"/>
      <c r="M861" s="253"/>
      <c r="N861" s="253"/>
      <c r="O861" s="253"/>
      <c r="P861" s="253"/>
      <c r="Q861" s="253"/>
      <c r="R861" s="253"/>
      <c r="S861" s="253"/>
      <c r="T861" s="253"/>
      <c r="U861" s="253"/>
      <c r="V861" s="253"/>
      <c r="W861" s="253"/>
      <c r="X861" s="253"/>
      <c r="Y861" s="253"/>
    </row>
    <row r="862">
      <c r="A862" s="253"/>
      <c r="B862" s="253"/>
      <c r="C862" s="253"/>
      <c r="D862" s="253"/>
      <c r="E862" s="253"/>
      <c r="F862" s="253"/>
      <c r="G862" s="253"/>
      <c r="H862" s="253"/>
      <c r="I862" s="253"/>
      <c r="J862" s="253"/>
      <c r="K862" s="253"/>
      <c r="L862" s="253"/>
      <c r="M862" s="253"/>
      <c r="N862" s="253"/>
      <c r="O862" s="253"/>
      <c r="P862" s="253"/>
      <c r="Q862" s="253"/>
      <c r="R862" s="253"/>
      <c r="S862" s="253"/>
      <c r="T862" s="253"/>
      <c r="U862" s="253"/>
      <c r="V862" s="253"/>
      <c r="W862" s="253"/>
      <c r="X862" s="253"/>
      <c r="Y862" s="253"/>
    </row>
    <row r="863">
      <c r="A863" s="253"/>
      <c r="B863" s="253"/>
      <c r="C863" s="253"/>
      <c r="D863" s="253"/>
      <c r="E863" s="253"/>
      <c r="F863" s="253"/>
      <c r="G863" s="253"/>
      <c r="H863" s="253"/>
      <c r="I863" s="253"/>
      <c r="J863" s="253"/>
      <c r="K863" s="253"/>
      <c r="L863" s="253"/>
      <c r="M863" s="253"/>
      <c r="N863" s="253"/>
      <c r="O863" s="253"/>
      <c r="P863" s="253"/>
      <c r="Q863" s="253"/>
      <c r="R863" s="253"/>
      <c r="S863" s="253"/>
      <c r="T863" s="253"/>
      <c r="U863" s="253"/>
      <c r="V863" s="253"/>
      <c r="W863" s="253"/>
      <c r="X863" s="253"/>
      <c r="Y863" s="253"/>
    </row>
    <row r="864">
      <c r="A864" s="253"/>
      <c r="B864" s="253"/>
      <c r="C864" s="253"/>
      <c r="D864" s="253"/>
      <c r="E864" s="253"/>
      <c r="F864" s="253"/>
      <c r="G864" s="253"/>
      <c r="H864" s="253"/>
      <c r="I864" s="253"/>
      <c r="J864" s="253"/>
      <c r="K864" s="253"/>
      <c r="L864" s="253"/>
      <c r="M864" s="253"/>
      <c r="N864" s="253"/>
      <c r="O864" s="253"/>
      <c r="P864" s="253"/>
      <c r="Q864" s="253"/>
      <c r="R864" s="253"/>
      <c r="S864" s="253"/>
      <c r="T864" s="253"/>
      <c r="U864" s="253"/>
      <c r="V864" s="253"/>
      <c r="W864" s="253"/>
      <c r="X864" s="253"/>
      <c r="Y864" s="253"/>
    </row>
    <row r="865">
      <c r="A865" s="253"/>
      <c r="B865" s="253"/>
      <c r="C865" s="253"/>
      <c r="D865" s="253"/>
      <c r="E865" s="253"/>
      <c r="F865" s="253"/>
      <c r="G865" s="253"/>
      <c r="H865" s="253"/>
      <c r="I865" s="253"/>
      <c r="J865" s="253"/>
      <c r="K865" s="253"/>
      <c r="L865" s="253"/>
      <c r="M865" s="253"/>
      <c r="N865" s="253"/>
      <c r="O865" s="253"/>
      <c r="P865" s="253"/>
      <c r="Q865" s="253"/>
      <c r="R865" s="253"/>
      <c r="S865" s="253"/>
      <c r="T865" s="253"/>
      <c r="U865" s="253"/>
      <c r="V865" s="253"/>
      <c r="W865" s="253"/>
      <c r="X865" s="253"/>
      <c r="Y865" s="253"/>
    </row>
    <row r="866">
      <c r="A866" s="253"/>
      <c r="B866" s="253"/>
      <c r="C866" s="253"/>
      <c r="D866" s="253"/>
      <c r="E866" s="253"/>
      <c r="F866" s="253"/>
      <c r="G866" s="253"/>
      <c r="H866" s="253"/>
      <c r="I866" s="253"/>
      <c r="J866" s="253"/>
      <c r="K866" s="253"/>
      <c r="L866" s="253"/>
      <c r="M866" s="253"/>
      <c r="N866" s="253"/>
      <c r="O866" s="253"/>
      <c r="P866" s="253"/>
      <c r="Q866" s="253"/>
      <c r="R866" s="253"/>
      <c r="S866" s="253"/>
      <c r="T866" s="253"/>
      <c r="U866" s="253"/>
      <c r="V866" s="253"/>
      <c r="W866" s="253"/>
      <c r="X866" s="253"/>
      <c r="Y866" s="253"/>
    </row>
    <row r="867">
      <c r="A867" s="253"/>
      <c r="B867" s="253"/>
      <c r="C867" s="253"/>
      <c r="D867" s="253"/>
      <c r="E867" s="253"/>
      <c r="F867" s="253"/>
      <c r="G867" s="253"/>
      <c r="H867" s="253"/>
      <c r="I867" s="253"/>
      <c r="J867" s="253"/>
      <c r="K867" s="253"/>
      <c r="L867" s="253"/>
      <c r="M867" s="253"/>
      <c r="N867" s="253"/>
      <c r="O867" s="253"/>
      <c r="P867" s="253"/>
      <c r="Q867" s="253"/>
      <c r="R867" s="253"/>
      <c r="S867" s="253"/>
      <c r="T867" s="253"/>
      <c r="U867" s="253"/>
      <c r="V867" s="253"/>
      <c r="W867" s="253"/>
      <c r="X867" s="253"/>
      <c r="Y867" s="253"/>
    </row>
    <row r="868">
      <c r="A868" s="253"/>
      <c r="B868" s="253"/>
      <c r="C868" s="253"/>
      <c r="D868" s="253"/>
      <c r="E868" s="253"/>
      <c r="F868" s="253"/>
      <c r="G868" s="253"/>
      <c r="H868" s="253"/>
      <c r="I868" s="253"/>
      <c r="J868" s="253"/>
      <c r="K868" s="253"/>
      <c r="L868" s="253"/>
      <c r="M868" s="253"/>
      <c r="N868" s="253"/>
      <c r="O868" s="253"/>
      <c r="P868" s="253"/>
      <c r="Q868" s="253"/>
      <c r="R868" s="253"/>
      <c r="S868" s="253"/>
      <c r="T868" s="253"/>
      <c r="U868" s="253"/>
      <c r="V868" s="253"/>
      <c r="W868" s="253"/>
      <c r="X868" s="253"/>
      <c r="Y868" s="253"/>
    </row>
    <row r="869">
      <c r="A869" s="253"/>
      <c r="B869" s="253"/>
      <c r="C869" s="253"/>
      <c r="D869" s="253"/>
      <c r="E869" s="253"/>
      <c r="F869" s="253"/>
      <c r="G869" s="253"/>
      <c r="H869" s="253"/>
      <c r="I869" s="253"/>
      <c r="J869" s="253"/>
      <c r="K869" s="253"/>
      <c r="L869" s="253"/>
      <c r="M869" s="253"/>
      <c r="N869" s="253"/>
      <c r="O869" s="253"/>
      <c r="P869" s="253"/>
      <c r="Q869" s="253"/>
      <c r="R869" s="253"/>
      <c r="S869" s="253"/>
      <c r="T869" s="253"/>
      <c r="U869" s="253"/>
      <c r="V869" s="253"/>
      <c r="W869" s="253"/>
      <c r="X869" s="253"/>
      <c r="Y869" s="253"/>
    </row>
    <row r="870">
      <c r="A870" s="253"/>
      <c r="B870" s="253"/>
      <c r="C870" s="253"/>
      <c r="D870" s="253"/>
      <c r="E870" s="253"/>
      <c r="F870" s="253"/>
      <c r="G870" s="253"/>
      <c r="H870" s="253"/>
      <c r="I870" s="253"/>
      <c r="J870" s="253"/>
      <c r="K870" s="253"/>
      <c r="L870" s="253"/>
      <c r="M870" s="253"/>
      <c r="N870" s="253"/>
      <c r="O870" s="253"/>
      <c r="P870" s="253"/>
      <c r="Q870" s="253"/>
      <c r="R870" s="253"/>
      <c r="S870" s="253"/>
      <c r="T870" s="253"/>
      <c r="U870" s="253"/>
      <c r="V870" s="253"/>
      <c r="W870" s="253"/>
      <c r="X870" s="253"/>
      <c r="Y870" s="253"/>
    </row>
    <row r="871">
      <c r="A871" s="253"/>
      <c r="B871" s="253"/>
      <c r="C871" s="253"/>
      <c r="D871" s="253"/>
      <c r="E871" s="253"/>
      <c r="F871" s="253"/>
      <c r="G871" s="253"/>
      <c r="H871" s="253"/>
      <c r="I871" s="253"/>
      <c r="J871" s="253"/>
      <c r="K871" s="253"/>
      <c r="L871" s="253"/>
      <c r="M871" s="253"/>
      <c r="N871" s="253"/>
      <c r="O871" s="253"/>
      <c r="P871" s="253"/>
      <c r="Q871" s="253"/>
      <c r="R871" s="253"/>
      <c r="S871" s="253"/>
      <c r="T871" s="253"/>
      <c r="U871" s="253"/>
      <c r="V871" s="253"/>
      <c r="W871" s="253"/>
      <c r="X871" s="253"/>
      <c r="Y871" s="253"/>
    </row>
    <row r="872">
      <c r="A872" s="253"/>
      <c r="B872" s="253"/>
      <c r="C872" s="253"/>
      <c r="D872" s="253"/>
      <c r="E872" s="253"/>
      <c r="F872" s="253"/>
      <c r="G872" s="253"/>
      <c r="H872" s="253"/>
      <c r="I872" s="253"/>
      <c r="J872" s="253"/>
      <c r="K872" s="253"/>
      <c r="L872" s="253"/>
      <c r="M872" s="253"/>
      <c r="N872" s="253"/>
      <c r="O872" s="253"/>
      <c r="P872" s="253"/>
      <c r="Q872" s="253"/>
      <c r="R872" s="253"/>
      <c r="S872" s="253"/>
      <c r="T872" s="253"/>
      <c r="U872" s="253"/>
      <c r="V872" s="253"/>
      <c r="W872" s="253"/>
      <c r="X872" s="253"/>
      <c r="Y872" s="253"/>
    </row>
    <row r="873">
      <c r="A873" s="253"/>
      <c r="B873" s="253"/>
      <c r="C873" s="253"/>
      <c r="D873" s="253"/>
      <c r="E873" s="253"/>
      <c r="F873" s="253"/>
      <c r="G873" s="253"/>
      <c r="H873" s="253"/>
      <c r="I873" s="253"/>
      <c r="J873" s="253"/>
      <c r="K873" s="253"/>
      <c r="L873" s="253"/>
      <c r="M873" s="253"/>
      <c r="N873" s="253"/>
      <c r="O873" s="253"/>
      <c r="P873" s="253"/>
      <c r="Q873" s="253"/>
      <c r="R873" s="253"/>
      <c r="S873" s="253"/>
      <c r="T873" s="253"/>
      <c r="U873" s="253"/>
      <c r="V873" s="253"/>
      <c r="W873" s="253"/>
      <c r="X873" s="253"/>
      <c r="Y873" s="253"/>
    </row>
    <row r="874">
      <c r="A874" s="253"/>
      <c r="B874" s="253"/>
      <c r="C874" s="253"/>
      <c r="D874" s="253"/>
      <c r="E874" s="253"/>
      <c r="F874" s="253"/>
      <c r="G874" s="253"/>
      <c r="H874" s="253"/>
      <c r="I874" s="253"/>
      <c r="J874" s="253"/>
      <c r="K874" s="253"/>
      <c r="L874" s="253"/>
      <c r="M874" s="253"/>
      <c r="N874" s="253"/>
      <c r="O874" s="253"/>
      <c r="P874" s="253"/>
      <c r="Q874" s="253"/>
      <c r="R874" s="253"/>
      <c r="S874" s="253"/>
      <c r="T874" s="253"/>
      <c r="U874" s="253"/>
      <c r="V874" s="253"/>
      <c r="W874" s="253"/>
      <c r="X874" s="253"/>
      <c r="Y874" s="253"/>
    </row>
    <row r="875">
      <c r="A875" s="253"/>
      <c r="B875" s="253"/>
      <c r="C875" s="253"/>
      <c r="D875" s="253"/>
      <c r="E875" s="253"/>
      <c r="F875" s="253"/>
      <c r="G875" s="253"/>
      <c r="H875" s="253"/>
      <c r="I875" s="253"/>
      <c r="J875" s="253"/>
      <c r="K875" s="253"/>
      <c r="L875" s="253"/>
      <c r="M875" s="253"/>
      <c r="N875" s="253"/>
      <c r="O875" s="253"/>
      <c r="P875" s="253"/>
      <c r="Q875" s="253"/>
      <c r="R875" s="253"/>
      <c r="S875" s="253"/>
      <c r="T875" s="253"/>
      <c r="U875" s="253"/>
      <c r="V875" s="253"/>
      <c r="W875" s="253"/>
      <c r="X875" s="253"/>
      <c r="Y875" s="253"/>
    </row>
    <row r="876">
      <c r="A876" s="253"/>
      <c r="B876" s="253"/>
      <c r="C876" s="253"/>
      <c r="D876" s="253"/>
      <c r="E876" s="253"/>
      <c r="F876" s="253"/>
      <c r="G876" s="253"/>
      <c r="H876" s="253"/>
      <c r="I876" s="253"/>
      <c r="J876" s="253"/>
      <c r="K876" s="253"/>
      <c r="L876" s="253"/>
      <c r="M876" s="253"/>
      <c r="N876" s="253"/>
      <c r="O876" s="253"/>
      <c r="P876" s="253"/>
      <c r="Q876" s="253"/>
      <c r="R876" s="253"/>
      <c r="S876" s="253"/>
      <c r="T876" s="253"/>
      <c r="U876" s="253"/>
      <c r="V876" s="253"/>
      <c r="W876" s="253"/>
      <c r="X876" s="253"/>
      <c r="Y876" s="253"/>
    </row>
    <row r="877">
      <c r="A877" s="253"/>
      <c r="B877" s="253"/>
      <c r="C877" s="253"/>
      <c r="D877" s="253"/>
      <c r="E877" s="253"/>
      <c r="F877" s="253"/>
      <c r="G877" s="253"/>
      <c r="H877" s="253"/>
      <c r="I877" s="253"/>
      <c r="J877" s="253"/>
      <c r="K877" s="253"/>
      <c r="L877" s="253"/>
      <c r="M877" s="253"/>
      <c r="N877" s="253"/>
      <c r="O877" s="253"/>
      <c r="P877" s="253"/>
      <c r="Q877" s="253"/>
      <c r="R877" s="253"/>
      <c r="S877" s="253"/>
      <c r="T877" s="253"/>
      <c r="U877" s="253"/>
      <c r="V877" s="253"/>
      <c r="W877" s="253"/>
      <c r="X877" s="253"/>
      <c r="Y877" s="253"/>
    </row>
    <row r="878">
      <c r="A878" s="253"/>
      <c r="B878" s="253"/>
      <c r="C878" s="253"/>
      <c r="D878" s="253"/>
      <c r="E878" s="253"/>
      <c r="F878" s="253"/>
      <c r="G878" s="253"/>
      <c r="H878" s="253"/>
      <c r="I878" s="253"/>
      <c r="J878" s="253"/>
      <c r="K878" s="253"/>
      <c r="L878" s="253"/>
      <c r="M878" s="253"/>
      <c r="N878" s="253"/>
      <c r="O878" s="253"/>
      <c r="P878" s="253"/>
      <c r="Q878" s="253"/>
      <c r="R878" s="253"/>
      <c r="S878" s="253"/>
      <c r="T878" s="253"/>
      <c r="U878" s="253"/>
      <c r="V878" s="253"/>
      <c r="W878" s="253"/>
      <c r="X878" s="253"/>
      <c r="Y878" s="253"/>
    </row>
    <row r="879">
      <c r="A879" s="253"/>
      <c r="B879" s="253"/>
      <c r="C879" s="253"/>
      <c r="D879" s="253"/>
      <c r="E879" s="253"/>
      <c r="F879" s="253"/>
      <c r="G879" s="253"/>
      <c r="H879" s="253"/>
      <c r="I879" s="253"/>
      <c r="J879" s="253"/>
      <c r="K879" s="253"/>
      <c r="L879" s="253"/>
      <c r="M879" s="253"/>
      <c r="N879" s="253"/>
      <c r="O879" s="253"/>
      <c r="P879" s="253"/>
      <c r="Q879" s="253"/>
      <c r="R879" s="253"/>
      <c r="S879" s="253"/>
      <c r="T879" s="253"/>
      <c r="U879" s="253"/>
      <c r="V879" s="253"/>
      <c r="W879" s="253"/>
      <c r="X879" s="253"/>
      <c r="Y879" s="253"/>
    </row>
    <row r="880">
      <c r="A880" s="253"/>
      <c r="B880" s="253"/>
      <c r="C880" s="253"/>
      <c r="D880" s="253"/>
      <c r="E880" s="253"/>
      <c r="F880" s="253"/>
      <c r="G880" s="253"/>
      <c r="H880" s="253"/>
      <c r="I880" s="253"/>
      <c r="J880" s="253"/>
      <c r="K880" s="253"/>
      <c r="L880" s="253"/>
      <c r="M880" s="253"/>
      <c r="N880" s="253"/>
      <c r="O880" s="253"/>
      <c r="P880" s="253"/>
      <c r="Q880" s="253"/>
      <c r="R880" s="253"/>
      <c r="S880" s="253"/>
      <c r="T880" s="253"/>
      <c r="U880" s="253"/>
      <c r="V880" s="253"/>
      <c r="W880" s="253"/>
      <c r="X880" s="253"/>
      <c r="Y880" s="253"/>
    </row>
    <row r="881">
      <c r="A881" s="253"/>
      <c r="B881" s="253"/>
      <c r="C881" s="253"/>
      <c r="D881" s="253"/>
      <c r="E881" s="253"/>
      <c r="F881" s="253"/>
      <c r="G881" s="253"/>
      <c r="H881" s="253"/>
      <c r="I881" s="253"/>
      <c r="J881" s="253"/>
      <c r="K881" s="253"/>
      <c r="L881" s="253"/>
      <c r="M881" s="253"/>
      <c r="N881" s="253"/>
      <c r="O881" s="253"/>
      <c r="P881" s="253"/>
      <c r="Q881" s="253"/>
      <c r="R881" s="253"/>
      <c r="S881" s="253"/>
      <c r="T881" s="253"/>
      <c r="U881" s="253"/>
      <c r="V881" s="253"/>
      <c r="W881" s="253"/>
      <c r="X881" s="253"/>
      <c r="Y881" s="253"/>
    </row>
    <row r="882">
      <c r="A882" s="253"/>
      <c r="B882" s="253"/>
      <c r="C882" s="253"/>
      <c r="D882" s="253"/>
      <c r="E882" s="253"/>
      <c r="F882" s="253"/>
      <c r="G882" s="253"/>
      <c r="H882" s="253"/>
      <c r="I882" s="253"/>
      <c r="J882" s="253"/>
      <c r="K882" s="253"/>
      <c r="L882" s="253"/>
      <c r="M882" s="253"/>
      <c r="N882" s="253"/>
      <c r="O882" s="253"/>
      <c r="P882" s="253"/>
      <c r="Q882" s="253"/>
      <c r="R882" s="253"/>
      <c r="S882" s="253"/>
      <c r="T882" s="253"/>
      <c r="U882" s="253"/>
      <c r="V882" s="253"/>
      <c r="W882" s="253"/>
      <c r="X882" s="253"/>
      <c r="Y882" s="253"/>
    </row>
    <row r="883">
      <c r="A883" s="253"/>
      <c r="B883" s="253"/>
      <c r="C883" s="253"/>
      <c r="D883" s="253"/>
      <c r="E883" s="253"/>
      <c r="F883" s="253"/>
      <c r="G883" s="253"/>
      <c r="H883" s="253"/>
      <c r="I883" s="253"/>
      <c r="J883" s="253"/>
      <c r="K883" s="253"/>
      <c r="L883" s="253"/>
      <c r="M883" s="253"/>
      <c r="N883" s="253"/>
      <c r="O883" s="253"/>
      <c r="P883" s="253"/>
      <c r="Q883" s="253"/>
      <c r="R883" s="253"/>
      <c r="S883" s="253"/>
      <c r="T883" s="253"/>
      <c r="U883" s="253"/>
      <c r="V883" s="253"/>
      <c r="W883" s="253"/>
      <c r="X883" s="253"/>
      <c r="Y883" s="253"/>
    </row>
    <row r="884">
      <c r="A884" s="253"/>
      <c r="B884" s="253"/>
      <c r="C884" s="253"/>
      <c r="D884" s="253"/>
      <c r="E884" s="253"/>
      <c r="F884" s="253"/>
      <c r="G884" s="253"/>
      <c r="H884" s="253"/>
      <c r="I884" s="253"/>
      <c r="J884" s="253"/>
      <c r="K884" s="253"/>
      <c r="L884" s="253"/>
      <c r="M884" s="253"/>
      <c r="N884" s="253"/>
      <c r="O884" s="253"/>
      <c r="P884" s="253"/>
      <c r="Q884" s="253"/>
      <c r="R884" s="253"/>
      <c r="S884" s="253"/>
      <c r="T884" s="253"/>
      <c r="U884" s="253"/>
      <c r="V884" s="253"/>
      <c r="W884" s="253"/>
      <c r="X884" s="253"/>
      <c r="Y884" s="253"/>
    </row>
    <row r="885">
      <c r="A885" s="253"/>
      <c r="B885" s="253"/>
      <c r="C885" s="253"/>
      <c r="D885" s="253"/>
      <c r="E885" s="253"/>
      <c r="F885" s="253"/>
      <c r="G885" s="253"/>
      <c r="H885" s="253"/>
      <c r="I885" s="253"/>
      <c r="J885" s="253"/>
      <c r="K885" s="253"/>
      <c r="L885" s="253"/>
      <c r="M885" s="253"/>
      <c r="N885" s="253"/>
      <c r="O885" s="253"/>
      <c r="P885" s="253"/>
      <c r="Q885" s="253"/>
      <c r="R885" s="253"/>
      <c r="S885" s="253"/>
      <c r="T885" s="253"/>
      <c r="U885" s="253"/>
      <c r="V885" s="253"/>
      <c r="W885" s="253"/>
      <c r="X885" s="253"/>
      <c r="Y885" s="253"/>
    </row>
    <row r="886">
      <c r="A886" s="253"/>
      <c r="B886" s="253"/>
      <c r="C886" s="253"/>
      <c r="D886" s="253"/>
      <c r="E886" s="253"/>
      <c r="F886" s="253"/>
      <c r="G886" s="253"/>
      <c r="H886" s="253"/>
      <c r="I886" s="253"/>
      <c r="J886" s="253"/>
      <c r="K886" s="253"/>
      <c r="L886" s="253"/>
      <c r="M886" s="253"/>
      <c r="N886" s="253"/>
      <c r="O886" s="253"/>
      <c r="P886" s="253"/>
      <c r="Q886" s="253"/>
      <c r="R886" s="253"/>
      <c r="S886" s="253"/>
      <c r="T886" s="253"/>
      <c r="U886" s="253"/>
      <c r="V886" s="253"/>
      <c r="W886" s="253"/>
      <c r="X886" s="253"/>
      <c r="Y886" s="253"/>
    </row>
    <row r="887">
      <c r="A887" s="253"/>
      <c r="B887" s="253"/>
      <c r="C887" s="253"/>
      <c r="D887" s="253"/>
      <c r="E887" s="253"/>
      <c r="F887" s="253"/>
      <c r="G887" s="253"/>
      <c r="H887" s="253"/>
      <c r="I887" s="253"/>
      <c r="J887" s="253"/>
      <c r="K887" s="253"/>
      <c r="L887" s="253"/>
      <c r="M887" s="253"/>
      <c r="N887" s="253"/>
      <c r="O887" s="253"/>
      <c r="P887" s="253"/>
      <c r="Q887" s="253"/>
      <c r="R887" s="253"/>
      <c r="S887" s="253"/>
      <c r="T887" s="253"/>
      <c r="U887" s="253"/>
      <c r="V887" s="253"/>
      <c r="W887" s="253"/>
      <c r="X887" s="253"/>
      <c r="Y887" s="253"/>
    </row>
    <row r="888">
      <c r="A888" s="253"/>
      <c r="B888" s="253"/>
      <c r="C888" s="253"/>
      <c r="D888" s="253"/>
      <c r="E888" s="253"/>
      <c r="F888" s="253"/>
      <c r="G888" s="253"/>
      <c r="H888" s="253"/>
      <c r="I888" s="253"/>
      <c r="J888" s="253"/>
      <c r="K888" s="253"/>
      <c r="L888" s="253"/>
      <c r="M888" s="253"/>
      <c r="N888" s="253"/>
      <c r="O888" s="253"/>
      <c r="P888" s="253"/>
      <c r="Q888" s="253"/>
      <c r="R888" s="253"/>
      <c r="S888" s="253"/>
      <c r="T888" s="253"/>
      <c r="U888" s="253"/>
      <c r="V888" s="253"/>
      <c r="W888" s="253"/>
      <c r="X888" s="253"/>
      <c r="Y888" s="253"/>
    </row>
    <row r="889">
      <c r="A889" s="253"/>
      <c r="B889" s="253"/>
      <c r="C889" s="253"/>
      <c r="D889" s="253"/>
      <c r="E889" s="253"/>
      <c r="F889" s="253"/>
      <c r="G889" s="253"/>
      <c r="H889" s="253"/>
      <c r="I889" s="253"/>
      <c r="J889" s="253"/>
      <c r="K889" s="253"/>
      <c r="L889" s="253"/>
      <c r="M889" s="253"/>
      <c r="N889" s="253"/>
      <c r="O889" s="253"/>
      <c r="P889" s="253"/>
      <c r="Q889" s="253"/>
      <c r="R889" s="253"/>
      <c r="S889" s="253"/>
      <c r="T889" s="253"/>
      <c r="U889" s="253"/>
      <c r="V889" s="253"/>
      <c r="W889" s="253"/>
      <c r="X889" s="253"/>
      <c r="Y889" s="253"/>
    </row>
    <row r="890">
      <c r="A890" s="253"/>
      <c r="B890" s="253"/>
      <c r="C890" s="253"/>
      <c r="D890" s="253"/>
      <c r="E890" s="253"/>
      <c r="F890" s="253"/>
      <c r="G890" s="253"/>
      <c r="H890" s="253"/>
      <c r="I890" s="253"/>
      <c r="J890" s="253"/>
      <c r="K890" s="253"/>
      <c r="L890" s="253"/>
      <c r="M890" s="253"/>
      <c r="N890" s="253"/>
      <c r="O890" s="253"/>
      <c r="P890" s="253"/>
      <c r="Q890" s="253"/>
      <c r="R890" s="253"/>
      <c r="S890" s="253"/>
      <c r="T890" s="253"/>
      <c r="U890" s="253"/>
      <c r="V890" s="253"/>
      <c r="W890" s="253"/>
      <c r="X890" s="253"/>
      <c r="Y890" s="253"/>
    </row>
    <row r="891">
      <c r="A891" s="253"/>
      <c r="B891" s="253"/>
      <c r="C891" s="253"/>
      <c r="D891" s="253"/>
      <c r="E891" s="253"/>
      <c r="F891" s="253"/>
      <c r="G891" s="253"/>
      <c r="H891" s="253"/>
      <c r="I891" s="253"/>
      <c r="J891" s="253"/>
      <c r="K891" s="253"/>
      <c r="L891" s="253"/>
      <c r="M891" s="253"/>
      <c r="N891" s="253"/>
      <c r="O891" s="253"/>
      <c r="P891" s="253"/>
      <c r="Q891" s="253"/>
      <c r="R891" s="253"/>
      <c r="S891" s="253"/>
      <c r="T891" s="253"/>
      <c r="U891" s="253"/>
      <c r="V891" s="253"/>
      <c r="W891" s="253"/>
      <c r="X891" s="253"/>
      <c r="Y891" s="253"/>
    </row>
    <row r="892">
      <c r="A892" s="253"/>
      <c r="B892" s="253"/>
      <c r="C892" s="253"/>
      <c r="D892" s="253"/>
      <c r="E892" s="253"/>
      <c r="F892" s="253"/>
      <c r="G892" s="253"/>
      <c r="H892" s="253"/>
      <c r="I892" s="253"/>
      <c r="J892" s="253"/>
      <c r="K892" s="253"/>
      <c r="L892" s="253"/>
      <c r="M892" s="253"/>
      <c r="N892" s="253"/>
      <c r="O892" s="253"/>
      <c r="P892" s="253"/>
      <c r="Q892" s="253"/>
      <c r="R892" s="253"/>
      <c r="S892" s="253"/>
      <c r="T892" s="253"/>
      <c r="U892" s="253"/>
      <c r="V892" s="253"/>
      <c r="W892" s="253"/>
      <c r="X892" s="253"/>
      <c r="Y892" s="253"/>
    </row>
    <row r="893">
      <c r="A893" s="253"/>
      <c r="B893" s="253"/>
      <c r="C893" s="253"/>
      <c r="D893" s="253"/>
      <c r="E893" s="253"/>
      <c r="F893" s="253"/>
      <c r="G893" s="253"/>
      <c r="H893" s="253"/>
      <c r="I893" s="253"/>
      <c r="J893" s="253"/>
      <c r="K893" s="253"/>
      <c r="L893" s="253"/>
      <c r="M893" s="253"/>
      <c r="N893" s="253"/>
      <c r="O893" s="253"/>
      <c r="P893" s="253"/>
      <c r="Q893" s="253"/>
      <c r="R893" s="253"/>
      <c r="S893" s="253"/>
      <c r="T893" s="253"/>
      <c r="U893" s="253"/>
      <c r="V893" s="253"/>
      <c r="W893" s="253"/>
      <c r="X893" s="253"/>
      <c r="Y893" s="253"/>
    </row>
    <row r="894">
      <c r="A894" s="253"/>
      <c r="B894" s="253"/>
      <c r="C894" s="253"/>
      <c r="D894" s="253"/>
      <c r="E894" s="253"/>
      <c r="F894" s="253"/>
      <c r="G894" s="253"/>
      <c r="H894" s="253"/>
      <c r="I894" s="253"/>
      <c r="J894" s="253"/>
      <c r="K894" s="253"/>
      <c r="L894" s="253"/>
      <c r="M894" s="253"/>
      <c r="N894" s="253"/>
      <c r="O894" s="253"/>
      <c r="P894" s="253"/>
      <c r="Q894" s="253"/>
      <c r="R894" s="253"/>
      <c r="S894" s="253"/>
      <c r="T894" s="253"/>
      <c r="U894" s="253"/>
      <c r="V894" s="253"/>
      <c r="W894" s="253"/>
      <c r="X894" s="253"/>
      <c r="Y894" s="253"/>
    </row>
    <row r="895">
      <c r="A895" s="253"/>
      <c r="B895" s="253"/>
      <c r="C895" s="253"/>
      <c r="D895" s="253"/>
      <c r="E895" s="253"/>
      <c r="F895" s="253"/>
      <c r="G895" s="253"/>
      <c r="H895" s="253"/>
      <c r="I895" s="253"/>
      <c r="J895" s="253"/>
      <c r="K895" s="253"/>
      <c r="L895" s="253"/>
      <c r="M895" s="253"/>
      <c r="N895" s="253"/>
      <c r="O895" s="253"/>
      <c r="P895" s="253"/>
      <c r="Q895" s="253"/>
      <c r="R895" s="253"/>
      <c r="S895" s="253"/>
      <c r="T895" s="253"/>
      <c r="U895" s="253"/>
      <c r="V895" s="253"/>
      <c r="W895" s="253"/>
      <c r="X895" s="253"/>
      <c r="Y895" s="253"/>
    </row>
    <row r="896">
      <c r="A896" s="253"/>
      <c r="B896" s="253"/>
      <c r="C896" s="253"/>
      <c r="D896" s="253"/>
      <c r="E896" s="253"/>
      <c r="F896" s="253"/>
      <c r="G896" s="253"/>
      <c r="H896" s="253"/>
      <c r="I896" s="253"/>
      <c r="J896" s="253"/>
      <c r="K896" s="253"/>
      <c r="L896" s="253"/>
      <c r="M896" s="253"/>
      <c r="N896" s="253"/>
      <c r="O896" s="253"/>
      <c r="P896" s="253"/>
      <c r="Q896" s="253"/>
      <c r="R896" s="253"/>
      <c r="S896" s="253"/>
      <c r="T896" s="253"/>
      <c r="U896" s="253"/>
      <c r="V896" s="253"/>
      <c r="W896" s="253"/>
      <c r="X896" s="253"/>
      <c r="Y896" s="253"/>
    </row>
    <row r="897">
      <c r="A897" s="253"/>
      <c r="B897" s="253"/>
      <c r="C897" s="253"/>
      <c r="D897" s="253"/>
      <c r="E897" s="253"/>
      <c r="F897" s="253"/>
      <c r="G897" s="253"/>
      <c r="H897" s="253"/>
      <c r="I897" s="253"/>
      <c r="J897" s="253"/>
      <c r="K897" s="253"/>
      <c r="L897" s="253"/>
      <c r="M897" s="253"/>
      <c r="N897" s="253"/>
      <c r="O897" s="253"/>
      <c r="P897" s="253"/>
      <c r="Q897" s="253"/>
      <c r="R897" s="253"/>
      <c r="S897" s="253"/>
      <c r="T897" s="253"/>
      <c r="U897" s="253"/>
      <c r="V897" s="253"/>
      <c r="W897" s="253"/>
      <c r="X897" s="253"/>
      <c r="Y897" s="253"/>
    </row>
    <row r="898">
      <c r="A898" s="253"/>
      <c r="B898" s="253"/>
      <c r="C898" s="253"/>
      <c r="D898" s="253"/>
      <c r="E898" s="253"/>
      <c r="F898" s="253"/>
      <c r="G898" s="253"/>
      <c r="H898" s="253"/>
      <c r="I898" s="253"/>
      <c r="J898" s="253"/>
      <c r="K898" s="253"/>
      <c r="L898" s="253"/>
      <c r="M898" s="253"/>
      <c r="N898" s="253"/>
      <c r="O898" s="253"/>
      <c r="P898" s="253"/>
      <c r="Q898" s="253"/>
      <c r="R898" s="253"/>
      <c r="S898" s="253"/>
      <c r="T898" s="253"/>
      <c r="U898" s="253"/>
      <c r="V898" s="253"/>
      <c r="W898" s="253"/>
      <c r="X898" s="253"/>
      <c r="Y898" s="253"/>
    </row>
    <row r="899">
      <c r="A899" s="253"/>
      <c r="B899" s="253"/>
      <c r="C899" s="253"/>
      <c r="D899" s="253"/>
      <c r="E899" s="253"/>
      <c r="F899" s="253"/>
      <c r="G899" s="253"/>
      <c r="H899" s="253"/>
      <c r="I899" s="253"/>
      <c r="J899" s="253"/>
      <c r="K899" s="253"/>
      <c r="L899" s="253"/>
      <c r="M899" s="253"/>
      <c r="N899" s="253"/>
      <c r="O899" s="253"/>
      <c r="P899" s="253"/>
      <c r="Q899" s="253"/>
      <c r="R899" s="253"/>
      <c r="S899" s="253"/>
      <c r="T899" s="253"/>
      <c r="U899" s="253"/>
      <c r="V899" s="253"/>
      <c r="W899" s="253"/>
      <c r="X899" s="253"/>
      <c r="Y899" s="253"/>
    </row>
    <row r="900">
      <c r="A900" s="253"/>
      <c r="B900" s="253"/>
      <c r="C900" s="253"/>
      <c r="D900" s="253"/>
      <c r="E900" s="253"/>
      <c r="F900" s="253"/>
      <c r="G900" s="253"/>
      <c r="H900" s="253"/>
      <c r="I900" s="253"/>
      <c r="J900" s="253"/>
      <c r="K900" s="253"/>
      <c r="L900" s="253"/>
      <c r="M900" s="253"/>
      <c r="N900" s="253"/>
      <c r="O900" s="253"/>
      <c r="P900" s="253"/>
      <c r="Q900" s="253"/>
      <c r="R900" s="253"/>
      <c r="S900" s="253"/>
      <c r="T900" s="253"/>
      <c r="U900" s="253"/>
      <c r="V900" s="253"/>
      <c r="W900" s="253"/>
      <c r="X900" s="253"/>
      <c r="Y900" s="253"/>
    </row>
    <row r="901">
      <c r="A901" s="253"/>
      <c r="B901" s="253"/>
      <c r="C901" s="253"/>
      <c r="D901" s="253"/>
      <c r="E901" s="253"/>
      <c r="F901" s="253"/>
      <c r="G901" s="253"/>
      <c r="H901" s="253"/>
      <c r="I901" s="253"/>
      <c r="J901" s="253"/>
      <c r="K901" s="253"/>
      <c r="L901" s="253"/>
      <c r="M901" s="253"/>
      <c r="N901" s="253"/>
      <c r="O901" s="253"/>
      <c r="P901" s="253"/>
      <c r="Q901" s="253"/>
      <c r="R901" s="253"/>
      <c r="S901" s="253"/>
      <c r="T901" s="253"/>
      <c r="U901" s="253"/>
      <c r="V901" s="253"/>
      <c r="W901" s="253"/>
      <c r="X901" s="253"/>
      <c r="Y901" s="253"/>
    </row>
    <row r="902">
      <c r="A902" s="253"/>
      <c r="B902" s="253"/>
      <c r="C902" s="253"/>
      <c r="D902" s="253"/>
      <c r="E902" s="253"/>
      <c r="F902" s="253"/>
      <c r="G902" s="253"/>
      <c r="H902" s="253"/>
      <c r="I902" s="253"/>
      <c r="J902" s="253"/>
      <c r="K902" s="253"/>
      <c r="L902" s="253"/>
      <c r="M902" s="253"/>
      <c r="N902" s="253"/>
      <c r="O902" s="253"/>
      <c r="P902" s="253"/>
      <c r="Q902" s="253"/>
      <c r="R902" s="253"/>
      <c r="S902" s="253"/>
      <c r="T902" s="253"/>
      <c r="U902" s="253"/>
      <c r="V902" s="253"/>
      <c r="W902" s="253"/>
      <c r="X902" s="253"/>
      <c r="Y902" s="253"/>
    </row>
    <row r="903">
      <c r="A903" s="253"/>
      <c r="B903" s="253"/>
      <c r="C903" s="253"/>
      <c r="D903" s="253"/>
      <c r="E903" s="253"/>
      <c r="F903" s="253"/>
      <c r="G903" s="253"/>
      <c r="H903" s="253"/>
      <c r="I903" s="253"/>
      <c r="J903" s="253"/>
      <c r="K903" s="253"/>
      <c r="L903" s="253"/>
      <c r="M903" s="253"/>
      <c r="N903" s="253"/>
      <c r="O903" s="253"/>
      <c r="P903" s="253"/>
      <c r="Q903" s="253"/>
      <c r="R903" s="253"/>
      <c r="S903" s="253"/>
      <c r="T903" s="253"/>
      <c r="U903" s="253"/>
      <c r="V903" s="253"/>
      <c r="W903" s="253"/>
      <c r="X903" s="253"/>
      <c r="Y903" s="253"/>
    </row>
    <row r="904">
      <c r="A904" s="253"/>
      <c r="B904" s="253"/>
      <c r="C904" s="253"/>
      <c r="D904" s="253"/>
      <c r="E904" s="253"/>
      <c r="F904" s="253"/>
      <c r="G904" s="253"/>
      <c r="H904" s="253"/>
      <c r="I904" s="253"/>
      <c r="J904" s="253"/>
      <c r="K904" s="253"/>
      <c r="L904" s="253"/>
      <c r="M904" s="253"/>
      <c r="N904" s="253"/>
      <c r="O904" s="253"/>
      <c r="P904" s="253"/>
      <c r="Q904" s="253"/>
      <c r="R904" s="253"/>
      <c r="S904" s="253"/>
      <c r="T904" s="253"/>
      <c r="U904" s="253"/>
      <c r="V904" s="253"/>
      <c r="W904" s="253"/>
      <c r="X904" s="253"/>
      <c r="Y904" s="253"/>
    </row>
    <row r="905">
      <c r="A905" s="253"/>
      <c r="B905" s="253"/>
      <c r="C905" s="253"/>
      <c r="D905" s="253"/>
      <c r="E905" s="253"/>
      <c r="F905" s="253"/>
      <c r="G905" s="253"/>
      <c r="H905" s="253"/>
      <c r="I905" s="253"/>
      <c r="J905" s="253"/>
      <c r="K905" s="253"/>
      <c r="L905" s="253"/>
      <c r="M905" s="253"/>
      <c r="N905" s="253"/>
      <c r="O905" s="253"/>
      <c r="P905" s="253"/>
      <c r="Q905" s="253"/>
      <c r="R905" s="253"/>
      <c r="S905" s="253"/>
      <c r="T905" s="253"/>
      <c r="U905" s="253"/>
      <c r="V905" s="253"/>
      <c r="W905" s="253"/>
      <c r="X905" s="253"/>
      <c r="Y905" s="253"/>
    </row>
    <row r="906">
      <c r="A906" s="253"/>
      <c r="B906" s="253"/>
      <c r="C906" s="253"/>
      <c r="D906" s="253"/>
      <c r="E906" s="253"/>
      <c r="F906" s="253"/>
      <c r="G906" s="253"/>
      <c r="H906" s="253"/>
      <c r="I906" s="253"/>
      <c r="J906" s="253"/>
      <c r="K906" s="253"/>
      <c r="L906" s="253"/>
      <c r="M906" s="253"/>
      <c r="N906" s="253"/>
      <c r="O906" s="253"/>
      <c r="P906" s="253"/>
      <c r="Q906" s="253"/>
      <c r="R906" s="253"/>
      <c r="S906" s="253"/>
      <c r="T906" s="253"/>
      <c r="U906" s="253"/>
      <c r="V906" s="253"/>
      <c r="W906" s="253"/>
      <c r="X906" s="253"/>
      <c r="Y906" s="253"/>
    </row>
    <row r="907">
      <c r="A907" s="253"/>
      <c r="B907" s="253"/>
      <c r="C907" s="253"/>
      <c r="D907" s="253"/>
      <c r="E907" s="253"/>
      <c r="F907" s="253"/>
      <c r="G907" s="253"/>
      <c r="H907" s="253"/>
      <c r="I907" s="253"/>
      <c r="J907" s="253"/>
      <c r="K907" s="253"/>
      <c r="L907" s="253"/>
      <c r="M907" s="253"/>
      <c r="N907" s="253"/>
      <c r="O907" s="253"/>
      <c r="P907" s="253"/>
      <c r="Q907" s="253"/>
      <c r="R907" s="253"/>
      <c r="S907" s="253"/>
      <c r="T907" s="253"/>
      <c r="U907" s="253"/>
      <c r="V907" s="253"/>
      <c r="W907" s="253"/>
      <c r="X907" s="253"/>
      <c r="Y907" s="253"/>
    </row>
    <row r="908">
      <c r="A908" s="253"/>
      <c r="B908" s="253"/>
      <c r="C908" s="253"/>
      <c r="D908" s="253"/>
      <c r="E908" s="253"/>
      <c r="F908" s="253"/>
      <c r="G908" s="253"/>
      <c r="H908" s="253"/>
      <c r="I908" s="253"/>
      <c r="J908" s="253"/>
      <c r="K908" s="253"/>
      <c r="L908" s="253"/>
      <c r="M908" s="253"/>
      <c r="N908" s="253"/>
      <c r="O908" s="253"/>
      <c r="P908" s="253"/>
      <c r="Q908" s="253"/>
      <c r="R908" s="253"/>
      <c r="S908" s="253"/>
      <c r="T908" s="253"/>
      <c r="U908" s="253"/>
      <c r="V908" s="253"/>
      <c r="W908" s="253"/>
      <c r="X908" s="253"/>
      <c r="Y908" s="253"/>
    </row>
    <row r="909">
      <c r="A909" s="253"/>
      <c r="B909" s="253"/>
      <c r="C909" s="253"/>
      <c r="D909" s="253"/>
      <c r="E909" s="253"/>
      <c r="F909" s="253"/>
      <c r="G909" s="253"/>
      <c r="H909" s="253"/>
      <c r="I909" s="253"/>
      <c r="J909" s="253"/>
      <c r="K909" s="253"/>
      <c r="L909" s="253"/>
      <c r="M909" s="253"/>
      <c r="N909" s="253"/>
      <c r="O909" s="253"/>
      <c r="P909" s="253"/>
      <c r="Q909" s="253"/>
      <c r="R909" s="253"/>
      <c r="S909" s="253"/>
      <c r="T909" s="253"/>
      <c r="U909" s="253"/>
      <c r="V909" s="253"/>
      <c r="W909" s="253"/>
      <c r="X909" s="253"/>
      <c r="Y909" s="253"/>
    </row>
    <row r="910">
      <c r="A910" s="253"/>
      <c r="B910" s="253"/>
      <c r="C910" s="253"/>
      <c r="D910" s="253"/>
      <c r="E910" s="253"/>
      <c r="F910" s="253"/>
      <c r="G910" s="253"/>
      <c r="H910" s="253"/>
      <c r="I910" s="253"/>
      <c r="J910" s="253"/>
      <c r="K910" s="253"/>
      <c r="L910" s="253"/>
      <c r="M910" s="253"/>
      <c r="N910" s="253"/>
      <c r="O910" s="253"/>
      <c r="P910" s="253"/>
      <c r="Q910" s="253"/>
      <c r="R910" s="253"/>
      <c r="S910" s="253"/>
      <c r="T910" s="253"/>
      <c r="U910" s="253"/>
      <c r="V910" s="253"/>
      <c r="W910" s="253"/>
      <c r="X910" s="253"/>
      <c r="Y910" s="253"/>
    </row>
    <row r="911">
      <c r="A911" s="253"/>
      <c r="B911" s="253"/>
      <c r="C911" s="253"/>
      <c r="D911" s="253"/>
      <c r="E911" s="253"/>
      <c r="F911" s="253"/>
      <c r="G911" s="253"/>
      <c r="H911" s="253"/>
      <c r="I911" s="253"/>
      <c r="J911" s="253"/>
      <c r="K911" s="253"/>
      <c r="L911" s="253"/>
      <c r="M911" s="253"/>
      <c r="N911" s="253"/>
      <c r="O911" s="253"/>
      <c r="P911" s="253"/>
      <c r="Q911" s="253"/>
      <c r="R911" s="253"/>
      <c r="S911" s="253"/>
      <c r="T911" s="253"/>
      <c r="U911" s="253"/>
      <c r="V911" s="253"/>
      <c r="W911" s="253"/>
      <c r="X911" s="253"/>
      <c r="Y911" s="253"/>
    </row>
    <row r="912">
      <c r="A912" s="253"/>
      <c r="B912" s="253"/>
      <c r="C912" s="253"/>
      <c r="D912" s="253"/>
      <c r="E912" s="253"/>
      <c r="F912" s="253"/>
      <c r="G912" s="253"/>
      <c r="H912" s="253"/>
      <c r="I912" s="253"/>
      <c r="J912" s="253"/>
      <c r="K912" s="253"/>
      <c r="L912" s="253"/>
      <c r="M912" s="253"/>
      <c r="N912" s="253"/>
      <c r="O912" s="253"/>
      <c r="P912" s="253"/>
      <c r="Q912" s="253"/>
      <c r="R912" s="253"/>
      <c r="S912" s="253"/>
      <c r="T912" s="253"/>
      <c r="U912" s="253"/>
      <c r="V912" s="253"/>
      <c r="W912" s="253"/>
      <c r="X912" s="253"/>
      <c r="Y912" s="253"/>
    </row>
    <row r="913">
      <c r="A913" s="253"/>
      <c r="B913" s="253"/>
      <c r="C913" s="253"/>
      <c r="D913" s="253"/>
      <c r="E913" s="253"/>
      <c r="F913" s="253"/>
      <c r="G913" s="253"/>
      <c r="H913" s="253"/>
      <c r="I913" s="253"/>
      <c r="J913" s="253"/>
      <c r="K913" s="253"/>
      <c r="L913" s="253"/>
      <c r="M913" s="253"/>
      <c r="N913" s="253"/>
      <c r="O913" s="253"/>
      <c r="P913" s="253"/>
      <c r="Q913" s="253"/>
      <c r="R913" s="253"/>
      <c r="S913" s="253"/>
      <c r="T913" s="253"/>
      <c r="U913" s="253"/>
      <c r="V913" s="253"/>
      <c r="W913" s="253"/>
      <c r="X913" s="253"/>
      <c r="Y913" s="253"/>
    </row>
    <row r="914">
      <c r="A914" s="253"/>
      <c r="B914" s="253"/>
      <c r="C914" s="253"/>
      <c r="D914" s="253"/>
      <c r="E914" s="253"/>
      <c r="F914" s="253"/>
      <c r="G914" s="253"/>
      <c r="H914" s="253"/>
      <c r="I914" s="253"/>
      <c r="J914" s="253"/>
      <c r="K914" s="253"/>
      <c r="L914" s="253"/>
      <c r="M914" s="253"/>
      <c r="N914" s="253"/>
      <c r="O914" s="253"/>
      <c r="P914" s="253"/>
      <c r="Q914" s="253"/>
      <c r="R914" s="253"/>
      <c r="S914" s="253"/>
      <c r="T914" s="253"/>
      <c r="U914" s="253"/>
      <c r="V914" s="253"/>
      <c r="W914" s="253"/>
      <c r="X914" s="253"/>
      <c r="Y914" s="253"/>
    </row>
    <row r="915">
      <c r="A915" s="253"/>
      <c r="B915" s="253"/>
      <c r="C915" s="253"/>
      <c r="D915" s="253"/>
      <c r="E915" s="253"/>
      <c r="F915" s="253"/>
      <c r="G915" s="253"/>
      <c r="H915" s="253"/>
      <c r="I915" s="253"/>
      <c r="J915" s="253"/>
      <c r="K915" s="253"/>
      <c r="L915" s="253"/>
      <c r="M915" s="253"/>
      <c r="N915" s="253"/>
      <c r="O915" s="253"/>
      <c r="P915" s="253"/>
      <c r="Q915" s="253"/>
      <c r="R915" s="253"/>
      <c r="S915" s="253"/>
      <c r="T915" s="253"/>
      <c r="U915" s="253"/>
      <c r="V915" s="253"/>
      <c r="W915" s="253"/>
      <c r="X915" s="253"/>
      <c r="Y915" s="253"/>
    </row>
    <row r="916">
      <c r="A916" s="253"/>
      <c r="B916" s="253"/>
      <c r="C916" s="253"/>
      <c r="D916" s="253"/>
      <c r="E916" s="253"/>
      <c r="F916" s="253"/>
      <c r="G916" s="253"/>
      <c r="H916" s="253"/>
      <c r="I916" s="253"/>
      <c r="J916" s="253"/>
      <c r="K916" s="253"/>
      <c r="L916" s="253"/>
      <c r="M916" s="253"/>
      <c r="N916" s="253"/>
      <c r="O916" s="253"/>
      <c r="P916" s="253"/>
      <c r="Q916" s="253"/>
      <c r="R916" s="253"/>
      <c r="S916" s="253"/>
      <c r="T916" s="253"/>
      <c r="U916" s="253"/>
      <c r="V916" s="253"/>
      <c r="W916" s="253"/>
      <c r="X916" s="253"/>
      <c r="Y916" s="253"/>
    </row>
    <row r="917">
      <c r="A917" s="253"/>
      <c r="B917" s="253"/>
      <c r="C917" s="253"/>
      <c r="D917" s="253"/>
      <c r="E917" s="253"/>
      <c r="F917" s="253"/>
      <c r="G917" s="253"/>
      <c r="H917" s="253"/>
      <c r="I917" s="253"/>
      <c r="J917" s="253"/>
      <c r="K917" s="253"/>
      <c r="L917" s="253"/>
      <c r="M917" s="253"/>
      <c r="N917" s="253"/>
      <c r="O917" s="253"/>
      <c r="P917" s="253"/>
      <c r="Q917" s="253"/>
      <c r="R917" s="253"/>
      <c r="S917" s="253"/>
      <c r="T917" s="253"/>
      <c r="U917" s="253"/>
      <c r="V917" s="253"/>
      <c r="W917" s="253"/>
      <c r="X917" s="253"/>
      <c r="Y917" s="253"/>
    </row>
    <row r="918">
      <c r="A918" s="253"/>
      <c r="B918" s="253"/>
      <c r="C918" s="253"/>
      <c r="D918" s="253"/>
      <c r="E918" s="253"/>
      <c r="F918" s="253"/>
      <c r="G918" s="253"/>
      <c r="H918" s="253"/>
      <c r="I918" s="253"/>
      <c r="J918" s="253"/>
      <c r="K918" s="253"/>
      <c r="L918" s="253"/>
      <c r="M918" s="253"/>
      <c r="N918" s="253"/>
      <c r="O918" s="253"/>
      <c r="P918" s="253"/>
      <c r="Q918" s="253"/>
      <c r="R918" s="253"/>
      <c r="S918" s="253"/>
      <c r="T918" s="253"/>
      <c r="U918" s="253"/>
      <c r="V918" s="253"/>
      <c r="W918" s="253"/>
      <c r="X918" s="253"/>
      <c r="Y918" s="253"/>
    </row>
    <row r="919">
      <c r="A919" s="253"/>
      <c r="B919" s="253"/>
      <c r="C919" s="253"/>
      <c r="D919" s="253"/>
      <c r="E919" s="253"/>
      <c r="F919" s="253"/>
      <c r="G919" s="253"/>
      <c r="H919" s="253"/>
      <c r="I919" s="253"/>
      <c r="J919" s="253"/>
      <c r="K919" s="253"/>
      <c r="L919" s="253"/>
      <c r="M919" s="253"/>
      <c r="N919" s="253"/>
      <c r="O919" s="253"/>
      <c r="P919" s="253"/>
      <c r="Q919" s="253"/>
      <c r="R919" s="253"/>
      <c r="S919" s="253"/>
      <c r="T919" s="253"/>
      <c r="U919" s="253"/>
      <c r="V919" s="253"/>
      <c r="W919" s="253"/>
      <c r="X919" s="253"/>
      <c r="Y919" s="253"/>
    </row>
    <row r="920">
      <c r="A920" s="253"/>
      <c r="B920" s="253"/>
      <c r="C920" s="253"/>
      <c r="D920" s="253"/>
      <c r="E920" s="253"/>
      <c r="F920" s="253"/>
      <c r="G920" s="253"/>
      <c r="H920" s="253"/>
      <c r="I920" s="253"/>
      <c r="J920" s="253"/>
      <c r="K920" s="253"/>
      <c r="L920" s="253"/>
      <c r="M920" s="253"/>
      <c r="N920" s="253"/>
      <c r="O920" s="253"/>
      <c r="P920" s="253"/>
      <c r="Q920" s="253"/>
      <c r="R920" s="253"/>
      <c r="S920" s="253"/>
      <c r="T920" s="253"/>
      <c r="U920" s="253"/>
      <c r="V920" s="253"/>
      <c r="W920" s="253"/>
      <c r="X920" s="253"/>
      <c r="Y920" s="253"/>
    </row>
    <row r="921">
      <c r="A921" s="253"/>
      <c r="B921" s="253"/>
      <c r="C921" s="253"/>
      <c r="D921" s="253"/>
      <c r="E921" s="253"/>
      <c r="F921" s="253"/>
      <c r="G921" s="253"/>
      <c r="H921" s="253"/>
      <c r="I921" s="253"/>
      <c r="J921" s="253"/>
      <c r="K921" s="253"/>
      <c r="L921" s="253"/>
      <c r="M921" s="253"/>
      <c r="N921" s="253"/>
      <c r="O921" s="253"/>
      <c r="P921" s="253"/>
      <c r="Q921" s="253"/>
      <c r="R921" s="253"/>
      <c r="S921" s="253"/>
      <c r="T921" s="253"/>
      <c r="U921" s="253"/>
      <c r="V921" s="253"/>
      <c r="W921" s="253"/>
      <c r="X921" s="253"/>
      <c r="Y921" s="253"/>
    </row>
    <row r="922">
      <c r="A922" s="253"/>
      <c r="B922" s="253"/>
      <c r="C922" s="253"/>
      <c r="D922" s="253"/>
      <c r="E922" s="253"/>
      <c r="F922" s="253"/>
      <c r="G922" s="253"/>
      <c r="H922" s="253"/>
      <c r="I922" s="253"/>
      <c r="J922" s="253"/>
      <c r="K922" s="253"/>
      <c r="L922" s="253"/>
      <c r="M922" s="253"/>
      <c r="N922" s="253"/>
      <c r="O922" s="253"/>
      <c r="P922" s="253"/>
      <c r="Q922" s="253"/>
      <c r="R922" s="253"/>
      <c r="S922" s="253"/>
      <c r="T922" s="253"/>
      <c r="U922" s="253"/>
      <c r="V922" s="253"/>
      <c r="W922" s="253"/>
      <c r="X922" s="253"/>
      <c r="Y922" s="253"/>
    </row>
    <row r="923">
      <c r="A923" s="253"/>
      <c r="B923" s="253"/>
      <c r="C923" s="253"/>
      <c r="D923" s="253"/>
      <c r="E923" s="253"/>
      <c r="F923" s="253"/>
      <c r="G923" s="253"/>
      <c r="H923" s="253"/>
      <c r="I923" s="253"/>
      <c r="J923" s="253"/>
      <c r="K923" s="253"/>
      <c r="L923" s="253"/>
      <c r="M923" s="253"/>
      <c r="N923" s="253"/>
      <c r="O923" s="253"/>
      <c r="P923" s="253"/>
      <c r="Q923" s="253"/>
      <c r="R923" s="253"/>
      <c r="S923" s="253"/>
      <c r="T923" s="253"/>
      <c r="U923" s="253"/>
      <c r="V923" s="253"/>
      <c r="W923" s="253"/>
      <c r="X923" s="253"/>
      <c r="Y923" s="253"/>
    </row>
    <row r="924">
      <c r="A924" s="253"/>
      <c r="B924" s="253"/>
      <c r="C924" s="253"/>
      <c r="D924" s="253"/>
      <c r="E924" s="253"/>
      <c r="F924" s="253"/>
      <c r="G924" s="253"/>
      <c r="H924" s="253"/>
      <c r="I924" s="253"/>
      <c r="J924" s="253"/>
      <c r="K924" s="253"/>
      <c r="L924" s="253"/>
      <c r="M924" s="253"/>
      <c r="N924" s="253"/>
      <c r="O924" s="253"/>
      <c r="P924" s="253"/>
      <c r="Q924" s="253"/>
      <c r="R924" s="253"/>
      <c r="S924" s="253"/>
      <c r="T924" s="253"/>
      <c r="U924" s="253"/>
      <c r="V924" s="253"/>
      <c r="W924" s="253"/>
      <c r="X924" s="253"/>
      <c r="Y924" s="253"/>
    </row>
    <row r="925">
      <c r="A925" s="253"/>
      <c r="B925" s="253"/>
      <c r="C925" s="253"/>
      <c r="D925" s="253"/>
      <c r="E925" s="253"/>
      <c r="F925" s="253"/>
      <c r="G925" s="253"/>
      <c r="H925" s="253"/>
      <c r="I925" s="253"/>
      <c r="J925" s="253"/>
      <c r="K925" s="253"/>
      <c r="L925" s="253"/>
      <c r="M925" s="253"/>
      <c r="N925" s="253"/>
      <c r="O925" s="253"/>
      <c r="P925" s="253"/>
      <c r="Q925" s="253"/>
      <c r="R925" s="253"/>
      <c r="S925" s="253"/>
      <c r="T925" s="253"/>
      <c r="U925" s="253"/>
      <c r="V925" s="253"/>
      <c r="W925" s="253"/>
      <c r="X925" s="253"/>
      <c r="Y925" s="253"/>
    </row>
    <row r="926">
      <c r="A926" s="253"/>
      <c r="B926" s="253"/>
      <c r="C926" s="253"/>
      <c r="D926" s="253"/>
      <c r="E926" s="253"/>
      <c r="F926" s="253"/>
      <c r="G926" s="253"/>
      <c r="H926" s="253"/>
      <c r="I926" s="253"/>
      <c r="J926" s="253"/>
      <c r="K926" s="253"/>
      <c r="L926" s="253"/>
      <c r="M926" s="253"/>
      <c r="N926" s="253"/>
      <c r="O926" s="253"/>
      <c r="P926" s="253"/>
      <c r="Q926" s="253"/>
      <c r="R926" s="253"/>
      <c r="S926" s="253"/>
      <c r="T926" s="253"/>
      <c r="U926" s="253"/>
      <c r="V926" s="253"/>
      <c r="W926" s="253"/>
      <c r="X926" s="253"/>
      <c r="Y926" s="253"/>
    </row>
    <row r="927">
      <c r="A927" s="253"/>
      <c r="B927" s="253"/>
      <c r="C927" s="253"/>
      <c r="D927" s="253"/>
      <c r="E927" s="253"/>
      <c r="F927" s="253"/>
      <c r="G927" s="253"/>
      <c r="H927" s="253"/>
      <c r="I927" s="253"/>
      <c r="J927" s="253"/>
      <c r="K927" s="253"/>
      <c r="L927" s="253"/>
      <c r="M927" s="253"/>
      <c r="N927" s="253"/>
      <c r="O927" s="253"/>
      <c r="P927" s="253"/>
      <c r="Q927" s="253"/>
      <c r="R927" s="253"/>
      <c r="S927" s="253"/>
      <c r="T927" s="253"/>
      <c r="U927" s="253"/>
      <c r="V927" s="253"/>
      <c r="W927" s="253"/>
      <c r="X927" s="253"/>
      <c r="Y927" s="253"/>
    </row>
    <row r="928">
      <c r="A928" s="253"/>
      <c r="B928" s="253"/>
      <c r="C928" s="253"/>
      <c r="D928" s="253"/>
      <c r="E928" s="253"/>
      <c r="F928" s="253"/>
      <c r="G928" s="253"/>
      <c r="H928" s="253"/>
      <c r="I928" s="253"/>
      <c r="J928" s="253"/>
      <c r="K928" s="253"/>
      <c r="L928" s="253"/>
      <c r="M928" s="253"/>
      <c r="N928" s="253"/>
      <c r="O928" s="253"/>
      <c r="P928" s="253"/>
      <c r="Q928" s="253"/>
      <c r="R928" s="253"/>
      <c r="S928" s="253"/>
      <c r="T928" s="253"/>
      <c r="U928" s="253"/>
      <c r="V928" s="253"/>
      <c r="W928" s="253"/>
      <c r="X928" s="253"/>
      <c r="Y928" s="253"/>
    </row>
    <row r="929">
      <c r="A929" s="253"/>
      <c r="B929" s="253"/>
      <c r="C929" s="253"/>
      <c r="D929" s="253"/>
      <c r="E929" s="253"/>
      <c r="F929" s="253"/>
      <c r="G929" s="253"/>
      <c r="H929" s="253"/>
      <c r="I929" s="253"/>
      <c r="J929" s="253"/>
      <c r="K929" s="253"/>
      <c r="L929" s="253"/>
      <c r="M929" s="253"/>
      <c r="N929" s="253"/>
      <c r="O929" s="253"/>
      <c r="P929" s="253"/>
      <c r="Q929" s="253"/>
      <c r="R929" s="253"/>
      <c r="S929" s="253"/>
      <c r="T929" s="253"/>
      <c r="U929" s="253"/>
      <c r="V929" s="253"/>
      <c r="W929" s="253"/>
      <c r="X929" s="253"/>
      <c r="Y929" s="253"/>
    </row>
    <row r="930">
      <c r="A930" s="253"/>
      <c r="B930" s="253"/>
      <c r="C930" s="253"/>
      <c r="D930" s="253"/>
      <c r="E930" s="253"/>
      <c r="F930" s="253"/>
      <c r="G930" s="253"/>
      <c r="H930" s="253"/>
      <c r="I930" s="253"/>
      <c r="J930" s="253"/>
      <c r="K930" s="253"/>
      <c r="L930" s="253"/>
      <c r="M930" s="253"/>
      <c r="N930" s="253"/>
      <c r="O930" s="253"/>
      <c r="P930" s="253"/>
      <c r="Q930" s="253"/>
      <c r="R930" s="253"/>
      <c r="S930" s="253"/>
      <c r="T930" s="253"/>
      <c r="U930" s="253"/>
      <c r="V930" s="253"/>
      <c r="W930" s="253"/>
      <c r="X930" s="253"/>
      <c r="Y930" s="253"/>
    </row>
    <row r="931">
      <c r="A931" s="253"/>
      <c r="B931" s="253"/>
      <c r="C931" s="253"/>
      <c r="D931" s="253"/>
      <c r="E931" s="253"/>
      <c r="F931" s="253"/>
      <c r="G931" s="253"/>
      <c r="H931" s="253"/>
      <c r="I931" s="253"/>
      <c r="J931" s="253"/>
      <c r="K931" s="253"/>
      <c r="L931" s="253"/>
      <c r="M931" s="253"/>
      <c r="N931" s="253"/>
      <c r="O931" s="253"/>
      <c r="P931" s="253"/>
      <c r="Q931" s="253"/>
      <c r="R931" s="253"/>
      <c r="S931" s="253"/>
      <c r="T931" s="253"/>
      <c r="U931" s="253"/>
      <c r="V931" s="253"/>
      <c r="W931" s="253"/>
      <c r="X931" s="253"/>
      <c r="Y931" s="253"/>
    </row>
    <row r="932">
      <c r="A932" s="253"/>
      <c r="B932" s="253"/>
      <c r="C932" s="253"/>
      <c r="D932" s="253"/>
      <c r="E932" s="253"/>
      <c r="F932" s="253"/>
      <c r="G932" s="253"/>
      <c r="H932" s="253"/>
      <c r="I932" s="253"/>
      <c r="J932" s="253"/>
      <c r="K932" s="253"/>
      <c r="L932" s="253"/>
      <c r="M932" s="253"/>
      <c r="N932" s="253"/>
      <c r="O932" s="253"/>
      <c r="P932" s="253"/>
      <c r="Q932" s="253"/>
      <c r="R932" s="253"/>
      <c r="S932" s="253"/>
      <c r="T932" s="253"/>
      <c r="U932" s="253"/>
      <c r="V932" s="253"/>
      <c r="W932" s="253"/>
      <c r="X932" s="253"/>
      <c r="Y932" s="253"/>
    </row>
    <row r="933">
      <c r="A933" s="253"/>
      <c r="B933" s="253"/>
      <c r="C933" s="253"/>
      <c r="D933" s="253"/>
      <c r="E933" s="253"/>
      <c r="F933" s="253"/>
      <c r="G933" s="253"/>
      <c r="H933" s="253"/>
      <c r="I933" s="253"/>
      <c r="J933" s="253"/>
      <c r="K933" s="253"/>
      <c r="L933" s="253"/>
      <c r="M933" s="253"/>
      <c r="N933" s="253"/>
      <c r="O933" s="253"/>
      <c r="P933" s="253"/>
      <c r="Q933" s="253"/>
      <c r="R933" s="253"/>
      <c r="S933" s="253"/>
      <c r="T933" s="253"/>
      <c r="U933" s="253"/>
      <c r="V933" s="253"/>
      <c r="W933" s="253"/>
      <c r="X933" s="253"/>
      <c r="Y933" s="253"/>
    </row>
    <row r="934">
      <c r="A934" s="253"/>
      <c r="B934" s="253"/>
      <c r="C934" s="253"/>
      <c r="D934" s="253"/>
      <c r="E934" s="253"/>
      <c r="F934" s="253"/>
      <c r="G934" s="253"/>
      <c r="H934" s="253"/>
      <c r="I934" s="253"/>
      <c r="J934" s="253"/>
      <c r="K934" s="253"/>
      <c r="L934" s="253"/>
      <c r="M934" s="253"/>
      <c r="N934" s="253"/>
      <c r="O934" s="253"/>
      <c r="P934" s="253"/>
      <c r="Q934" s="253"/>
      <c r="R934" s="253"/>
      <c r="S934" s="253"/>
      <c r="T934" s="253"/>
      <c r="U934" s="253"/>
      <c r="V934" s="253"/>
      <c r="W934" s="253"/>
      <c r="X934" s="253"/>
      <c r="Y934" s="253"/>
    </row>
    <row r="935">
      <c r="A935" s="253"/>
      <c r="B935" s="253"/>
      <c r="C935" s="253"/>
      <c r="D935" s="253"/>
      <c r="E935" s="253"/>
      <c r="F935" s="253"/>
      <c r="G935" s="253"/>
      <c r="H935" s="253"/>
      <c r="I935" s="253"/>
      <c r="J935" s="253"/>
      <c r="K935" s="253"/>
      <c r="L935" s="253"/>
      <c r="M935" s="253"/>
      <c r="N935" s="253"/>
      <c r="O935" s="253"/>
      <c r="P935" s="253"/>
      <c r="Q935" s="253"/>
      <c r="R935" s="253"/>
      <c r="S935" s="253"/>
      <c r="T935" s="253"/>
      <c r="U935" s="253"/>
      <c r="V935" s="253"/>
      <c r="W935" s="253"/>
      <c r="X935" s="253"/>
      <c r="Y935" s="253"/>
    </row>
    <row r="936">
      <c r="A936" s="253"/>
      <c r="B936" s="253"/>
      <c r="C936" s="253"/>
      <c r="D936" s="253"/>
      <c r="E936" s="253"/>
      <c r="F936" s="253"/>
      <c r="G936" s="253"/>
      <c r="H936" s="253"/>
      <c r="I936" s="253"/>
      <c r="J936" s="253"/>
      <c r="K936" s="253"/>
      <c r="L936" s="253"/>
      <c r="M936" s="253"/>
      <c r="N936" s="253"/>
      <c r="O936" s="253"/>
      <c r="P936" s="253"/>
      <c r="Q936" s="253"/>
      <c r="R936" s="253"/>
      <c r="S936" s="253"/>
      <c r="T936" s="253"/>
      <c r="U936" s="253"/>
      <c r="V936" s="253"/>
      <c r="W936" s="253"/>
      <c r="X936" s="253"/>
      <c r="Y936" s="253"/>
    </row>
    <row r="937">
      <c r="A937" s="253"/>
      <c r="B937" s="253"/>
      <c r="C937" s="253"/>
      <c r="D937" s="253"/>
      <c r="E937" s="253"/>
      <c r="F937" s="253"/>
      <c r="G937" s="253"/>
      <c r="H937" s="253"/>
      <c r="I937" s="253"/>
      <c r="J937" s="253"/>
      <c r="K937" s="253"/>
      <c r="L937" s="253"/>
      <c r="M937" s="253"/>
      <c r="N937" s="253"/>
      <c r="O937" s="253"/>
      <c r="P937" s="253"/>
      <c r="Q937" s="253"/>
      <c r="R937" s="253"/>
      <c r="S937" s="253"/>
      <c r="T937" s="253"/>
      <c r="U937" s="253"/>
      <c r="V937" s="253"/>
      <c r="W937" s="253"/>
      <c r="X937" s="253"/>
      <c r="Y937" s="253"/>
    </row>
    <row r="938">
      <c r="A938" s="253"/>
      <c r="B938" s="253"/>
      <c r="C938" s="253"/>
      <c r="D938" s="253"/>
      <c r="E938" s="253"/>
      <c r="F938" s="253"/>
      <c r="G938" s="253"/>
      <c r="H938" s="253"/>
      <c r="I938" s="253"/>
      <c r="J938" s="253"/>
      <c r="K938" s="253"/>
      <c r="L938" s="253"/>
      <c r="M938" s="253"/>
      <c r="N938" s="253"/>
      <c r="O938" s="253"/>
      <c r="P938" s="253"/>
      <c r="Q938" s="253"/>
      <c r="R938" s="253"/>
      <c r="S938" s="253"/>
      <c r="T938" s="253"/>
      <c r="U938" s="253"/>
      <c r="V938" s="253"/>
      <c r="W938" s="253"/>
      <c r="X938" s="253"/>
      <c r="Y938" s="253"/>
    </row>
    <row r="939">
      <c r="A939" s="253"/>
      <c r="B939" s="253"/>
      <c r="C939" s="253"/>
      <c r="D939" s="253"/>
      <c r="E939" s="253"/>
      <c r="F939" s="253"/>
      <c r="G939" s="253"/>
      <c r="H939" s="253"/>
      <c r="I939" s="253"/>
      <c r="J939" s="253"/>
      <c r="K939" s="253"/>
      <c r="L939" s="253"/>
      <c r="M939" s="253"/>
      <c r="N939" s="253"/>
      <c r="O939" s="253"/>
      <c r="P939" s="253"/>
      <c r="Q939" s="253"/>
      <c r="R939" s="253"/>
      <c r="S939" s="253"/>
      <c r="T939" s="253"/>
      <c r="U939" s="253"/>
      <c r="V939" s="253"/>
      <c r="W939" s="253"/>
      <c r="X939" s="253"/>
      <c r="Y939" s="253"/>
    </row>
    <row r="940">
      <c r="A940" s="253"/>
      <c r="B940" s="253"/>
      <c r="C940" s="253"/>
      <c r="D940" s="253"/>
      <c r="E940" s="253"/>
      <c r="F940" s="253"/>
      <c r="G940" s="253"/>
      <c r="H940" s="253"/>
      <c r="I940" s="253"/>
      <c r="J940" s="253"/>
      <c r="K940" s="253"/>
      <c r="L940" s="253"/>
      <c r="M940" s="253"/>
      <c r="N940" s="253"/>
      <c r="O940" s="253"/>
      <c r="P940" s="253"/>
      <c r="Q940" s="253"/>
      <c r="R940" s="253"/>
      <c r="S940" s="253"/>
      <c r="T940" s="253"/>
      <c r="U940" s="253"/>
      <c r="V940" s="253"/>
      <c r="W940" s="253"/>
      <c r="X940" s="253"/>
      <c r="Y940" s="253"/>
    </row>
    <row r="941">
      <c r="A941" s="253"/>
      <c r="B941" s="253"/>
      <c r="C941" s="253"/>
      <c r="D941" s="253"/>
      <c r="E941" s="253"/>
      <c r="F941" s="253"/>
      <c r="G941" s="253"/>
      <c r="H941" s="253"/>
      <c r="I941" s="253"/>
      <c r="J941" s="253"/>
      <c r="K941" s="253"/>
      <c r="L941" s="253"/>
      <c r="M941" s="253"/>
      <c r="N941" s="253"/>
      <c r="O941" s="253"/>
      <c r="P941" s="253"/>
      <c r="Q941" s="253"/>
      <c r="R941" s="253"/>
      <c r="S941" s="253"/>
      <c r="T941" s="253"/>
      <c r="U941" s="253"/>
      <c r="V941" s="253"/>
      <c r="W941" s="253"/>
      <c r="X941" s="253"/>
      <c r="Y941" s="253"/>
    </row>
    <row r="942">
      <c r="A942" s="253"/>
      <c r="B942" s="253"/>
      <c r="C942" s="253"/>
      <c r="D942" s="253"/>
      <c r="E942" s="253"/>
      <c r="F942" s="253"/>
      <c r="G942" s="253"/>
      <c r="H942" s="253"/>
      <c r="I942" s="253"/>
      <c r="J942" s="253"/>
      <c r="K942" s="253"/>
      <c r="L942" s="253"/>
      <c r="M942" s="253"/>
      <c r="N942" s="253"/>
      <c r="O942" s="253"/>
      <c r="P942" s="253"/>
      <c r="Q942" s="253"/>
      <c r="R942" s="253"/>
      <c r="S942" s="253"/>
      <c r="T942" s="253"/>
      <c r="U942" s="253"/>
      <c r="V942" s="253"/>
      <c r="W942" s="253"/>
      <c r="X942" s="253"/>
      <c r="Y942" s="253"/>
    </row>
    <row r="943">
      <c r="A943" s="253"/>
      <c r="B943" s="253"/>
      <c r="C943" s="253"/>
      <c r="D943" s="253"/>
      <c r="E943" s="253"/>
      <c r="F943" s="253"/>
      <c r="G943" s="253"/>
      <c r="H943" s="253"/>
      <c r="I943" s="253"/>
      <c r="J943" s="253"/>
      <c r="K943" s="253"/>
      <c r="L943" s="253"/>
      <c r="M943" s="253"/>
      <c r="N943" s="253"/>
      <c r="O943" s="253"/>
      <c r="P943" s="253"/>
      <c r="Q943" s="253"/>
      <c r="R943" s="253"/>
      <c r="S943" s="253"/>
      <c r="T943" s="253"/>
      <c r="U943" s="253"/>
      <c r="V943" s="253"/>
      <c r="W943" s="253"/>
      <c r="X943" s="253"/>
      <c r="Y943" s="253"/>
    </row>
    <row r="944">
      <c r="A944" s="253"/>
      <c r="B944" s="253"/>
      <c r="C944" s="253"/>
      <c r="D944" s="253"/>
      <c r="E944" s="253"/>
      <c r="F944" s="253"/>
      <c r="G944" s="253"/>
      <c r="H944" s="253"/>
      <c r="I944" s="253"/>
      <c r="J944" s="253"/>
      <c r="K944" s="253"/>
      <c r="L944" s="253"/>
      <c r="M944" s="253"/>
      <c r="N944" s="253"/>
      <c r="O944" s="253"/>
      <c r="P944" s="253"/>
      <c r="Q944" s="253"/>
      <c r="R944" s="253"/>
      <c r="S944" s="253"/>
      <c r="T944" s="253"/>
      <c r="U944" s="253"/>
      <c r="V944" s="253"/>
      <c r="W944" s="253"/>
      <c r="X944" s="253"/>
      <c r="Y944" s="253"/>
    </row>
    <row r="945">
      <c r="A945" s="253"/>
      <c r="B945" s="253"/>
      <c r="C945" s="253"/>
      <c r="D945" s="253"/>
      <c r="E945" s="253"/>
      <c r="F945" s="253"/>
      <c r="G945" s="253"/>
      <c r="H945" s="253"/>
      <c r="I945" s="253"/>
      <c r="J945" s="253"/>
      <c r="K945" s="253"/>
      <c r="L945" s="253"/>
      <c r="M945" s="253"/>
      <c r="N945" s="253"/>
      <c r="O945" s="253"/>
      <c r="P945" s="253"/>
      <c r="Q945" s="253"/>
      <c r="R945" s="253"/>
      <c r="S945" s="253"/>
      <c r="T945" s="253"/>
      <c r="U945" s="253"/>
      <c r="V945" s="253"/>
      <c r="W945" s="253"/>
      <c r="X945" s="253"/>
      <c r="Y945" s="253"/>
    </row>
    <row r="946">
      <c r="A946" s="253"/>
      <c r="B946" s="253"/>
      <c r="C946" s="253"/>
      <c r="D946" s="253"/>
      <c r="E946" s="253"/>
      <c r="F946" s="253"/>
      <c r="G946" s="253"/>
      <c r="H946" s="253"/>
      <c r="I946" s="253"/>
      <c r="J946" s="253"/>
      <c r="K946" s="253"/>
      <c r="L946" s="253"/>
      <c r="M946" s="253"/>
      <c r="N946" s="253"/>
      <c r="O946" s="253"/>
      <c r="P946" s="253"/>
      <c r="Q946" s="253"/>
      <c r="R946" s="253"/>
      <c r="S946" s="253"/>
      <c r="T946" s="253"/>
      <c r="U946" s="253"/>
      <c r="V946" s="253"/>
      <c r="W946" s="253"/>
      <c r="X946" s="253"/>
      <c r="Y946" s="253"/>
    </row>
    <row r="947">
      <c r="A947" s="253"/>
      <c r="B947" s="253"/>
      <c r="C947" s="253"/>
      <c r="D947" s="253"/>
      <c r="E947" s="253"/>
      <c r="F947" s="253"/>
      <c r="G947" s="253"/>
      <c r="H947" s="253"/>
      <c r="I947" s="253"/>
      <c r="J947" s="253"/>
      <c r="K947" s="253"/>
      <c r="L947" s="253"/>
      <c r="M947" s="253"/>
      <c r="N947" s="253"/>
      <c r="O947" s="253"/>
      <c r="P947" s="253"/>
      <c r="Q947" s="253"/>
      <c r="R947" s="253"/>
      <c r="S947" s="253"/>
      <c r="T947" s="253"/>
      <c r="U947" s="253"/>
      <c r="V947" s="253"/>
      <c r="W947" s="253"/>
      <c r="X947" s="253"/>
      <c r="Y947" s="253"/>
    </row>
    <row r="948">
      <c r="A948" s="253"/>
      <c r="B948" s="253"/>
      <c r="C948" s="253"/>
      <c r="D948" s="253"/>
      <c r="E948" s="253"/>
      <c r="F948" s="253"/>
      <c r="G948" s="253"/>
      <c r="H948" s="253"/>
      <c r="I948" s="253"/>
      <c r="J948" s="253"/>
      <c r="K948" s="253"/>
      <c r="L948" s="253"/>
      <c r="M948" s="253"/>
      <c r="N948" s="253"/>
      <c r="O948" s="253"/>
      <c r="P948" s="253"/>
      <c r="Q948" s="253"/>
      <c r="R948" s="253"/>
      <c r="S948" s="253"/>
      <c r="T948" s="253"/>
      <c r="U948" s="253"/>
      <c r="V948" s="253"/>
      <c r="W948" s="253"/>
      <c r="X948" s="253"/>
      <c r="Y948" s="253"/>
    </row>
    <row r="949">
      <c r="A949" s="253"/>
      <c r="B949" s="253"/>
      <c r="C949" s="253"/>
      <c r="D949" s="253"/>
      <c r="E949" s="253"/>
      <c r="F949" s="253"/>
      <c r="G949" s="253"/>
      <c r="H949" s="253"/>
      <c r="I949" s="253"/>
      <c r="J949" s="253"/>
      <c r="K949" s="253"/>
      <c r="L949" s="253"/>
      <c r="M949" s="253"/>
      <c r="N949" s="253"/>
      <c r="O949" s="253"/>
      <c r="P949" s="253"/>
      <c r="Q949" s="253"/>
      <c r="R949" s="253"/>
      <c r="S949" s="253"/>
      <c r="T949" s="253"/>
      <c r="U949" s="253"/>
      <c r="V949" s="253"/>
      <c r="W949" s="253"/>
      <c r="X949" s="253"/>
      <c r="Y949" s="253"/>
    </row>
    <row r="950">
      <c r="A950" s="253"/>
      <c r="B950" s="253"/>
      <c r="C950" s="253"/>
      <c r="D950" s="253"/>
      <c r="E950" s="253"/>
      <c r="F950" s="253"/>
      <c r="G950" s="253"/>
      <c r="H950" s="253"/>
      <c r="I950" s="253"/>
      <c r="J950" s="253"/>
      <c r="K950" s="253"/>
      <c r="L950" s="253"/>
      <c r="M950" s="253"/>
      <c r="N950" s="253"/>
      <c r="O950" s="253"/>
      <c r="P950" s="253"/>
      <c r="Q950" s="253"/>
      <c r="R950" s="253"/>
      <c r="S950" s="253"/>
      <c r="T950" s="253"/>
      <c r="U950" s="253"/>
      <c r="V950" s="253"/>
      <c r="W950" s="253"/>
      <c r="X950" s="253"/>
      <c r="Y950" s="253"/>
    </row>
    <row r="951">
      <c r="A951" s="253"/>
      <c r="B951" s="253"/>
      <c r="C951" s="253"/>
      <c r="D951" s="253"/>
      <c r="E951" s="253"/>
      <c r="F951" s="253"/>
      <c r="G951" s="253"/>
      <c r="H951" s="253"/>
      <c r="I951" s="253"/>
      <c r="J951" s="253"/>
      <c r="K951" s="253"/>
      <c r="L951" s="253"/>
      <c r="M951" s="253"/>
      <c r="N951" s="253"/>
      <c r="O951" s="253"/>
      <c r="P951" s="253"/>
      <c r="Q951" s="253"/>
      <c r="R951" s="253"/>
      <c r="S951" s="253"/>
      <c r="T951" s="253"/>
      <c r="U951" s="253"/>
      <c r="V951" s="253"/>
      <c r="W951" s="253"/>
      <c r="X951" s="253"/>
      <c r="Y951" s="253"/>
    </row>
    <row r="952">
      <c r="A952" s="253"/>
      <c r="B952" s="253"/>
      <c r="C952" s="253"/>
      <c r="D952" s="253"/>
      <c r="E952" s="253"/>
      <c r="F952" s="253"/>
      <c r="G952" s="253"/>
      <c r="H952" s="253"/>
      <c r="I952" s="253"/>
      <c r="J952" s="253"/>
      <c r="K952" s="253"/>
      <c r="L952" s="253"/>
      <c r="M952" s="253"/>
      <c r="N952" s="253"/>
      <c r="O952" s="253"/>
      <c r="P952" s="253"/>
      <c r="Q952" s="253"/>
      <c r="R952" s="253"/>
      <c r="S952" s="253"/>
      <c r="T952" s="253"/>
      <c r="U952" s="253"/>
      <c r="V952" s="253"/>
      <c r="W952" s="253"/>
      <c r="X952" s="253"/>
      <c r="Y952" s="253"/>
    </row>
    <row r="953">
      <c r="A953" s="253"/>
      <c r="B953" s="253"/>
      <c r="C953" s="253"/>
      <c r="D953" s="253"/>
      <c r="E953" s="253"/>
      <c r="F953" s="253"/>
      <c r="G953" s="253"/>
      <c r="H953" s="253"/>
      <c r="I953" s="253"/>
      <c r="J953" s="253"/>
      <c r="K953" s="253"/>
      <c r="L953" s="253"/>
      <c r="M953" s="253"/>
      <c r="N953" s="253"/>
      <c r="O953" s="253"/>
      <c r="P953" s="253"/>
      <c r="Q953" s="253"/>
      <c r="R953" s="253"/>
      <c r="S953" s="253"/>
      <c r="T953" s="253"/>
      <c r="U953" s="253"/>
      <c r="V953" s="253"/>
      <c r="W953" s="253"/>
      <c r="X953" s="253"/>
      <c r="Y953" s="253"/>
    </row>
    <row r="954">
      <c r="A954" s="253"/>
      <c r="B954" s="253"/>
      <c r="C954" s="253"/>
      <c r="D954" s="253"/>
      <c r="E954" s="253"/>
      <c r="F954" s="253"/>
      <c r="G954" s="253"/>
      <c r="H954" s="253"/>
      <c r="I954" s="253"/>
      <c r="J954" s="253"/>
      <c r="K954" s="253"/>
      <c r="L954" s="253"/>
      <c r="M954" s="253"/>
      <c r="N954" s="253"/>
      <c r="O954" s="253"/>
      <c r="P954" s="253"/>
      <c r="Q954" s="253"/>
      <c r="R954" s="253"/>
      <c r="S954" s="253"/>
      <c r="T954" s="253"/>
      <c r="U954" s="253"/>
      <c r="V954" s="253"/>
      <c r="W954" s="253"/>
      <c r="X954" s="253"/>
      <c r="Y954" s="253"/>
    </row>
    <row r="955">
      <c r="A955" s="253"/>
      <c r="B955" s="253"/>
      <c r="C955" s="253"/>
      <c r="D955" s="253"/>
      <c r="E955" s="253"/>
      <c r="F955" s="253"/>
      <c r="G955" s="253"/>
      <c r="H955" s="253"/>
      <c r="I955" s="253"/>
      <c r="J955" s="253"/>
      <c r="K955" s="253"/>
      <c r="L955" s="253"/>
      <c r="M955" s="253"/>
      <c r="N955" s="253"/>
      <c r="O955" s="253"/>
      <c r="P955" s="253"/>
      <c r="Q955" s="253"/>
      <c r="R955" s="253"/>
      <c r="S955" s="253"/>
      <c r="T955" s="253"/>
      <c r="U955" s="253"/>
      <c r="V955" s="253"/>
      <c r="W955" s="253"/>
      <c r="X955" s="253"/>
      <c r="Y955" s="253"/>
    </row>
    <row r="956">
      <c r="A956" s="253"/>
      <c r="B956" s="253"/>
      <c r="C956" s="253"/>
      <c r="D956" s="253"/>
      <c r="E956" s="253"/>
      <c r="F956" s="253"/>
      <c r="G956" s="253"/>
      <c r="H956" s="253"/>
      <c r="I956" s="253"/>
      <c r="J956" s="253"/>
      <c r="K956" s="253"/>
      <c r="L956" s="253"/>
      <c r="M956" s="253"/>
      <c r="N956" s="253"/>
      <c r="O956" s="253"/>
      <c r="P956" s="253"/>
      <c r="Q956" s="253"/>
      <c r="R956" s="253"/>
      <c r="S956" s="253"/>
      <c r="T956" s="253"/>
      <c r="U956" s="253"/>
      <c r="V956" s="253"/>
      <c r="W956" s="253"/>
      <c r="X956" s="253"/>
      <c r="Y956" s="253"/>
    </row>
    <row r="957">
      <c r="A957" s="253"/>
      <c r="B957" s="253"/>
      <c r="C957" s="253"/>
      <c r="D957" s="253"/>
      <c r="E957" s="253"/>
      <c r="F957" s="253"/>
      <c r="G957" s="253"/>
      <c r="H957" s="253"/>
      <c r="I957" s="253"/>
      <c r="J957" s="253"/>
      <c r="K957" s="253"/>
      <c r="L957" s="253"/>
      <c r="M957" s="253"/>
      <c r="N957" s="253"/>
      <c r="O957" s="253"/>
      <c r="P957" s="253"/>
      <c r="Q957" s="253"/>
      <c r="R957" s="253"/>
      <c r="S957" s="253"/>
      <c r="T957" s="253"/>
      <c r="U957" s="253"/>
      <c r="V957" s="253"/>
      <c r="W957" s="253"/>
      <c r="X957" s="253"/>
      <c r="Y957" s="253"/>
    </row>
    <row r="958">
      <c r="A958" s="253"/>
      <c r="B958" s="253"/>
      <c r="C958" s="253"/>
      <c r="D958" s="253"/>
      <c r="E958" s="253"/>
      <c r="F958" s="253"/>
      <c r="G958" s="253"/>
      <c r="H958" s="253"/>
      <c r="I958" s="253"/>
      <c r="J958" s="253"/>
      <c r="K958" s="253"/>
      <c r="L958" s="253"/>
      <c r="M958" s="253"/>
      <c r="N958" s="253"/>
      <c r="O958" s="253"/>
      <c r="P958" s="253"/>
      <c r="Q958" s="253"/>
      <c r="R958" s="253"/>
      <c r="S958" s="253"/>
      <c r="T958" s="253"/>
      <c r="U958" s="253"/>
      <c r="V958" s="253"/>
      <c r="W958" s="253"/>
      <c r="X958" s="253"/>
      <c r="Y958" s="253"/>
    </row>
    <row r="959">
      <c r="A959" s="253"/>
      <c r="B959" s="253"/>
      <c r="C959" s="253"/>
      <c r="D959" s="253"/>
      <c r="E959" s="253"/>
      <c r="F959" s="253"/>
      <c r="G959" s="253"/>
      <c r="H959" s="253"/>
      <c r="I959" s="253"/>
      <c r="J959" s="253"/>
      <c r="K959" s="253"/>
      <c r="L959" s="253"/>
      <c r="M959" s="253"/>
      <c r="N959" s="253"/>
      <c r="O959" s="253"/>
      <c r="P959" s="253"/>
      <c r="Q959" s="253"/>
      <c r="R959" s="253"/>
      <c r="S959" s="253"/>
      <c r="T959" s="253"/>
      <c r="U959" s="253"/>
      <c r="V959" s="253"/>
      <c r="W959" s="253"/>
      <c r="X959" s="253"/>
      <c r="Y959" s="253"/>
    </row>
    <row r="960">
      <c r="A960" s="253"/>
      <c r="B960" s="253"/>
      <c r="C960" s="253"/>
      <c r="D960" s="253"/>
      <c r="E960" s="253"/>
      <c r="F960" s="253"/>
      <c r="G960" s="253"/>
      <c r="H960" s="253"/>
      <c r="I960" s="253"/>
      <c r="J960" s="253"/>
      <c r="K960" s="253"/>
      <c r="L960" s="253"/>
      <c r="M960" s="253"/>
      <c r="N960" s="253"/>
      <c r="O960" s="253"/>
      <c r="P960" s="253"/>
      <c r="Q960" s="253"/>
      <c r="R960" s="253"/>
      <c r="S960" s="253"/>
      <c r="T960" s="253"/>
      <c r="U960" s="253"/>
      <c r="V960" s="253"/>
      <c r="W960" s="253"/>
      <c r="X960" s="253"/>
      <c r="Y960" s="253"/>
    </row>
    <row r="961">
      <c r="A961" s="253"/>
      <c r="B961" s="253"/>
      <c r="C961" s="253"/>
      <c r="D961" s="253"/>
      <c r="E961" s="253"/>
      <c r="F961" s="253"/>
      <c r="G961" s="253"/>
      <c r="H961" s="253"/>
      <c r="I961" s="253"/>
      <c r="J961" s="253"/>
      <c r="K961" s="253"/>
      <c r="L961" s="253"/>
      <c r="M961" s="253"/>
      <c r="N961" s="253"/>
      <c r="O961" s="253"/>
      <c r="P961" s="253"/>
      <c r="Q961" s="253"/>
      <c r="R961" s="253"/>
      <c r="S961" s="253"/>
      <c r="T961" s="253"/>
      <c r="U961" s="253"/>
      <c r="V961" s="253"/>
      <c r="W961" s="253"/>
      <c r="X961" s="253"/>
      <c r="Y961" s="253"/>
    </row>
    <row r="962">
      <c r="A962" s="253"/>
      <c r="B962" s="253"/>
      <c r="C962" s="253"/>
      <c r="D962" s="253"/>
      <c r="E962" s="253"/>
      <c r="F962" s="253"/>
      <c r="G962" s="253"/>
      <c r="H962" s="253"/>
      <c r="I962" s="253"/>
      <c r="J962" s="253"/>
      <c r="K962" s="253"/>
      <c r="L962" s="253"/>
      <c r="M962" s="253"/>
      <c r="N962" s="253"/>
      <c r="O962" s="253"/>
      <c r="P962" s="253"/>
      <c r="Q962" s="253"/>
      <c r="R962" s="253"/>
      <c r="S962" s="253"/>
      <c r="T962" s="253"/>
      <c r="U962" s="253"/>
      <c r="V962" s="253"/>
      <c r="W962" s="253"/>
      <c r="X962" s="253"/>
      <c r="Y962" s="253"/>
    </row>
    <row r="963">
      <c r="A963" s="253"/>
      <c r="B963" s="253"/>
      <c r="C963" s="253"/>
      <c r="D963" s="253"/>
      <c r="E963" s="253"/>
      <c r="F963" s="253"/>
      <c r="G963" s="253"/>
      <c r="H963" s="253"/>
      <c r="I963" s="253"/>
      <c r="J963" s="253"/>
      <c r="K963" s="253"/>
      <c r="L963" s="253"/>
      <c r="M963" s="253"/>
      <c r="N963" s="253"/>
      <c r="O963" s="253"/>
      <c r="P963" s="253"/>
      <c r="Q963" s="253"/>
      <c r="R963" s="253"/>
      <c r="S963" s="253"/>
      <c r="T963" s="253"/>
      <c r="U963" s="253"/>
      <c r="V963" s="253"/>
      <c r="W963" s="253"/>
      <c r="X963" s="253"/>
      <c r="Y963" s="253"/>
    </row>
    <row r="964">
      <c r="A964" s="253"/>
      <c r="B964" s="253"/>
      <c r="C964" s="253"/>
      <c r="D964" s="253"/>
      <c r="E964" s="253"/>
      <c r="F964" s="253"/>
      <c r="G964" s="253"/>
      <c r="H964" s="253"/>
      <c r="I964" s="253"/>
      <c r="J964" s="253"/>
      <c r="K964" s="253"/>
      <c r="L964" s="253"/>
      <c r="M964" s="253"/>
      <c r="N964" s="253"/>
      <c r="O964" s="253"/>
      <c r="P964" s="253"/>
      <c r="Q964" s="253"/>
      <c r="R964" s="253"/>
      <c r="S964" s="253"/>
      <c r="T964" s="253"/>
      <c r="U964" s="253"/>
      <c r="V964" s="253"/>
      <c r="W964" s="253"/>
      <c r="X964" s="253"/>
      <c r="Y964" s="253"/>
    </row>
    <row r="965">
      <c r="A965" s="253"/>
      <c r="B965" s="253"/>
      <c r="C965" s="253"/>
      <c r="D965" s="253"/>
      <c r="E965" s="253"/>
      <c r="F965" s="253"/>
      <c r="G965" s="253"/>
      <c r="H965" s="253"/>
      <c r="I965" s="253"/>
      <c r="J965" s="253"/>
      <c r="K965" s="253"/>
      <c r="L965" s="253"/>
      <c r="M965" s="253"/>
      <c r="N965" s="253"/>
      <c r="O965" s="253"/>
      <c r="P965" s="253"/>
      <c r="Q965" s="253"/>
      <c r="R965" s="253"/>
      <c r="S965" s="253"/>
      <c r="T965" s="253"/>
      <c r="U965" s="253"/>
      <c r="V965" s="253"/>
      <c r="W965" s="253"/>
      <c r="X965" s="253"/>
      <c r="Y965" s="253"/>
    </row>
    <row r="966">
      <c r="A966" s="253"/>
      <c r="B966" s="253"/>
      <c r="C966" s="253"/>
      <c r="D966" s="253"/>
      <c r="E966" s="253"/>
      <c r="F966" s="253"/>
      <c r="G966" s="253"/>
      <c r="H966" s="253"/>
      <c r="I966" s="253"/>
      <c r="J966" s="253"/>
      <c r="K966" s="253"/>
      <c r="L966" s="253"/>
      <c r="M966" s="253"/>
      <c r="N966" s="253"/>
      <c r="O966" s="253"/>
      <c r="P966" s="253"/>
      <c r="Q966" s="253"/>
      <c r="R966" s="253"/>
      <c r="S966" s="253"/>
      <c r="T966" s="253"/>
      <c r="U966" s="253"/>
      <c r="V966" s="253"/>
      <c r="W966" s="253"/>
      <c r="X966" s="253"/>
      <c r="Y966" s="253"/>
    </row>
    <row r="967">
      <c r="A967" s="253"/>
      <c r="B967" s="253"/>
      <c r="C967" s="253"/>
      <c r="D967" s="253"/>
      <c r="E967" s="253"/>
      <c r="F967" s="253"/>
      <c r="G967" s="253"/>
      <c r="H967" s="253"/>
      <c r="I967" s="253"/>
      <c r="J967" s="253"/>
      <c r="K967" s="253"/>
      <c r="L967" s="253"/>
      <c r="M967" s="253"/>
      <c r="N967" s="253"/>
      <c r="O967" s="253"/>
      <c r="P967" s="253"/>
      <c r="Q967" s="253"/>
      <c r="R967" s="253"/>
      <c r="S967" s="253"/>
      <c r="T967" s="253"/>
      <c r="U967" s="253"/>
      <c r="V967" s="253"/>
      <c r="W967" s="253"/>
      <c r="X967" s="253"/>
      <c r="Y967" s="253"/>
    </row>
    <row r="968">
      <c r="A968" s="253"/>
      <c r="B968" s="253"/>
      <c r="C968" s="253"/>
      <c r="D968" s="253"/>
      <c r="E968" s="253"/>
      <c r="F968" s="253"/>
      <c r="G968" s="253"/>
      <c r="H968" s="253"/>
      <c r="I968" s="253"/>
      <c r="J968" s="253"/>
      <c r="K968" s="253"/>
      <c r="L968" s="253"/>
      <c r="M968" s="253"/>
      <c r="N968" s="253"/>
      <c r="O968" s="253"/>
      <c r="P968" s="253"/>
      <c r="Q968" s="253"/>
      <c r="R968" s="253"/>
      <c r="S968" s="253"/>
      <c r="T968" s="253"/>
      <c r="U968" s="253"/>
      <c r="V968" s="253"/>
      <c r="W968" s="253"/>
      <c r="X968" s="253"/>
      <c r="Y968" s="253"/>
    </row>
    <row r="969">
      <c r="A969" s="253"/>
      <c r="B969" s="253"/>
      <c r="C969" s="253"/>
      <c r="D969" s="253"/>
      <c r="E969" s="253"/>
      <c r="F969" s="253"/>
      <c r="G969" s="253"/>
      <c r="H969" s="253"/>
      <c r="I969" s="253"/>
      <c r="J969" s="253"/>
      <c r="K969" s="253"/>
      <c r="L969" s="253"/>
      <c r="M969" s="253"/>
      <c r="N969" s="253"/>
      <c r="O969" s="253"/>
      <c r="P969" s="253"/>
      <c r="Q969" s="253"/>
      <c r="R969" s="253"/>
      <c r="S969" s="253"/>
      <c r="T969" s="253"/>
      <c r="U969" s="253"/>
      <c r="V969" s="253"/>
      <c r="W969" s="253"/>
      <c r="X969" s="253"/>
      <c r="Y969" s="253"/>
    </row>
    <row r="970">
      <c r="A970" s="253"/>
      <c r="B970" s="253"/>
      <c r="C970" s="253"/>
      <c r="D970" s="253"/>
      <c r="E970" s="253"/>
      <c r="F970" s="253"/>
      <c r="G970" s="253"/>
      <c r="H970" s="253"/>
      <c r="I970" s="253"/>
      <c r="J970" s="253"/>
      <c r="K970" s="253"/>
      <c r="L970" s="253"/>
      <c r="M970" s="253"/>
      <c r="N970" s="253"/>
      <c r="O970" s="253"/>
      <c r="P970" s="253"/>
      <c r="Q970" s="253"/>
      <c r="R970" s="253"/>
      <c r="S970" s="253"/>
      <c r="T970" s="253"/>
      <c r="U970" s="253"/>
      <c r="V970" s="253"/>
      <c r="W970" s="253"/>
      <c r="X970" s="253"/>
      <c r="Y970" s="253"/>
    </row>
    <row r="971">
      <c r="A971" s="253"/>
      <c r="B971" s="253"/>
      <c r="C971" s="253"/>
      <c r="D971" s="253"/>
      <c r="E971" s="253"/>
      <c r="F971" s="253"/>
      <c r="G971" s="253"/>
      <c r="H971" s="253"/>
      <c r="I971" s="253"/>
      <c r="J971" s="253"/>
      <c r="K971" s="253"/>
      <c r="L971" s="253"/>
      <c r="M971" s="253"/>
      <c r="N971" s="253"/>
      <c r="O971" s="253"/>
      <c r="P971" s="253"/>
      <c r="Q971" s="253"/>
      <c r="R971" s="253"/>
      <c r="S971" s="253"/>
      <c r="T971" s="253"/>
      <c r="U971" s="253"/>
      <c r="V971" s="253"/>
      <c r="W971" s="253"/>
      <c r="X971" s="253"/>
      <c r="Y971" s="253"/>
    </row>
    <row r="972">
      <c r="A972" s="253"/>
      <c r="B972" s="253"/>
      <c r="C972" s="253"/>
      <c r="D972" s="253"/>
      <c r="E972" s="253"/>
      <c r="F972" s="253"/>
      <c r="G972" s="253"/>
      <c r="H972" s="253"/>
      <c r="I972" s="253"/>
      <c r="J972" s="253"/>
      <c r="K972" s="253"/>
      <c r="L972" s="253"/>
      <c r="M972" s="253"/>
      <c r="N972" s="253"/>
      <c r="O972" s="253"/>
      <c r="P972" s="253"/>
      <c r="Q972" s="253"/>
      <c r="R972" s="253"/>
      <c r="S972" s="253"/>
      <c r="T972" s="253"/>
      <c r="U972" s="253"/>
      <c r="V972" s="253"/>
      <c r="W972" s="253"/>
      <c r="X972" s="253"/>
      <c r="Y972" s="253"/>
    </row>
    <row r="973">
      <c r="A973" s="253"/>
      <c r="B973" s="253"/>
      <c r="C973" s="253"/>
      <c r="D973" s="253"/>
      <c r="E973" s="253"/>
      <c r="F973" s="253"/>
      <c r="G973" s="253"/>
      <c r="H973" s="253"/>
      <c r="I973" s="253"/>
      <c r="J973" s="253"/>
      <c r="K973" s="253"/>
      <c r="L973" s="253"/>
      <c r="M973" s="253"/>
      <c r="N973" s="253"/>
      <c r="O973" s="253"/>
      <c r="P973" s="253"/>
      <c r="Q973" s="253"/>
      <c r="R973" s="253"/>
      <c r="S973" s="253"/>
      <c r="T973" s="253"/>
      <c r="U973" s="253"/>
      <c r="V973" s="253"/>
      <c r="W973" s="253"/>
      <c r="X973" s="253"/>
      <c r="Y973" s="253"/>
    </row>
    <row r="974">
      <c r="A974" s="253"/>
      <c r="B974" s="253"/>
      <c r="C974" s="253"/>
      <c r="D974" s="253"/>
      <c r="E974" s="253"/>
      <c r="F974" s="253"/>
      <c r="G974" s="253"/>
      <c r="H974" s="253"/>
      <c r="I974" s="253"/>
      <c r="J974" s="253"/>
      <c r="K974" s="253"/>
      <c r="L974" s="253"/>
      <c r="M974" s="253"/>
      <c r="N974" s="253"/>
      <c r="O974" s="253"/>
      <c r="P974" s="253"/>
      <c r="Q974" s="253"/>
      <c r="R974" s="253"/>
      <c r="S974" s="253"/>
      <c r="T974" s="253"/>
      <c r="U974" s="253"/>
      <c r="V974" s="253"/>
      <c r="W974" s="253"/>
      <c r="X974" s="253"/>
      <c r="Y974" s="253"/>
    </row>
    <row r="975">
      <c r="A975" s="253"/>
      <c r="B975" s="253"/>
      <c r="C975" s="253"/>
      <c r="D975" s="253"/>
      <c r="E975" s="253"/>
      <c r="F975" s="253"/>
      <c r="G975" s="253"/>
      <c r="H975" s="253"/>
      <c r="I975" s="253"/>
      <c r="J975" s="253"/>
      <c r="K975" s="253"/>
      <c r="L975" s="253"/>
      <c r="M975" s="253"/>
      <c r="N975" s="253"/>
      <c r="O975" s="253"/>
      <c r="P975" s="253"/>
      <c r="Q975" s="253"/>
      <c r="R975" s="253"/>
      <c r="S975" s="253"/>
      <c r="T975" s="253"/>
      <c r="U975" s="253"/>
      <c r="V975" s="253"/>
      <c r="W975" s="253"/>
      <c r="X975" s="253"/>
      <c r="Y975" s="253"/>
    </row>
    <row r="976">
      <c r="A976" s="253"/>
      <c r="B976" s="253"/>
      <c r="C976" s="253"/>
      <c r="D976" s="253"/>
      <c r="E976" s="253"/>
      <c r="F976" s="253"/>
      <c r="G976" s="253"/>
      <c r="H976" s="253"/>
      <c r="I976" s="253"/>
      <c r="J976" s="253"/>
      <c r="K976" s="253"/>
      <c r="L976" s="253"/>
      <c r="M976" s="253"/>
      <c r="N976" s="253"/>
      <c r="O976" s="253"/>
      <c r="P976" s="253"/>
      <c r="Q976" s="253"/>
      <c r="R976" s="253"/>
      <c r="S976" s="253"/>
      <c r="T976" s="253"/>
      <c r="U976" s="253"/>
      <c r="V976" s="253"/>
      <c r="W976" s="253"/>
      <c r="X976" s="253"/>
      <c r="Y976" s="253"/>
    </row>
    <row r="977">
      <c r="A977" s="253"/>
      <c r="B977" s="253"/>
      <c r="C977" s="253"/>
      <c r="D977" s="253"/>
      <c r="E977" s="253"/>
      <c r="F977" s="253"/>
      <c r="G977" s="253"/>
      <c r="H977" s="253"/>
      <c r="I977" s="253"/>
      <c r="J977" s="253"/>
      <c r="K977" s="253"/>
      <c r="L977" s="253"/>
      <c r="M977" s="253"/>
      <c r="N977" s="253"/>
      <c r="O977" s="253"/>
      <c r="P977" s="253"/>
      <c r="Q977" s="253"/>
      <c r="R977" s="253"/>
      <c r="S977" s="253"/>
      <c r="T977" s="253"/>
      <c r="U977" s="253"/>
      <c r="V977" s="253"/>
      <c r="W977" s="253"/>
      <c r="X977" s="253"/>
      <c r="Y977" s="253"/>
    </row>
    <row r="978">
      <c r="A978" s="253"/>
      <c r="B978" s="253"/>
      <c r="C978" s="253"/>
      <c r="D978" s="253"/>
      <c r="E978" s="253"/>
      <c r="F978" s="253"/>
      <c r="G978" s="253"/>
      <c r="H978" s="253"/>
      <c r="I978" s="253"/>
      <c r="J978" s="253"/>
      <c r="K978" s="253"/>
      <c r="L978" s="253"/>
      <c r="M978" s="253"/>
      <c r="N978" s="253"/>
      <c r="O978" s="253"/>
      <c r="P978" s="253"/>
      <c r="Q978" s="253"/>
      <c r="R978" s="253"/>
      <c r="S978" s="253"/>
      <c r="T978" s="253"/>
      <c r="U978" s="253"/>
      <c r="V978" s="253"/>
      <c r="W978" s="253"/>
      <c r="X978" s="253"/>
      <c r="Y978" s="253"/>
    </row>
    <row r="979">
      <c r="A979" s="253"/>
      <c r="B979" s="253"/>
      <c r="C979" s="253"/>
      <c r="D979" s="253"/>
      <c r="E979" s="253"/>
      <c r="F979" s="253"/>
      <c r="G979" s="253"/>
      <c r="H979" s="253"/>
      <c r="I979" s="253"/>
      <c r="J979" s="253"/>
      <c r="K979" s="253"/>
      <c r="L979" s="253"/>
      <c r="M979" s="253"/>
      <c r="N979" s="253"/>
      <c r="O979" s="253"/>
      <c r="P979" s="253"/>
      <c r="Q979" s="253"/>
      <c r="R979" s="253"/>
      <c r="S979" s="253"/>
      <c r="T979" s="253"/>
      <c r="U979" s="253"/>
      <c r="V979" s="253"/>
      <c r="W979" s="253"/>
      <c r="X979" s="253"/>
      <c r="Y979" s="253"/>
    </row>
    <row r="980">
      <c r="A980" s="253"/>
      <c r="B980" s="253"/>
      <c r="C980" s="253"/>
      <c r="D980" s="253"/>
      <c r="E980" s="253"/>
      <c r="F980" s="253"/>
      <c r="G980" s="253"/>
      <c r="H980" s="253"/>
      <c r="I980" s="253"/>
      <c r="J980" s="253"/>
      <c r="K980" s="253"/>
      <c r="L980" s="253"/>
      <c r="M980" s="253"/>
      <c r="N980" s="253"/>
      <c r="O980" s="253"/>
      <c r="P980" s="253"/>
      <c r="Q980" s="253"/>
      <c r="R980" s="253"/>
      <c r="S980" s="253"/>
      <c r="T980" s="253"/>
      <c r="U980" s="253"/>
      <c r="V980" s="253"/>
      <c r="W980" s="253"/>
      <c r="X980" s="253"/>
      <c r="Y980" s="253"/>
    </row>
    <row r="981">
      <c r="A981" s="253"/>
      <c r="B981" s="253"/>
      <c r="C981" s="253"/>
      <c r="D981" s="253"/>
      <c r="E981" s="253"/>
      <c r="F981" s="253"/>
      <c r="G981" s="253"/>
      <c r="H981" s="253"/>
      <c r="I981" s="253"/>
      <c r="J981" s="253"/>
      <c r="K981" s="253"/>
      <c r="L981" s="253"/>
      <c r="M981" s="253"/>
      <c r="N981" s="253"/>
      <c r="O981" s="253"/>
      <c r="P981" s="253"/>
      <c r="Q981" s="253"/>
      <c r="R981" s="253"/>
      <c r="S981" s="253"/>
      <c r="T981" s="253"/>
      <c r="U981" s="253"/>
      <c r="V981" s="253"/>
      <c r="W981" s="253"/>
      <c r="X981" s="253"/>
      <c r="Y981" s="253"/>
    </row>
    <row r="982">
      <c r="A982" s="253"/>
      <c r="B982" s="253"/>
      <c r="C982" s="253"/>
      <c r="D982" s="253"/>
      <c r="E982" s="253"/>
      <c r="F982" s="253"/>
      <c r="G982" s="253"/>
      <c r="H982" s="253"/>
      <c r="I982" s="253"/>
      <c r="J982" s="253"/>
      <c r="K982" s="253"/>
      <c r="L982" s="253"/>
      <c r="M982" s="253"/>
      <c r="N982" s="253"/>
      <c r="O982" s="253"/>
      <c r="P982" s="253"/>
      <c r="Q982" s="253"/>
      <c r="R982" s="253"/>
      <c r="S982" s="253"/>
      <c r="T982" s="253"/>
      <c r="U982" s="253"/>
      <c r="V982" s="253"/>
      <c r="W982" s="253"/>
      <c r="X982" s="253"/>
      <c r="Y982" s="253"/>
    </row>
    <row r="983">
      <c r="A983" s="253"/>
      <c r="B983" s="253"/>
      <c r="C983" s="253"/>
      <c r="D983" s="253"/>
      <c r="E983" s="253"/>
      <c r="F983" s="253"/>
      <c r="G983" s="253"/>
      <c r="H983" s="253"/>
      <c r="I983" s="253"/>
      <c r="J983" s="253"/>
      <c r="K983" s="253"/>
      <c r="L983" s="253"/>
      <c r="M983" s="253"/>
      <c r="N983" s="253"/>
      <c r="O983" s="253"/>
      <c r="P983" s="253"/>
      <c r="Q983" s="253"/>
      <c r="R983" s="253"/>
      <c r="S983" s="253"/>
      <c r="T983" s="253"/>
      <c r="U983" s="253"/>
      <c r="V983" s="253"/>
      <c r="W983" s="253"/>
      <c r="X983" s="253"/>
      <c r="Y983" s="253"/>
    </row>
    <row r="984">
      <c r="A984" s="253"/>
      <c r="B984" s="253"/>
      <c r="C984" s="253"/>
      <c r="D984" s="253"/>
      <c r="E984" s="253"/>
      <c r="F984" s="253"/>
      <c r="G984" s="253"/>
      <c r="H984" s="253"/>
      <c r="I984" s="253"/>
      <c r="J984" s="253"/>
      <c r="K984" s="253"/>
      <c r="L984" s="253"/>
      <c r="M984" s="253"/>
      <c r="N984" s="253"/>
      <c r="O984" s="253"/>
      <c r="P984" s="253"/>
      <c r="Q984" s="253"/>
      <c r="R984" s="253"/>
      <c r="S984" s="253"/>
      <c r="T984" s="253"/>
      <c r="U984" s="253"/>
      <c r="V984" s="253"/>
      <c r="W984" s="253"/>
      <c r="X984" s="253"/>
      <c r="Y984" s="253"/>
    </row>
    <row r="985">
      <c r="A985" s="253"/>
      <c r="B985" s="253"/>
      <c r="C985" s="253"/>
      <c r="D985" s="253"/>
      <c r="E985" s="253"/>
      <c r="F985" s="253"/>
      <c r="G985" s="253"/>
      <c r="H985" s="253"/>
      <c r="I985" s="253"/>
      <c r="J985" s="253"/>
      <c r="K985" s="253"/>
      <c r="L985" s="253"/>
      <c r="M985" s="253"/>
      <c r="N985" s="253"/>
      <c r="O985" s="253"/>
      <c r="P985" s="253"/>
      <c r="Q985" s="253"/>
      <c r="R985" s="253"/>
      <c r="S985" s="253"/>
      <c r="T985" s="253"/>
      <c r="U985" s="253"/>
      <c r="V985" s="253"/>
      <c r="W985" s="253"/>
      <c r="X985" s="253"/>
      <c r="Y985" s="253"/>
    </row>
    <row r="986">
      <c r="A986" s="253"/>
      <c r="B986" s="253"/>
      <c r="C986" s="253"/>
      <c r="D986" s="253"/>
      <c r="E986" s="253"/>
      <c r="F986" s="253"/>
      <c r="G986" s="253"/>
      <c r="H986" s="253"/>
      <c r="I986" s="253"/>
      <c r="J986" s="253"/>
      <c r="K986" s="253"/>
      <c r="L986" s="253"/>
      <c r="M986" s="253"/>
      <c r="N986" s="253"/>
      <c r="O986" s="253"/>
      <c r="P986" s="253"/>
      <c r="Q986" s="253"/>
      <c r="R986" s="253"/>
      <c r="S986" s="253"/>
      <c r="T986" s="253"/>
      <c r="U986" s="253"/>
      <c r="V986" s="253"/>
      <c r="W986" s="253"/>
      <c r="X986" s="253"/>
      <c r="Y986" s="253"/>
    </row>
    <row r="987">
      <c r="A987" s="253"/>
      <c r="B987" s="253"/>
      <c r="C987" s="253"/>
      <c r="D987" s="253"/>
      <c r="E987" s="253"/>
      <c r="F987" s="253"/>
      <c r="G987" s="253"/>
      <c r="H987" s="253"/>
      <c r="I987" s="253"/>
      <c r="J987" s="253"/>
      <c r="K987" s="253"/>
      <c r="L987" s="253"/>
      <c r="M987" s="253"/>
      <c r="N987" s="253"/>
      <c r="O987" s="253"/>
      <c r="P987" s="253"/>
      <c r="Q987" s="253"/>
      <c r="R987" s="253"/>
      <c r="S987" s="253"/>
      <c r="T987" s="253"/>
      <c r="U987" s="253"/>
      <c r="V987" s="253"/>
      <c r="W987" s="253"/>
      <c r="X987" s="253"/>
      <c r="Y987" s="253"/>
    </row>
    <row r="988">
      <c r="A988" s="253"/>
      <c r="B988" s="253"/>
      <c r="C988" s="253"/>
      <c r="D988" s="253"/>
      <c r="E988" s="253"/>
      <c r="F988" s="253"/>
      <c r="G988" s="253"/>
      <c r="H988" s="253"/>
      <c r="I988" s="253"/>
      <c r="J988" s="253"/>
      <c r="K988" s="253"/>
      <c r="L988" s="253"/>
      <c r="M988" s="253"/>
      <c r="N988" s="253"/>
      <c r="O988" s="253"/>
      <c r="P988" s="253"/>
      <c r="Q988" s="253"/>
      <c r="R988" s="253"/>
      <c r="S988" s="253"/>
      <c r="T988" s="253"/>
      <c r="U988" s="253"/>
      <c r="V988" s="253"/>
      <c r="W988" s="253"/>
      <c r="X988" s="253"/>
      <c r="Y988" s="253"/>
    </row>
    <row r="989">
      <c r="A989" s="253"/>
      <c r="B989" s="253"/>
      <c r="C989" s="253"/>
      <c r="D989" s="253"/>
      <c r="E989" s="253"/>
      <c r="F989" s="253"/>
      <c r="G989" s="253"/>
      <c r="H989" s="253"/>
      <c r="I989" s="253"/>
      <c r="J989" s="253"/>
      <c r="K989" s="253"/>
      <c r="L989" s="253"/>
      <c r="M989" s="253"/>
      <c r="N989" s="253"/>
      <c r="O989" s="253"/>
      <c r="P989" s="253"/>
      <c r="Q989" s="253"/>
      <c r="R989" s="253"/>
      <c r="S989" s="253"/>
      <c r="T989" s="253"/>
      <c r="U989" s="253"/>
      <c r="V989" s="253"/>
      <c r="W989" s="253"/>
      <c r="X989" s="253"/>
      <c r="Y989" s="253"/>
    </row>
    <row r="990">
      <c r="A990" s="253"/>
      <c r="B990" s="253"/>
      <c r="C990" s="253"/>
      <c r="D990" s="253"/>
      <c r="E990" s="253"/>
      <c r="F990" s="253"/>
      <c r="G990" s="253"/>
      <c r="H990" s="253"/>
      <c r="I990" s="253"/>
      <c r="J990" s="253"/>
      <c r="K990" s="253"/>
      <c r="L990" s="253"/>
      <c r="M990" s="253"/>
      <c r="N990" s="253"/>
      <c r="O990" s="253"/>
      <c r="P990" s="253"/>
      <c r="Q990" s="253"/>
      <c r="R990" s="253"/>
      <c r="S990" s="253"/>
      <c r="T990" s="253"/>
      <c r="U990" s="253"/>
      <c r="V990" s="253"/>
      <c r="W990" s="253"/>
      <c r="X990" s="253"/>
      <c r="Y990" s="253"/>
    </row>
    <row r="991">
      <c r="A991" s="253"/>
      <c r="B991" s="253"/>
      <c r="C991" s="253"/>
      <c r="D991" s="253"/>
      <c r="E991" s="253"/>
      <c r="F991" s="253"/>
      <c r="G991" s="253"/>
      <c r="H991" s="253"/>
      <c r="I991" s="253"/>
      <c r="J991" s="253"/>
      <c r="K991" s="253"/>
      <c r="L991" s="253"/>
      <c r="M991" s="253"/>
      <c r="N991" s="253"/>
      <c r="O991" s="253"/>
      <c r="P991" s="253"/>
      <c r="Q991" s="253"/>
      <c r="R991" s="253"/>
      <c r="S991" s="253"/>
      <c r="T991" s="253"/>
      <c r="U991" s="253"/>
      <c r="V991" s="253"/>
      <c r="W991" s="253"/>
      <c r="X991" s="253"/>
      <c r="Y991" s="253"/>
    </row>
    <row r="992">
      <c r="A992" s="253"/>
      <c r="B992" s="253"/>
      <c r="C992" s="253"/>
      <c r="D992" s="253"/>
      <c r="E992" s="253"/>
      <c r="F992" s="253"/>
      <c r="G992" s="253"/>
      <c r="H992" s="253"/>
      <c r="I992" s="253"/>
      <c r="J992" s="253"/>
      <c r="K992" s="253"/>
      <c r="L992" s="253"/>
      <c r="M992" s="253"/>
      <c r="N992" s="253"/>
      <c r="O992" s="253"/>
      <c r="P992" s="253"/>
      <c r="Q992" s="253"/>
      <c r="R992" s="253"/>
      <c r="S992" s="253"/>
      <c r="T992" s="253"/>
      <c r="U992" s="253"/>
      <c r="V992" s="253"/>
      <c r="W992" s="253"/>
      <c r="X992" s="253"/>
      <c r="Y992" s="253"/>
    </row>
    <row r="993">
      <c r="A993" s="253"/>
      <c r="B993" s="253"/>
      <c r="C993" s="253"/>
      <c r="D993" s="253"/>
      <c r="E993" s="253"/>
      <c r="F993" s="253"/>
      <c r="G993" s="253"/>
      <c r="H993" s="253"/>
      <c r="I993" s="253"/>
      <c r="J993" s="253"/>
      <c r="K993" s="253"/>
      <c r="L993" s="253"/>
      <c r="M993" s="253"/>
      <c r="N993" s="253"/>
      <c r="O993" s="253"/>
      <c r="P993" s="253"/>
      <c r="Q993" s="253"/>
      <c r="R993" s="253"/>
      <c r="S993" s="253"/>
      <c r="T993" s="253"/>
      <c r="U993" s="253"/>
      <c r="V993" s="253"/>
      <c r="W993" s="253"/>
      <c r="X993" s="253"/>
      <c r="Y993" s="253"/>
    </row>
    <row r="994">
      <c r="A994" s="253"/>
      <c r="B994" s="253"/>
      <c r="C994" s="253"/>
      <c r="D994" s="253"/>
      <c r="E994" s="253"/>
      <c r="F994" s="253"/>
      <c r="G994" s="253"/>
      <c r="H994" s="253"/>
      <c r="I994" s="253"/>
      <c r="J994" s="253"/>
      <c r="K994" s="253"/>
      <c r="L994" s="253"/>
      <c r="M994" s="253"/>
      <c r="N994" s="253"/>
      <c r="O994" s="253"/>
      <c r="P994" s="253"/>
      <c r="Q994" s="253"/>
      <c r="R994" s="253"/>
      <c r="S994" s="253"/>
      <c r="T994" s="253"/>
      <c r="U994" s="253"/>
      <c r="V994" s="253"/>
      <c r="W994" s="253"/>
      <c r="X994" s="253"/>
      <c r="Y994" s="253"/>
    </row>
    <row r="995">
      <c r="A995" s="253"/>
      <c r="B995" s="253"/>
      <c r="C995" s="253"/>
      <c r="D995" s="253"/>
      <c r="E995" s="253"/>
      <c r="F995" s="253"/>
      <c r="G995" s="253"/>
      <c r="H995" s="253"/>
      <c r="I995" s="253"/>
      <c r="J995" s="253"/>
      <c r="K995" s="253"/>
      <c r="L995" s="253"/>
      <c r="M995" s="253"/>
      <c r="N995" s="253"/>
      <c r="O995" s="253"/>
      <c r="P995" s="253"/>
      <c r="Q995" s="253"/>
      <c r="R995" s="253"/>
      <c r="S995" s="253"/>
      <c r="T995" s="253"/>
      <c r="U995" s="253"/>
      <c r="V995" s="253"/>
      <c r="W995" s="253"/>
      <c r="X995" s="253"/>
      <c r="Y995" s="253"/>
    </row>
    <row r="996">
      <c r="A996" s="253"/>
      <c r="B996" s="253"/>
      <c r="C996" s="253"/>
      <c r="D996" s="253"/>
      <c r="E996" s="253"/>
      <c r="F996" s="253"/>
      <c r="G996" s="253"/>
      <c r="H996" s="253"/>
      <c r="I996" s="253"/>
      <c r="J996" s="253"/>
      <c r="K996" s="253"/>
      <c r="L996" s="253"/>
      <c r="M996" s="253"/>
      <c r="N996" s="253"/>
      <c r="O996" s="253"/>
      <c r="P996" s="253"/>
      <c r="Q996" s="253"/>
      <c r="R996" s="253"/>
      <c r="S996" s="253"/>
      <c r="T996" s="253"/>
      <c r="U996" s="253"/>
      <c r="V996" s="253"/>
      <c r="W996" s="253"/>
      <c r="X996" s="253"/>
      <c r="Y996" s="253"/>
    </row>
    <row r="997">
      <c r="A997" s="253"/>
      <c r="B997" s="253"/>
      <c r="C997" s="253"/>
      <c r="D997" s="253"/>
      <c r="E997" s="253"/>
      <c r="F997" s="253"/>
      <c r="G997" s="253"/>
      <c r="H997" s="253"/>
      <c r="I997" s="253"/>
      <c r="J997" s="253"/>
      <c r="K997" s="253"/>
      <c r="L997" s="253"/>
      <c r="M997" s="253"/>
      <c r="N997" s="253"/>
      <c r="O997" s="253"/>
      <c r="P997" s="253"/>
      <c r="Q997" s="253"/>
      <c r="R997" s="253"/>
      <c r="S997" s="253"/>
      <c r="T997" s="253"/>
      <c r="U997" s="253"/>
      <c r="V997" s="253"/>
      <c r="W997" s="253"/>
      <c r="X997" s="253"/>
      <c r="Y997" s="253"/>
    </row>
    <row r="998">
      <c r="A998" s="253"/>
      <c r="B998" s="253"/>
      <c r="C998" s="253"/>
      <c r="D998" s="253"/>
      <c r="E998" s="253"/>
      <c r="F998" s="253"/>
      <c r="G998" s="253"/>
      <c r="H998" s="253"/>
      <c r="I998" s="253"/>
      <c r="J998" s="253"/>
      <c r="K998" s="253"/>
      <c r="L998" s="253"/>
      <c r="M998" s="253"/>
      <c r="N998" s="253"/>
      <c r="O998" s="253"/>
      <c r="P998" s="253"/>
      <c r="Q998" s="253"/>
      <c r="R998" s="253"/>
      <c r="S998" s="253"/>
      <c r="T998" s="253"/>
      <c r="U998" s="253"/>
      <c r="V998" s="253"/>
      <c r="W998" s="253"/>
      <c r="X998" s="253"/>
      <c r="Y998" s="253"/>
    </row>
    <row r="999">
      <c r="A999" s="253"/>
      <c r="B999" s="253"/>
      <c r="C999" s="253"/>
      <c r="D999" s="253"/>
      <c r="E999" s="253"/>
      <c r="F999" s="253"/>
      <c r="G999" s="253"/>
      <c r="H999" s="253"/>
      <c r="I999" s="253"/>
      <c r="J999" s="253"/>
      <c r="K999" s="253"/>
      <c r="L999" s="253"/>
      <c r="M999" s="253"/>
      <c r="N999" s="253"/>
      <c r="O999" s="253"/>
      <c r="P999" s="253"/>
      <c r="Q999" s="253"/>
      <c r="R999" s="253"/>
      <c r="S999" s="253"/>
      <c r="T999" s="253"/>
      <c r="U999" s="253"/>
      <c r="V999" s="253"/>
      <c r="W999" s="253"/>
      <c r="X999" s="253"/>
      <c r="Y999" s="253"/>
    </row>
    <row r="1000">
      <c r="A1000" s="253"/>
      <c r="B1000" s="253"/>
      <c r="C1000" s="253"/>
      <c r="D1000" s="253"/>
      <c r="E1000" s="253"/>
      <c r="F1000" s="253"/>
      <c r="G1000" s="253"/>
      <c r="H1000" s="253"/>
      <c r="I1000" s="253"/>
      <c r="J1000" s="253"/>
      <c r="K1000" s="253"/>
      <c r="L1000" s="253"/>
      <c r="M1000" s="253"/>
      <c r="N1000" s="253"/>
      <c r="O1000" s="253"/>
      <c r="P1000" s="253"/>
      <c r="Q1000" s="253"/>
      <c r="R1000" s="253"/>
      <c r="S1000" s="253"/>
      <c r="T1000" s="253"/>
      <c r="U1000" s="253"/>
      <c r="V1000" s="253"/>
      <c r="W1000" s="253"/>
      <c r="X1000" s="253"/>
      <c r="Y1000" s="253"/>
    </row>
  </sheetData>
  <conditionalFormatting sqref="D3:F3 G3:I40">
    <cfRule type="notContainsBlanks" dxfId="0" priority="1">
      <formula>LEN(TRIM(D3))&gt;0</formula>
    </cfRule>
  </conditionalFormatting>
  <conditionalFormatting sqref="D3:I40">
    <cfRule type="notContainsBlanks" dxfId="0" priority="2">
      <formula>LEN(TRIM(D3))&gt;0</formula>
    </cfRule>
  </conditionalFormatting>
  <drawing r:id="rId1"/>
</worksheet>
</file>